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P:\S Drive Files\FISCAL\MOE\2025-26 MOE Calculator\"/>
    </mc:Choice>
  </mc:AlternateContent>
  <xr:revisionPtr revIDLastSave="0" documentId="13_ncr:1_{A8676B16-CC54-4D62-8B68-B4A451883316}" xr6:coauthVersionLast="47" xr6:coauthVersionMax="47" xr10:uidLastSave="{00000000-0000-0000-0000-000000000000}"/>
  <bookViews>
    <workbookView xWindow="-120" yWindow="-120" windowWidth="29040" windowHeight="17520" firstSheet="2" activeTab="2" xr2:uid="{00000000-000D-0000-FFFF-FFFF00000000}"/>
  </bookViews>
  <sheets>
    <sheet name="1. Title Page" sheetId="50" r:id="rId1"/>
    <sheet name="CCDDD#" sheetId="52" r:id="rId2"/>
    <sheet name="43. SEA Guidance" sheetId="47" r:id="rId3"/>
    <sheet name="2. Getting Started" sheetId="1" r:id="rId4"/>
    <sheet name="3a. Intervening Years" sheetId="2" state="hidden" r:id="rId5"/>
    <sheet name="2019-20" sheetId="61" state="hidden" r:id="rId6"/>
    <sheet name="3b. High Cost Fund" sheetId="48" state="hidden" r:id="rId7"/>
    <sheet name="4. Multi-Year MOE Summary" sheetId="8" r:id="rId8"/>
    <sheet name="2021-22" sheetId="64" state="hidden" r:id="rId9"/>
    <sheet name="2020-21" sheetId="62" state="hidden" r:id="rId10"/>
    <sheet name="Nov 2020 cc" sheetId="63" state="hidden" r:id="rId11"/>
    <sheet name="2017-18" sheetId="59" state="hidden" r:id="rId12"/>
    <sheet name="11. Year 3 Amounts" sheetId="17" state="hidden" r:id="rId13"/>
    <sheet name="2018-19" sheetId="60" state="hidden" r:id="rId14"/>
    <sheet name="12. Year 3 Exc &amp; Adj" sheetId="18" state="hidden" r:id="rId15"/>
    <sheet name="14. Year 4 Amounts" sheetId="20" state="hidden" r:id="rId16"/>
    <sheet name="15. Year 4 Exc &amp; Adj" sheetId="21" state="hidden" r:id="rId17"/>
    <sheet name="5. Year 1 Amounts" sheetId="9" state="hidden" r:id="rId18"/>
    <sheet name="6. Year 1 Exc &amp; Adj" sheetId="10" state="hidden" r:id="rId19"/>
    <sheet name="7. Year 1 Summary" sheetId="6" state="hidden" r:id="rId20"/>
    <sheet name="8. Year 2 Amounts" sheetId="14" state="hidden" r:id="rId21"/>
    <sheet name="9. Year 2 Exc &amp; Adj" sheetId="15" state="hidden" r:id="rId22"/>
    <sheet name="10. Year 2 Summary" sheetId="16" state="hidden" r:id="rId23"/>
    <sheet name="13. Year 3 Summary" sheetId="19" state="hidden" r:id="rId24"/>
    <sheet name="16. Year 4 Summary" sheetId="22" state="hidden" r:id="rId25"/>
    <sheet name="17. Year 5 Amounts" sheetId="23" r:id="rId26"/>
    <sheet name="18. Year 5 Exc &amp; Adj" sheetId="24" r:id="rId27"/>
    <sheet name="19. Year 5 Summary" sheetId="25" r:id="rId28"/>
    <sheet name="20. Year 6 Amounts" sheetId="26" state="hidden" r:id="rId29"/>
    <sheet name="21. Year 6 Exc &amp; Adj" sheetId="27" state="hidden" r:id="rId30"/>
    <sheet name="22. Year 6 Summary" sheetId="28" state="hidden" r:id="rId31"/>
    <sheet name="23. Year 7 Amounts" sheetId="29" state="hidden" r:id="rId32"/>
    <sheet name="24. Year 7 Exc &amp; Adj" sheetId="30" state="hidden" r:id="rId33"/>
    <sheet name="25. Year 7 Summary" sheetId="31" state="hidden" r:id="rId34"/>
    <sheet name="26. Year 8 Amounts" sheetId="32" state="hidden" r:id="rId35"/>
    <sheet name="27. Year 8 Exc &amp; Adj" sheetId="33" state="hidden" r:id="rId36"/>
    <sheet name="28. Year 8 Summary" sheetId="35" state="hidden" r:id="rId37"/>
    <sheet name="29. Year 9 Amounts" sheetId="36" state="hidden" r:id="rId38"/>
    <sheet name="30. Year 9 Exc &amp; Adj" sheetId="37" state="hidden" r:id="rId39"/>
    <sheet name="31. Year 9 Summary" sheetId="38" state="hidden" r:id="rId40"/>
    <sheet name="32. Year 10 Amounts" sheetId="39" state="hidden" r:id="rId41"/>
    <sheet name="33. Year 10 Exc &amp; Adj" sheetId="40" state="hidden" r:id="rId42"/>
    <sheet name="34. Year 10 Summary" sheetId="41" state="hidden" r:id="rId43"/>
    <sheet name="35. Year 11 Amounts" sheetId="42" state="hidden" r:id="rId44"/>
    <sheet name="36. Year 11 Exc &amp; Adj" sheetId="43" state="hidden" r:id="rId45"/>
    <sheet name="37. Year 11 Summary" sheetId="44" state="hidden" r:id="rId46"/>
    <sheet name="38. Total Local Funds" sheetId="5" state="hidden" r:id="rId47"/>
    <sheet name="39. Total State &amp; Local Funds" sheetId="11" state="hidden" r:id="rId48"/>
    <sheet name="40. Local Funds Per Capita" sheetId="12" state="hidden" r:id="rId49"/>
    <sheet name="41. State &amp; Local Funds Per Cap" sheetId="13" state="hidden" r:id="rId50"/>
    <sheet name="21-22 state &amp; local" sheetId="55" state="hidden" r:id="rId51"/>
    <sheet name="21-22 child count" sheetId="54" state="hidden" r:id="rId52"/>
    <sheet name="22-23 child count" sheetId="57" state="hidden" r:id="rId53"/>
    <sheet name="22-23 state &amp; local" sheetId="58" state="hidden" r:id="rId54"/>
    <sheet name="23-24 child count" sheetId="65" state="hidden" r:id="rId55"/>
    <sheet name="23-24 state &amp; local" sheetId="66" state="hidden" r:id="rId56"/>
    <sheet name="42. SEA or LEA Worksheet" sheetId="45" state="hidden" r:id="rId57"/>
    <sheet name="compliance" sheetId="56" state="hidden" r:id="rId58"/>
    <sheet name="List" sheetId="49" state="veryHidden" r:id="rId59"/>
  </sheets>
  <definedNames>
    <definedName name="_xlnm._FilterDatabase" localSheetId="11" hidden="1">'2017-18'!$A$4:$G$319</definedName>
    <definedName name="_xlnm._FilterDatabase" localSheetId="13" hidden="1">'2018-19'!$A$5:$G$5</definedName>
    <definedName name="_xlnm._FilterDatabase" localSheetId="5" hidden="1">'2019-20'!$A$5:$H$316</definedName>
    <definedName name="_xlnm._FilterDatabase" localSheetId="9" hidden="1">'2020-21'!$A$5:$H$319</definedName>
    <definedName name="_xlnm._FilterDatabase" localSheetId="8" hidden="1">'2021-22'!$A$5:$G$317</definedName>
    <definedName name="_xlnm._FilterDatabase" localSheetId="51" hidden="1">'21-22 child count'!$A$2:$T$319</definedName>
    <definedName name="_xlnm._FilterDatabase" localSheetId="50" hidden="1">'21-22 state &amp; local'!$A$4:$G$317</definedName>
    <definedName name="_xlnm._FilterDatabase" localSheetId="52" hidden="1">'22-23 child count'!$A$3:$V$320</definedName>
    <definedName name="_xlnm._FilterDatabase" localSheetId="53" hidden="1">'22-23 state &amp; local'!$A$6:$G$319</definedName>
    <definedName name="_xlnm._FilterDatabase" localSheetId="54" hidden="1">'23-24 child count'!$A$3:$Y$3</definedName>
    <definedName name="_xlnm._FilterDatabase" localSheetId="55" hidden="1">'23-24 state &amp; local'!$A$4:$F$316</definedName>
    <definedName name="_xlnm._FilterDatabase" localSheetId="56" hidden="1">'42. SEA or LEA Worksheet'!$A$2:$AG$324</definedName>
    <definedName name="_xlnm._FilterDatabase" localSheetId="1" hidden="1">'CCDDD#'!$A$1:$D$319</definedName>
    <definedName name="_xlnm._FilterDatabase" localSheetId="57" hidden="1">compliance!$A$4:$BS$4</definedName>
    <definedName name="_xlnm._FilterDatabase" localSheetId="10" hidden="1">'Nov 2020 cc'!$A$2:$D$317</definedName>
    <definedName name="Exception_c" localSheetId="0">#REF!</definedName>
    <definedName name="Exception_c">List!$A$2:$A$5</definedName>
    <definedName name="_xlnm.Print_Area" localSheetId="7">'4. Multi-Year MOE Summary'!$C$1:$L$13</definedName>
    <definedName name="_xlnm.Print_Titles" localSheetId="22">'10. Year 2 Summary'!$A:$A,'10. Year 2 Summary'!$1:$2</definedName>
    <definedName name="_xlnm.Print_Titles" localSheetId="12">'11. Year 3 Amounts'!$2:$4</definedName>
    <definedName name="_xlnm.Print_Titles" localSheetId="14">'12. Year 3 Exc &amp; Adj'!$1:$3</definedName>
    <definedName name="_xlnm.Print_Titles" localSheetId="23">'13. Year 3 Summary'!$A:$A,'13. Year 3 Summary'!$1:$2</definedName>
    <definedName name="_xlnm.Print_Titles" localSheetId="15">'14. Year 4 Amounts'!$2:$4</definedName>
    <definedName name="_xlnm.Print_Titles" localSheetId="16">'15. Year 4 Exc &amp; Adj'!$1:$3</definedName>
    <definedName name="_xlnm.Print_Titles" localSheetId="24">'16. Year 4 Summary'!$A:$A,'16. Year 4 Summary'!$1:$2</definedName>
    <definedName name="_xlnm.Print_Titles" localSheetId="25">'17. Year 5 Amounts'!$2:$4</definedName>
    <definedName name="_xlnm.Print_Titles" localSheetId="26">'18. Year 5 Exc &amp; Adj'!$1:$3</definedName>
    <definedName name="_xlnm.Print_Titles" localSheetId="27">'19. Year 5 Summary'!$A:$A,'19. Year 5 Summary'!$1:$2</definedName>
    <definedName name="_xlnm.Print_Titles" localSheetId="28">'20. Year 6 Amounts'!$2:$4</definedName>
    <definedName name="_xlnm.Print_Titles" localSheetId="29">'21. Year 6 Exc &amp; Adj'!$1:$3</definedName>
    <definedName name="_xlnm.Print_Titles" localSheetId="30">'22. Year 6 Summary'!$A:$A,'22. Year 6 Summary'!$1:$2</definedName>
    <definedName name="_xlnm.Print_Titles" localSheetId="31">'23. Year 7 Amounts'!$2:$4</definedName>
    <definedName name="_xlnm.Print_Titles" localSheetId="32">'24. Year 7 Exc &amp; Adj'!$1:$3</definedName>
    <definedName name="_xlnm.Print_Titles" localSheetId="33">'25. Year 7 Summary'!$A:$A,'25. Year 7 Summary'!$1:$2</definedName>
    <definedName name="_xlnm.Print_Titles" localSheetId="34">'26. Year 8 Amounts'!$2:$4</definedName>
    <definedName name="_xlnm.Print_Titles" localSheetId="35">'27. Year 8 Exc &amp; Adj'!$1:$3</definedName>
    <definedName name="_xlnm.Print_Titles" localSheetId="36">'28. Year 8 Summary'!$A:$A,'28. Year 8 Summary'!$1:$2</definedName>
    <definedName name="_xlnm.Print_Titles" localSheetId="37">'29. Year 9 Amounts'!$2:$4</definedName>
    <definedName name="_xlnm.Print_Titles" localSheetId="38">'30. Year 9 Exc &amp; Adj'!$1:$3</definedName>
    <definedName name="_xlnm.Print_Titles" localSheetId="39">'31. Year 9 Summary'!$A:$A,'31. Year 9 Summary'!$1:$2</definedName>
    <definedName name="_xlnm.Print_Titles" localSheetId="40">'32. Year 10 Amounts'!$2:$4</definedName>
    <definedName name="_xlnm.Print_Titles" localSheetId="41">'33. Year 10 Exc &amp; Adj'!$1:$3</definedName>
    <definedName name="_xlnm.Print_Titles" localSheetId="42">'34. Year 10 Summary'!$A:$A,'34. Year 10 Summary'!$1:$2</definedName>
    <definedName name="_xlnm.Print_Titles" localSheetId="43">'35. Year 11 Amounts'!$2:$4</definedName>
    <definedName name="_xlnm.Print_Titles" localSheetId="44">'36. Year 11 Exc &amp; Adj'!$1:$3</definedName>
    <definedName name="_xlnm.Print_Titles" localSheetId="45">'37. Year 11 Summary'!$A:$A,'37. Year 11 Summary'!$1:$2</definedName>
    <definedName name="_xlnm.Print_Titles" localSheetId="46">'38. Total Local Funds'!$1:$2</definedName>
    <definedName name="_xlnm.Print_Titles" localSheetId="47">'39. Total State &amp; Local Funds'!$1:$2</definedName>
    <definedName name="_xlnm.Print_Titles" localSheetId="7">'4. Multi-Year MOE Summary'!$A:$C,'4. Multi-Year MOE Summary'!$1:$2</definedName>
    <definedName name="_xlnm.Print_Titles" localSheetId="48">'40. Local Funds Per Capita'!$1:$2</definedName>
    <definedName name="_xlnm.Print_Titles" localSheetId="49">'41. State &amp; Local Funds Per Cap'!$1:$2</definedName>
    <definedName name="_xlnm.Print_Titles" localSheetId="17">'5. Year 1 Amounts'!$2:$4</definedName>
    <definedName name="_xlnm.Print_Titles" localSheetId="18">'6. Year 1 Exc &amp; Adj'!$1:$3</definedName>
    <definedName name="_xlnm.Print_Titles" localSheetId="19">'7. Year 1 Summary'!$A:$A,'7. Year 1 Summary'!$1:$2</definedName>
    <definedName name="_xlnm.Print_Titles" localSheetId="20">'8. Year 2 Amounts'!$2:$4</definedName>
    <definedName name="_xlnm.Print_Titles" localSheetId="21">'9. Year 2 Exc &amp; Adj'!$1:$3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317" i="56" l="1"/>
  <c r="BJ316" i="56"/>
  <c r="BJ315" i="56"/>
  <c r="BJ314" i="56"/>
  <c r="BJ313" i="56"/>
  <c r="BJ312" i="56"/>
  <c r="BJ311" i="56"/>
  <c r="BJ310" i="56"/>
  <c r="BJ309" i="56"/>
  <c r="BJ308" i="56"/>
  <c r="BJ307" i="56"/>
  <c r="BJ306" i="56"/>
  <c r="BJ305" i="56"/>
  <c r="BJ304" i="56"/>
  <c r="BJ303" i="56"/>
  <c r="BJ302" i="56"/>
  <c r="BJ301" i="56"/>
  <c r="BJ300" i="56"/>
  <c r="BJ299" i="56"/>
  <c r="BJ298" i="56"/>
  <c r="BJ297" i="56"/>
  <c r="BJ296" i="56"/>
  <c r="BJ295" i="56"/>
  <c r="BJ294" i="56"/>
  <c r="BJ293" i="56"/>
  <c r="BJ292" i="56"/>
  <c r="BJ291" i="56"/>
  <c r="BJ290" i="56"/>
  <c r="BJ289" i="56"/>
  <c r="BJ288" i="56"/>
  <c r="BJ287" i="56"/>
  <c r="BJ286" i="56"/>
  <c r="BJ285" i="56"/>
  <c r="BJ284" i="56"/>
  <c r="BJ283" i="56"/>
  <c r="BJ282" i="56"/>
  <c r="BJ281" i="56"/>
  <c r="BJ280" i="56"/>
  <c r="BJ279" i="56"/>
  <c r="BJ278" i="56"/>
  <c r="BJ277" i="56"/>
  <c r="BJ276" i="56"/>
  <c r="BJ275" i="56"/>
  <c r="BJ274" i="56"/>
  <c r="BJ273" i="56"/>
  <c r="BJ272" i="56"/>
  <c r="BJ271" i="56"/>
  <c r="BJ270" i="56"/>
  <c r="BJ269" i="56"/>
  <c r="BJ268" i="56"/>
  <c r="BJ267" i="56"/>
  <c r="BJ266" i="56"/>
  <c r="BJ265" i="56"/>
  <c r="BJ264" i="56"/>
  <c r="BJ263" i="56"/>
  <c r="BJ262" i="56"/>
  <c r="BJ261" i="56"/>
  <c r="BJ260" i="56"/>
  <c r="BJ259" i="56"/>
  <c r="BJ258" i="56"/>
  <c r="BJ257" i="56"/>
  <c r="BJ256" i="56"/>
  <c r="BJ255" i="56"/>
  <c r="BJ254" i="56"/>
  <c r="BJ253" i="56"/>
  <c r="BJ252" i="56"/>
  <c r="BJ251" i="56"/>
  <c r="BJ250" i="56"/>
  <c r="BJ249" i="56"/>
  <c r="BJ248" i="56"/>
  <c r="BJ247" i="56"/>
  <c r="BJ246" i="56"/>
  <c r="BJ245" i="56"/>
  <c r="BJ244" i="56"/>
  <c r="BJ243" i="56"/>
  <c r="BJ242" i="56"/>
  <c r="BJ241" i="56"/>
  <c r="BJ240" i="56"/>
  <c r="BJ239" i="56"/>
  <c r="BJ238" i="56"/>
  <c r="BJ237" i="56"/>
  <c r="BJ236" i="56"/>
  <c r="BJ235" i="56"/>
  <c r="BJ234" i="56"/>
  <c r="BJ233" i="56"/>
  <c r="BJ232" i="56"/>
  <c r="BJ231" i="56"/>
  <c r="BJ230" i="56"/>
  <c r="BJ229" i="56"/>
  <c r="BJ228" i="56"/>
  <c r="BJ227" i="56"/>
  <c r="BJ226" i="56"/>
  <c r="BJ225" i="56"/>
  <c r="BJ224" i="56"/>
  <c r="BJ223" i="56"/>
  <c r="BJ222" i="56"/>
  <c r="BJ221" i="56"/>
  <c r="BJ220" i="56"/>
  <c r="BJ219" i="56"/>
  <c r="BJ218" i="56"/>
  <c r="BJ217" i="56"/>
  <c r="BJ216" i="56"/>
  <c r="BJ215" i="56"/>
  <c r="BJ214" i="56"/>
  <c r="BJ213" i="56"/>
  <c r="BJ212" i="56"/>
  <c r="BJ211" i="56"/>
  <c r="BJ210" i="56"/>
  <c r="BJ209" i="56"/>
  <c r="BJ208" i="56"/>
  <c r="BJ207" i="56"/>
  <c r="BJ206" i="56"/>
  <c r="BJ205" i="56"/>
  <c r="BJ204" i="56"/>
  <c r="BJ203" i="56"/>
  <c r="BJ202" i="56"/>
  <c r="BJ201" i="56"/>
  <c r="BJ200" i="56"/>
  <c r="BJ199" i="56"/>
  <c r="BJ198" i="56"/>
  <c r="BJ197" i="56"/>
  <c r="BJ196" i="56"/>
  <c r="BJ195" i="56"/>
  <c r="BJ194" i="56"/>
  <c r="BJ193" i="56"/>
  <c r="BJ192" i="56"/>
  <c r="BJ191" i="56"/>
  <c r="BJ190" i="56"/>
  <c r="BJ189" i="56"/>
  <c r="BJ188" i="56"/>
  <c r="BJ187" i="56"/>
  <c r="BJ186" i="56"/>
  <c r="BJ185" i="56"/>
  <c r="BJ184" i="56"/>
  <c r="BJ183" i="56"/>
  <c r="BJ182" i="56"/>
  <c r="BJ181" i="56"/>
  <c r="BJ180" i="56"/>
  <c r="BJ179" i="56"/>
  <c r="BJ178" i="56"/>
  <c r="BJ177" i="56"/>
  <c r="BJ176" i="56"/>
  <c r="BJ175" i="56"/>
  <c r="BJ174" i="56"/>
  <c r="BJ173" i="56"/>
  <c r="BJ172" i="56"/>
  <c r="BJ171" i="56"/>
  <c r="BJ170" i="56"/>
  <c r="BJ169" i="56"/>
  <c r="BJ168" i="56"/>
  <c r="BJ167" i="56"/>
  <c r="BJ166" i="56"/>
  <c r="BJ165" i="56"/>
  <c r="BJ164" i="56"/>
  <c r="BJ163" i="56"/>
  <c r="BJ162" i="56"/>
  <c r="BJ161" i="56"/>
  <c r="BJ160" i="56"/>
  <c r="BJ159" i="56"/>
  <c r="BJ158" i="56"/>
  <c r="BJ157" i="56"/>
  <c r="BJ156" i="56"/>
  <c r="BJ155" i="56"/>
  <c r="BJ154" i="56"/>
  <c r="BJ153" i="56"/>
  <c r="BJ152" i="56"/>
  <c r="BJ151" i="56"/>
  <c r="BJ150" i="56"/>
  <c r="BJ149" i="56"/>
  <c r="BJ148" i="56"/>
  <c r="BJ147" i="56"/>
  <c r="BJ146" i="56"/>
  <c r="BJ145" i="56"/>
  <c r="BJ144" i="56"/>
  <c r="BJ143" i="56"/>
  <c r="BJ142" i="56"/>
  <c r="BJ141" i="56"/>
  <c r="BJ140" i="56"/>
  <c r="BJ139" i="56"/>
  <c r="BJ138" i="56"/>
  <c r="BJ137" i="56"/>
  <c r="BJ136" i="56"/>
  <c r="BJ135" i="56"/>
  <c r="BJ134" i="56"/>
  <c r="BJ133" i="56"/>
  <c r="BJ132" i="56"/>
  <c r="BJ131" i="56"/>
  <c r="BJ130" i="56"/>
  <c r="BJ129" i="56"/>
  <c r="BJ128" i="56"/>
  <c r="BJ127" i="56"/>
  <c r="BJ126" i="56"/>
  <c r="BJ125" i="56"/>
  <c r="BJ124" i="56"/>
  <c r="BJ123" i="56"/>
  <c r="BJ122" i="56"/>
  <c r="BJ121" i="56"/>
  <c r="BJ120" i="56"/>
  <c r="BJ119" i="56"/>
  <c r="BJ118" i="56"/>
  <c r="BJ117" i="56"/>
  <c r="BJ116" i="56"/>
  <c r="BJ115" i="56"/>
  <c r="BJ114" i="56"/>
  <c r="BJ113" i="56"/>
  <c r="BJ112" i="56"/>
  <c r="BJ111" i="56"/>
  <c r="BJ110" i="56"/>
  <c r="BJ109" i="56"/>
  <c r="BJ108" i="56"/>
  <c r="BJ107" i="56"/>
  <c r="BJ106" i="56"/>
  <c r="BJ105" i="56"/>
  <c r="BJ104" i="56"/>
  <c r="BJ103" i="56"/>
  <c r="BJ102" i="56"/>
  <c r="BJ101" i="56"/>
  <c r="BJ100" i="56"/>
  <c r="BJ99" i="56"/>
  <c r="BJ98" i="56"/>
  <c r="BJ97" i="56"/>
  <c r="BJ96" i="56"/>
  <c r="BJ95" i="56"/>
  <c r="BJ94" i="56"/>
  <c r="BJ93" i="56"/>
  <c r="BJ92" i="56"/>
  <c r="BJ91" i="56"/>
  <c r="BJ90" i="56"/>
  <c r="BJ89" i="56"/>
  <c r="BJ88" i="56"/>
  <c r="BJ87" i="56"/>
  <c r="BJ86" i="56"/>
  <c r="BJ85" i="56"/>
  <c r="BJ84" i="56"/>
  <c r="BJ83" i="56"/>
  <c r="BJ82" i="56"/>
  <c r="BJ81" i="56"/>
  <c r="BJ80" i="56"/>
  <c r="BJ79" i="56"/>
  <c r="BJ78" i="56"/>
  <c r="BJ77" i="56"/>
  <c r="BJ76" i="56"/>
  <c r="BJ75" i="56"/>
  <c r="BJ74" i="56"/>
  <c r="BJ73" i="56"/>
  <c r="BJ72" i="56"/>
  <c r="BJ71" i="56"/>
  <c r="BJ70" i="56"/>
  <c r="BJ69" i="56"/>
  <c r="BJ68" i="56"/>
  <c r="BJ67" i="56"/>
  <c r="BJ66" i="56"/>
  <c r="BJ65" i="56"/>
  <c r="BJ64" i="56"/>
  <c r="BJ63" i="56"/>
  <c r="BJ62" i="56"/>
  <c r="BJ61" i="56"/>
  <c r="BJ60" i="56"/>
  <c r="BJ59" i="56"/>
  <c r="BJ58" i="56"/>
  <c r="BJ57" i="56"/>
  <c r="BJ56" i="56"/>
  <c r="BJ55" i="56"/>
  <c r="BJ54" i="56"/>
  <c r="BJ53" i="56"/>
  <c r="BJ52" i="56"/>
  <c r="BJ51" i="56"/>
  <c r="BJ50" i="56"/>
  <c r="BJ49" i="56"/>
  <c r="BJ48" i="56"/>
  <c r="BJ47" i="56"/>
  <c r="BJ46" i="56"/>
  <c r="BJ45" i="56"/>
  <c r="BJ44" i="56"/>
  <c r="BJ43" i="56"/>
  <c r="BJ42" i="56"/>
  <c r="BJ41" i="56"/>
  <c r="BJ40" i="56"/>
  <c r="BJ39" i="56"/>
  <c r="BJ38" i="56"/>
  <c r="BJ37" i="56"/>
  <c r="BJ36" i="56"/>
  <c r="BJ35" i="56"/>
  <c r="BJ34" i="56"/>
  <c r="BJ33" i="56"/>
  <c r="BJ32" i="56"/>
  <c r="BJ31" i="56"/>
  <c r="BJ30" i="56"/>
  <c r="BJ29" i="56"/>
  <c r="BJ28" i="56"/>
  <c r="BJ27" i="56"/>
  <c r="BJ26" i="56"/>
  <c r="BJ25" i="56"/>
  <c r="BJ24" i="56"/>
  <c r="BJ23" i="56"/>
  <c r="BJ22" i="56"/>
  <c r="BJ21" i="56"/>
  <c r="BJ20" i="56"/>
  <c r="BJ19" i="56"/>
  <c r="BJ18" i="56"/>
  <c r="BJ17" i="56"/>
  <c r="BJ16" i="56"/>
  <c r="BJ15" i="56"/>
  <c r="BJ14" i="56"/>
  <c r="BJ13" i="56"/>
  <c r="BJ12" i="56"/>
  <c r="BJ11" i="56"/>
  <c r="BJ10" i="56"/>
  <c r="BJ9" i="56"/>
  <c r="BJ8" i="56"/>
  <c r="BJ7" i="56"/>
  <c r="BJ6" i="56"/>
  <c r="BG7" i="56"/>
  <c r="BG8" i="56"/>
  <c r="BG9" i="56"/>
  <c r="BG10" i="56"/>
  <c r="BG11" i="56"/>
  <c r="BG12" i="56"/>
  <c r="BG13" i="56"/>
  <c r="BG14" i="56"/>
  <c r="BG15" i="56"/>
  <c r="BG16" i="56"/>
  <c r="BG17" i="56"/>
  <c r="BG18" i="56"/>
  <c r="BG19" i="56"/>
  <c r="BG20" i="56"/>
  <c r="BG21" i="56"/>
  <c r="BG22" i="56"/>
  <c r="BG23" i="56"/>
  <c r="BG24" i="56"/>
  <c r="BG25" i="56"/>
  <c r="BG26" i="56"/>
  <c r="BG27" i="56"/>
  <c r="BG28" i="56"/>
  <c r="BG29" i="56"/>
  <c r="BG30" i="56"/>
  <c r="BG31" i="56"/>
  <c r="BG32" i="56"/>
  <c r="BG33" i="56"/>
  <c r="BG34" i="56"/>
  <c r="BG35" i="56"/>
  <c r="BG36" i="56"/>
  <c r="BG37" i="56"/>
  <c r="BG38" i="56"/>
  <c r="BG39" i="56"/>
  <c r="BG40" i="56"/>
  <c r="BG41" i="56"/>
  <c r="BG42" i="56"/>
  <c r="BG43" i="56"/>
  <c r="BG44" i="56"/>
  <c r="BG45" i="56"/>
  <c r="BG46" i="56"/>
  <c r="BG47" i="56"/>
  <c r="BG48" i="56"/>
  <c r="BG49" i="56"/>
  <c r="BG50" i="56"/>
  <c r="BG51" i="56"/>
  <c r="BG52" i="56"/>
  <c r="BG53" i="56"/>
  <c r="BG54" i="56"/>
  <c r="BG55" i="56"/>
  <c r="BG56" i="56"/>
  <c r="BG57" i="56"/>
  <c r="BG58" i="56"/>
  <c r="BG59" i="56"/>
  <c r="BG60" i="56"/>
  <c r="BG61" i="56"/>
  <c r="BG62" i="56"/>
  <c r="BG63" i="56"/>
  <c r="BG64" i="56"/>
  <c r="BG65" i="56"/>
  <c r="BG66" i="56"/>
  <c r="BG67" i="56"/>
  <c r="BG68" i="56"/>
  <c r="BG69" i="56"/>
  <c r="BG70" i="56"/>
  <c r="BG71" i="56"/>
  <c r="BG72" i="56"/>
  <c r="BG73" i="56"/>
  <c r="BG74" i="56"/>
  <c r="BG75" i="56"/>
  <c r="BG76" i="56"/>
  <c r="BG77" i="56"/>
  <c r="BG78" i="56"/>
  <c r="BG79" i="56"/>
  <c r="BG80" i="56"/>
  <c r="BG81" i="56"/>
  <c r="BG82" i="56"/>
  <c r="BG83" i="56"/>
  <c r="BG84" i="56"/>
  <c r="BG85" i="56"/>
  <c r="BG86" i="56"/>
  <c r="BG87" i="56"/>
  <c r="BG88" i="56"/>
  <c r="BG89" i="56"/>
  <c r="BG90" i="56"/>
  <c r="BG91" i="56"/>
  <c r="BG92" i="56"/>
  <c r="BG93" i="56"/>
  <c r="BG94" i="56"/>
  <c r="BG95" i="56"/>
  <c r="BG96" i="56"/>
  <c r="BG97" i="56"/>
  <c r="BG98" i="56"/>
  <c r="BG99" i="56"/>
  <c r="BG100" i="56"/>
  <c r="BG101" i="56"/>
  <c r="BG102" i="56"/>
  <c r="BG103" i="56"/>
  <c r="BG104" i="56"/>
  <c r="BG105" i="56"/>
  <c r="BG106" i="56"/>
  <c r="BG107" i="56"/>
  <c r="BG108" i="56"/>
  <c r="BG109" i="56"/>
  <c r="BG110" i="56"/>
  <c r="BG111" i="56"/>
  <c r="BG112" i="56"/>
  <c r="BG113" i="56"/>
  <c r="BG114" i="56"/>
  <c r="BG115" i="56"/>
  <c r="BG116" i="56"/>
  <c r="BG117" i="56"/>
  <c r="BG118" i="56"/>
  <c r="BG119" i="56"/>
  <c r="BG120" i="56"/>
  <c r="BG121" i="56"/>
  <c r="BG122" i="56"/>
  <c r="BG123" i="56"/>
  <c r="BG124" i="56"/>
  <c r="BG125" i="56"/>
  <c r="BG126" i="56"/>
  <c r="BG127" i="56"/>
  <c r="BG128" i="56"/>
  <c r="BG129" i="56"/>
  <c r="BG130" i="56"/>
  <c r="BG131" i="56"/>
  <c r="BG132" i="56"/>
  <c r="BG133" i="56"/>
  <c r="BG134" i="56"/>
  <c r="BG135" i="56"/>
  <c r="BG136" i="56"/>
  <c r="BG137" i="56"/>
  <c r="BG138" i="56"/>
  <c r="BG139" i="56"/>
  <c r="BG140" i="56"/>
  <c r="BG141" i="56"/>
  <c r="BG142" i="56"/>
  <c r="BG143" i="56"/>
  <c r="BG144" i="56"/>
  <c r="BG145" i="56"/>
  <c r="BG146" i="56"/>
  <c r="BG147" i="56"/>
  <c r="BG148" i="56"/>
  <c r="BG149" i="56"/>
  <c r="BG150" i="56"/>
  <c r="BG151" i="56"/>
  <c r="BG152" i="56"/>
  <c r="BG153" i="56"/>
  <c r="BG154" i="56"/>
  <c r="BG155" i="56"/>
  <c r="BG156" i="56"/>
  <c r="BG157" i="56"/>
  <c r="BG158" i="56"/>
  <c r="BG159" i="56"/>
  <c r="BG160" i="56"/>
  <c r="BG161" i="56"/>
  <c r="BG162" i="56"/>
  <c r="BG163" i="56"/>
  <c r="BG164" i="56"/>
  <c r="BG165" i="56"/>
  <c r="BG166" i="56"/>
  <c r="BG167" i="56"/>
  <c r="BG168" i="56"/>
  <c r="BG169" i="56"/>
  <c r="BG170" i="56"/>
  <c r="BG171" i="56"/>
  <c r="BG172" i="56"/>
  <c r="BG173" i="56"/>
  <c r="BG174" i="56"/>
  <c r="BG175" i="56"/>
  <c r="BG176" i="56"/>
  <c r="BG177" i="56"/>
  <c r="BG178" i="56"/>
  <c r="BG179" i="56"/>
  <c r="BG180" i="56"/>
  <c r="BG181" i="56"/>
  <c r="BG182" i="56"/>
  <c r="BG183" i="56"/>
  <c r="BG184" i="56"/>
  <c r="BG185" i="56"/>
  <c r="BG186" i="56"/>
  <c r="BG187" i="56"/>
  <c r="BG188" i="56"/>
  <c r="BG189" i="56"/>
  <c r="BG190" i="56"/>
  <c r="BG191" i="56"/>
  <c r="BG192" i="56"/>
  <c r="BG193" i="56"/>
  <c r="BG194" i="56"/>
  <c r="BG195" i="56"/>
  <c r="BG196" i="56"/>
  <c r="BG197" i="56"/>
  <c r="BG198" i="56"/>
  <c r="BG199" i="56"/>
  <c r="BG200" i="56"/>
  <c r="BG201" i="56"/>
  <c r="BG202" i="56"/>
  <c r="BG203" i="56"/>
  <c r="BG204" i="56"/>
  <c r="BG205" i="56"/>
  <c r="BG206" i="56"/>
  <c r="BG207" i="56"/>
  <c r="BG208" i="56"/>
  <c r="BG209" i="56"/>
  <c r="BG210" i="56"/>
  <c r="BG211" i="56"/>
  <c r="BG212" i="56"/>
  <c r="BG213" i="56"/>
  <c r="BG214" i="56"/>
  <c r="BG215" i="56"/>
  <c r="BG216" i="56"/>
  <c r="BG217" i="56"/>
  <c r="BG218" i="56"/>
  <c r="BG219" i="56"/>
  <c r="BG220" i="56"/>
  <c r="BG221" i="56"/>
  <c r="BG222" i="56"/>
  <c r="BG223" i="56"/>
  <c r="BG224" i="56"/>
  <c r="BG225" i="56"/>
  <c r="BG226" i="56"/>
  <c r="BG227" i="56"/>
  <c r="BG228" i="56"/>
  <c r="BG229" i="56"/>
  <c r="BG230" i="56"/>
  <c r="BG231" i="56"/>
  <c r="BG232" i="56"/>
  <c r="BG233" i="56"/>
  <c r="BG234" i="56"/>
  <c r="BG235" i="56"/>
  <c r="BG236" i="56"/>
  <c r="BG237" i="56"/>
  <c r="BG238" i="56"/>
  <c r="BG239" i="56"/>
  <c r="BG240" i="56"/>
  <c r="BG241" i="56"/>
  <c r="BG242" i="56"/>
  <c r="BG243" i="56"/>
  <c r="BG244" i="56"/>
  <c r="BG245" i="56"/>
  <c r="BG246" i="56"/>
  <c r="BG247" i="56"/>
  <c r="BG248" i="56"/>
  <c r="BG249" i="56"/>
  <c r="BG250" i="56"/>
  <c r="BG251" i="56"/>
  <c r="BG252" i="56"/>
  <c r="BG253" i="56"/>
  <c r="BG254" i="56"/>
  <c r="BG255" i="56"/>
  <c r="BG256" i="56"/>
  <c r="BG257" i="56"/>
  <c r="BG258" i="56"/>
  <c r="BG259" i="56"/>
  <c r="BG260" i="56"/>
  <c r="BG261" i="56"/>
  <c r="BG262" i="56"/>
  <c r="BG263" i="56"/>
  <c r="BG264" i="56"/>
  <c r="BG265" i="56"/>
  <c r="BG266" i="56"/>
  <c r="BG267" i="56"/>
  <c r="BG268" i="56"/>
  <c r="BG269" i="56"/>
  <c r="BG270" i="56"/>
  <c r="BG271" i="56"/>
  <c r="BG272" i="56"/>
  <c r="BG273" i="56"/>
  <c r="BG274" i="56"/>
  <c r="BG275" i="56"/>
  <c r="BG276" i="56"/>
  <c r="BG277" i="56"/>
  <c r="BG278" i="56"/>
  <c r="BG279" i="56"/>
  <c r="BG280" i="56"/>
  <c r="BG281" i="56"/>
  <c r="BG282" i="56"/>
  <c r="BG283" i="56"/>
  <c r="BG284" i="56"/>
  <c r="BG285" i="56"/>
  <c r="BG286" i="56"/>
  <c r="BG287" i="56"/>
  <c r="BG288" i="56"/>
  <c r="BG289" i="56"/>
  <c r="BG290" i="56"/>
  <c r="BG291" i="56"/>
  <c r="BG292" i="56"/>
  <c r="BG293" i="56"/>
  <c r="BG294" i="56"/>
  <c r="BG295" i="56"/>
  <c r="BG296" i="56"/>
  <c r="BG297" i="56"/>
  <c r="BG298" i="56"/>
  <c r="BG299" i="56"/>
  <c r="BG300" i="56"/>
  <c r="BG301" i="56"/>
  <c r="BG302" i="56"/>
  <c r="BG303" i="56"/>
  <c r="BG304" i="56"/>
  <c r="BG305" i="56"/>
  <c r="BG306" i="56"/>
  <c r="BG307" i="56"/>
  <c r="BG308" i="56"/>
  <c r="BG309" i="56"/>
  <c r="BG310" i="56"/>
  <c r="BG311" i="56"/>
  <c r="BG312" i="56"/>
  <c r="BG313" i="56"/>
  <c r="BG314" i="56"/>
  <c r="BG315" i="56"/>
  <c r="BG316" i="56"/>
  <c r="BG317" i="56"/>
  <c r="BG6" i="56"/>
  <c r="K5" i="17"/>
  <c r="L5" i="17"/>
  <c r="K5" i="20"/>
  <c r="L5" i="20"/>
  <c r="I1" i="17" l="1"/>
  <c r="AL15" i="45"/>
  <c r="AL22" i="45"/>
  <c r="AL26" i="45"/>
  <c r="AL27" i="45"/>
  <c r="AL28" i="45"/>
  <c r="AL34" i="45"/>
  <c r="AL38" i="45"/>
  <c r="AL50" i="45"/>
  <c r="AL58" i="45"/>
  <c r="AL62" i="45"/>
  <c r="AL63" i="45"/>
  <c r="AL64" i="45"/>
  <c r="AL70" i="45"/>
  <c r="AL74" i="45"/>
  <c r="AL77" i="45"/>
  <c r="AL82" i="45"/>
  <c r="AL88" i="45"/>
  <c r="AL98" i="45"/>
  <c r="AL99" i="45"/>
  <c r="AL100" i="45"/>
  <c r="AL134" i="45"/>
  <c r="AL135" i="45"/>
  <c r="AL136" i="45"/>
  <c r="AL170" i="45"/>
  <c r="AL171" i="45"/>
  <c r="AL172" i="45"/>
  <c r="AL206" i="45"/>
  <c r="AL207" i="45"/>
  <c r="AL208" i="45"/>
  <c r="AL242" i="45"/>
  <c r="AL243" i="45"/>
  <c r="AL244" i="45"/>
  <c r="AL251" i="45"/>
  <c r="AL263" i="45"/>
  <c r="AL267" i="45"/>
  <c r="AL268" i="45"/>
  <c r="AL274" i="45"/>
  <c r="AL303" i="45"/>
  <c r="AL304" i="45"/>
  <c r="AL310" i="45"/>
  <c r="AL314" i="45"/>
  <c r="AL318" i="45"/>
  <c r="AL319" i="45"/>
  <c r="AL322" i="45"/>
  <c r="AK5" i="45"/>
  <c r="AK6" i="45"/>
  <c r="AK7" i="45"/>
  <c r="AK8" i="45"/>
  <c r="AK9" i="45"/>
  <c r="AK10" i="45"/>
  <c r="AK11" i="45"/>
  <c r="AK12" i="45"/>
  <c r="AK13" i="45"/>
  <c r="AK14" i="45"/>
  <c r="AK16" i="45"/>
  <c r="AK17" i="45"/>
  <c r="AK18" i="45"/>
  <c r="AK19" i="45"/>
  <c r="AK20" i="45"/>
  <c r="AK21" i="45"/>
  <c r="AK22" i="45"/>
  <c r="AK23" i="45"/>
  <c r="AK24" i="45"/>
  <c r="AK25" i="45"/>
  <c r="AK26" i="45"/>
  <c r="AK27" i="45"/>
  <c r="AK28" i="45"/>
  <c r="AK29" i="45"/>
  <c r="AK30" i="45"/>
  <c r="AK31" i="45"/>
  <c r="AK32" i="45"/>
  <c r="AK33" i="45"/>
  <c r="AK34" i="45"/>
  <c r="AK35" i="45"/>
  <c r="AK36" i="45"/>
  <c r="AK37" i="45"/>
  <c r="AK38" i="45"/>
  <c r="AK39" i="45"/>
  <c r="AK40" i="45"/>
  <c r="AK41" i="45"/>
  <c r="AK42" i="45"/>
  <c r="AK43" i="45"/>
  <c r="AK44" i="45"/>
  <c r="AK45" i="45"/>
  <c r="AK46" i="45"/>
  <c r="AK47" i="45"/>
  <c r="AK48" i="45"/>
  <c r="AK49" i="45"/>
  <c r="AK50" i="45"/>
  <c r="AK51" i="45"/>
  <c r="AK52" i="45"/>
  <c r="AK53" i="45"/>
  <c r="AK54" i="45"/>
  <c r="AK55" i="45"/>
  <c r="AK56" i="45"/>
  <c r="AK57" i="45"/>
  <c r="AK58" i="45"/>
  <c r="AK59" i="45"/>
  <c r="AK60" i="45"/>
  <c r="AK61" i="45"/>
  <c r="AK62" i="45"/>
  <c r="AK63" i="45"/>
  <c r="AK64" i="45"/>
  <c r="AK65" i="45"/>
  <c r="AK66" i="45"/>
  <c r="AK67" i="45"/>
  <c r="AK68" i="45"/>
  <c r="AK69" i="45"/>
  <c r="AK70" i="45"/>
  <c r="AK71" i="45"/>
  <c r="AK72" i="45"/>
  <c r="AK73" i="45"/>
  <c r="AK74" i="45"/>
  <c r="AK75" i="45"/>
  <c r="AK76" i="45"/>
  <c r="AK78" i="45"/>
  <c r="AK79" i="45"/>
  <c r="AK80" i="45"/>
  <c r="AK81" i="45"/>
  <c r="AK83" i="45"/>
  <c r="AK84" i="45"/>
  <c r="AK85" i="45"/>
  <c r="AK86" i="45"/>
  <c r="AK87" i="45"/>
  <c r="AK88" i="45"/>
  <c r="AK89" i="45"/>
  <c r="AK90" i="45"/>
  <c r="AK91" i="45"/>
  <c r="AK92" i="45"/>
  <c r="AK93" i="45"/>
  <c r="AK94" i="45"/>
  <c r="AK95" i="45"/>
  <c r="AK96" i="45"/>
  <c r="AK97" i="45"/>
  <c r="AK99" i="45"/>
  <c r="AK100" i="45"/>
  <c r="AK101" i="45"/>
  <c r="AK102" i="45"/>
  <c r="AK103" i="45"/>
  <c r="AK104" i="45"/>
  <c r="AK105" i="45"/>
  <c r="AK106" i="45"/>
  <c r="AK107" i="45"/>
  <c r="AK108" i="45"/>
  <c r="AK109" i="45"/>
  <c r="AK110" i="45"/>
  <c r="AK111" i="45"/>
  <c r="AK112" i="45"/>
  <c r="AK113" i="45"/>
  <c r="AK114" i="45"/>
  <c r="AK115" i="45"/>
  <c r="AK116" i="45"/>
  <c r="AK117" i="45"/>
  <c r="AK118" i="45"/>
  <c r="AK119" i="45"/>
  <c r="AK120" i="45"/>
  <c r="AK121" i="45"/>
  <c r="AK122" i="45"/>
  <c r="AK123" i="45"/>
  <c r="AK124" i="45"/>
  <c r="AK125" i="45"/>
  <c r="AK126" i="45"/>
  <c r="AK127" i="45"/>
  <c r="AK128" i="45"/>
  <c r="AK129" i="45"/>
  <c r="AK130" i="45"/>
  <c r="AK131" i="45"/>
  <c r="AK132" i="45"/>
  <c r="AK133" i="45"/>
  <c r="AK134" i="45"/>
  <c r="AK135" i="45"/>
  <c r="AK136" i="45"/>
  <c r="AK137" i="45"/>
  <c r="AK138" i="45"/>
  <c r="AK139" i="45"/>
  <c r="AK140" i="45"/>
  <c r="AK141" i="45"/>
  <c r="AK142" i="45"/>
  <c r="AK143" i="45"/>
  <c r="AK144" i="45"/>
  <c r="AK145" i="45"/>
  <c r="AK146" i="45"/>
  <c r="AK147" i="45"/>
  <c r="AK148" i="45"/>
  <c r="AK149" i="45"/>
  <c r="AK150" i="45"/>
  <c r="AK151" i="45"/>
  <c r="AK152" i="45"/>
  <c r="AK153" i="45"/>
  <c r="AK154" i="45"/>
  <c r="AK155" i="45"/>
  <c r="AK156" i="45"/>
  <c r="AK157" i="45"/>
  <c r="AK158" i="45"/>
  <c r="AK159" i="45"/>
  <c r="AK160" i="45"/>
  <c r="AK161" i="45"/>
  <c r="AK162" i="45"/>
  <c r="AK163" i="45"/>
  <c r="AK164" i="45"/>
  <c r="AK165" i="45"/>
  <c r="AK166" i="45"/>
  <c r="AK167" i="45"/>
  <c r="AK168" i="45"/>
  <c r="AK169" i="45"/>
  <c r="AK170" i="45"/>
  <c r="AK171" i="45"/>
  <c r="AK172" i="45"/>
  <c r="AK173" i="45"/>
  <c r="AK174" i="45"/>
  <c r="AK175" i="45"/>
  <c r="AK176" i="45"/>
  <c r="AK177" i="45"/>
  <c r="AK178" i="45"/>
  <c r="AK179" i="45"/>
  <c r="AK180" i="45"/>
  <c r="AK181" i="45"/>
  <c r="AK182" i="45"/>
  <c r="AK183" i="45"/>
  <c r="AK184" i="45"/>
  <c r="AK185" i="45"/>
  <c r="AK186" i="45"/>
  <c r="AK187" i="45"/>
  <c r="AK188" i="45"/>
  <c r="AK189" i="45"/>
  <c r="AK190" i="45"/>
  <c r="AK191" i="45"/>
  <c r="AK192" i="45"/>
  <c r="AK193" i="45"/>
  <c r="AK194" i="45"/>
  <c r="AK195" i="45"/>
  <c r="AK196" i="45"/>
  <c r="AK197" i="45"/>
  <c r="AK198" i="45"/>
  <c r="AK199" i="45"/>
  <c r="AK200" i="45"/>
  <c r="AK201" i="45"/>
  <c r="AK202" i="45"/>
  <c r="AK203" i="45"/>
  <c r="AK204" i="45"/>
  <c r="AK205" i="45"/>
  <c r="AK206" i="45"/>
  <c r="AK207" i="45"/>
  <c r="AK208" i="45"/>
  <c r="AK209" i="45"/>
  <c r="AK210" i="45"/>
  <c r="AK211" i="45"/>
  <c r="AK212" i="45"/>
  <c r="AK213" i="45"/>
  <c r="AK214" i="45"/>
  <c r="AK215" i="45"/>
  <c r="AK216" i="45"/>
  <c r="AK217" i="45"/>
  <c r="AK218" i="45"/>
  <c r="AK219" i="45"/>
  <c r="AK220" i="45"/>
  <c r="AK221" i="45"/>
  <c r="AK222" i="45"/>
  <c r="AK223" i="45"/>
  <c r="AK224" i="45"/>
  <c r="AK225" i="45"/>
  <c r="AK226" i="45"/>
  <c r="AK227" i="45"/>
  <c r="AK228" i="45"/>
  <c r="AK229" i="45"/>
  <c r="AK230" i="45"/>
  <c r="AK231" i="45"/>
  <c r="AK232" i="45"/>
  <c r="AK233" i="45"/>
  <c r="AK234" i="45"/>
  <c r="AK235" i="45"/>
  <c r="AK236" i="45"/>
  <c r="AK237" i="45"/>
  <c r="AK238" i="45"/>
  <c r="AK239" i="45"/>
  <c r="AK240" i="45"/>
  <c r="AK241" i="45"/>
  <c r="AK242" i="45"/>
  <c r="AK243" i="45"/>
  <c r="AK244" i="45"/>
  <c r="AK245" i="45"/>
  <c r="AK246" i="45"/>
  <c r="AK247" i="45"/>
  <c r="AK248" i="45"/>
  <c r="AK249" i="45"/>
  <c r="AK250" i="45"/>
  <c r="AK252" i="45"/>
  <c r="AK253" i="45"/>
  <c r="AK254" i="45"/>
  <c r="AK255" i="45"/>
  <c r="AK256" i="45"/>
  <c r="AK257" i="45"/>
  <c r="AK258" i="45"/>
  <c r="AK259" i="45"/>
  <c r="AK260" i="45"/>
  <c r="AK261" i="45"/>
  <c r="AK262" i="45"/>
  <c r="AK264" i="45"/>
  <c r="AK265" i="45"/>
  <c r="AK266" i="45"/>
  <c r="AK267" i="45"/>
  <c r="AK268" i="45"/>
  <c r="AK269" i="45"/>
  <c r="AK270" i="45"/>
  <c r="AK271" i="45"/>
  <c r="AK272" i="45"/>
  <c r="AK273" i="45"/>
  <c r="AK274" i="45"/>
  <c r="AK275" i="45"/>
  <c r="AK276" i="45"/>
  <c r="AK277" i="45"/>
  <c r="AK278" i="45"/>
  <c r="AK279" i="45"/>
  <c r="AK280" i="45"/>
  <c r="AK281" i="45"/>
  <c r="AK282" i="45"/>
  <c r="AK283" i="45"/>
  <c r="AK284" i="45"/>
  <c r="AK285" i="45"/>
  <c r="AK286" i="45"/>
  <c r="AK287" i="45"/>
  <c r="AK288" i="45"/>
  <c r="AK289" i="45"/>
  <c r="AK290" i="45"/>
  <c r="AK291" i="45"/>
  <c r="AK292" i="45"/>
  <c r="AK293" i="45"/>
  <c r="AK294" i="45"/>
  <c r="AK295" i="45"/>
  <c r="AK296" i="45"/>
  <c r="AK297" i="45"/>
  <c r="AK298" i="45"/>
  <c r="AK299" i="45"/>
  <c r="AK300" i="45"/>
  <c r="AK301" i="45"/>
  <c r="AK302" i="45"/>
  <c r="AK303" i="45"/>
  <c r="AK304" i="45"/>
  <c r="AK305" i="45"/>
  <c r="AK306" i="45"/>
  <c r="AK307" i="45"/>
  <c r="AK308" i="45"/>
  <c r="AK309" i="45"/>
  <c r="AK310" i="45"/>
  <c r="AK311" i="45"/>
  <c r="AK312" i="45"/>
  <c r="AK313" i="45"/>
  <c r="AK315" i="45"/>
  <c r="AK316" i="45"/>
  <c r="AK317" i="45"/>
  <c r="AK320" i="45"/>
  <c r="AK321" i="45"/>
  <c r="AK322" i="45"/>
  <c r="AK323" i="45"/>
  <c r="AK324" i="45"/>
  <c r="AK4" i="45"/>
  <c r="AJ5" i="45"/>
  <c r="AJ6" i="45"/>
  <c r="AJ7" i="45"/>
  <c r="AJ8" i="45"/>
  <c r="AJ9" i="45"/>
  <c r="AJ10" i="45"/>
  <c r="AJ11" i="45"/>
  <c r="AL11" i="45" s="1"/>
  <c r="AJ12" i="45"/>
  <c r="AL12" i="45" s="1"/>
  <c r="AJ13" i="45"/>
  <c r="AJ14" i="45"/>
  <c r="AJ16" i="45"/>
  <c r="AJ17" i="45"/>
  <c r="AJ18" i="45"/>
  <c r="AJ19" i="45"/>
  <c r="AJ20" i="45"/>
  <c r="AJ21" i="45"/>
  <c r="AJ22" i="45"/>
  <c r="AJ23" i="45"/>
  <c r="AL23" i="45" s="1"/>
  <c r="AJ24" i="45"/>
  <c r="AL24" i="45" s="1"/>
  <c r="AJ25" i="45"/>
  <c r="AJ26" i="45"/>
  <c r="AJ27" i="45"/>
  <c r="AJ28" i="45"/>
  <c r="AJ29" i="45"/>
  <c r="AJ30" i="45"/>
  <c r="AJ31" i="45"/>
  <c r="AJ32" i="45"/>
  <c r="AJ33" i="45"/>
  <c r="AJ34" i="45"/>
  <c r="AJ35" i="45"/>
  <c r="AL35" i="45" s="1"/>
  <c r="AJ36" i="45"/>
  <c r="AL36" i="45" s="1"/>
  <c r="AJ37" i="45"/>
  <c r="AJ38" i="45"/>
  <c r="AJ39" i="45"/>
  <c r="AL39" i="45" s="1"/>
  <c r="AJ40" i="45"/>
  <c r="AJ41" i="45"/>
  <c r="AJ42" i="45"/>
  <c r="AJ43" i="45"/>
  <c r="AJ44" i="45"/>
  <c r="AJ45" i="45"/>
  <c r="AJ46" i="45"/>
  <c r="AL46" i="45" s="1"/>
  <c r="AJ47" i="45"/>
  <c r="AL47" i="45" s="1"/>
  <c r="AJ48" i="45"/>
  <c r="AL48" i="45" s="1"/>
  <c r="AJ49" i="45"/>
  <c r="AJ50" i="45"/>
  <c r="AJ51" i="45"/>
  <c r="AJ52" i="45"/>
  <c r="AJ53" i="45"/>
  <c r="AJ54" i="45"/>
  <c r="AJ55" i="45"/>
  <c r="AJ56" i="45"/>
  <c r="AJ57" i="45"/>
  <c r="AJ58" i="45"/>
  <c r="AJ59" i="45"/>
  <c r="AL59" i="45" s="1"/>
  <c r="AJ60" i="45"/>
  <c r="AL60" i="45" s="1"/>
  <c r="AJ61" i="45"/>
  <c r="AJ62" i="45"/>
  <c r="AJ63" i="45"/>
  <c r="AJ64" i="45"/>
  <c r="AJ65" i="45"/>
  <c r="AJ66" i="45"/>
  <c r="AJ67" i="45"/>
  <c r="AJ68" i="45"/>
  <c r="AJ69" i="45"/>
  <c r="AJ70" i="45"/>
  <c r="AJ71" i="45"/>
  <c r="AL71" i="45" s="1"/>
  <c r="AJ72" i="45"/>
  <c r="AL72" i="45" s="1"/>
  <c r="AJ73" i="45"/>
  <c r="AJ74" i="45"/>
  <c r="AJ75" i="45"/>
  <c r="AL75" i="45" s="1"/>
  <c r="AJ76" i="45"/>
  <c r="AJ78" i="45"/>
  <c r="AJ79" i="45"/>
  <c r="AJ80" i="45"/>
  <c r="AJ81" i="45"/>
  <c r="AJ83" i="45"/>
  <c r="AL83" i="45" s="1"/>
  <c r="AJ84" i="45"/>
  <c r="AL84" i="45" s="1"/>
  <c r="AJ85" i="45"/>
  <c r="AL85" i="45" s="1"/>
  <c r="AJ86" i="45"/>
  <c r="AL86" i="45" s="1"/>
  <c r="AJ87" i="45"/>
  <c r="AL87" i="45" s="1"/>
  <c r="AJ88" i="45"/>
  <c r="AJ89" i="45"/>
  <c r="AJ90" i="45"/>
  <c r="AJ91" i="45"/>
  <c r="AJ92" i="45"/>
  <c r="AJ93" i="45"/>
  <c r="AJ94" i="45"/>
  <c r="AJ95" i="45"/>
  <c r="AL95" i="45" s="1"/>
  <c r="AJ96" i="45"/>
  <c r="AL96" i="45" s="1"/>
  <c r="AJ97" i="45"/>
  <c r="AL97" i="45" s="1"/>
  <c r="AJ99" i="45"/>
  <c r="AJ100" i="45"/>
  <c r="AJ101" i="45"/>
  <c r="AL101" i="45" s="1"/>
  <c r="AJ102" i="45"/>
  <c r="AJ103" i="45"/>
  <c r="AJ104" i="45"/>
  <c r="AJ105" i="45"/>
  <c r="AJ106" i="45"/>
  <c r="AL106" i="45" s="1"/>
  <c r="AJ107" i="45"/>
  <c r="AL107" i="45" s="1"/>
  <c r="AJ108" i="45"/>
  <c r="AL108" i="45" s="1"/>
  <c r="AJ109" i="45"/>
  <c r="AL109" i="45" s="1"/>
  <c r="AJ110" i="45"/>
  <c r="AL110" i="45" s="1"/>
  <c r="AJ111" i="45"/>
  <c r="AJ112" i="45"/>
  <c r="AJ113" i="45"/>
  <c r="AL113" i="45" s="1"/>
  <c r="AJ114" i="45"/>
  <c r="AJ115" i="45"/>
  <c r="AJ116" i="45"/>
  <c r="AJ117" i="45"/>
  <c r="AJ118" i="45"/>
  <c r="AJ119" i="45"/>
  <c r="AJ120" i="45"/>
  <c r="AL120" i="45" s="1"/>
  <c r="AJ121" i="45"/>
  <c r="AL121" i="45" s="1"/>
  <c r="AJ122" i="45"/>
  <c r="AL122" i="45" s="1"/>
  <c r="AJ123" i="45"/>
  <c r="AL123" i="45" s="1"/>
  <c r="AJ124" i="45"/>
  <c r="AL124" i="45" s="1"/>
  <c r="AJ125" i="45"/>
  <c r="AL125" i="45" s="1"/>
  <c r="AJ126" i="45"/>
  <c r="AJ127" i="45"/>
  <c r="AJ128" i="45"/>
  <c r="AJ129" i="45"/>
  <c r="AJ130" i="45"/>
  <c r="AJ131" i="45"/>
  <c r="AJ132" i="45"/>
  <c r="AL132" i="45" s="1"/>
  <c r="AJ133" i="45"/>
  <c r="AL133" i="45" s="1"/>
  <c r="AJ134" i="45"/>
  <c r="AJ135" i="45"/>
  <c r="AJ136" i="45"/>
  <c r="AJ137" i="45"/>
  <c r="AL137" i="45" s="1"/>
  <c r="AJ138" i="45"/>
  <c r="AJ139" i="45"/>
  <c r="AJ140" i="45"/>
  <c r="AJ141" i="45"/>
  <c r="AJ142" i="45"/>
  <c r="AL142" i="45" s="1"/>
  <c r="AJ143" i="45"/>
  <c r="AJ144" i="45"/>
  <c r="AL144" i="45" s="1"/>
  <c r="AJ145" i="45"/>
  <c r="AL145" i="45" s="1"/>
  <c r="AJ146" i="45"/>
  <c r="AJ147" i="45"/>
  <c r="AJ148" i="45"/>
  <c r="AJ149" i="45"/>
  <c r="AL149" i="45" s="1"/>
  <c r="AJ150" i="45"/>
  <c r="AJ151" i="45"/>
  <c r="AJ152" i="45"/>
  <c r="AJ153" i="45"/>
  <c r="AJ154" i="45"/>
  <c r="AL154" i="45" s="1"/>
  <c r="AJ155" i="45"/>
  <c r="AJ156" i="45"/>
  <c r="AL156" i="45" s="1"/>
  <c r="AJ157" i="45"/>
  <c r="AL157" i="45" s="1"/>
  <c r="AJ158" i="45"/>
  <c r="AJ159" i="45"/>
  <c r="AL159" i="45" s="1"/>
  <c r="AJ160" i="45"/>
  <c r="AL160" i="45" s="1"/>
  <c r="AJ161" i="45"/>
  <c r="AL161" i="45" s="1"/>
  <c r="AJ162" i="45"/>
  <c r="AJ163" i="45"/>
  <c r="AJ164" i="45"/>
  <c r="AJ165" i="45"/>
  <c r="AJ166" i="45"/>
  <c r="AJ167" i="45"/>
  <c r="AJ168" i="45"/>
  <c r="AL168" i="45" s="1"/>
  <c r="AJ169" i="45"/>
  <c r="AL169" i="45" s="1"/>
  <c r="AJ170" i="45"/>
  <c r="AJ171" i="45"/>
  <c r="AJ172" i="45"/>
  <c r="AJ173" i="45"/>
  <c r="AL173" i="45" s="1"/>
  <c r="AJ174" i="45"/>
  <c r="AJ175" i="45"/>
  <c r="AJ176" i="45"/>
  <c r="AJ177" i="45"/>
  <c r="AJ178" i="45"/>
  <c r="AJ179" i="45"/>
  <c r="AJ180" i="45"/>
  <c r="AL180" i="45" s="1"/>
  <c r="AJ181" i="45"/>
  <c r="AL181" i="45" s="1"/>
  <c r="AJ182" i="45"/>
  <c r="AL182" i="45" s="1"/>
  <c r="AJ183" i="45"/>
  <c r="AJ184" i="45"/>
  <c r="AJ185" i="45"/>
  <c r="AL185" i="45" s="1"/>
  <c r="AJ186" i="45"/>
  <c r="AJ187" i="45"/>
  <c r="AJ188" i="45"/>
  <c r="AJ189" i="45"/>
  <c r="AJ190" i="45"/>
  <c r="AJ191" i="45"/>
  <c r="AJ192" i="45"/>
  <c r="AL192" i="45" s="1"/>
  <c r="AJ193" i="45"/>
  <c r="AL193" i="45" s="1"/>
  <c r="AJ194" i="45"/>
  <c r="AL194" i="45" s="1"/>
  <c r="AJ195" i="45"/>
  <c r="AL195" i="45" s="1"/>
  <c r="AJ196" i="45"/>
  <c r="AL196" i="45" s="1"/>
  <c r="AJ197" i="45"/>
  <c r="AL197" i="45" s="1"/>
  <c r="AJ198" i="45"/>
  <c r="AJ199" i="45"/>
  <c r="AJ200" i="45"/>
  <c r="AJ201" i="45"/>
  <c r="AJ202" i="45"/>
  <c r="AJ203" i="45"/>
  <c r="AJ204" i="45"/>
  <c r="AL204" i="45" s="1"/>
  <c r="AJ205" i="45"/>
  <c r="AL205" i="45" s="1"/>
  <c r="AJ206" i="45"/>
  <c r="AJ207" i="45"/>
  <c r="AJ208" i="45"/>
  <c r="AJ209" i="45"/>
  <c r="AL209" i="45" s="1"/>
  <c r="AJ210" i="45"/>
  <c r="AJ211" i="45"/>
  <c r="AJ212" i="45"/>
  <c r="AJ213" i="45"/>
  <c r="AL213" i="45" s="1"/>
  <c r="AJ214" i="45"/>
  <c r="AL214" i="45" s="1"/>
  <c r="AJ215" i="45"/>
  <c r="AJ216" i="45"/>
  <c r="AJ217" i="45"/>
  <c r="AJ218" i="45"/>
  <c r="AJ219" i="45"/>
  <c r="AL219" i="45" s="1"/>
  <c r="AJ220" i="45"/>
  <c r="AL220" i="45" s="1"/>
  <c r="AJ221" i="45"/>
  <c r="AJ222" i="45"/>
  <c r="AJ223" i="45"/>
  <c r="AJ224" i="45"/>
  <c r="AJ225" i="45"/>
  <c r="AJ226" i="45"/>
  <c r="AJ227" i="45"/>
  <c r="AJ228" i="45"/>
  <c r="AJ229" i="45"/>
  <c r="AJ230" i="45"/>
  <c r="AL230" i="45" s="1"/>
  <c r="AJ231" i="45"/>
  <c r="AL231" i="45" s="1"/>
  <c r="AJ232" i="45"/>
  <c r="AL232" i="45" s="1"/>
  <c r="AJ233" i="45"/>
  <c r="AL233" i="45" s="1"/>
  <c r="AJ234" i="45"/>
  <c r="AJ235" i="45"/>
  <c r="AJ236" i="45"/>
  <c r="AJ237" i="45"/>
  <c r="AJ238" i="45"/>
  <c r="AJ239" i="45"/>
  <c r="AJ240" i="45"/>
  <c r="AJ241" i="45"/>
  <c r="AJ242" i="45"/>
  <c r="AJ243" i="45"/>
  <c r="AJ244" i="45"/>
  <c r="AJ245" i="45"/>
  <c r="AL245" i="45" s="1"/>
  <c r="AJ246" i="45"/>
  <c r="AJ247" i="45"/>
  <c r="AJ248" i="45"/>
  <c r="AJ249" i="45"/>
  <c r="AJ250" i="45"/>
  <c r="AJ252" i="45"/>
  <c r="AJ253" i="45"/>
  <c r="AJ254" i="45"/>
  <c r="AJ255" i="45"/>
  <c r="AJ256" i="45"/>
  <c r="AJ257" i="45"/>
  <c r="AL257" i="45" s="1"/>
  <c r="AJ258" i="45"/>
  <c r="AJ259" i="45"/>
  <c r="AJ260" i="45"/>
  <c r="AJ261" i="45"/>
  <c r="AJ262" i="45"/>
  <c r="AJ264" i="45"/>
  <c r="AJ265" i="45"/>
  <c r="AJ266" i="45"/>
  <c r="AL266" i="45" s="1"/>
  <c r="AJ267" i="45"/>
  <c r="AJ268" i="45"/>
  <c r="AJ269" i="45"/>
  <c r="AL269" i="45" s="1"/>
  <c r="AJ270" i="45"/>
  <c r="AJ271" i="45"/>
  <c r="AJ272" i="45"/>
  <c r="AJ273" i="45"/>
  <c r="AJ274" i="45"/>
  <c r="AJ275" i="45"/>
  <c r="AJ276" i="45"/>
  <c r="AJ277" i="45"/>
  <c r="AJ278" i="45"/>
  <c r="AJ279" i="45"/>
  <c r="AL279" i="45" s="1"/>
  <c r="AJ280" i="45"/>
  <c r="AL280" i="45" s="1"/>
  <c r="AJ281" i="45"/>
  <c r="AL281" i="45" s="1"/>
  <c r="AJ282" i="45"/>
  <c r="AJ283" i="45"/>
  <c r="AJ284" i="45"/>
  <c r="AJ285" i="45"/>
  <c r="AJ286" i="45"/>
  <c r="AJ287" i="45"/>
  <c r="AJ288" i="45"/>
  <c r="AJ289" i="45"/>
  <c r="AJ290" i="45"/>
  <c r="AJ291" i="45"/>
  <c r="AL291" i="45" s="1"/>
  <c r="AJ292" i="45"/>
  <c r="AL292" i="45" s="1"/>
  <c r="AJ293" i="45"/>
  <c r="AL293" i="45" s="1"/>
  <c r="AJ294" i="45"/>
  <c r="AJ295" i="45"/>
  <c r="AJ296" i="45"/>
  <c r="AJ297" i="45"/>
  <c r="AJ298" i="45"/>
  <c r="AJ299" i="45"/>
  <c r="AJ300" i="45"/>
  <c r="AJ301" i="45"/>
  <c r="AJ302" i="45"/>
  <c r="AL302" i="45" s="1"/>
  <c r="AJ303" i="45"/>
  <c r="AJ304" i="45"/>
  <c r="AJ305" i="45"/>
  <c r="AL305" i="45" s="1"/>
  <c r="AJ306" i="45"/>
  <c r="AJ307" i="45"/>
  <c r="AL307" i="45" s="1"/>
  <c r="AJ308" i="45"/>
  <c r="AJ309" i="45"/>
  <c r="AJ310" i="45"/>
  <c r="AJ311" i="45"/>
  <c r="AL311" i="45" s="1"/>
  <c r="AJ312" i="45"/>
  <c r="AJ313" i="45"/>
  <c r="AJ315" i="45"/>
  <c r="AJ316" i="45"/>
  <c r="AL316" i="45" s="1"/>
  <c r="AJ317" i="45"/>
  <c r="AL317" i="45" s="1"/>
  <c r="AJ320" i="45"/>
  <c r="AL320" i="45" s="1"/>
  <c r="AJ321" i="45"/>
  <c r="AL321" i="45" s="1"/>
  <c r="AJ322" i="45"/>
  <c r="AJ323" i="45"/>
  <c r="AJ324" i="45"/>
  <c r="AJ4" i="45"/>
  <c r="AL228" i="45" l="1"/>
  <c r="AL313" i="45"/>
  <c r="AL191" i="45"/>
  <c r="AL80" i="45"/>
  <c r="AL19" i="45"/>
  <c r="AL287" i="45"/>
  <c r="AL218" i="45"/>
  <c r="AL146" i="45"/>
  <c r="AL289" i="45"/>
  <c r="AL312" i="45"/>
  <c r="AL55" i="45"/>
  <c r="AL275" i="45"/>
  <c r="AL165" i="45"/>
  <c r="AL105" i="45"/>
  <c r="AL66" i="45"/>
  <c r="AL18" i="45"/>
  <c r="BP20" i="56" s="1"/>
  <c r="BQ20" i="56" s="1"/>
  <c r="AL130" i="45"/>
  <c r="AL285" i="45"/>
  <c r="AL294" i="45"/>
  <c r="AL241" i="45"/>
  <c r="AL229" i="45"/>
  <c r="AL217" i="45"/>
  <c r="AL9" i="45"/>
  <c r="AL315" i="45"/>
  <c r="AL250" i="45"/>
  <c r="AL178" i="45"/>
  <c r="AL216" i="45"/>
  <c r="AL69" i="45"/>
  <c r="AL33" i="45"/>
  <c r="AL21" i="45"/>
  <c r="AL8" i="45"/>
  <c r="AL277" i="45"/>
  <c r="AL239" i="45"/>
  <c r="AL167" i="45"/>
  <c r="AL131" i="45"/>
  <c r="AL81" i="45"/>
  <c r="AL264" i="45"/>
  <c r="AL31" i="45"/>
  <c r="AL249" i="45"/>
  <c r="AL153" i="45"/>
  <c r="AL42" i="45"/>
  <c r="BP44" i="56" s="1"/>
  <c r="BQ44" i="56" s="1"/>
  <c r="AL265" i="45"/>
  <c r="AL179" i="45"/>
  <c r="AL44" i="45"/>
  <c r="AL67" i="45"/>
  <c r="AL177" i="45"/>
  <c r="AL141" i="45"/>
  <c r="AL92" i="45"/>
  <c r="AL238" i="45"/>
  <c r="AL94" i="45"/>
  <c r="AL4" i="45"/>
  <c r="AL261" i="45"/>
  <c r="AL248" i="45"/>
  <c r="AL236" i="45"/>
  <c r="AL224" i="45"/>
  <c r="AL212" i="45"/>
  <c r="AL200" i="45"/>
  <c r="AL188" i="45"/>
  <c r="BM188" i="56"/>
  <c r="BN188" i="56" s="1"/>
  <c r="AL176" i="45"/>
  <c r="AL164" i="45"/>
  <c r="AL152" i="45"/>
  <c r="AL140" i="45"/>
  <c r="AL128" i="45"/>
  <c r="AL116" i="45"/>
  <c r="AL104" i="45"/>
  <c r="AL91" i="45"/>
  <c r="AL78" i="45"/>
  <c r="AL65" i="45"/>
  <c r="AL53" i="45"/>
  <c r="AL41" i="45"/>
  <c r="AL29" i="45"/>
  <c r="AL17" i="45"/>
  <c r="AL278" i="45"/>
  <c r="AL215" i="45"/>
  <c r="BP213" i="56" s="1"/>
  <c r="BQ213" i="56" s="1"/>
  <c r="AL225" i="45"/>
  <c r="AL324" i="45"/>
  <c r="AL260" i="45"/>
  <c r="AL247" i="45"/>
  <c r="AL235" i="45"/>
  <c r="AL223" i="45"/>
  <c r="AL211" i="45"/>
  <c r="AL199" i="45"/>
  <c r="AL187" i="45"/>
  <c r="AL175" i="45"/>
  <c r="AL163" i="45"/>
  <c r="AL151" i="45"/>
  <c r="AL139" i="45"/>
  <c r="AL127" i="45"/>
  <c r="AL115" i="45"/>
  <c r="AL103" i="45"/>
  <c r="AL90" i="45"/>
  <c r="AL298" i="45"/>
  <c r="AL52" i="45"/>
  <c r="AL16" i="45"/>
  <c r="BM121" i="56"/>
  <c r="BN121" i="56" s="1"/>
  <c r="BM25" i="56"/>
  <c r="BN25" i="56" s="1"/>
  <c r="AL253" i="45"/>
  <c r="AL45" i="45"/>
  <c r="AL301" i="45"/>
  <c r="AL155" i="45"/>
  <c r="AL288" i="45"/>
  <c r="BP285" i="56" s="1"/>
  <c r="BQ285" i="56" s="1"/>
  <c r="AL237" i="45"/>
  <c r="AL129" i="45"/>
  <c r="AL79" i="45"/>
  <c r="BP80" i="56" s="1"/>
  <c r="BM80" i="56"/>
  <c r="AL54" i="45"/>
  <c r="BP56" i="56" s="1"/>
  <c r="AL5" i="45"/>
  <c r="BM305" i="56"/>
  <c r="AL309" i="45"/>
  <c r="BP305" i="56" s="1"/>
  <c r="AL308" i="45"/>
  <c r="AL296" i="45"/>
  <c r="AL284" i="45"/>
  <c r="AL272" i="45"/>
  <c r="AL259" i="45"/>
  <c r="AL246" i="45"/>
  <c r="BP243" i="56" s="1"/>
  <c r="BQ243" i="56" s="1"/>
  <c r="AL234" i="45"/>
  <c r="AL222" i="45"/>
  <c r="AL210" i="45"/>
  <c r="AL198" i="45"/>
  <c r="AL186" i="45"/>
  <c r="AL174" i="45"/>
  <c r="AL162" i="45"/>
  <c r="AL150" i="45"/>
  <c r="AL138" i="45"/>
  <c r="AL126" i="45"/>
  <c r="AL114" i="45"/>
  <c r="AL102" i="45"/>
  <c r="AL89" i="45"/>
  <c r="AL262" i="45"/>
  <c r="AL158" i="45"/>
  <c r="AL51" i="45"/>
  <c r="BP17" i="56"/>
  <c r="BQ17" i="56" s="1"/>
  <c r="AL57" i="45"/>
  <c r="AL227" i="45"/>
  <c r="AL119" i="45"/>
  <c r="AL20" i="45"/>
  <c r="AL189" i="45"/>
  <c r="AL166" i="45"/>
  <c r="AL273" i="45"/>
  <c r="BP185" i="56"/>
  <c r="BQ185" i="56" s="1"/>
  <c r="BM28" i="56"/>
  <c r="BN28" i="56" s="1"/>
  <c r="BM15" i="56"/>
  <c r="BN15" i="56" s="1"/>
  <c r="AL256" i="45"/>
  <c r="AL226" i="45"/>
  <c r="AL190" i="45"/>
  <c r="AL118" i="45"/>
  <c r="AL14" i="45"/>
  <c r="AL240" i="45"/>
  <c r="AL203" i="45"/>
  <c r="AL56" i="45"/>
  <c r="AL32" i="45"/>
  <c r="AL7" i="45"/>
  <c r="BM273" i="56"/>
  <c r="BN273" i="56" s="1"/>
  <c r="AL276" i="45"/>
  <c r="BP273" i="56" s="1"/>
  <c r="BQ273" i="56" s="1"/>
  <c r="AL93" i="45"/>
  <c r="AL43" i="45"/>
  <c r="AL6" i="45"/>
  <c r="AL202" i="45"/>
  <c r="AL297" i="45"/>
  <c r="BP294" i="56" s="1"/>
  <c r="BQ294" i="56" s="1"/>
  <c r="AL306" i="45"/>
  <c r="BP303" i="56" s="1"/>
  <c r="BQ303" i="56" s="1"/>
  <c r="AL270" i="45"/>
  <c r="BM101" i="56"/>
  <c r="BN101" i="56" s="1"/>
  <c r="BM88" i="56"/>
  <c r="BN88" i="56" s="1"/>
  <c r="AL73" i="45"/>
  <c r="AL61" i="45"/>
  <c r="BM51" i="56"/>
  <c r="BN51" i="56" s="1"/>
  <c r="AL49" i="45"/>
  <c r="AL37" i="45"/>
  <c r="AL25" i="45"/>
  <c r="BP27" i="56" s="1"/>
  <c r="BQ27" i="56" s="1"/>
  <c r="AL290" i="45"/>
  <c r="BP287" i="56" s="1"/>
  <c r="BQ287" i="56" s="1"/>
  <c r="AL255" i="45"/>
  <c r="BP252" i="56" s="1"/>
  <c r="BQ252" i="56" s="1"/>
  <c r="AL184" i="45"/>
  <c r="AL148" i="45"/>
  <c r="AL112" i="45"/>
  <c r="AL10" i="45"/>
  <c r="AL252" i="45"/>
  <c r="AL143" i="45"/>
  <c r="BP143" i="56" s="1"/>
  <c r="BQ143" i="56" s="1"/>
  <c r="AL68" i="45"/>
  <c r="BM297" i="56"/>
  <c r="BN297" i="56" s="1"/>
  <c r="AL300" i="45"/>
  <c r="AL299" i="45"/>
  <c r="AL201" i="45"/>
  <c r="AL117" i="45"/>
  <c r="BP117" i="56" s="1"/>
  <c r="BM117" i="56"/>
  <c r="AL30" i="45"/>
  <c r="BM32" i="56"/>
  <c r="AL323" i="45"/>
  <c r="AL282" i="45"/>
  <c r="BM171" i="56"/>
  <c r="BN171" i="56" s="1"/>
  <c r="BM159" i="56"/>
  <c r="BN159" i="56" s="1"/>
  <c r="AL286" i="45"/>
  <c r="AL254" i="45"/>
  <c r="AL183" i="45"/>
  <c r="AL147" i="45"/>
  <c r="AL111" i="45"/>
  <c r="AL76" i="45"/>
  <c r="AL40" i="45"/>
  <c r="BM156" i="56"/>
  <c r="BN156" i="56" s="1"/>
  <c r="AL13" i="45"/>
  <c r="AL295" i="45"/>
  <c r="AL283" i="45"/>
  <c r="AL271" i="45"/>
  <c r="AL258" i="45"/>
  <c r="AL221" i="45"/>
  <c r="D317" i="66"/>
  <c r="E317" i="66"/>
  <c r="C317" i="66"/>
  <c r="F193" i="66"/>
  <c r="F131" i="66"/>
  <c r="F224" i="66"/>
  <c r="F40" i="66"/>
  <c r="F10" i="66"/>
  <c r="F116" i="66"/>
  <c r="F198" i="66"/>
  <c r="F119" i="66"/>
  <c r="F84" i="66"/>
  <c r="F207" i="66"/>
  <c r="F222" i="66"/>
  <c r="F140" i="66"/>
  <c r="F74" i="66"/>
  <c r="F125" i="66"/>
  <c r="F29" i="66"/>
  <c r="F28" i="66"/>
  <c r="F299" i="66"/>
  <c r="F201" i="66"/>
  <c r="F204" i="66"/>
  <c r="F54" i="66"/>
  <c r="F239" i="66"/>
  <c r="F26" i="66"/>
  <c r="F213" i="66"/>
  <c r="F287" i="66"/>
  <c r="F101" i="66"/>
  <c r="F123" i="66"/>
  <c r="F96" i="66"/>
  <c r="F295" i="66"/>
  <c r="F79" i="66"/>
  <c r="F25" i="66"/>
  <c r="F13" i="66"/>
  <c r="F223" i="66"/>
  <c r="F229" i="66"/>
  <c r="F61" i="66"/>
  <c r="F258" i="66"/>
  <c r="F132" i="66"/>
  <c r="F280" i="66"/>
  <c r="F30" i="66"/>
  <c r="F113" i="66"/>
  <c r="F313" i="66"/>
  <c r="F115" i="66"/>
  <c r="F190" i="66"/>
  <c r="F22" i="66"/>
  <c r="F194" i="66"/>
  <c r="F67" i="66"/>
  <c r="F139" i="66"/>
  <c r="F297" i="66"/>
  <c r="F114" i="66"/>
  <c r="F56" i="66"/>
  <c r="F189" i="66"/>
  <c r="F108" i="66"/>
  <c r="F221" i="66"/>
  <c r="F196" i="66"/>
  <c r="F169" i="66"/>
  <c r="F257" i="66"/>
  <c r="F112" i="66"/>
  <c r="F203" i="66"/>
  <c r="F290" i="66"/>
  <c r="F215" i="66"/>
  <c r="F294" i="66"/>
  <c r="F52" i="66"/>
  <c r="F247" i="66"/>
  <c r="F231" i="66"/>
  <c r="F154" i="66"/>
  <c r="F76" i="66"/>
  <c r="F309" i="66"/>
  <c r="F90" i="66"/>
  <c r="F5" i="66"/>
  <c r="F103" i="66"/>
  <c r="F168" i="66"/>
  <c r="F144" i="66"/>
  <c r="F152" i="66"/>
  <c r="F72" i="66"/>
  <c r="F271" i="66"/>
  <c r="F214" i="66"/>
  <c r="F51" i="66"/>
  <c r="F234" i="66"/>
  <c r="F311" i="66"/>
  <c r="F180" i="66"/>
  <c r="F178" i="66"/>
  <c r="F176" i="66"/>
  <c r="F53" i="66"/>
  <c r="F250" i="66"/>
  <c r="F211" i="66"/>
  <c r="F23" i="66"/>
  <c r="F212" i="66"/>
  <c r="F39" i="66"/>
  <c r="F205" i="66"/>
  <c r="F235" i="66"/>
  <c r="F81" i="66"/>
  <c r="F75" i="66"/>
  <c r="F147" i="66"/>
  <c r="F100" i="66"/>
  <c r="F288" i="66"/>
  <c r="F220" i="66"/>
  <c r="F244" i="66"/>
  <c r="F14" i="66"/>
  <c r="F282" i="66"/>
  <c r="F226" i="66"/>
  <c r="F11" i="66"/>
  <c r="F272" i="66"/>
  <c r="F246" i="66"/>
  <c r="F111" i="66"/>
  <c r="F242" i="66"/>
  <c r="F127" i="66"/>
  <c r="F117" i="66"/>
  <c r="F175" i="66"/>
  <c r="F265" i="66"/>
  <c r="F263" i="66"/>
  <c r="F217" i="66"/>
  <c r="F232" i="66"/>
  <c r="F106" i="66"/>
  <c r="F107" i="66"/>
  <c r="F306" i="66"/>
  <c r="F104" i="66"/>
  <c r="F20" i="66"/>
  <c r="F12" i="66"/>
  <c r="F170" i="66"/>
  <c r="F33" i="66"/>
  <c r="F249" i="66"/>
  <c r="F31" i="66"/>
  <c r="F269" i="66"/>
  <c r="F58" i="66"/>
  <c r="F68" i="66"/>
  <c r="F275" i="66"/>
  <c r="F71" i="66"/>
  <c r="F120" i="66"/>
  <c r="F41" i="66"/>
  <c r="F312" i="66"/>
  <c r="F17" i="66"/>
  <c r="F32" i="66"/>
  <c r="F281" i="66"/>
  <c r="F88" i="66"/>
  <c r="F121" i="66"/>
  <c r="F228" i="66"/>
  <c r="F89" i="66"/>
  <c r="F305" i="66"/>
  <c r="F136" i="66"/>
  <c r="F162" i="66"/>
  <c r="F77" i="66"/>
  <c r="F155" i="66"/>
  <c r="F153" i="66"/>
  <c r="F6" i="66"/>
  <c r="F310" i="66"/>
  <c r="F19" i="66"/>
  <c r="F276" i="66"/>
  <c r="F185" i="66"/>
  <c r="F199" i="66"/>
  <c r="F36" i="66"/>
  <c r="F303" i="66"/>
  <c r="F35" i="66"/>
  <c r="F254" i="66"/>
  <c r="F219" i="66"/>
  <c r="F7" i="66"/>
  <c r="F55" i="66"/>
  <c r="F181" i="66"/>
  <c r="F307" i="66"/>
  <c r="F98" i="66"/>
  <c r="F60" i="66"/>
  <c r="F251" i="66"/>
  <c r="F94" i="66"/>
  <c r="F241" i="66"/>
  <c r="F141" i="66"/>
  <c r="F202" i="66"/>
  <c r="F171" i="66"/>
  <c r="F102" i="66"/>
  <c r="F164" i="66"/>
  <c r="F184" i="66"/>
  <c r="F182" i="66"/>
  <c r="F21" i="66"/>
  <c r="F197" i="66"/>
  <c r="F149" i="66"/>
  <c r="F277" i="66"/>
  <c r="F191" i="66"/>
  <c r="F179" i="66"/>
  <c r="F218" i="66"/>
  <c r="F248" i="66"/>
  <c r="F163" i="66"/>
  <c r="F308" i="66"/>
  <c r="F172" i="66"/>
  <c r="F165" i="66"/>
  <c r="F57" i="66"/>
  <c r="F238" i="66"/>
  <c r="F259" i="66"/>
  <c r="F210" i="66"/>
  <c r="F270" i="66"/>
  <c r="F27" i="66"/>
  <c r="F285" i="66"/>
  <c r="F267" i="66"/>
  <c r="F63" i="66"/>
  <c r="F192" i="66"/>
  <c r="F42" i="66"/>
  <c r="F200" i="66"/>
  <c r="F85" i="66"/>
  <c r="F16" i="66"/>
  <c r="F69" i="66"/>
  <c r="F304" i="66"/>
  <c r="F83" i="66"/>
  <c r="F105" i="66"/>
  <c r="F264" i="66"/>
  <c r="F240" i="66"/>
  <c r="F187" i="66"/>
  <c r="F134" i="66"/>
  <c r="F233" i="66"/>
  <c r="F49" i="66"/>
  <c r="F24" i="66"/>
  <c r="F236" i="66"/>
  <c r="F8" i="66"/>
  <c r="BJ5" i="56" s="1"/>
  <c r="F122" i="66"/>
  <c r="F50" i="66"/>
  <c r="F159" i="66"/>
  <c r="F243" i="66"/>
  <c r="F158" i="66"/>
  <c r="F150" i="66"/>
  <c r="F261" i="66"/>
  <c r="F78" i="66"/>
  <c r="F126" i="66"/>
  <c r="F160" i="66"/>
  <c r="F70" i="66"/>
  <c r="F9" i="66"/>
  <c r="F143" i="66"/>
  <c r="F109" i="66"/>
  <c r="F151" i="66"/>
  <c r="F245" i="66"/>
  <c r="F128" i="66"/>
  <c r="F262" i="66"/>
  <c r="F59" i="66"/>
  <c r="F93" i="66"/>
  <c r="F256" i="66"/>
  <c r="F252" i="66"/>
  <c r="F188" i="66"/>
  <c r="F95" i="66"/>
  <c r="F166" i="66"/>
  <c r="F146" i="66"/>
  <c r="F145" i="66"/>
  <c r="F34" i="66"/>
  <c r="F86" i="66"/>
  <c r="F37" i="66"/>
  <c r="F65" i="66"/>
  <c r="F130" i="66"/>
  <c r="F300" i="66"/>
  <c r="F62" i="66"/>
  <c r="F225" i="66"/>
  <c r="F253" i="66"/>
  <c r="F135" i="66"/>
  <c r="F110" i="66"/>
  <c r="F186" i="66"/>
  <c r="F38" i="66"/>
  <c r="F298" i="66"/>
  <c r="F286" i="66"/>
  <c r="F48" i="66"/>
  <c r="F133" i="66"/>
  <c r="F266" i="66"/>
  <c r="F80" i="66"/>
  <c r="F46" i="66"/>
  <c r="F142" i="66"/>
  <c r="F174" i="66"/>
  <c r="F118" i="66"/>
  <c r="F315" i="66"/>
  <c r="F173" i="66"/>
  <c r="F283" i="66"/>
  <c r="F183" i="66"/>
  <c r="F216" i="66"/>
  <c r="F97" i="66"/>
  <c r="F227" i="66"/>
  <c r="F274" i="66"/>
  <c r="F289" i="66"/>
  <c r="F64" i="66"/>
  <c r="F292" i="66"/>
  <c r="F44" i="66"/>
  <c r="F279" i="66"/>
  <c r="F47" i="66"/>
  <c r="F291" i="66"/>
  <c r="F206" i="66"/>
  <c r="F15" i="66"/>
  <c r="F82" i="66"/>
  <c r="F18" i="66"/>
  <c r="F137" i="66"/>
  <c r="F148" i="66"/>
  <c r="F167" i="66"/>
  <c r="F157" i="66"/>
  <c r="F302" i="66"/>
  <c r="F124" i="66"/>
  <c r="F129" i="66"/>
  <c r="F273" i="66"/>
  <c r="F208" i="66"/>
  <c r="F43" i="66"/>
  <c r="F195" i="66"/>
  <c r="F87" i="66"/>
  <c r="F260" i="66"/>
  <c r="F45" i="66"/>
  <c r="F73" i="66"/>
  <c r="F230" i="66"/>
  <c r="F255" i="66"/>
  <c r="F177" i="66"/>
  <c r="F209" i="66"/>
  <c r="F284" i="66"/>
  <c r="F161" i="66"/>
  <c r="F314" i="66"/>
  <c r="F66" i="66"/>
  <c r="F237" i="66"/>
  <c r="F138" i="66"/>
  <c r="F91" i="66"/>
  <c r="F268" i="66"/>
  <c r="F278" i="66"/>
  <c r="F99" i="66"/>
  <c r="F92" i="66"/>
  <c r="F316" i="66"/>
  <c r="F293" i="66"/>
  <c r="F301" i="66"/>
  <c r="F156" i="66"/>
  <c r="F296" i="66"/>
  <c r="BQ305" i="56"/>
  <c r="BN305" i="56"/>
  <c r="BN165" i="56"/>
  <c r="BN140" i="56"/>
  <c r="BQ117" i="56"/>
  <c r="BN117" i="56"/>
  <c r="BQ80" i="56"/>
  <c r="BN80" i="56"/>
  <c r="BQ56" i="56"/>
  <c r="BN32" i="56"/>
  <c r="BN20" i="56"/>
  <c r="AI110" i="45"/>
  <c r="AI233" i="45"/>
  <c r="AK325" i="45"/>
  <c r="BF213" i="56"/>
  <c r="AI15" i="45"/>
  <c r="AI77" i="45"/>
  <c r="AI82" i="45"/>
  <c r="BP83" i="56" s="1"/>
  <c r="AI98" i="45"/>
  <c r="AI210" i="45"/>
  <c r="AI251" i="45"/>
  <c r="AI261" i="45"/>
  <c r="AI263" i="45"/>
  <c r="AI314" i="45"/>
  <c r="Y7" i="65"/>
  <c r="AI7" i="45" s="1"/>
  <c r="Y8" i="65"/>
  <c r="AI8" i="45" s="1"/>
  <c r="Y9" i="65"/>
  <c r="AI9" i="45" s="1"/>
  <c r="Y10" i="65"/>
  <c r="AI10" i="45" s="1"/>
  <c r="Y11" i="65"/>
  <c r="AI11" i="45" s="1"/>
  <c r="BM13" i="56" s="1"/>
  <c r="BN13" i="56" s="1"/>
  <c r="Y12" i="65"/>
  <c r="AI12" i="45" s="1"/>
  <c r="Y13" i="65"/>
  <c r="AI13" i="45" s="1"/>
  <c r="Y14" i="65"/>
  <c r="AI14" i="45" s="1"/>
  <c r="Y15" i="65"/>
  <c r="AI16" i="45" s="1"/>
  <c r="Y16" i="65"/>
  <c r="AI17" i="45" s="1"/>
  <c r="Y17" i="65"/>
  <c r="AI18" i="45" s="1"/>
  <c r="BM20" i="56" s="1"/>
  <c r="Y18" i="65"/>
  <c r="AI19" i="45" s="1"/>
  <c r="Y19" i="65"/>
  <c r="AI20" i="45" s="1"/>
  <c r="Y20" i="65"/>
  <c r="AI21" i="45" s="1"/>
  <c r="Y21" i="65"/>
  <c r="AI22" i="45" s="1"/>
  <c r="Y22" i="65"/>
  <c r="AI23" i="45" s="1"/>
  <c r="Y23" i="65"/>
  <c r="AI24" i="45" s="1"/>
  <c r="BM26" i="56" s="1"/>
  <c r="BN26" i="56" s="1"/>
  <c r="Y24" i="65"/>
  <c r="AI25" i="45" s="1"/>
  <c r="Y25" i="65"/>
  <c r="AI26" i="45" s="1"/>
  <c r="Y26" i="65"/>
  <c r="AI27" i="45" s="1"/>
  <c r="Y27" i="65"/>
  <c r="AI28" i="45" s="1"/>
  <c r="Y28" i="65"/>
  <c r="AI29" i="45" s="1"/>
  <c r="Y29" i="65"/>
  <c r="AI30" i="45" s="1"/>
  <c r="Y30" i="65"/>
  <c r="AI31" i="45" s="1"/>
  <c r="Y31" i="65"/>
  <c r="AI32" i="45" s="1"/>
  <c r="Y32" i="65"/>
  <c r="AI33" i="45" s="1"/>
  <c r="Y33" i="65"/>
  <c r="AI34" i="45" s="1"/>
  <c r="Y34" i="65"/>
  <c r="AI35" i="45" s="1"/>
  <c r="Y35" i="65"/>
  <c r="AI36" i="45" s="1"/>
  <c r="BP38" i="56" s="1"/>
  <c r="BQ38" i="56" s="1"/>
  <c r="Y36" i="65"/>
  <c r="AI37" i="45" s="1"/>
  <c r="Y37" i="65"/>
  <c r="AI38" i="45" s="1"/>
  <c r="Y38" i="65"/>
  <c r="AI39" i="45" s="1"/>
  <c r="Y39" i="65"/>
  <c r="AI40" i="45" s="1"/>
  <c r="Y40" i="65"/>
  <c r="AI41" i="45" s="1"/>
  <c r="Y41" i="65"/>
  <c r="AI42" i="45" s="1"/>
  <c r="Y42" i="65"/>
  <c r="AI43" i="45" s="1"/>
  <c r="Y43" i="65"/>
  <c r="AI44" i="45" s="1"/>
  <c r="Y44" i="65"/>
  <c r="AI45" i="45" s="1"/>
  <c r="Y45" i="65"/>
  <c r="AI46" i="45" s="1"/>
  <c r="Y46" i="65"/>
  <c r="AI47" i="45" s="1"/>
  <c r="Y47" i="65"/>
  <c r="AI48" i="45" s="1"/>
  <c r="Y48" i="65"/>
  <c r="AI49" i="45" s="1"/>
  <c r="Y49" i="65"/>
  <c r="AI50" i="45" s="1"/>
  <c r="Y50" i="65"/>
  <c r="AI51" i="45" s="1"/>
  <c r="Y51" i="65"/>
  <c r="AI52" i="45" s="1"/>
  <c r="Y52" i="65"/>
  <c r="AI53" i="45" s="1"/>
  <c r="Y53" i="65"/>
  <c r="AI54" i="45" s="1"/>
  <c r="Y54" i="65"/>
  <c r="AI55" i="45" s="1"/>
  <c r="Y55" i="65"/>
  <c r="AI56" i="45" s="1"/>
  <c r="Y56" i="65"/>
  <c r="AI57" i="45" s="1"/>
  <c r="Y57" i="65"/>
  <c r="AI58" i="45" s="1"/>
  <c r="Y58" i="65"/>
  <c r="AI59" i="45" s="1"/>
  <c r="Y59" i="65"/>
  <c r="AI60" i="45" s="1"/>
  <c r="BM62" i="56" s="1"/>
  <c r="BN62" i="56" s="1"/>
  <c r="Y60" i="65"/>
  <c r="AI61" i="45" s="1"/>
  <c r="Y61" i="65"/>
  <c r="AI62" i="45" s="1"/>
  <c r="Y62" i="65"/>
  <c r="AI63" i="45" s="1"/>
  <c r="Y63" i="65"/>
  <c r="AI64" i="45" s="1"/>
  <c r="BP66" i="56" s="1"/>
  <c r="BQ66" i="56" s="1"/>
  <c r="Y64" i="65"/>
  <c r="AI65" i="45" s="1"/>
  <c r="Y65" i="65"/>
  <c r="AI66" i="45" s="1"/>
  <c r="Y66" i="65"/>
  <c r="AI67" i="45" s="1"/>
  <c r="Y67" i="65"/>
  <c r="AI68" i="45" s="1"/>
  <c r="Y68" i="65"/>
  <c r="AI69" i="45" s="1"/>
  <c r="Y69" i="65"/>
  <c r="AI70" i="45" s="1"/>
  <c r="Y70" i="65"/>
  <c r="AI71" i="45" s="1"/>
  <c r="Y71" i="65"/>
  <c r="AI72" i="45" s="1"/>
  <c r="Y72" i="65"/>
  <c r="AI73" i="45" s="1"/>
  <c r="Y73" i="65"/>
  <c r="AI74" i="45" s="1"/>
  <c r="Y74" i="65"/>
  <c r="AI75" i="45" s="1"/>
  <c r="Y75" i="65"/>
  <c r="AI76" i="45" s="1"/>
  <c r="Y76" i="65"/>
  <c r="AI78" i="45" s="1"/>
  <c r="Y77" i="65"/>
  <c r="AI79" i="45" s="1"/>
  <c r="Y78" i="65"/>
  <c r="AI80" i="45" s="1"/>
  <c r="Y79" i="65"/>
  <c r="AI81" i="45" s="1"/>
  <c r="Y80" i="65"/>
  <c r="AI83" i="45" s="1"/>
  <c r="Y81" i="65"/>
  <c r="AI84" i="45" s="1"/>
  <c r="Y82" i="65"/>
  <c r="AI85" i="45" s="1"/>
  <c r="Y83" i="65"/>
  <c r="AI86" i="45" s="1"/>
  <c r="BM87" i="56" s="1"/>
  <c r="BN87" i="56" s="1"/>
  <c r="Y84" i="65"/>
  <c r="AI87" i="45" s="1"/>
  <c r="Y85" i="65"/>
  <c r="AI88" i="45" s="1"/>
  <c r="Y86" i="65"/>
  <c r="AI89" i="45" s="1"/>
  <c r="Y87" i="65"/>
  <c r="AI90" i="45" s="1"/>
  <c r="Y88" i="65"/>
  <c r="AI91" i="45" s="1"/>
  <c r="Y89" i="65"/>
  <c r="AI92" i="45" s="1"/>
  <c r="Y90" i="65"/>
  <c r="AI93" i="45" s="1"/>
  <c r="Y91" i="65"/>
  <c r="AI94" i="45" s="1"/>
  <c r="Y92" i="65"/>
  <c r="AI95" i="45" s="1"/>
  <c r="Y93" i="65"/>
  <c r="AI96" i="45" s="1"/>
  <c r="Y94" i="65"/>
  <c r="AI97" i="45" s="1"/>
  <c r="Y95" i="65"/>
  <c r="AI99" i="45" s="1"/>
  <c r="Y96" i="65"/>
  <c r="AI100" i="45" s="1"/>
  <c r="Y97" i="65"/>
  <c r="AI101" i="45" s="1"/>
  <c r="Y98" i="65"/>
  <c r="AI102" i="45" s="1"/>
  <c r="Y99" i="65"/>
  <c r="AI103" i="45" s="1"/>
  <c r="Y100" i="65"/>
  <c r="AI104" i="45" s="1"/>
  <c r="Y101" i="65"/>
  <c r="AI105" i="45" s="1"/>
  <c r="Y102" i="65"/>
  <c r="AI106" i="45" s="1"/>
  <c r="Y103" i="65"/>
  <c r="Y104" i="65"/>
  <c r="AI107" i="45" s="1"/>
  <c r="Y105" i="65"/>
  <c r="AI108" i="45" s="1"/>
  <c r="Y106" i="65"/>
  <c r="AI109" i="45" s="1"/>
  <c r="Y107" i="65"/>
  <c r="AI111" i="45" s="1"/>
  <c r="Y108" i="65"/>
  <c r="AI112" i="45" s="1"/>
  <c r="Y109" i="65"/>
  <c r="AI113" i="45" s="1"/>
  <c r="Y110" i="65"/>
  <c r="AI114" i="45" s="1"/>
  <c r="Y111" i="65"/>
  <c r="AI115" i="45" s="1"/>
  <c r="Y112" i="65"/>
  <c r="AI116" i="45" s="1"/>
  <c r="Y113" i="65"/>
  <c r="AI117" i="45" s="1"/>
  <c r="Y114" i="65"/>
  <c r="AI118" i="45" s="1"/>
  <c r="Y115" i="65"/>
  <c r="AI119" i="45" s="1"/>
  <c r="Y116" i="65"/>
  <c r="AI120" i="45" s="1"/>
  <c r="Y117" i="65"/>
  <c r="AI121" i="45" s="1"/>
  <c r="Y118" i="65"/>
  <c r="AI122" i="45" s="1"/>
  <c r="Y119" i="65"/>
  <c r="AI123" i="45" s="1"/>
  <c r="Y120" i="65"/>
  <c r="AI124" i="45" s="1"/>
  <c r="Y121" i="65"/>
  <c r="AI125" i="45" s="1"/>
  <c r="Y122" i="65"/>
  <c r="AI126" i="45" s="1"/>
  <c r="Y123" i="65"/>
  <c r="AI127" i="45" s="1"/>
  <c r="Y124" i="65"/>
  <c r="AI128" i="45" s="1"/>
  <c r="Y125" i="65"/>
  <c r="AI129" i="45" s="1"/>
  <c r="Y126" i="65"/>
  <c r="AI130" i="45" s="1"/>
  <c r="Y127" i="65"/>
  <c r="AI131" i="45" s="1"/>
  <c r="Y128" i="65"/>
  <c r="AI132" i="45" s="1"/>
  <c r="Y129" i="65"/>
  <c r="AI133" i="45" s="1"/>
  <c r="Y130" i="65"/>
  <c r="AI134" i="45" s="1"/>
  <c r="Y131" i="65"/>
  <c r="AI135" i="45" s="1"/>
  <c r="BP135" i="56" s="1"/>
  <c r="BQ135" i="56" s="1"/>
  <c r="Y132" i="65"/>
  <c r="AI136" i="45" s="1"/>
  <c r="Y133" i="65"/>
  <c r="AI137" i="45" s="1"/>
  <c r="Y134" i="65"/>
  <c r="AI138" i="45" s="1"/>
  <c r="Y135" i="65"/>
  <c r="AI139" i="45" s="1"/>
  <c r="Y136" i="65"/>
  <c r="AI140" i="45" s="1"/>
  <c r="BM140" i="56" s="1"/>
  <c r="Y137" i="65"/>
  <c r="AI141" i="45" s="1"/>
  <c r="Y138" i="65"/>
  <c r="AI142" i="45" s="1"/>
  <c r="BP142" i="56" s="1"/>
  <c r="BQ142" i="56" s="1"/>
  <c r="Y139" i="65"/>
  <c r="AI143" i="45" s="1"/>
  <c r="Y140" i="65"/>
  <c r="AI144" i="45" s="1"/>
  <c r="Y141" i="65"/>
  <c r="AI145" i="45" s="1"/>
  <c r="Y142" i="65"/>
  <c r="AI146" i="45" s="1"/>
  <c r="Y143" i="65"/>
  <c r="AI147" i="45" s="1"/>
  <c r="Y144" i="65"/>
  <c r="AI148" i="45" s="1"/>
  <c r="Y145" i="65"/>
  <c r="AI149" i="45" s="1"/>
  <c r="Y146" i="65"/>
  <c r="AI150" i="45" s="1"/>
  <c r="Y147" i="65"/>
  <c r="AI151" i="45" s="1"/>
  <c r="Y148" i="65"/>
  <c r="AI152" i="45" s="1"/>
  <c r="Y149" i="65"/>
  <c r="AI153" i="45" s="1"/>
  <c r="Y150" i="65"/>
  <c r="AI154" i="45" s="1"/>
  <c r="Y151" i="65"/>
  <c r="AI155" i="45" s="1"/>
  <c r="Y152" i="65"/>
  <c r="AI156" i="45" s="1"/>
  <c r="Y153" i="65"/>
  <c r="AI157" i="45" s="1"/>
  <c r="Y154" i="65"/>
  <c r="AI158" i="45" s="1"/>
  <c r="Y155" i="65"/>
  <c r="AI159" i="45" s="1"/>
  <c r="Y156" i="65"/>
  <c r="AI160" i="45" s="1"/>
  <c r="Y157" i="65"/>
  <c r="AI161" i="45" s="1"/>
  <c r="Y158" i="65"/>
  <c r="AI162" i="45" s="1"/>
  <c r="Y159" i="65"/>
  <c r="AI163" i="45" s="1"/>
  <c r="Y160" i="65"/>
  <c r="AI164" i="45" s="1"/>
  <c r="Y161" i="65"/>
  <c r="AI165" i="45" s="1"/>
  <c r="BM165" i="56" s="1"/>
  <c r="Y162" i="65"/>
  <c r="AI166" i="45" s="1"/>
  <c r="Y163" i="65"/>
  <c r="AI167" i="45" s="1"/>
  <c r="Y164" i="65"/>
  <c r="AI168" i="45" s="1"/>
  <c r="Y165" i="65"/>
  <c r="AI169" i="45" s="1"/>
  <c r="Y166" i="65"/>
  <c r="AI170" i="45" s="1"/>
  <c r="Y167" i="65"/>
  <c r="AI171" i="45" s="1"/>
  <c r="Y168" i="65"/>
  <c r="AI172" i="45" s="1"/>
  <c r="Y169" i="65"/>
  <c r="AI173" i="45" s="1"/>
  <c r="Y170" i="65"/>
  <c r="AI174" i="45" s="1"/>
  <c r="Y171" i="65"/>
  <c r="AI175" i="45" s="1"/>
  <c r="Y172" i="65"/>
  <c r="AI176" i="45" s="1"/>
  <c r="Y173" i="65"/>
  <c r="AI177" i="45" s="1"/>
  <c r="Y174" i="65"/>
  <c r="AI178" i="45" s="1"/>
  <c r="Y175" i="65"/>
  <c r="AI179" i="45" s="1"/>
  <c r="Y176" i="65"/>
  <c r="AI180" i="45" s="1"/>
  <c r="Y177" i="65"/>
  <c r="AI181" i="45" s="1"/>
  <c r="Y178" i="65"/>
  <c r="AI182" i="45" s="1"/>
  <c r="Y179" i="65"/>
  <c r="AI183" i="45" s="1"/>
  <c r="Y180" i="65"/>
  <c r="AI184" i="45" s="1"/>
  <c r="Y181" i="65"/>
  <c r="AI185" i="45" s="1"/>
  <c r="Y182" i="65"/>
  <c r="AI186" i="45" s="1"/>
  <c r="Y183" i="65"/>
  <c r="Y184" i="65"/>
  <c r="AI187" i="45" s="1"/>
  <c r="Y185" i="65"/>
  <c r="AI188" i="45" s="1"/>
  <c r="Y186" i="65"/>
  <c r="AI189" i="45" s="1"/>
  <c r="Y187" i="65"/>
  <c r="AI190" i="45" s="1"/>
  <c r="Y188" i="65"/>
  <c r="AI191" i="45" s="1"/>
  <c r="Y189" i="65"/>
  <c r="AI192" i="45" s="1"/>
  <c r="Y190" i="65"/>
  <c r="AI193" i="45" s="1"/>
  <c r="Y191" i="65"/>
  <c r="AI194" i="45" s="1"/>
  <c r="Y192" i="65"/>
  <c r="AI195" i="45" s="1"/>
  <c r="Y193" i="65"/>
  <c r="AI196" i="45" s="1"/>
  <c r="Y194" i="65"/>
  <c r="AI197" i="45" s="1"/>
  <c r="Y195" i="65"/>
  <c r="AI198" i="45" s="1"/>
  <c r="Y196" i="65"/>
  <c r="AI199" i="45" s="1"/>
  <c r="Y197" i="65"/>
  <c r="AI200" i="45" s="1"/>
  <c r="Y198" i="65"/>
  <c r="AI201" i="45" s="1"/>
  <c r="Y199" i="65"/>
  <c r="AI202" i="45" s="1"/>
  <c r="Y200" i="65"/>
  <c r="AI203" i="45" s="1"/>
  <c r="Y201" i="65"/>
  <c r="AI204" i="45" s="1"/>
  <c r="Y202" i="65"/>
  <c r="AI205" i="45" s="1"/>
  <c r="Y203" i="65"/>
  <c r="AI206" i="45" s="1"/>
  <c r="Y204" i="65"/>
  <c r="AI207" i="45" s="1"/>
  <c r="Y205" i="65"/>
  <c r="AI208" i="45" s="1"/>
  <c r="Y206" i="65"/>
  <c r="AI209" i="45" s="1"/>
  <c r="Y207" i="65"/>
  <c r="AI211" i="45" s="1"/>
  <c r="Y208" i="65"/>
  <c r="AI212" i="45" s="1"/>
  <c r="Y209" i="65"/>
  <c r="AI213" i="45" s="1"/>
  <c r="Y210" i="65"/>
  <c r="AI214" i="45" s="1"/>
  <c r="Y211" i="65"/>
  <c r="AI215" i="45" s="1"/>
  <c r="Y212" i="65"/>
  <c r="AI216" i="45" s="1"/>
  <c r="Y213" i="65"/>
  <c r="AI217" i="45" s="1"/>
  <c r="Y214" i="65"/>
  <c r="AI218" i="45" s="1"/>
  <c r="Y215" i="65"/>
  <c r="AI219" i="45" s="1"/>
  <c r="Y216" i="65"/>
  <c r="AI220" i="45" s="1"/>
  <c r="Y217" i="65"/>
  <c r="AI221" i="45" s="1"/>
  <c r="Y218" i="65"/>
  <c r="AI222" i="45" s="1"/>
  <c r="Y219" i="65"/>
  <c r="AI223" i="45" s="1"/>
  <c r="Y220" i="65"/>
  <c r="AI224" i="45" s="1"/>
  <c r="Y221" i="65"/>
  <c r="AI225" i="45" s="1"/>
  <c r="Y222" i="65"/>
  <c r="AI226" i="45" s="1"/>
  <c r="Y223" i="65"/>
  <c r="AI227" i="45" s="1"/>
  <c r="Y224" i="65"/>
  <c r="AI228" i="45" s="1"/>
  <c r="Y225" i="65"/>
  <c r="AI229" i="45" s="1"/>
  <c r="Y226" i="65"/>
  <c r="AI230" i="45" s="1"/>
  <c r="Y227" i="65"/>
  <c r="AI231" i="45" s="1"/>
  <c r="Y228" i="65"/>
  <c r="AI232" i="45" s="1"/>
  <c r="Y229" i="65"/>
  <c r="Y230" i="65"/>
  <c r="AI234" i="45" s="1"/>
  <c r="Y231" i="65"/>
  <c r="AI235" i="45" s="1"/>
  <c r="Y232" i="65"/>
  <c r="AI236" i="45" s="1"/>
  <c r="Y233" i="65"/>
  <c r="AI237" i="45" s="1"/>
  <c r="Y234" i="65"/>
  <c r="AI238" i="45" s="1"/>
  <c r="Y235" i="65"/>
  <c r="AI239" i="45" s="1"/>
  <c r="Y236" i="65"/>
  <c r="AI240" i="45" s="1"/>
  <c r="Y237" i="65"/>
  <c r="AI241" i="45" s="1"/>
  <c r="Y238" i="65"/>
  <c r="AI242" i="45" s="1"/>
  <c r="Y239" i="65"/>
  <c r="AI243" i="45" s="1"/>
  <c r="Y240" i="65"/>
  <c r="AI244" i="45" s="1"/>
  <c r="Y241" i="65"/>
  <c r="AI245" i="45" s="1"/>
  <c r="Y242" i="65"/>
  <c r="AI246" i="45" s="1"/>
  <c r="Y243" i="65"/>
  <c r="AI247" i="45" s="1"/>
  <c r="Y244" i="65"/>
  <c r="AI248" i="45" s="1"/>
  <c r="Y245" i="65"/>
  <c r="AI249" i="45" s="1"/>
  <c r="Y246" i="65"/>
  <c r="AI250" i="45" s="1"/>
  <c r="Y247" i="65"/>
  <c r="AI252" i="45" s="1"/>
  <c r="Y248" i="65"/>
  <c r="AI253" i="45" s="1"/>
  <c r="Y249" i="65"/>
  <c r="AI254" i="45" s="1"/>
  <c r="Y250" i="65"/>
  <c r="AI255" i="45" s="1"/>
  <c r="Y251" i="65"/>
  <c r="AI256" i="45" s="1"/>
  <c r="Y252" i="65"/>
  <c r="AI257" i="45" s="1"/>
  <c r="Y253" i="65"/>
  <c r="AI258" i="45" s="1"/>
  <c r="Y254" i="65"/>
  <c r="AI259" i="45" s="1"/>
  <c r="Y255" i="65"/>
  <c r="AI260" i="45" s="1"/>
  <c r="Y256" i="65"/>
  <c r="AI262" i="45" s="1"/>
  <c r="Y257" i="65"/>
  <c r="AI264" i="45" s="1"/>
  <c r="Y258" i="65"/>
  <c r="AI265" i="45" s="1"/>
  <c r="Y259" i="65"/>
  <c r="AI266" i="45" s="1"/>
  <c r="Y260" i="65"/>
  <c r="AI267" i="45" s="1"/>
  <c r="Y261" i="65"/>
  <c r="AI269" i="45" s="1"/>
  <c r="Y262" i="65"/>
  <c r="AI268" i="45" s="1"/>
  <c r="Y263" i="65"/>
  <c r="AI270" i="45" s="1"/>
  <c r="Y264" i="65"/>
  <c r="AI271" i="45" s="1"/>
  <c r="Y265" i="65"/>
  <c r="AI272" i="45" s="1"/>
  <c r="Y266" i="65"/>
  <c r="AI273" i="45" s="1"/>
  <c r="Y267" i="65"/>
  <c r="AI274" i="45" s="1"/>
  <c r="Y268" i="65"/>
  <c r="AI275" i="45" s="1"/>
  <c r="Y269" i="65"/>
  <c r="AI276" i="45" s="1"/>
  <c r="Y270" i="65"/>
  <c r="AI277" i="45" s="1"/>
  <c r="Y271" i="65"/>
  <c r="AI278" i="45" s="1"/>
  <c r="Y272" i="65"/>
  <c r="AI279" i="45" s="1"/>
  <c r="Y273" i="65"/>
  <c r="AI280" i="45" s="1"/>
  <c r="Y274" i="65"/>
  <c r="AI281" i="45" s="1"/>
  <c r="Y275" i="65"/>
  <c r="AI282" i="45" s="1"/>
  <c r="Y276" i="65"/>
  <c r="AI283" i="45" s="1"/>
  <c r="Y277" i="65"/>
  <c r="AI284" i="45" s="1"/>
  <c r="Y278" i="65"/>
  <c r="AI285" i="45" s="1"/>
  <c r="Y279" i="65"/>
  <c r="AI286" i="45" s="1"/>
  <c r="Y280" i="65"/>
  <c r="AI287" i="45" s="1"/>
  <c r="Y281" i="65"/>
  <c r="AI288" i="45" s="1"/>
  <c r="Y282" i="65"/>
  <c r="AI289" i="45" s="1"/>
  <c r="Y283" i="65"/>
  <c r="AI290" i="45" s="1"/>
  <c r="Y284" i="65"/>
  <c r="AI291" i="45" s="1"/>
  <c r="Y285" i="65"/>
  <c r="AI292" i="45" s="1"/>
  <c r="Y286" i="65"/>
  <c r="AI293" i="45" s="1"/>
  <c r="Y287" i="65"/>
  <c r="Y288" i="65"/>
  <c r="Y289" i="65"/>
  <c r="Y290" i="65"/>
  <c r="AI294" i="45" s="1"/>
  <c r="Y291" i="65"/>
  <c r="AI295" i="45" s="1"/>
  <c r="Y292" i="65"/>
  <c r="AI296" i="45" s="1"/>
  <c r="Y293" i="65"/>
  <c r="AI297" i="45" s="1"/>
  <c r="Y294" i="65"/>
  <c r="AI298" i="45" s="1"/>
  <c r="Y295" i="65"/>
  <c r="AI299" i="45" s="1"/>
  <c r="Y296" i="65"/>
  <c r="AI300" i="45" s="1"/>
  <c r="Y297" i="65"/>
  <c r="AI301" i="45" s="1"/>
  <c r="Y298" i="65"/>
  <c r="AI302" i="45" s="1"/>
  <c r="Y299" i="65"/>
  <c r="AI303" i="45" s="1"/>
  <c r="Y300" i="65"/>
  <c r="AI304" i="45" s="1"/>
  <c r="Y301" i="65"/>
  <c r="AI305" i="45" s="1"/>
  <c r="Y302" i="65"/>
  <c r="AI306" i="45" s="1"/>
  <c r="Y303" i="65"/>
  <c r="AI307" i="45" s="1"/>
  <c r="Y304" i="65"/>
  <c r="AI308" i="45" s="1"/>
  <c r="BM304" i="56" s="1"/>
  <c r="BN304" i="56" s="1"/>
  <c r="Y305" i="65"/>
  <c r="AI309" i="45" s="1"/>
  <c r="Y306" i="65"/>
  <c r="AI310" i="45" s="1"/>
  <c r="Y307" i="65"/>
  <c r="AI311" i="45" s="1"/>
  <c r="Y308" i="65"/>
  <c r="AI312" i="45" s="1"/>
  <c r="Y309" i="65"/>
  <c r="AI313" i="45" s="1"/>
  <c r="Y310" i="65"/>
  <c r="AI315" i="45" s="1"/>
  <c r="Y311" i="65"/>
  <c r="AI316" i="45" s="1"/>
  <c r="Y312" i="65"/>
  <c r="AI317" i="45" s="1"/>
  <c r="Y313" i="65"/>
  <c r="AI320" i="45" s="1"/>
  <c r="Y314" i="65"/>
  <c r="AI321" i="45" s="1"/>
  <c r="Y315" i="65"/>
  <c r="AI322" i="45" s="1"/>
  <c r="Y316" i="65"/>
  <c r="AI323" i="45" s="1"/>
  <c r="Y317" i="65"/>
  <c r="AI324" i="45" s="1"/>
  <c r="Y5" i="65"/>
  <c r="AI5" i="45" s="1"/>
  <c r="Y6" i="65"/>
  <c r="AI6" i="45" s="1"/>
  <c r="Y4" i="65"/>
  <c r="H318" i="65"/>
  <c r="I318" i="65"/>
  <c r="J318" i="65"/>
  <c r="K318" i="65"/>
  <c r="L318" i="65"/>
  <c r="M318" i="65"/>
  <c r="N318" i="65"/>
  <c r="O318" i="65"/>
  <c r="P318" i="65"/>
  <c r="Q318" i="65"/>
  <c r="R318" i="65"/>
  <c r="S318" i="65"/>
  <c r="T318" i="65"/>
  <c r="U318" i="65"/>
  <c r="V318" i="65"/>
  <c r="W318" i="65"/>
  <c r="X318" i="65"/>
  <c r="F318" i="65"/>
  <c r="G318" i="65"/>
  <c r="E318" i="65"/>
  <c r="BM271" i="56" l="1"/>
  <c r="BN271" i="56" s="1"/>
  <c r="BP271" i="56"/>
  <c r="BQ271" i="56" s="1"/>
  <c r="BM270" i="56"/>
  <c r="BN270" i="56" s="1"/>
  <c r="BM126" i="56"/>
  <c r="BN126" i="56" s="1"/>
  <c r="BM267" i="56"/>
  <c r="BN267" i="56" s="1"/>
  <c r="BM194" i="56"/>
  <c r="BN194" i="56" s="1"/>
  <c r="BP194" i="56"/>
  <c r="BQ194" i="56" s="1"/>
  <c r="BP123" i="56"/>
  <c r="BQ123" i="56" s="1"/>
  <c r="BM123" i="56"/>
  <c r="BN123" i="56" s="1"/>
  <c r="BM8" i="56"/>
  <c r="BN8" i="56" s="1"/>
  <c r="BM287" i="56"/>
  <c r="BN287" i="56" s="1"/>
  <c r="BM274" i="56"/>
  <c r="BN274" i="56" s="1"/>
  <c r="BM247" i="56"/>
  <c r="BN247" i="56" s="1"/>
  <c r="I1" i="20"/>
  <c r="BM235" i="56"/>
  <c r="BN235" i="56" s="1"/>
  <c r="BM212" i="56"/>
  <c r="BN212" i="56" s="1"/>
  <c r="BM178" i="56"/>
  <c r="BN178" i="56" s="1"/>
  <c r="BP154" i="56"/>
  <c r="BQ154" i="56" s="1"/>
  <c r="BM154" i="56"/>
  <c r="BN154" i="56" s="1"/>
  <c r="BM130" i="56"/>
  <c r="BN130" i="56" s="1"/>
  <c r="BP107" i="56"/>
  <c r="BQ107" i="56" s="1"/>
  <c r="BM107" i="56"/>
  <c r="BN107" i="56" s="1"/>
  <c r="BM81" i="56"/>
  <c r="BN81" i="56" s="1"/>
  <c r="BM310" i="56"/>
  <c r="BP310" i="56"/>
  <c r="BM173" i="56"/>
  <c r="BN173" i="56" s="1"/>
  <c r="BP268" i="56"/>
  <c r="BQ268" i="56" s="1"/>
  <c r="BM201" i="56"/>
  <c r="BN201" i="56" s="1"/>
  <c r="BM112" i="56"/>
  <c r="BN112" i="56" s="1"/>
  <c r="BM9" i="56"/>
  <c r="BN9" i="56" s="1"/>
  <c r="BM224" i="56"/>
  <c r="BN224" i="56" s="1"/>
  <c r="BP103" i="56"/>
  <c r="BQ103" i="56" s="1"/>
  <c r="BP232" i="56"/>
  <c r="BQ232" i="56" s="1"/>
  <c r="BM275" i="56"/>
  <c r="BN275" i="56" s="1"/>
  <c r="BM282" i="56"/>
  <c r="BN282" i="56" s="1"/>
  <c r="BM197" i="56"/>
  <c r="BN197" i="56" s="1"/>
  <c r="BM138" i="56"/>
  <c r="BN138" i="56" s="1"/>
  <c r="BM53" i="56"/>
  <c r="BN53" i="56" s="1"/>
  <c r="BM151" i="56"/>
  <c r="BN151" i="56" s="1"/>
  <c r="BP50" i="56"/>
  <c r="BQ50" i="56" s="1"/>
  <c r="BM50" i="56"/>
  <c r="BN50" i="56" s="1"/>
  <c r="BM174" i="56"/>
  <c r="BN174" i="56" s="1"/>
  <c r="BM293" i="56"/>
  <c r="BN293" i="56" s="1"/>
  <c r="BM284" i="56"/>
  <c r="BN284" i="56" s="1"/>
  <c r="BM272" i="56"/>
  <c r="BN272" i="56" s="1"/>
  <c r="BM245" i="56"/>
  <c r="BN245" i="56" s="1"/>
  <c r="BM233" i="56"/>
  <c r="BN233" i="56" s="1"/>
  <c r="BM222" i="56"/>
  <c r="BN222" i="56" s="1"/>
  <c r="BM211" i="56"/>
  <c r="BN211" i="56" s="1"/>
  <c r="BM199" i="56"/>
  <c r="BN199" i="56" s="1"/>
  <c r="BM187" i="56"/>
  <c r="BN187" i="56" s="1"/>
  <c r="BM176" i="56"/>
  <c r="BN176" i="56" s="1"/>
  <c r="BM164" i="56"/>
  <c r="BN164" i="56" s="1"/>
  <c r="BM152" i="56"/>
  <c r="BN152" i="56" s="1"/>
  <c r="BM128" i="56"/>
  <c r="BN128" i="56" s="1"/>
  <c r="BM116" i="56"/>
  <c r="BN116" i="56" s="1"/>
  <c r="BM92" i="56"/>
  <c r="BN92" i="56" s="1"/>
  <c r="BM79" i="56"/>
  <c r="BN79" i="56" s="1"/>
  <c r="BM67" i="56"/>
  <c r="BN67" i="56" s="1"/>
  <c r="BM55" i="56"/>
  <c r="BN55" i="56" s="1"/>
  <c r="BM43" i="56"/>
  <c r="BN43" i="56" s="1"/>
  <c r="BP280" i="56"/>
  <c r="BQ280" i="56" s="1"/>
  <c r="BM147" i="56"/>
  <c r="BN147" i="56" s="1"/>
  <c r="BP201" i="56"/>
  <c r="BQ201" i="56" s="1"/>
  <c r="BM231" i="56"/>
  <c r="BN231" i="56" s="1"/>
  <c r="BM250" i="56"/>
  <c r="BN250" i="56" s="1"/>
  <c r="BP176" i="56"/>
  <c r="BQ176" i="56" s="1"/>
  <c r="BM244" i="56"/>
  <c r="BN244" i="56" s="1"/>
  <c r="BM198" i="56"/>
  <c r="BN198" i="56" s="1"/>
  <c r="BM163" i="56"/>
  <c r="BN163" i="56" s="1"/>
  <c r="BM115" i="56"/>
  <c r="BN115" i="56" s="1"/>
  <c r="BM248" i="56"/>
  <c r="BP248" i="56"/>
  <c r="BP314" i="56"/>
  <c r="BQ314" i="56" s="1"/>
  <c r="BM314" i="56"/>
  <c r="BN314" i="56" s="1"/>
  <c r="BM186" i="56"/>
  <c r="BN186" i="56" s="1"/>
  <c r="BM162" i="56"/>
  <c r="BN162" i="56" s="1"/>
  <c r="BM114" i="56"/>
  <c r="BN114" i="56" s="1"/>
  <c r="BM65" i="56"/>
  <c r="BN65" i="56" s="1"/>
  <c r="BM29" i="56"/>
  <c r="BN29" i="56" s="1"/>
  <c r="BP29" i="56"/>
  <c r="BQ29" i="56" s="1"/>
  <c r="BM243" i="56"/>
  <c r="BN243" i="56" s="1"/>
  <c r="BM281" i="56"/>
  <c r="BN281" i="56" s="1"/>
  <c r="BM269" i="56"/>
  <c r="BN269" i="56" s="1"/>
  <c r="BM255" i="56"/>
  <c r="BN255" i="56" s="1"/>
  <c r="BM242" i="56"/>
  <c r="BN242" i="56" s="1"/>
  <c r="BP242" i="56"/>
  <c r="BQ242" i="56" s="1"/>
  <c r="BM219" i="56"/>
  <c r="BN219" i="56" s="1"/>
  <c r="BM207" i="56"/>
  <c r="BN207" i="56" s="1"/>
  <c r="BP207" i="56"/>
  <c r="BQ207" i="56" s="1"/>
  <c r="BP196" i="56"/>
  <c r="BQ196" i="56" s="1"/>
  <c r="BM196" i="56"/>
  <c r="BN196" i="56" s="1"/>
  <c r="BM185" i="56"/>
  <c r="BN185" i="56" s="1"/>
  <c r="BP161" i="56"/>
  <c r="BQ161" i="56" s="1"/>
  <c r="BM149" i="56"/>
  <c r="BN149" i="56" s="1"/>
  <c r="BP149" i="56"/>
  <c r="BQ149" i="56" s="1"/>
  <c r="BP137" i="56"/>
  <c r="BQ137" i="56" s="1"/>
  <c r="BP125" i="56"/>
  <c r="BQ125" i="56" s="1"/>
  <c r="BP113" i="56"/>
  <c r="BQ113" i="56" s="1"/>
  <c r="BM113" i="56"/>
  <c r="BN113" i="56" s="1"/>
  <c r="BP102" i="56"/>
  <c r="BQ102" i="56" s="1"/>
  <c r="BM102" i="56"/>
  <c r="BN102" i="56" s="1"/>
  <c r="BM89" i="56"/>
  <c r="BN89" i="56" s="1"/>
  <c r="BP89" i="56"/>
  <c r="BQ89" i="56" s="1"/>
  <c r="BP76" i="56"/>
  <c r="BQ76" i="56" s="1"/>
  <c r="BM76" i="56"/>
  <c r="BN76" i="56" s="1"/>
  <c r="BP64" i="56"/>
  <c r="BQ64" i="56" s="1"/>
  <c r="BM64" i="56"/>
  <c r="BN64" i="56" s="1"/>
  <c r="BP52" i="56"/>
  <c r="BQ52" i="56" s="1"/>
  <c r="BM52" i="56"/>
  <c r="BN52" i="56" s="1"/>
  <c r="BP40" i="56"/>
  <c r="BQ40" i="56" s="1"/>
  <c r="BP28" i="56"/>
  <c r="BQ28" i="56" s="1"/>
  <c r="BM99" i="56"/>
  <c r="BP99" i="56"/>
  <c r="BM183" i="56"/>
  <c r="BN183" i="56" s="1"/>
  <c r="BM40" i="56"/>
  <c r="BN40" i="56" s="1"/>
  <c r="BP151" i="56"/>
  <c r="BQ151" i="56" s="1"/>
  <c r="BP312" i="56"/>
  <c r="BQ312" i="56" s="1"/>
  <c r="BM301" i="56"/>
  <c r="BN301" i="56" s="1"/>
  <c r="BP301" i="56"/>
  <c r="BQ301" i="56" s="1"/>
  <c r="BM280" i="56"/>
  <c r="BN280" i="56" s="1"/>
  <c r="BM268" i="56"/>
  <c r="BN268" i="56" s="1"/>
  <c r="BP254" i="56"/>
  <c r="BQ254" i="56" s="1"/>
  <c r="BM241" i="56"/>
  <c r="BN241" i="56" s="1"/>
  <c r="BP241" i="56"/>
  <c r="BQ241" i="56" s="1"/>
  <c r="BM230" i="56"/>
  <c r="BN230" i="56" s="1"/>
  <c r="BP230" i="56"/>
  <c r="BQ230" i="56" s="1"/>
  <c r="BP218" i="56"/>
  <c r="BQ218" i="56" s="1"/>
  <c r="BM218" i="56"/>
  <c r="BN218" i="56" s="1"/>
  <c r="BM206" i="56"/>
  <c r="BN206" i="56" s="1"/>
  <c r="BP206" i="56"/>
  <c r="BQ206" i="56" s="1"/>
  <c r="BP195" i="56"/>
  <c r="BQ195" i="56" s="1"/>
  <c r="BM195" i="56"/>
  <c r="BN195" i="56" s="1"/>
  <c r="BM184" i="56"/>
  <c r="BN184" i="56" s="1"/>
  <c r="BM172" i="56"/>
  <c r="BN172" i="56" s="1"/>
  <c r="BP172" i="56"/>
  <c r="BQ172" i="56" s="1"/>
  <c r="BP160" i="56"/>
  <c r="BQ160" i="56" s="1"/>
  <c r="BM160" i="56"/>
  <c r="BN160" i="56" s="1"/>
  <c r="BM148" i="56"/>
  <c r="BN148" i="56" s="1"/>
  <c r="BP136" i="56"/>
  <c r="BQ136" i="56" s="1"/>
  <c r="BM136" i="56"/>
  <c r="BN136" i="56" s="1"/>
  <c r="BP124" i="56"/>
  <c r="BQ124" i="56" s="1"/>
  <c r="BM124" i="56"/>
  <c r="BN124" i="56" s="1"/>
  <c r="BP101" i="56"/>
  <c r="BQ101" i="56" s="1"/>
  <c r="BP88" i="56"/>
  <c r="BQ88" i="56" s="1"/>
  <c r="BM75" i="56"/>
  <c r="BN75" i="56" s="1"/>
  <c r="BM63" i="56"/>
  <c r="BN63" i="56" s="1"/>
  <c r="BM39" i="56"/>
  <c r="BN39" i="56" s="1"/>
  <c r="BM27" i="56"/>
  <c r="BN27" i="56" s="1"/>
  <c r="BP14" i="56"/>
  <c r="BQ14" i="56" s="1"/>
  <c r="BM14" i="56"/>
  <c r="BN14" i="56" s="1"/>
  <c r="BP42" i="56"/>
  <c r="BQ42" i="56" s="1"/>
  <c r="BP173" i="56"/>
  <c r="BQ173" i="56" s="1"/>
  <c r="BM312" i="56"/>
  <c r="BN312" i="56" s="1"/>
  <c r="BP162" i="56"/>
  <c r="BQ162" i="56" s="1"/>
  <c r="BM190" i="56"/>
  <c r="BN190" i="56" s="1"/>
  <c r="BP92" i="56"/>
  <c r="BQ92" i="56" s="1"/>
  <c r="BM232" i="56"/>
  <c r="BN232" i="56" s="1"/>
  <c r="BM175" i="56"/>
  <c r="BN175" i="56" s="1"/>
  <c r="BM104" i="56"/>
  <c r="BN104" i="56" s="1"/>
  <c r="BM18" i="56"/>
  <c r="BN18" i="56" s="1"/>
  <c r="BP139" i="56"/>
  <c r="BQ139" i="56" s="1"/>
  <c r="BP302" i="56"/>
  <c r="BQ302" i="56" s="1"/>
  <c r="BM302" i="56"/>
  <c r="BN302" i="56" s="1"/>
  <c r="BM229" i="56"/>
  <c r="BN229" i="56" s="1"/>
  <c r="BP229" i="56"/>
  <c r="BQ229" i="56" s="1"/>
  <c r="BP171" i="56"/>
  <c r="BQ171" i="56" s="1"/>
  <c r="BP87" i="56"/>
  <c r="BQ87" i="56" s="1"/>
  <c r="BM105" i="56"/>
  <c r="BN105" i="56" s="1"/>
  <c r="BM292" i="56"/>
  <c r="BN292" i="56" s="1"/>
  <c r="BM210" i="56"/>
  <c r="BN210" i="56" s="1"/>
  <c r="BM139" i="56"/>
  <c r="BN139" i="56" s="1"/>
  <c r="BM78" i="56"/>
  <c r="BN78" i="56" s="1"/>
  <c r="BP30" i="56"/>
  <c r="BQ30" i="56" s="1"/>
  <c r="BM291" i="56"/>
  <c r="BN291" i="56" s="1"/>
  <c r="BM90" i="56"/>
  <c r="BN90" i="56" s="1"/>
  <c r="BP41" i="56"/>
  <c r="BQ41" i="56" s="1"/>
  <c r="BM41" i="56"/>
  <c r="BN41" i="56" s="1"/>
  <c r="BP313" i="56"/>
  <c r="BQ313" i="56" s="1"/>
  <c r="BM313" i="56"/>
  <c r="BN313" i="56" s="1"/>
  <c r="BM240" i="56"/>
  <c r="BN240" i="56" s="1"/>
  <c r="BP240" i="56"/>
  <c r="BQ240" i="56" s="1"/>
  <c r="BP100" i="56"/>
  <c r="BQ100" i="56" s="1"/>
  <c r="BM100" i="56"/>
  <c r="BN100" i="56" s="1"/>
  <c r="BP219" i="56"/>
  <c r="BQ219" i="56" s="1"/>
  <c r="BP290" i="56"/>
  <c r="BQ290" i="56" s="1"/>
  <c r="BM252" i="56"/>
  <c r="BN252" i="56" s="1"/>
  <c r="BM228" i="56"/>
  <c r="BN228" i="56" s="1"/>
  <c r="BP228" i="56"/>
  <c r="BQ228" i="56" s="1"/>
  <c r="BP204" i="56"/>
  <c r="BQ204" i="56" s="1"/>
  <c r="BM204" i="56"/>
  <c r="BN204" i="56" s="1"/>
  <c r="BM193" i="56"/>
  <c r="BN193" i="56" s="1"/>
  <c r="BP193" i="56"/>
  <c r="BQ193" i="56" s="1"/>
  <c r="BM182" i="56"/>
  <c r="BN182" i="56" s="1"/>
  <c r="BP182" i="56"/>
  <c r="BQ182" i="56" s="1"/>
  <c r="BP170" i="56"/>
  <c r="BQ170" i="56" s="1"/>
  <c r="BM170" i="56"/>
  <c r="BN170" i="56" s="1"/>
  <c r="BM158" i="56"/>
  <c r="BN158" i="56" s="1"/>
  <c r="BM146" i="56"/>
  <c r="BN146" i="56" s="1"/>
  <c r="BM134" i="56"/>
  <c r="BN134" i="56" s="1"/>
  <c r="BP134" i="56"/>
  <c r="BQ134" i="56" s="1"/>
  <c r="BM122" i="56"/>
  <c r="BN122" i="56" s="1"/>
  <c r="BP122" i="56"/>
  <c r="BQ122" i="56" s="1"/>
  <c r="BP110" i="56"/>
  <c r="BQ110" i="56" s="1"/>
  <c r="BM98" i="56"/>
  <c r="BN98" i="56" s="1"/>
  <c r="BP98" i="56"/>
  <c r="BQ98" i="56" s="1"/>
  <c r="BM86" i="56"/>
  <c r="BN86" i="56" s="1"/>
  <c r="BP86" i="56"/>
  <c r="BQ86" i="56" s="1"/>
  <c r="BP73" i="56"/>
  <c r="BQ73" i="56" s="1"/>
  <c r="BM73" i="56"/>
  <c r="BN73" i="56" s="1"/>
  <c r="BP61" i="56"/>
  <c r="BQ61" i="56" s="1"/>
  <c r="BM61" i="56"/>
  <c r="BN61" i="56" s="1"/>
  <c r="BP49" i="56"/>
  <c r="BQ49" i="56" s="1"/>
  <c r="BM49" i="56"/>
  <c r="BN49" i="56" s="1"/>
  <c r="BM37" i="56"/>
  <c r="BN37" i="56" s="1"/>
  <c r="BP37" i="56"/>
  <c r="BQ37" i="56" s="1"/>
  <c r="BP25" i="56"/>
  <c r="BQ25" i="56" s="1"/>
  <c r="BM12" i="56"/>
  <c r="BN12" i="56" s="1"/>
  <c r="BP111" i="56"/>
  <c r="BQ111" i="56" s="1"/>
  <c r="BM316" i="56"/>
  <c r="BN316" i="56" s="1"/>
  <c r="BP249" i="56"/>
  <c r="BQ249" i="56" s="1"/>
  <c r="BM110" i="56"/>
  <c r="BN110" i="56" s="1"/>
  <c r="BP197" i="56"/>
  <c r="BQ197" i="56" s="1"/>
  <c r="BP53" i="56"/>
  <c r="BQ53" i="56" s="1"/>
  <c r="BP174" i="56"/>
  <c r="BQ174" i="56" s="1"/>
  <c r="BM166" i="56"/>
  <c r="BN166" i="56" s="1"/>
  <c r="BM30" i="56"/>
  <c r="BN30" i="56" s="1"/>
  <c r="BM213" i="56"/>
  <c r="BN213" i="56" s="1"/>
  <c r="BP105" i="56"/>
  <c r="BQ105" i="56" s="1"/>
  <c r="BM259" i="56"/>
  <c r="BN259" i="56" s="1"/>
  <c r="BP309" i="56"/>
  <c r="BQ309" i="56" s="1"/>
  <c r="BM91" i="56"/>
  <c r="BN91" i="56" s="1"/>
  <c r="BM42" i="56"/>
  <c r="BN42" i="56" s="1"/>
  <c r="BM220" i="56"/>
  <c r="BN220" i="56" s="1"/>
  <c r="BM150" i="56"/>
  <c r="BN150" i="56" s="1"/>
  <c r="BP77" i="56"/>
  <c r="BQ77" i="56" s="1"/>
  <c r="BM77" i="56"/>
  <c r="BN77" i="56" s="1"/>
  <c r="BM16" i="56"/>
  <c r="BN16" i="56" s="1"/>
  <c r="BM253" i="56"/>
  <c r="BN253" i="56" s="1"/>
  <c r="BM111" i="56"/>
  <c r="BN111" i="56" s="1"/>
  <c r="BM309" i="56"/>
  <c r="BN309" i="56" s="1"/>
  <c r="BM278" i="56"/>
  <c r="BN278" i="56" s="1"/>
  <c r="BP278" i="56"/>
  <c r="BQ278" i="56" s="1"/>
  <c r="BM239" i="56"/>
  <c r="BN239" i="56" s="1"/>
  <c r="BP239" i="56"/>
  <c r="BQ239" i="56" s="1"/>
  <c r="BM216" i="56"/>
  <c r="BN216" i="56" s="1"/>
  <c r="BM308" i="56"/>
  <c r="BN308" i="56" s="1"/>
  <c r="BM298" i="56"/>
  <c r="BN298" i="56" s="1"/>
  <c r="BM289" i="56"/>
  <c r="BN289" i="56" s="1"/>
  <c r="BP289" i="56"/>
  <c r="BQ289" i="56" s="1"/>
  <c r="BM277" i="56"/>
  <c r="BN277" i="56" s="1"/>
  <c r="BP277" i="56"/>
  <c r="BQ277" i="56" s="1"/>
  <c r="BP265" i="56"/>
  <c r="BQ265" i="56" s="1"/>
  <c r="BM265" i="56"/>
  <c r="BN265" i="56" s="1"/>
  <c r="BM251" i="56"/>
  <c r="BN251" i="56" s="1"/>
  <c r="BM238" i="56"/>
  <c r="BN238" i="56" s="1"/>
  <c r="BM227" i="56"/>
  <c r="BN227" i="56" s="1"/>
  <c r="BM215" i="56"/>
  <c r="BN215" i="56" s="1"/>
  <c r="BP192" i="56"/>
  <c r="BQ192" i="56" s="1"/>
  <c r="BM192" i="56"/>
  <c r="BN192" i="56" s="1"/>
  <c r="BM181" i="56"/>
  <c r="BN181" i="56" s="1"/>
  <c r="BP181" i="56"/>
  <c r="BQ181" i="56" s="1"/>
  <c r="BP169" i="56"/>
  <c r="BQ169" i="56" s="1"/>
  <c r="BM169" i="56"/>
  <c r="BN169" i="56" s="1"/>
  <c r="BP157" i="56"/>
  <c r="BQ157" i="56" s="1"/>
  <c r="BP145" i="56"/>
  <c r="BQ145" i="56" s="1"/>
  <c r="BM145" i="56"/>
  <c r="BN145" i="56" s="1"/>
  <c r="BM133" i="56"/>
  <c r="BN133" i="56" s="1"/>
  <c r="BP133" i="56"/>
  <c r="BQ133" i="56" s="1"/>
  <c r="BP121" i="56"/>
  <c r="BQ121" i="56" s="1"/>
  <c r="BP109" i="56"/>
  <c r="BQ109" i="56" s="1"/>
  <c r="BM109" i="56"/>
  <c r="BN109" i="56" s="1"/>
  <c r="BM97" i="56"/>
  <c r="BN97" i="56" s="1"/>
  <c r="BM85" i="56"/>
  <c r="BN85" i="56" s="1"/>
  <c r="BP85" i="56"/>
  <c r="BQ85" i="56" s="1"/>
  <c r="BP72" i="56"/>
  <c r="BQ72" i="56" s="1"/>
  <c r="BM72" i="56"/>
  <c r="BN72" i="56" s="1"/>
  <c r="BM60" i="56"/>
  <c r="BN60" i="56" s="1"/>
  <c r="BP60" i="56"/>
  <c r="BQ60" i="56" s="1"/>
  <c r="BM48" i="56"/>
  <c r="BN48" i="56" s="1"/>
  <c r="BP48" i="56"/>
  <c r="BQ48" i="56" s="1"/>
  <c r="BM36" i="56"/>
  <c r="BN36" i="56" s="1"/>
  <c r="BP36" i="56"/>
  <c r="BQ36" i="56" s="1"/>
  <c r="BM24" i="56"/>
  <c r="BN24" i="56" s="1"/>
  <c r="BP24" i="56"/>
  <c r="BQ24" i="56" s="1"/>
  <c r="BM11" i="56"/>
  <c r="BN11" i="56" s="1"/>
  <c r="BM125" i="56"/>
  <c r="BN125" i="56" s="1"/>
  <c r="BM249" i="56"/>
  <c r="BN249" i="56" s="1"/>
  <c r="BM254" i="56"/>
  <c r="BN254" i="56" s="1"/>
  <c r="BM54" i="56"/>
  <c r="BN54" i="56" s="1"/>
  <c r="BP69" i="56"/>
  <c r="BQ69" i="56" s="1"/>
  <c r="BP212" i="56"/>
  <c r="BQ212" i="56" s="1"/>
  <c r="BM257" i="56"/>
  <c r="BN257" i="56" s="1"/>
  <c r="BP292" i="56"/>
  <c r="BQ292" i="56" s="1"/>
  <c r="BP300" i="56"/>
  <c r="BQ300" i="56" s="1"/>
  <c r="BM300" i="56"/>
  <c r="BN300" i="56" s="1"/>
  <c r="BP205" i="56"/>
  <c r="BQ205" i="56" s="1"/>
  <c r="BM205" i="56"/>
  <c r="BN205" i="56" s="1"/>
  <c r="BM135" i="56"/>
  <c r="BN135" i="56" s="1"/>
  <c r="BP78" i="56"/>
  <c r="BQ78" i="56" s="1"/>
  <c r="BP299" i="56"/>
  <c r="BQ299" i="56" s="1"/>
  <c r="BM299" i="56"/>
  <c r="BN299" i="56" s="1"/>
  <c r="BM266" i="56"/>
  <c r="BN266" i="56" s="1"/>
  <c r="BP266" i="56"/>
  <c r="BQ266" i="56" s="1"/>
  <c r="BM307" i="56"/>
  <c r="BN307" i="56" s="1"/>
  <c r="BM288" i="56"/>
  <c r="BN288" i="56" s="1"/>
  <c r="BP288" i="56"/>
  <c r="BQ288" i="56" s="1"/>
  <c r="BM276" i="56"/>
  <c r="BN276" i="56" s="1"/>
  <c r="BP276" i="56"/>
  <c r="BQ276" i="56" s="1"/>
  <c r="BP264" i="56"/>
  <c r="BQ264" i="56" s="1"/>
  <c r="BM264" i="56"/>
  <c r="BN264" i="56" s="1"/>
  <c r="BM237" i="56"/>
  <c r="BN237" i="56" s="1"/>
  <c r="BM226" i="56"/>
  <c r="BN226" i="56" s="1"/>
  <c r="BM214" i="56"/>
  <c r="BN214" i="56" s="1"/>
  <c r="BM203" i="56"/>
  <c r="BN203" i="56" s="1"/>
  <c r="BM191" i="56"/>
  <c r="BN191" i="56" s="1"/>
  <c r="BP180" i="56"/>
  <c r="BQ180" i="56" s="1"/>
  <c r="BM180" i="56"/>
  <c r="BN180" i="56" s="1"/>
  <c r="BP168" i="56"/>
  <c r="BQ168" i="56" s="1"/>
  <c r="BM168" i="56"/>
  <c r="BN168" i="56" s="1"/>
  <c r="BP156" i="56"/>
  <c r="BQ156" i="56" s="1"/>
  <c r="BP144" i="56"/>
  <c r="BQ144" i="56" s="1"/>
  <c r="BM144" i="56"/>
  <c r="BN144" i="56" s="1"/>
  <c r="BP132" i="56"/>
  <c r="BQ132" i="56" s="1"/>
  <c r="BM132" i="56"/>
  <c r="BN132" i="56" s="1"/>
  <c r="BM120" i="56"/>
  <c r="BN120" i="56" s="1"/>
  <c r="BP108" i="56"/>
  <c r="BQ108" i="56" s="1"/>
  <c r="BM108" i="56"/>
  <c r="BN108" i="56" s="1"/>
  <c r="BP96" i="56"/>
  <c r="BQ96" i="56" s="1"/>
  <c r="BM96" i="56"/>
  <c r="BN96" i="56" s="1"/>
  <c r="BP84" i="56"/>
  <c r="BQ84" i="56" s="1"/>
  <c r="BM84" i="56"/>
  <c r="BN84" i="56" s="1"/>
  <c r="BM71" i="56"/>
  <c r="BN71" i="56" s="1"/>
  <c r="BM59" i="56"/>
  <c r="BN59" i="56" s="1"/>
  <c r="BM47" i="56"/>
  <c r="BN47" i="56" s="1"/>
  <c r="BM35" i="56"/>
  <c r="BN35" i="56" s="1"/>
  <c r="BM23" i="56"/>
  <c r="BN23" i="56" s="1"/>
  <c r="BM10" i="56"/>
  <c r="BN10" i="56" s="1"/>
  <c r="BM137" i="56"/>
  <c r="BN137" i="56" s="1"/>
  <c r="BM157" i="56"/>
  <c r="BN157" i="56" s="1"/>
  <c r="BM66" i="56"/>
  <c r="BN66" i="56" s="1"/>
  <c r="BM19" i="56"/>
  <c r="BN19" i="56" s="1"/>
  <c r="BM315" i="56"/>
  <c r="BN315" i="56" s="1"/>
  <c r="BP315" i="56"/>
  <c r="BQ315" i="56" s="1"/>
  <c r="BM256" i="56"/>
  <c r="BN256" i="56" s="1"/>
  <c r="BM209" i="56"/>
  <c r="BN209" i="56" s="1"/>
  <c r="BP311" i="56"/>
  <c r="BQ311" i="56" s="1"/>
  <c r="BM311" i="56"/>
  <c r="BN311" i="56" s="1"/>
  <c r="BP217" i="56"/>
  <c r="BQ217" i="56" s="1"/>
  <c r="BM217" i="56"/>
  <c r="BN217" i="56" s="1"/>
  <c r="BP159" i="56"/>
  <c r="BQ159" i="56" s="1"/>
  <c r="BP74" i="56"/>
  <c r="BQ74" i="56" s="1"/>
  <c r="BM74" i="56"/>
  <c r="BN74" i="56" s="1"/>
  <c r="BP263" i="56"/>
  <c r="BQ263" i="56" s="1"/>
  <c r="BM263" i="56"/>
  <c r="BN263" i="56" s="1"/>
  <c r="BM179" i="56"/>
  <c r="BN179" i="56" s="1"/>
  <c r="BM155" i="56"/>
  <c r="BN155" i="56" s="1"/>
  <c r="BM143" i="56"/>
  <c r="BN143" i="56" s="1"/>
  <c r="BM131" i="56"/>
  <c r="BN131" i="56" s="1"/>
  <c r="BM119" i="56"/>
  <c r="BN119" i="56" s="1"/>
  <c r="BM95" i="56"/>
  <c r="BN95" i="56" s="1"/>
  <c r="BM82" i="56"/>
  <c r="BN82" i="56" s="1"/>
  <c r="BM70" i="56"/>
  <c r="BN70" i="56" s="1"/>
  <c r="BM58" i="56"/>
  <c r="BN58" i="56" s="1"/>
  <c r="BM46" i="56"/>
  <c r="BN46" i="56" s="1"/>
  <c r="BM34" i="56"/>
  <c r="BN34" i="56" s="1"/>
  <c r="BM22" i="56"/>
  <c r="BN22" i="56" s="1"/>
  <c r="BM161" i="56"/>
  <c r="BN161" i="56" s="1"/>
  <c r="BP251" i="56"/>
  <c r="BQ251" i="56" s="1"/>
  <c r="BM189" i="56"/>
  <c r="BN189" i="56" s="1"/>
  <c r="BP90" i="56"/>
  <c r="BQ90" i="56" s="1"/>
  <c r="BP221" i="56"/>
  <c r="BQ221" i="56" s="1"/>
  <c r="BP19" i="56"/>
  <c r="BQ19" i="56" s="1"/>
  <c r="BM295" i="56"/>
  <c r="BN295" i="56" s="1"/>
  <c r="BM236" i="56"/>
  <c r="BN236" i="56" s="1"/>
  <c r="BP120" i="56"/>
  <c r="BQ120" i="56" s="1"/>
  <c r="BM283" i="56"/>
  <c r="BN283" i="56" s="1"/>
  <c r="BM127" i="56"/>
  <c r="BN127" i="56" s="1"/>
  <c r="BM208" i="56"/>
  <c r="BN208" i="56" s="1"/>
  <c r="BP208" i="56"/>
  <c r="BQ208" i="56" s="1"/>
  <c r="BM303" i="56"/>
  <c r="BN303" i="56" s="1"/>
  <c r="BM279" i="56"/>
  <c r="BN279" i="56" s="1"/>
  <c r="BP62" i="56"/>
  <c r="BQ62" i="56" s="1"/>
  <c r="BP65" i="56"/>
  <c r="BQ65" i="56" s="1"/>
  <c r="BM296" i="56"/>
  <c r="BN296" i="56" s="1"/>
  <c r="BM225" i="56"/>
  <c r="BN225" i="56" s="1"/>
  <c r="BM202" i="56"/>
  <c r="BN202" i="56" s="1"/>
  <c r="BM167" i="56"/>
  <c r="BN167" i="56" s="1"/>
  <c r="BP306" i="56"/>
  <c r="BQ306" i="56" s="1"/>
  <c r="BM286" i="56"/>
  <c r="BN286" i="56" s="1"/>
  <c r="BM262" i="56"/>
  <c r="BN262" i="56" s="1"/>
  <c r="BM142" i="56"/>
  <c r="BN142" i="56" s="1"/>
  <c r="BM118" i="56"/>
  <c r="BN118" i="56" s="1"/>
  <c r="BM94" i="56"/>
  <c r="BN94" i="56" s="1"/>
  <c r="BM69" i="56"/>
  <c r="BN69" i="56" s="1"/>
  <c r="BM57" i="56"/>
  <c r="BN57" i="56" s="1"/>
  <c r="BM45" i="56"/>
  <c r="BN45" i="56" s="1"/>
  <c r="BM33" i="56"/>
  <c r="BN33" i="56" s="1"/>
  <c r="BM21" i="56"/>
  <c r="BN21" i="56" s="1"/>
  <c r="BP283" i="56"/>
  <c r="BQ283" i="56" s="1"/>
  <c r="BP189" i="56"/>
  <c r="BQ189" i="56" s="1"/>
  <c r="BM103" i="56"/>
  <c r="BN103" i="56" s="1"/>
  <c r="BM7" i="56"/>
  <c r="BN7" i="56" s="1"/>
  <c r="BM221" i="56"/>
  <c r="BN221" i="56" s="1"/>
  <c r="BM31" i="56"/>
  <c r="BN31" i="56" s="1"/>
  <c r="BM306" i="56"/>
  <c r="BN306" i="56" s="1"/>
  <c r="BM290" i="56"/>
  <c r="BN290" i="56" s="1"/>
  <c r="BP97" i="56"/>
  <c r="BQ97" i="56" s="1"/>
  <c r="BM17" i="56"/>
  <c r="BN17" i="56" s="1"/>
  <c r="BP267" i="56"/>
  <c r="BQ267" i="56" s="1"/>
  <c r="BP253" i="56"/>
  <c r="BQ253" i="56" s="1"/>
  <c r="BP150" i="56"/>
  <c r="BQ150" i="56" s="1"/>
  <c r="BP304" i="56"/>
  <c r="BQ304" i="56" s="1"/>
  <c r="BP234" i="56"/>
  <c r="BQ234" i="56" s="1"/>
  <c r="BP47" i="56"/>
  <c r="BQ47" i="56" s="1"/>
  <c r="BP295" i="56"/>
  <c r="BQ295" i="56" s="1"/>
  <c r="BM223" i="56"/>
  <c r="BN223" i="56" s="1"/>
  <c r="BP282" i="56"/>
  <c r="BQ282" i="56" s="1"/>
  <c r="BP184" i="56"/>
  <c r="BQ184" i="56" s="1"/>
  <c r="BP166" i="56"/>
  <c r="BQ166" i="56" s="1"/>
  <c r="BP231" i="56"/>
  <c r="BQ231" i="56" s="1"/>
  <c r="BM234" i="56"/>
  <c r="BN234" i="56" s="1"/>
  <c r="BP250" i="56"/>
  <c r="BQ250" i="56" s="1"/>
  <c r="BP127" i="56"/>
  <c r="BQ127" i="56" s="1"/>
  <c r="BP210" i="56"/>
  <c r="BQ210" i="56" s="1"/>
  <c r="BP164" i="56"/>
  <c r="BQ164" i="56" s="1"/>
  <c r="BP258" i="56"/>
  <c r="BQ258" i="56" s="1"/>
  <c r="BM177" i="56"/>
  <c r="BN177" i="56" s="1"/>
  <c r="BP167" i="56"/>
  <c r="BQ167" i="56" s="1"/>
  <c r="BP178" i="56"/>
  <c r="BQ178" i="56" s="1"/>
  <c r="BP226" i="56"/>
  <c r="BQ226" i="56" s="1"/>
  <c r="BP274" i="56"/>
  <c r="BQ274" i="56" s="1"/>
  <c r="BM317" i="56"/>
  <c r="BN317" i="56" s="1"/>
  <c r="BM285" i="56"/>
  <c r="BN285" i="56" s="1"/>
  <c r="BM261" i="56"/>
  <c r="BN261" i="56" s="1"/>
  <c r="BM246" i="56"/>
  <c r="BN246" i="56" s="1"/>
  <c r="BM200" i="56"/>
  <c r="BN200" i="56" s="1"/>
  <c r="BM153" i="56"/>
  <c r="BN153" i="56" s="1"/>
  <c r="BM141" i="56"/>
  <c r="BN141" i="56" s="1"/>
  <c r="BM106" i="56"/>
  <c r="BN106" i="56" s="1"/>
  <c r="BM68" i="56"/>
  <c r="BN68" i="56" s="1"/>
  <c r="BM44" i="56"/>
  <c r="BN44" i="56" s="1"/>
  <c r="BM260" i="56"/>
  <c r="BP147" i="56"/>
  <c r="BQ147" i="56" s="1"/>
  <c r="BP296" i="56"/>
  <c r="BQ296" i="56" s="1"/>
  <c r="BM294" i="56"/>
  <c r="BN294" i="56" s="1"/>
  <c r="BP9" i="56"/>
  <c r="BQ9" i="56" s="1"/>
  <c r="BP158" i="56"/>
  <c r="BQ158" i="56" s="1"/>
  <c r="BP256" i="56"/>
  <c r="BQ256" i="56" s="1"/>
  <c r="BP31" i="56"/>
  <c r="BQ31" i="56" s="1"/>
  <c r="BP10" i="56"/>
  <c r="BQ10" i="56" s="1"/>
  <c r="BM258" i="56"/>
  <c r="BN258" i="56" s="1"/>
  <c r="BP183" i="56"/>
  <c r="BQ183" i="56" s="1"/>
  <c r="BP279" i="56"/>
  <c r="BQ279" i="56" s="1"/>
  <c r="BP39" i="56"/>
  <c r="BQ39" i="56" s="1"/>
  <c r="BP202" i="56"/>
  <c r="BQ202" i="56" s="1"/>
  <c r="BP16" i="56"/>
  <c r="BQ16" i="56" s="1"/>
  <c r="BP22" i="56"/>
  <c r="BQ22" i="56" s="1"/>
  <c r="BP269" i="56"/>
  <c r="BQ269" i="56" s="1"/>
  <c r="BM56" i="56"/>
  <c r="BN56" i="56" s="1"/>
  <c r="BP163" i="56"/>
  <c r="BQ163" i="56" s="1"/>
  <c r="BP244" i="56"/>
  <c r="BQ244" i="56" s="1"/>
  <c r="BP275" i="56"/>
  <c r="BQ275" i="56" s="1"/>
  <c r="BP116" i="56"/>
  <c r="BQ116" i="56" s="1"/>
  <c r="BP272" i="56"/>
  <c r="BQ272" i="56" s="1"/>
  <c r="BP34" i="56"/>
  <c r="BQ34" i="56" s="1"/>
  <c r="BP119" i="56"/>
  <c r="BQ119" i="56" s="1"/>
  <c r="BP155" i="56"/>
  <c r="BQ155" i="56" s="1"/>
  <c r="BP91" i="56"/>
  <c r="BQ91" i="56" s="1"/>
  <c r="BP43" i="56"/>
  <c r="BQ43" i="56" s="1"/>
  <c r="BP211" i="56"/>
  <c r="BQ211" i="56" s="1"/>
  <c r="BP33" i="56"/>
  <c r="BQ33" i="56" s="1"/>
  <c r="BP227" i="56"/>
  <c r="BQ227" i="56" s="1"/>
  <c r="BP21" i="56"/>
  <c r="BQ21" i="56" s="1"/>
  <c r="BP316" i="56"/>
  <c r="BQ316" i="56" s="1"/>
  <c r="BP297" i="56"/>
  <c r="BQ297" i="56" s="1"/>
  <c r="BP51" i="56"/>
  <c r="BQ51" i="56" s="1"/>
  <c r="BP8" i="56"/>
  <c r="BQ8" i="56" s="1"/>
  <c r="BP225" i="56"/>
  <c r="BQ225" i="56" s="1"/>
  <c r="BP126" i="56"/>
  <c r="BQ126" i="56" s="1"/>
  <c r="BP198" i="56"/>
  <c r="BQ198" i="56" s="1"/>
  <c r="BP281" i="56"/>
  <c r="BQ281" i="56" s="1"/>
  <c r="BP298" i="56"/>
  <c r="BQ298" i="56" s="1"/>
  <c r="BP175" i="56"/>
  <c r="BQ175" i="56" s="1"/>
  <c r="BP257" i="56"/>
  <c r="BQ257" i="56" s="1"/>
  <c r="BP222" i="56"/>
  <c r="BQ222" i="56" s="1"/>
  <c r="BP58" i="56"/>
  <c r="BQ58" i="56" s="1"/>
  <c r="BP18" i="56"/>
  <c r="BQ18" i="56" s="1"/>
  <c r="BP104" i="56"/>
  <c r="BQ104" i="56" s="1"/>
  <c r="BP140" i="56"/>
  <c r="BQ140" i="56" s="1"/>
  <c r="BP233" i="56"/>
  <c r="BQ233" i="56" s="1"/>
  <c r="BP235" i="56"/>
  <c r="BQ235" i="56" s="1"/>
  <c r="BM83" i="56"/>
  <c r="BP12" i="56"/>
  <c r="BQ12" i="56" s="1"/>
  <c r="BP63" i="56"/>
  <c r="BQ63" i="56" s="1"/>
  <c r="BP45" i="56"/>
  <c r="BQ45" i="56" s="1"/>
  <c r="BP203" i="56"/>
  <c r="BQ203" i="56" s="1"/>
  <c r="BP190" i="56"/>
  <c r="BQ190" i="56" s="1"/>
  <c r="BP138" i="56"/>
  <c r="BQ138" i="56" s="1"/>
  <c r="BP209" i="56"/>
  <c r="BQ209" i="56" s="1"/>
  <c r="BP293" i="56"/>
  <c r="BQ293" i="56" s="1"/>
  <c r="BM129" i="56"/>
  <c r="BN129" i="56" s="1"/>
  <c r="BP54" i="56"/>
  <c r="BQ54" i="56" s="1"/>
  <c r="BP187" i="56"/>
  <c r="BQ187" i="56" s="1"/>
  <c r="BP317" i="56"/>
  <c r="BQ317" i="56" s="1"/>
  <c r="BP67" i="56"/>
  <c r="BQ67" i="56" s="1"/>
  <c r="BM93" i="56"/>
  <c r="BN93" i="56" s="1"/>
  <c r="BP179" i="56"/>
  <c r="BQ179" i="56" s="1"/>
  <c r="BP214" i="56"/>
  <c r="BQ214" i="56" s="1"/>
  <c r="BM38" i="56"/>
  <c r="BN38" i="56" s="1"/>
  <c r="BP26" i="56"/>
  <c r="BQ26" i="56" s="1"/>
  <c r="BP13" i="56"/>
  <c r="BQ13" i="56" s="1"/>
  <c r="BP255" i="56"/>
  <c r="BQ255" i="56" s="1"/>
  <c r="BP15" i="56"/>
  <c r="BQ15" i="56" s="1"/>
  <c r="BP112" i="56"/>
  <c r="BQ112" i="56" s="1"/>
  <c r="BP94" i="56"/>
  <c r="BQ94" i="56" s="1"/>
  <c r="BP237" i="56"/>
  <c r="BQ237" i="56" s="1"/>
  <c r="BP224" i="56"/>
  <c r="BQ224" i="56" s="1"/>
  <c r="BP270" i="56"/>
  <c r="BQ270" i="56" s="1"/>
  <c r="BP59" i="56"/>
  <c r="BQ59" i="56" s="1"/>
  <c r="BP220" i="56"/>
  <c r="BQ220" i="56" s="1"/>
  <c r="BP129" i="56"/>
  <c r="BQ129" i="56" s="1"/>
  <c r="BP260" i="56"/>
  <c r="BP115" i="56"/>
  <c r="BQ115" i="56" s="1"/>
  <c r="BP284" i="56"/>
  <c r="BQ284" i="56" s="1"/>
  <c r="BP245" i="56"/>
  <c r="BQ245" i="56" s="1"/>
  <c r="BP95" i="56"/>
  <c r="BQ95" i="56" s="1"/>
  <c r="BP236" i="56"/>
  <c r="BQ236" i="56" s="1"/>
  <c r="BP71" i="56"/>
  <c r="BQ71" i="56" s="1"/>
  <c r="BP247" i="56"/>
  <c r="BQ247" i="56" s="1"/>
  <c r="BP291" i="56"/>
  <c r="BQ291" i="56" s="1"/>
  <c r="BP165" i="56"/>
  <c r="BQ165" i="56" s="1"/>
  <c r="BP188" i="56"/>
  <c r="BQ188" i="56" s="1"/>
  <c r="BP93" i="56"/>
  <c r="BQ93" i="56" s="1"/>
  <c r="BP11" i="56"/>
  <c r="BQ11" i="56" s="1"/>
  <c r="BP199" i="56"/>
  <c r="BQ199" i="56" s="1"/>
  <c r="BP261" i="56"/>
  <c r="BQ261" i="56" s="1"/>
  <c r="BP215" i="56"/>
  <c r="BQ215" i="56" s="1"/>
  <c r="BP130" i="56"/>
  <c r="BQ130" i="56" s="1"/>
  <c r="BP81" i="56"/>
  <c r="BQ81" i="56" s="1"/>
  <c r="BP32" i="56"/>
  <c r="BQ32" i="56" s="1"/>
  <c r="BP70" i="56"/>
  <c r="BQ70" i="56" s="1"/>
  <c r="BP148" i="56"/>
  <c r="BQ148" i="56" s="1"/>
  <c r="BP75" i="56"/>
  <c r="BQ75" i="56" s="1"/>
  <c r="BP118" i="56"/>
  <c r="BQ118" i="56" s="1"/>
  <c r="BP259" i="56"/>
  <c r="BQ259" i="56" s="1"/>
  <c r="BP114" i="56"/>
  <c r="BQ114" i="56" s="1"/>
  <c r="BP186" i="56"/>
  <c r="BQ186" i="56" s="1"/>
  <c r="BP7" i="56"/>
  <c r="BQ7" i="56" s="1"/>
  <c r="BP223" i="56"/>
  <c r="BQ223" i="56" s="1"/>
  <c r="BP55" i="56"/>
  <c r="BQ55" i="56" s="1"/>
  <c r="BP128" i="56"/>
  <c r="BQ128" i="56" s="1"/>
  <c r="BP200" i="56"/>
  <c r="BQ200" i="56" s="1"/>
  <c r="BP141" i="56"/>
  <c r="BQ141" i="56" s="1"/>
  <c r="BP46" i="56"/>
  <c r="BQ46" i="56" s="1"/>
  <c r="BP57" i="56"/>
  <c r="BQ57" i="56" s="1"/>
  <c r="BP177" i="56"/>
  <c r="BQ177" i="56" s="1"/>
  <c r="BP82" i="56"/>
  <c r="BQ82" i="56" s="1"/>
  <c r="BP307" i="56"/>
  <c r="BQ307" i="56" s="1"/>
  <c r="BP146" i="56"/>
  <c r="BQ146" i="56" s="1"/>
  <c r="BP153" i="56"/>
  <c r="BQ153" i="56" s="1"/>
  <c r="BP23" i="56"/>
  <c r="BQ23" i="56" s="1"/>
  <c r="BP238" i="56"/>
  <c r="BQ238" i="56" s="1"/>
  <c r="BP68" i="56"/>
  <c r="BQ68" i="56" s="1"/>
  <c r="BP216" i="56"/>
  <c r="BQ216" i="56" s="1"/>
  <c r="BP79" i="56"/>
  <c r="BQ79" i="56" s="1"/>
  <c r="BP152" i="56"/>
  <c r="BQ152" i="56" s="1"/>
  <c r="BP262" i="56"/>
  <c r="BQ262" i="56" s="1"/>
  <c r="BP246" i="56"/>
  <c r="BQ246" i="56" s="1"/>
  <c r="BP131" i="56"/>
  <c r="BQ131" i="56" s="1"/>
  <c r="BP191" i="56"/>
  <c r="BQ191" i="56" s="1"/>
  <c r="BP35" i="56"/>
  <c r="BQ35" i="56" s="1"/>
  <c r="BP106" i="56"/>
  <c r="BQ106" i="56" s="1"/>
  <c r="BP286" i="56"/>
  <c r="BQ286" i="56" s="1"/>
  <c r="BP308" i="56"/>
  <c r="BQ308" i="56" s="1"/>
  <c r="AL325" i="45"/>
  <c r="F317" i="66"/>
  <c r="AK3" i="45"/>
  <c r="AJ325" i="45"/>
  <c r="AJ3" i="45"/>
  <c r="AL3" i="45" s="1"/>
  <c r="Y319" i="65"/>
  <c r="AI4" i="45"/>
  <c r="BM6" i="56" s="1"/>
  <c r="BN6" i="56" s="1"/>
  <c r="Y318" i="65"/>
  <c r="AA297" i="45"/>
  <c r="AA179" i="45"/>
  <c r="BP6" i="56" l="1"/>
  <c r="BM5" i="56"/>
  <c r="AI325" i="45"/>
  <c r="BG5" i="56"/>
  <c r="AI3" i="45"/>
  <c r="AA299" i="45"/>
  <c r="AA158" i="45"/>
  <c r="AA86" i="45"/>
  <c r="AA68" i="45"/>
  <c r="BQ6" i="56" l="1"/>
  <c r="BP5" i="56"/>
  <c r="B1" i="20"/>
  <c r="B1" i="17"/>
  <c r="BD17" i="56"/>
  <c r="BD99" i="56"/>
  <c r="BD248" i="56"/>
  <c r="BD310" i="56"/>
  <c r="BD83" i="56"/>
  <c r="AW83" i="56"/>
  <c r="AW99" i="56"/>
  <c r="AW248" i="56"/>
  <c r="AW310" i="56"/>
  <c r="AT17" i="56"/>
  <c r="BH17" i="56" s="1"/>
  <c r="AT83" i="56"/>
  <c r="AT99" i="56"/>
  <c r="AT240" i="56"/>
  <c r="BH240" i="56" s="1"/>
  <c r="AT248" i="56"/>
  <c r="AT260" i="56"/>
  <c r="AT310" i="56"/>
  <c r="AI83" i="56"/>
  <c r="AI99" i="56"/>
  <c r="AI248" i="56"/>
  <c r="AI310" i="56"/>
  <c r="AF99" i="56"/>
  <c r="AF240" i="56"/>
  <c r="AF248" i="56"/>
  <c r="AF258" i="56"/>
  <c r="AF260" i="56"/>
  <c r="AF310" i="56"/>
  <c r="AF17" i="56"/>
  <c r="AF83" i="56"/>
  <c r="AA87" i="45"/>
  <c r="AA88" i="45"/>
  <c r="AA89" i="45"/>
  <c r="AA90" i="45"/>
  <c r="AA91" i="45"/>
  <c r="AA92" i="45"/>
  <c r="AA93" i="45"/>
  <c r="AA94" i="45"/>
  <c r="AA95" i="45"/>
  <c r="AA96" i="45"/>
  <c r="AA97" i="45"/>
  <c r="AA99" i="45"/>
  <c r="AA100" i="45"/>
  <c r="AA101" i="45"/>
  <c r="AA102" i="45"/>
  <c r="AA103" i="45"/>
  <c r="AA104" i="45"/>
  <c r="AA105" i="45"/>
  <c r="AA106" i="45"/>
  <c r="AA107" i="45"/>
  <c r="AA108" i="45"/>
  <c r="AA109" i="45"/>
  <c r="AA111" i="45"/>
  <c r="AA112" i="45"/>
  <c r="AA113" i="45"/>
  <c r="AA114" i="45"/>
  <c r="AA115" i="45"/>
  <c r="AA116" i="45"/>
  <c r="AA117" i="45"/>
  <c r="AA118" i="45"/>
  <c r="AA119" i="45"/>
  <c r="AA120" i="45"/>
  <c r="AA121" i="45"/>
  <c r="AA122" i="45"/>
  <c r="AA123" i="45"/>
  <c r="AA124" i="45"/>
  <c r="AA125" i="45"/>
  <c r="AA126" i="45"/>
  <c r="AA127" i="45"/>
  <c r="AA128" i="45"/>
  <c r="AA129" i="45"/>
  <c r="AA130" i="45"/>
  <c r="AA131" i="45"/>
  <c r="AA132" i="45"/>
  <c r="AA133" i="45"/>
  <c r="AA134" i="45"/>
  <c r="AA135" i="45"/>
  <c r="AA136" i="45"/>
  <c r="AA137" i="45"/>
  <c r="AA138" i="45"/>
  <c r="AA139" i="45"/>
  <c r="AA140" i="45"/>
  <c r="AA141" i="45"/>
  <c r="AA142" i="45"/>
  <c r="AA143" i="45"/>
  <c r="AA144" i="45"/>
  <c r="AA145" i="45"/>
  <c r="AA146" i="45"/>
  <c r="AA147" i="45"/>
  <c r="AA148" i="45"/>
  <c r="AA149" i="45"/>
  <c r="AA150" i="45"/>
  <c r="AA151" i="45"/>
  <c r="AA152" i="45"/>
  <c r="AA153" i="45"/>
  <c r="AA154" i="45"/>
  <c r="AA155" i="45"/>
  <c r="AA156" i="45"/>
  <c r="AA157" i="45"/>
  <c r="AA159" i="45"/>
  <c r="AA160" i="45"/>
  <c r="AA161" i="45"/>
  <c r="AA162" i="45"/>
  <c r="AA163" i="45"/>
  <c r="AA164" i="45"/>
  <c r="AA165" i="45"/>
  <c r="AA166" i="45"/>
  <c r="AA167" i="45"/>
  <c r="AA168" i="45"/>
  <c r="AA169" i="45"/>
  <c r="AA170" i="45"/>
  <c r="AA171" i="45"/>
  <c r="AA172" i="45"/>
  <c r="AA173" i="45"/>
  <c r="AA174" i="45"/>
  <c r="AA175" i="45"/>
  <c r="AA176" i="45"/>
  <c r="AA177" i="45"/>
  <c r="AA178" i="45"/>
  <c r="AA180" i="45"/>
  <c r="AA181" i="45"/>
  <c r="AA182" i="45"/>
  <c r="AA183" i="45"/>
  <c r="AA184" i="45"/>
  <c r="AA185" i="45"/>
  <c r="AA186" i="45"/>
  <c r="AA187" i="45"/>
  <c r="AA188" i="45"/>
  <c r="AA189" i="45"/>
  <c r="AA190" i="45"/>
  <c r="AA191" i="45"/>
  <c r="AA192" i="45"/>
  <c r="AA193" i="45"/>
  <c r="AA194" i="45"/>
  <c r="AA195" i="45"/>
  <c r="AA196" i="45"/>
  <c r="AA197" i="45"/>
  <c r="AA198" i="45"/>
  <c r="AA199" i="45"/>
  <c r="AA200" i="45"/>
  <c r="AA201" i="45"/>
  <c r="AA202" i="45"/>
  <c r="AA203" i="45"/>
  <c r="AA204" i="45"/>
  <c r="AA205" i="45"/>
  <c r="AA206" i="45"/>
  <c r="AA207" i="45"/>
  <c r="AA208" i="45"/>
  <c r="AA209" i="45"/>
  <c r="AA210" i="45"/>
  <c r="AA211" i="45"/>
  <c r="AA212" i="45"/>
  <c r="AA213" i="45"/>
  <c r="AA214" i="45"/>
  <c r="AA215" i="45"/>
  <c r="AA216" i="45"/>
  <c r="AA217" i="45"/>
  <c r="AA218" i="45"/>
  <c r="AA219" i="45"/>
  <c r="AA220" i="45"/>
  <c r="AA221" i="45"/>
  <c r="AA222" i="45"/>
  <c r="AA223" i="45"/>
  <c r="AA224" i="45"/>
  <c r="AA225" i="45"/>
  <c r="AA226" i="45"/>
  <c r="AA227" i="45"/>
  <c r="AA228" i="45"/>
  <c r="AA229" i="45"/>
  <c r="AA230" i="45"/>
  <c r="AA231" i="45"/>
  <c r="AA232" i="45"/>
  <c r="AA234" i="45"/>
  <c r="AA235" i="45"/>
  <c r="AA236" i="45"/>
  <c r="AA237" i="45"/>
  <c r="AA238" i="45"/>
  <c r="AA239" i="45"/>
  <c r="AA240" i="45"/>
  <c r="AA241" i="45"/>
  <c r="AA242" i="45"/>
  <c r="AA244" i="45"/>
  <c r="AA245" i="45"/>
  <c r="AA246" i="45"/>
  <c r="AA247" i="45"/>
  <c r="AA248" i="45"/>
  <c r="AA249" i="45"/>
  <c r="AA250" i="45"/>
  <c r="AA252" i="45"/>
  <c r="AA253" i="45"/>
  <c r="AA254" i="45"/>
  <c r="AA255" i="45"/>
  <c r="AA256" i="45"/>
  <c r="AA257" i="45"/>
  <c r="AA258" i="45"/>
  <c r="AA259" i="45"/>
  <c r="AA260" i="45"/>
  <c r="AA262" i="45"/>
  <c r="AA264" i="45"/>
  <c r="AA265" i="45"/>
  <c r="AA266" i="45"/>
  <c r="AA267" i="45"/>
  <c r="AA268" i="45"/>
  <c r="AA269" i="45"/>
  <c r="AA270" i="45"/>
  <c r="AA271" i="45"/>
  <c r="AA272" i="45"/>
  <c r="AA273" i="45"/>
  <c r="AA274" i="45"/>
  <c r="AA275" i="45"/>
  <c r="AA276" i="45"/>
  <c r="AA277" i="45"/>
  <c r="AA278" i="45"/>
  <c r="AA279" i="45"/>
  <c r="AA280" i="45"/>
  <c r="AA281" i="45"/>
  <c r="AA282" i="45"/>
  <c r="AA283" i="45"/>
  <c r="AA284" i="45"/>
  <c r="AA285" i="45"/>
  <c r="AA286" i="45"/>
  <c r="AA287" i="45"/>
  <c r="AA288" i="45"/>
  <c r="AA289" i="45"/>
  <c r="AA290" i="45"/>
  <c r="AA291" i="45"/>
  <c r="AA292" i="45"/>
  <c r="AA293" i="45"/>
  <c r="AA294" i="45"/>
  <c r="AA295" i="45"/>
  <c r="AA296" i="45"/>
  <c r="AA298" i="45"/>
  <c r="AA300" i="45"/>
  <c r="AA301" i="45"/>
  <c r="AA302" i="45"/>
  <c r="AA303" i="45"/>
  <c r="AA304" i="45"/>
  <c r="AA305" i="45"/>
  <c r="AA306" i="45"/>
  <c r="AA307" i="45"/>
  <c r="AA308" i="45"/>
  <c r="AA309" i="45"/>
  <c r="AA310" i="45"/>
  <c r="AA311" i="45"/>
  <c r="AA312" i="45"/>
  <c r="AA313" i="45"/>
  <c r="AA315" i="45"/>
  <c r="AA316" i="45"/>
  <c r="AA317" i="45"/>
  <c r="AA320" i="45"/>
  <c r="AA321" i="45"/>
  <c r="AA322" i="45"/>
  <c r="AA323" i="45"/>
  <c r="AA324" i="45"/>
  <c r="AA5" i="45"/>
  <c r="AA6" i="45"/>
  <c r="AA7" i="45"/>
  <c r="AA8" i="45"/>
  <c r="AA9" i="45"/>
  <c r="AA10" i="45"/>
  <c r="AA11" i="45"/>
  <c r="AA12" i="45"/>
  <c r="AA13" i="45"/>
  <c r="AA14" i="45"/>
  <c r="AA16" i="45"/>
  <c r="AA17" i="45"/>
  <c r="AA18" i="45"/>
  <c r="AA19" i="45"/>
  <c r="AA20" i="45"/>
  <c r="AA21" i="45"/>
  <c r="AA22" i="45"/>
  <c r="AA23" i="45"/>
  <c r="AA24" i="45"/>
  <c r="AA25" i="45"/>
  <c r="AA26" i="45"/>
  <c r="AA27" i="45"/>
  <c r="AA28" i="45"/>
  <c r="AA29" i="45"/>
  <c r="AA30" i="45"/>
  <c r="AA31" i="45"/>
  <c r="AA32" i="45"/>
  <c r="AA33" i="45"/>
  <c r="AA34" i="45"/>
  <c r="AA35" i="45"/>
  <c r="AA36" i="45"/>
  <c r="AA37" i="45"/>
  <c r="AA38" i="45"/>
  <c r="AA39" i="45"/>
  <c r="AA40" i="45"/>
  <c r="AA41" i="45"/>
  <c r="AA42" i="45"/>
  <c r="AA43" i="45"/>
  <c r="AA44" i="45"/>
  <c r="AA45" i="45"/>
  <c r="AA46" i="45"/>
  <c r="AA47" i="45"/>
  <c r="AA48" i="45"/>
  <c r="AA49" i="45"/>
  <c r="AA50" i="45"/>
  <c r="AA51" i="45"/>
  <c r="AA52" i="45"/>
  <c r="AA53" i="45"/>
  <c r="AA54" i="45"/>
  <c r="AA55" i="45"/>
  <c r="AA56" i="45"/>
  <c r="AA57" i="45"/>
  <c r="AA58" i="45"/>
  <c r="AA59" i="45"/>
  <c r="AA60" i="45"/>
  <c r="AA61" i="45"/>
  <c r="AA62" i="45"/>
  <c r="AA63" i="45"/>
  <c r="AA64" i="45"/>
  <c r="AA65" i="45"/>
  <c r="AA66" i="45"/>
  <c r="AA67" i="45"/>
  <c r="AA69" i="45"/>
  <c r="AA70" i="45"/>
  <c r="AA71" i="45"/>
  <c r="AA72" i="45"/>
  <c r="AA73" i="45"/>
  <c r="AA74" i="45"/>
  <c r="AA75" i="45"/>
  <c r="AA76" i="45"/>
  <c r="AA78" i="45"/>
  <c r="AA79" i="45"/>
  <c r="AA80" i="45"/>
  <c r="AA81" i="45"/>
  <c r="AA83" i="45"/>
  <c r="AA84" i="45"/>
  <c r="AA85" i="45"/>
  <c r="AA4" i="45"/>
  <c r="Z5" i="45"/>
  <c r="AL7" i="56" s="1"/>
  <c r="Z6" i="45"/>
  <c r="AL8" i="56" s="1"/>
  <c r="Z7" i="45"/>
  <c r="AL9" i="56" s="1"/>
  <c r="Z8" i="45"/>
  <c r="AL10" i="56" s="1"/>
  <c r="Z9" i="45"/>
  <c r="AL11" i="56" s="1"/>
  <c r="Z10" i="45"/>
  <c r="AL12" i="56" s="1"/>
  <c r="Z11" i="45"/>
  <c r="AL13" i="56" s="1"/>
  <c r="Z12" i="45"/>
  <c r="AL14" i="56" s="1"/>
  <c r="Z13" i="45"/>
  <c r="AL15" i="56" s="1"/>
  <c r="Z14" i="45"/>
  <c r="AL16" i="56" s="1"/>
  <c r="Z16" i="45"/>
  <c r="AL18" i="56" s="1"/>
  <c r="Z17" i="45"/>
  <c r="AL19" i="56" s="1"/>
  <c r="Z18" i="45"/>
  <c r="AL20" i="56" s="1"/>
  <c r="Z19" i="45"/>
  <c r="AL21" i="56" s="1"/>
  <c r="Z20" i="45"/>
  <c r="AL22" i="56" s="1"/>
  <c r="Z21" i="45"/>
  <c r="AL23" i="56" s="1"/>
  <c r="Z22" i="45"/>
  <c r="AL24" i="56" s="1"/>
  <c r="Z23" i="45"/>
  <c r="AL25" i="56" s="1"/>
  <c r="Z24" i="45"/>
  <c r="AL26" i="56" s="1"/>
  <c r="Z25" i="45"/>
  <c r="AL27" i="56" s="1"/>
  <c r="Z26" i="45"/>
  <c r="AL28" i="56" s="1"/>
  <c r="Z27" i="45"/>
  <c r="AL29" i="56" s="1"/>
  <c r="Z28" i="45"/>
  <c r="AL30" i="56" s="1"/>
  <c r="Z29" i="45"/>
  <c r="AL31" i="56" s="1"/>
  <c r="Z30" i="45"/>
  <c r="AL32" i="56" s="1"/>
  <c r="Z31" i="45"/>
  <c r="AL33" i="56" s="1"/>
  <c r="Z32" i="45"/>
  <c r="AL34" i="56" s="1"/>
  <c r="Z33" i="45"/>
  <c r="AL35" i="56" s="1"/>
  <c r="Z34" i="45"/>
  <c r="AL36" i="56" s="1"/>
  <c r="Z35" i="45"/>
  <c r="AL37" i="56" s="1"/>
  <c r="Z36" i="45"/>
  <c r="AL38" i="56" s="1"/>
  <c r="Z37" i="45"/>
  <c r="AF39" i="56" s="1"/>
  <c r="Z38" i="45"/>
  <c r="AL40" i="56" s="1"/>
  <c r="Z39" i="45"/>
  <c r="AL41" i="56" s="1"/>
  <c r="Z40" i="45"/>
  <c r="AL42" i="56" s="1"/>
  <c r="Z41" i="45"/>
  <c r="AL43" i="56" s="1"/>
  <c r="Z42" i="45"/>
  <c r="AL44" i="56" s="1"/>
  <c r="Z43" i="45"/>
  <c r="AL45" i="56" s="1"/>
  <c r="Z44" i="45"/>
  <c r="AL46" i="56" s="1"/>
  <c r="Z45" i="45"/>
  <c r="AL47" i="56" s="1"/>
  <c r="Z46" i="45"/>
  <c r="AL48" i="56" s="1"/>
  <c r="Z47" i="45"/>
  <c r="AL49" i="56" s="1"/>
  <c r="Z48" i="45"/>
  <c r="AL50" i="56" s="1"/>
  <c r="Z49" i="45"/>
  <c r="AL51" i="56" s="1"/>
  <c r="Z50" i="45"/>
  <c r="AL52" i="56" s="1"/>
  <c r="Z51" i="45"/>
  <c r="AL53" i="56" s="1"/>
  <c r="Z52" i="45"/>
  <c r="AL54" i="56" s="1"/>
  <c r="Z53" i="45"/>
  <c r="AL55" i="56" s="1"/>
  <c r="Z54" i="45"/>
  <c r="AL56" i="56" s="1"/>
  <c r="Z55" i="45"/>
  <c r="AL57" i="56" s="1"/>
  <c r="Z56" i="45"/>
  <c r="AL58" i="56" s="1"/>
  <c r="Z57" i="45"/>
  <c r="AL59" i="56" s="1"/>
  <c r="Z58" i="45"/>
  <c r="AL60" i="56" s="1"/>
  <c r="Z59" i="45"/>
  <c r="AL61" i="56" s="1"/>
  <c r="Z60" i="45"/>
  <c r="AL62" i="56" s="1"/>
  <c r="Z61" i="45"/>
  <c r="AL63" i="56" s="1"/>
  <c r="Z62" i="45"/>
  <c r="AL64" i="56" s="1"/>
  <c r="Z63" i="45"/>
  <c r="AL65" i="56" s="1"/>
  <c r="Z64" i="45"/>
  <c r="AL66" i="56" s="1"/>
  <c r="Z65" i="45"/>
  <c r="AL67" i="56" s="1"/>
  <c r="Z66" i="45"/>
  <c r="AL68" i="56" s="1"/>
  <c r="Z67" i="45"/>
  <c r="AL69" i="56" s="1"/>
  <c r="Z68" i="45"/>
  <c r="AL70" i="56" s="1"/>
  <c r="Z69" i="45"/>
  <c r="AL71" i="56" s="1"/>
  <c r="Z70" i="45"/>
  <c r="AL72" i="56" s="1"/>
  <c r="Z71" i="45"/>
  <c r="AL73" i="56" s="1"/>
  <c r="Z72" i="45"/>
  <c r="AL74" i="56" s="1"/>
  <c r="Z73" i="45"/>
  <c r="AL75" i="56" s="1"/>
  <c r="Z74" i="45"/>
  <c r="AL76" i="56" s="1"/>
  <c r="Z75" i="45"/>
  <c r="AL77" i="56" s="1"/>
  <c r="Z76" i="45"/>
  <c r="AL78" i="56" s="1"/>
  <c r="Z78" i="45"/>
  <c r="AL79" i="56" s="1"/>
  <c r="Z79" i="45"/>
  <c r="AL80" i="56" s="1"/>
  <c r="Z80" i="45"/>
  <c r="AL81" i="56" s="1"/>
  <c r="Z81" i="45"/>
  <c r="AL82" i="56" s="1"/>
  <c r="Z83" i="45"/>
  <c r="AL84" i="56" s="1"/>
  <c r="Z84" i="45"/>
  <c r="AL85" i="56" s="1"/>
  <c r="Z85" i="45"/>
  <c r="AL86" i="56" s="1"/>
  <c r="Z86" i="45"/>
  <c r="AL87" i="56" s="1"/>
  <c r="Z87" i="45"/>
  <c r="AL88" i="56" s="1"/>
  <c r="Z88" i="45"/>
  <c r="AL89" i="56" s="1"/>
  <c r="Z89" i="45"/>
  <c r="Z90" i="45"/>
  <c r="AL91" i="56" s="1"/>
  <c r="Z91" i="45"/>
  <c r="AL92" i="56" s="1"/>
  <c r="Z92" i="45"/>
  <c r="Z93" i="45"/>
  <c r="AL94" i="56" s="1"/>
  <c r="Z94" i="45"/>
  <c r="AL95" i="56" s="1"/>
  <c r="Z95" i="45"/>
  <c r="AL96" i="56" s="1"/>
  <c r="Z96" i="45"/>
  <c r="AL97" i="56" s="1"/>
  <c r="Z97" i="45"/>
  <c r="AL98" i="56" s="1"/>
  <c r="Z99" i="45"/>
  <c r="AL100" i="56" s="1"/>
  <c r="Z100" i="45"/>
  <c r="AL101" i="56" s="1"/>
  <c r="Z101" i="45"/>
  <c r="AL102" i="56" s="1"/>
  <c r="Z102" i="45"/>
  <c r="AL103" i="56" s="1"/>
  <c r="Z103" i="45"/>
  <c r="AL104" i="56" s="1"/>
  <c r="Z104" i="45"/>
  <c r="AL105" i="56" s="1"/>
  <c r="Z105" i="45"/>
  <c r="AL106" i="56" s="1"/>
  <c r="Z106" i="45"/>
  <c r="AL107" i="56" s="1"/>
  <c r="Z107" i="45"/>
  <c r="AL108" i="56" s="1"/>
  <c r="Z108" i="45"/>
  <c r="AL109" i="56" s="1"/>
  <c r="Z109" i="45"/>
  <c r="AL110" i="56" s="1"/>
  <c r="Z111" i="45"/>
  <c r="Z112" i="45"/>
  <c r="AL112" i="56" s="1"/>
  <c r="Z113" i="45"/>
  <c r="AL113" i="56" s="1"/>
  <c r="Z114" i="45"/>
  <c r="AL114" i="56" s="1"/>
  <c r="Z115" i="45"/>
  <c r="AL115" i="56" s="1"/>
  <c r="Z116" i="45"/>
  <c r="AL116" i="56" s="1"/>
  <c r="Z117" i="45"/>
  <c r="AL117" i="56" s="1"/>
  <c r="Z118" i="45"/>
  <c r="AL118" i="56" s="1"/>
  <c r="Z119" i="45"/>
  <c r="AL119" i="56" s="1"/>
  <c r="Z120" i="45"/>
  <c r="AL120" i="56" s="1"/>
  <c r="Z121" i="45"/>
  <c r="AL121" i="56" s="1"/>
  <c r="Z122" i="45"/>
  <c r="AL122" i="56" s="1"/>
  <c r="Z123" i="45"/>
  <c r="Z124" i="45"/>
  <c r="AL124" i="56" s="1"/>
  <c r="Z125" i="45"/>
  <c r="AL125" i="56" s="1"/>
  <c r="Z126" i="45"/>
  <c r="AL126" i="56" s="1"/>
  <c r="Z127" i="45"/>
  <c r="AL127" i="56" s="1"/>
  <c r="Z128" i="45"/>
  <c r="AL128" i="56" s="1"/>
  <c r="Z129" i="45"/>
  <c r="AL129" i="56" s="1"/>
  <c r="Z130" i="45"/>
  <c r="AL130" i="56" s="1"/>
  <c r="Z131" i="45"/>
  <c r="AL131" i="56" s="1"/>
  <c r="Z132" i="45"/>
  <c r="AL132" i="56" s="1"/>
  <c r="Z133" i="45"/>
  <c r="AL133" i="56" s="1"/>
  <c r="Z134" i="45"/>
  <c r="AL134" i="56" s="1"/>
  <c r="Z135" i="45"/>
  <c r="Z136" i="45"/>
  <c r="AL136" i="56" s="1"/>
  <c r="Z137" i="45"/>
  <c r="AL137" i="56" s="1"/>
  <c r="Z138" i="45"/>
  <c r="AL138" i="56" s="1"/>
  <c r="Z139" i="45"/>
  <c r="AL139" i="56" s="1"/>
  <c r="Z140" i="45"/>
  <c r="AL140" i="56" s="1"/>
  <c r="Z141" i="45"/>
  <c r="AL141" i="56" s="1"/>
  <c r="Z142" i="45"/>
  <c r="AL142" i="56" s="1"/>
  <c r="Z143" i="45"/>
  <c r="AL143" i="56" s="1"/>
  <c r="Z144" i="45"/>
  <c r="AL144" i="56" s="1"/>
  <c r="Z145" i="45"/>
  <c r="AL145" i="56" s="1"/>
  <c r="Z146" i="45"/>
  <c r="AL146" i="56" s="1"/>
  <c r="Z147" i="45"/>
  <c r="Z148" i="45"/>
  <c r="AL148" i="56" s="1"/>
  <c r="Z149" i="45"/>
  <c r="AL149" i="56" s="1"/>
  <c r="Z150" i="45"/>
  <c r="AL150" i="56" s="1"/>
  <c r="Z151" i="45"/>
  <c r="AL151" i="56" s="1"/>
  <c r="Z152" i="45"/>
  <c r="AL152" i="56" s="1"/>
  <c r="Z153" i="45"/>
  <c r="AL153" i="56" s="1"/>
  <c r="Z154" i="45"/>
  <c r="AL154" i="56" s="1"/>
  <c r="Z155" i="45"/>
  <c r="AL155" i="56" s="1"/>
  <c r="Z156" i="45"/>
  <c r="AL156" i="56" s="1"/>
  <c r="Z157" i="45"/>
  <c r="AL157" i="56" s="1"/>
  <c r="Z158" i="45"/>
  <c r="AL158" i="56" s="1"/>
  <c r="Z159" i="45"/>
  <c r="Z160" i="45"/>
  <c r="AL160" i="56" s="1"/>
  <c r="Z161" i="45"/>
  <c r="AL161" i="56" s="1"/>
  <c r="Z162" i="45"/>
  <c r="AL162" i="56" s="1"/>
  <c r="Z163" i="45"/>
  <c r="AL163" i="56" s="1"/>
  <c r="Z164" i="45"/>
  <c r="AL164" i="56" s="1"/>
  <c r="Z165" i="45"/>
  <c r="AL165" i="56" s="1"/>
  <c r="Z166" i="45"/>
  <c r="AL166" i="56" s="1"/>
  <c r="Z167" i="45"/>
  <c r="AL167" i="56" s="1"/>
  <c r="Z168" i="45"/>
  <c r="AL168" i="56" s="1"/>
  <c r="Z169" i="45"/>
  <c r="AL169" i="56" s="1"/>
  <c r="Z170" i="45"/>
  <c r="AL170" i="56" s="1"/>
  <c r="Z171" i="45"/>
  <c r="Z172" i="45"/>
  <c r="AL172" i="56" s="1"/>
  <c r="Z173" i="45"/>
  <c r="AL173" i="56" s="1"/>
  <c r="Z174" i="45"/>
  <c r="AL174" i="56" s="1"/>
  <c r="Z175" i="45"/>
  <c r="AL175" i="56" s="1"/>
  <c r="Z176" i="45"/>
  <c r="AL176" i="56" s="1"/>
  <c r="Z177" i="45"/>
  <c r="AL177" i="56" s="1"/>
  <c r="Z178" i="45"/>
  <c r="AL178" i="56" s="1"/>
  <c r="Z179" i="45"/>
  <c r="AL179" i="56" s="1"/>
  <c r="Z180" i="45"/>
  <c r="AL180" i="56" s="1"/>
  <c r="Z181" i="45"/>
  <c r="AL181" i="56" s="1"/>
  <c r="Z182" i="45"/>
  <c r="AL182" i="56" s="1"/>
  <c r="Z183" i="45"/>
  <c r="Z184" i="45"/>
  <c r="AL184" i="56" s="1"/>
  <c r="Z185" i="45"/>
  <c r="AF185" i="56" s="1"/>
  <c r="Z186" i="45"/>
  <c r="AL186" i="56" s="1"/>
  <c r="Z187" i="45"/>
  <c r="AL187" i="56" s="1"/>
  <c r="Z188" i="45"/>
  <c r="AL188" i="56" s="1"/>
  <c r="Z189" i="45"/>
  <c r="AL189" i="56" s="1"/>
  <c r="Z190" i="45"/>
  <c r="AL190" i="56" s="1"/>
  <c r="Z191" i="45"/>
  <c r="AL191" i="56" s="1"/>
  <c r="Z192" i="45"/>
  <c r="AL192" i="56" s="1"/>
  <c r="Z193" i="45"/>
  <c r="AL193" i="56" s="1"/>
  <c r="Z194" i="45"/>
  <c r="AL194" i="56" s="1"/>
  <c r="Z195" i="45"/>
  <c r="Z196" i="45"/>
  <c r="AL196" i="56" s="1"/>
  <c r="Z197" i="45"/>
  <c r="AL197" i="56" s="1"/>
  <c r="Z198" i="45"/>
  <c r="AL198" i="56" s="1"/>
  <c r="Z199" i="45"/>
  <c r="AL199" i="56" s="1"/>
  <c r="Z200" i="45"/>
  <c r="AL200" i="56" s="1"/>
  <c r="Z201" i="45"/>
  <c r="AL201" i="56" s="1"/>
  <c r="Z202" i="45"/>
  <c r="AL202" i="56" s="1"/>
  <c r="Z203" i="45"/>
  <c r="AL203" i="56" s="1"/>
  <c r="Z204" i="45"/>
  <c r="Z205" i="45"/>
  <c r="AL204" i="56" s="1"/>
  <c r="Z206" i="45"/>
  <c r="AL205" i="56" s="1"/>
  <c r="Z207" i="45"/>
  <c r="AL206" i="56" s="1"/>
  <c r="Z208" i="45"/>
  <c r="Z209" i="45"/>
  <c r="AL208" i="56" s="1"/>
  <c r="Z210" i="45"/>
  <c r="AL209" i="56" s="1"/>
  <c r="Z211" i="45"/>
  <c r="AL210" i="56" s="1"/>
  <c r="Z212" i="45"/>
  <c r="AL211" i="56" s="1"/>
  <c r="Z213" i="45"/>
  <c r="Z214" i="45"/>
  <c r="AL212" i="56" s="1"/>
  <c r="Z215" i="45"/>
  <c r="AL213" i="56" s="1"/>
  <c r="Z216" i="45"/>
  <c r="AL214" i="56" s="1"/>
  <c r="Z217" i="45"/>
  <c r="AL215" i="56" s="1"/>
  <c r="Z218" i="45"/>
  <c r="AL216" i="56" s="1"/>
  <c r="Z219" i="45"/>
  <c r="AL217" i="56" s="1"/>
  <c r="Z220" i="45"/>
  <c r="AL218" i="56" s="1"/>
  <c r="Z221" i="45"/>
  <c r="Z222" i="45"/>
  <c r="AL220" i="56" s="1"/>
  <c r="Z223" i="45"/>
  <c r="AL221" i="56" s="1"/>
  <c r="Z224" i="45"/>
  <c r="AL222" i="56" s="1"/>
  <c r="Z225" i="45"/>
  <c r="AL223" i="56" s="1"/>
  <c r="Z226" i="45"/>
  <c r="AL224" i="56" s="1"/>
  <c r="Z227" i="45"/>
  <c r="AL225" i="56" s="1"/>
  <c r="Z228" i="45"/>
  <c r="AL226" i="56" s="1"/>
  <c r="Z229" i="45"/>
  <c r="AL227" i="56" s="1"/>
  <c r="Z230" i="45"/>
  <c r="AL228" i="56" s="1"/>
  <c r="Z231" i="45"/>
  <c r="AL229" i="56" s="1"/>
  <c r="Z232" i="45"/>
  <c r="AL230" i="56" s="1"/>
  <c r="Z234" i="45"/>
  <c r="Z235" i="45"/>
  <c r="AL232" i="56" s="1"/>
  <c r="Z236" i="45"/>
  <c r="AL233" i="56" s="1"/>
  <c r="Z237" i="45"/>
  <c r="AL234" i="56" s="1"/>
  <c r="Z238" i="45"/>
  <c r="AF235" i="56" s="1"/>
  <c r="Z239" i="45"/>
  <c r="AL236" i="56" s="1"/>
  <c r="Z240" i="45"/>
  <c r="AL237" i="56" s="1"/>
  <c r="Z241" i="45"/>
  <c r="AL238" i="56" s="1"/>
  <c r="Z242" i="45"/>
  <c r="AL239" i="56" s="1"/>
  <c r="Z244" i="45"/>
  <c r="AL241" i="56" s="1"/>
  <c r="Z245" i="45"/>
  <c r="AL242" i="56" s="1"/>
  <c r="Z246" i="45"/>
  <c r="Z247" i="45"/>
  <c r="AL244" i="56" s="1"/>
  <c r="Z248" i="45"/>
  <c r="AL245" i="56" s="1"/>
  <c r="Z249" i="45"/>
  <c r="AL246" i="56" s="1"/>
  <c r="Z250" i="45"/>
  <c r="AL247" i="56" s="1"/>
  <c r="Z252" i="45"/>
  <c r="AL249" i="56" s="1"/>
  <c r="Z253" i="45"/>
  <c r="AL250" i="56" s="1"/>
  <c r="Z254" i="45"/>
  <c r="AL251" i="56" s="1"/>
  <c r="Z255" i="45"/>
  <c r="AL252" i="56" s="1"/>
  <c r="Z256" i="45"/>
  <c r="AL253" i="56" s="1"/>
  <c r="Z257" i="45"/>
  <c r="AL254" i="56" s="1"/>
  <c r="Z258" i="45"/>
  <c r="Z259" i="45"/>
  <c r="AL256" i="56" s="1"/>
  <c r="Z260" i="45"/>
  <c r="AL257" i="56" s="1"/>
  <c r="Z262" i="45"/>
  <c r="AL259" i="56" s="1"/>
  <c r="Z264" i="45"/>
  <c r="AL261" i="56" s="1"/>
  <c r="Z265" i="45"/>
  <c r="AL262" i="56" s="1"/>
  <c r="Z266" i="45"/>
  <c r="AL263" i="56" s="1"/>
  <c r="Z267" i="45"/>
  <c r="AL264" i="56" s="1"/>
  <c r="Z268" i="45"/>
  <c r="AL266" i="56" s="1"/>
  <c r="Z269" i="45"/>
  <c r="AL265" i="56" s="1"/>
  <c r="Z270" i="45"/>
  <c r="Z271" i="45"/>
  <c r="AL268" i="56" s="1"/>
  <c r="Z272" i="45"/>
  <c r="AL269" i="56" s="1"/>
  <c r="Z273" i="45"/>
  <c r="AL270" i="56" s="1"/>
  <c r="Z274" i="45"/>
  <c r="AL271" i="56" s="1"/>
  <c r="Z275" i="45"/>
  <c r="AL272" i="56" s="1"/>
  <c r="Z276" i="45"/>
  <c r="AL273" i="56" s="1"/>
  <c r="Z277" i="45"/>
  <c r="AL274" i="56" s="1"/>
  <c r="Z278" i="45"/>
  <c r="AF275" i="56" s="1"/>
  <c r="Z279" i="45"/>
  <c r="AL276" i="56" s="1"/>
  <c r="Z280" i="45"/>
  <c r="AL277" i="56" s="1"/>
  <c r="Z281" i="45"/>
  <c r="AL278" i="56" s="1"/>
  <c r="Z282" i="45"/>
  <c r="Z283" i="45"/>
  <c r="AL280" i="56" s="1"/>
  <c r="Z284" i="45"/>
  <c r="AL281" i="56" s="1"/>
  <c r="Z285" i="45"/>
  <c r="AL282" i="56" s="1"/>
  <c r="Z286" i="45"/>
  <c r="AL283" i="56" s="1"/>
  <c r="Z287" i="45"/>
  <c r="AL284" i="56" s="1"/>
  <c r="Z288" i="45"/>
  <c r="AL285" i="56" s="1"/>
  <c r="Z289" i="45"/>
  <c r="AL286" i="56" s="1"/>
  <c r="Z290" i="45"/>
  <c r="AL287" i="56" s="1"/>
  <c r="Z291" i="45"/>
  <c r="AF288" i="56" s="1"/>
  <c r="Z292" i="45"/>
  <c r="AL289" i="56" s="1"/>
  <c r="Z293" i="45"/>
  <c r="AL290" i="56" s="1"/>
  <c r="Z294" i="45"/>
  <c r="Z295" i="45"/>
  <c r="AL292" i="56" s="1"/>
  <c r="Z296" i="45"/>
  <c r="AL293" i="56" s="1"/>
  <c r="Z297" i="45"/>
  <c r="AL294" i="56" s="1"/>
  <c r="Z298" i="45"/>
  <c r="AF295" i="56" s="1"/>
  <c r="Z299" i="45"/>
  <c r="AL296" i="56" s="1"/>
  <c r="Z300" i="45"/>
  <c r="AL297" i="56" s="1"/>
  <c r="Z301" i="45"/>
  <c r="AL298" i="56" s="1"/>
  <c r="Z302" i="45"/>
  <c r="AL299" i="56" s="1"/>
  <c r="Z303" i="45"/>
  <c r="AL300" i="56" s="1"/>
  <c r="Z304" i="45"/>
  <c r="AL301" i="56" s="1"/>
  <c r="Z305" i="45"/>
  <c r="AL302" i="56" s="1"/>
  <c r="Z306" i="45"/>
  <c r="Z307" i="45"/>
  <c r="Z308" i="45"/>
  <c r="AL304" i="56" s="1"/>
  <c r="Z309" i="45"/>
  <c r="AL305" i="56" s="1"/>
  <c r="Z310" i="45"/>
  <c r="AL306" i="56" s="1"/>
  <c r="Z311" i="45"/>
  <c r="Z312" i="45"/>
  <c r="AL307" i="56" s="1"/>
  <c r="Z313" i="45"/>
  <c r="AF308" i="56" s="1"/>
  <c r="Z315" i="45"/>
  <c r="AL309" i="56" s="1"/>
  <c r="Z316" i="45"/>
  <c r="AL311" i="56" s="1"/>
  <c r="Z317" i="45"/>
  <c r="AL312" i="56" s="1"/>
  <c r="Z320" i="45"/>
  <c r="AL313" i="56" s="1"/>
  <c r="Z321" i="45"/>
  <c r="AL314" i="56" s="1"/>
  <c r="Z322" i="45"/>
  <c r="AL315" i="56" s="1"/>
  <c r="Z323" i="45"/>
  <c r="AL316" i="56" s="1"/>
  <c r="Z324" i="45"/>
  <c r="AL317" i="56" s="1"/>
  <c r="AF28" i="56" l="1"/>
  <c r="AF298" i="56"/>
  <c r="AF234" i="56"/>
  <c r="AF220" i="56"/>
  <c r="AF57" i="56"/>
  <c r="AF152" i="56"/>
  <c r="AF52" i="56"/>
  <c r="AF128" i="56"/>
  <c r="AF84" i="56"/>
  <c r="AF54" i="56"/>
  <c r="AF24" i="56"/>
  <c r="AF296" i="56"/>
  <c r="AF221" i="56"/>
  <c r="AF129" i="56"/>
  <c r="AF286" i="56"/>
  <c r="AF78" i="56"/>
  <c r="AF48" i="56"/>
  <c r="AF21" i="56"/>
  <c r="AF273" i="56"/>
  <c r="AF217" i="56"/>
  <c r="AF126" i="56"/>
  <c r="AF81" i="56"/>
  <c r="AF23" i="56"/>
  <c r="AF76" i="56"/>
  <c r="AF47" i="56"/>
  <c r="AF18" i="56"/>
  <c r="AF272" i="56"/>
  <c r="AF208" i="56"/>
  <c r="AF116" i="56"/>
  <c r="AF72" i="56"/>
  <c r="AF45" i="56"/>
  <c r="AF204" i="56"/>
  <c r="AF113" i="56"/>
  <c r="AF71" i="56"/>
  <c r="AF42" i="56"/>
  <c r="AF12" i="56"/>
  <c r="AF259" i="56"/>
  <c r="AF194" i="56"/>
  <c r="AF103" i="56"/>
  <c r="AF69" i="56"/>
  <c r="AF40" i="56"/>
  <c r="AF11" i="56"/>
  <c r="AF193" i="56"/>
  <c r="AF102" i="56"/>
  <c r="AL308" i="56"/>
  <c r="AF66" i="56"/>
  <c r="AF36" i="56"/>
  <c r="AF9" i="56"/>
  <c r="AF181" i="56"/>
  <c r="AL39" i="56"/>
  <c r="AF64" i="56"/>
  <c r="AF35" i="56"/>
  <c r="AF312" i="56"/>
  <c r="AF247" i="56"/>
  <c r="AF180" i="56"/>
  <c r="AF89" i="56"/>
  <c r="AF60" i="56"/>
  <c r="AF33" i="56"/>
  <c r="AF244" i="56"/>
  <c r="AF168" i="56"/>
  <c r="AF88" i="56"/>
  <c r="AF59" i="56"/>
  <c r="AF30" i="56"/>
  <c r="AF299" i="56"/>
  <c r="AF155" i="56"/>
  <c r="AF142" i="56"/>
  <c r="AF311" i="56"/>
  <c r="AF285" i="56"/>
  <c r="AF246" i="56"/>
  <c r="AF233" i="56"/>
  <c r="AF206" i="56"/>
  <c r="AF167" i="56"/>
  <c r="AF154" i="56"/>
  <c r="AF141" i="56"/>
  <c r="AF115" i="56"/>
  <c r="AL295" i="56"/>
  <c r="AF82" i="56"/>
  <c r="AF70" i="56"/>
  <c r="AF58" i="56"/>
  <c r="AF46" i="56"/>
  <c r="AF34" i="56"/>
  <c r="AF22" i="56"/>
  <c r="AF10" i="56"/>
  <c r="AF297" i="56"/>
  <c r="AF284" i="56"/>
  <c r="AF271" i="56"/>
  <c r="AF245" i="56"/>
  <c r="AF232" i="56"/>
  <c r="AF218" i="56"/>
  <c r="AF205" i="56"/>
  <c r="AF192" i="56"/>
  <c r="AF179" i="56"/>
  <c r="AF166" i="56"/>
  <c r="AF153" i="56"/>
  <c r="AF140" i="56"/>
  <c r="AF127" i="56"/>
  <c r="AF114" i="56"/>
  <c r="AF101" i="56"/>
  <c r="AL288" i="56"/>
  <c r="AL93" i="56"/>
  <c r="AF93" i="56"/>
  <c r="AF309" i="56"/>
  <c r="AF283" i="56"/>
  <c r="AF270" i="56"/>
  <c r="AF257" i="56"/>
  <c r="AF230" i="56"/>
  <c r="AF191" i="56"/>
  <c r="AF178" i="56"/>
  <c r="AF165" i="56"/>
  <c r="AF139" i="56"/>
  <c r="AF100" i="56"/>
  <c r="AL275" i="56"/>
  <c r="AF80" i="56"/>
  <c r="AF68" i="56"/>
  <c r="AF56" i="56"/>
  <c r="AF44" i="56"/>
  <c r="AF32" i="56"/>
  <c r="AF20" i="56"/>
  <c r="AF8" i="56"/>
  <c r="AF282" i="56"/>
  <c r="AF269" i="56"/>
  <c r="AF256" i="56"/>
  <c r="AF242" i="56"/>
  <c r="AF229" i="56"/>
  <c r="AF216" i="56"/>
  <c r="AF203" i="56"/>
  <c r="AF190" i="56"/>
  <c r="AF177" i="56"/>
  <c r="AF164" i="56"/>
  <c r="AF151" i="56"/>
  <c r="AF138" i="56"/>
  <c r="AF125" i="56"/>
  <c r="AF112" i="56"/>
  <c r="AL90" i="56"/>
  <c r="AF90" i="56"/>
  <c r="AL231" i="56"/>
  <c r="AF231" i="56"/>
  <c r="AL219" i="56"/>
  <c r="AF219" i="56"/>
  <c r="AF79" i="56"/>
  <c r="AF67" i="56"/>
  <c r="AF55" i="56"/>
  <c r="AF43" i="56"/>
  <c r="AF31" i="56"/>
  <c r="AF19" i="56"/>
  <c r="AF7" i="56"/>
  <c r="AF307" i="56"/>
  <c r="AF294" i="56"/>
  <c r="AF281" i="56"/>
  <c r="AF268" i="56"/>
  <c r="AF254" i="56"/>
  <c r="AF241" i="56"/>
  <c r="AF228" i="56"/>
  <c r="AF215" i="56"/>
  <c r="AF202" i="56"/>
  <c r="AF189" i="56"/>
  <c r="AF176" i="56"/>
  <c r="AF163" i="56"/>
  <c r="AF150" i="56"/>
  <c r="AF137" i="56"/>
  <c r="AF124" i="56"/>
  <c r="AF110" i="56"/>
  <c r="AF98" i="56"/>
  <c r="AL207" i="56"/>
  <c r="AF207" i="56"/>
  <c r="AF87" i="56"/>
  <c r="AF306" i="56"/>
  <c r="AF293" i="56"/>
  <c r="AF280" i="56"/>
  <c r="AF266" i="56"/>
  <c r="AF253" i="56"/>
  <c r="AF227" i="56"/>
  <c r="AF214" i="56"/>
  <c r="AF201" i="56"/>
  <c r="AF188" i="56"/>
  <c r="AF175" i="56"/>
  <c r="AF162" i="56"/>
  <c r="AF149" i="56"/>
  <c r="AF136" i="56"/>
  <c r="AF122" i="56"/>
  <c r="AF109" i="56"/>
  <c r="AF97" i="56"/>
  <c r="AL235" i="56"/>
  <c r="AL255" i="56"/>
  <c r="AF255" i="56"/>
  <c r="AL195" i="56"/>
  <c r="AF195" i="56"/>
  <c r="AL183" i="56"/>
  <c r="AF183" i="56"/>
  <c r="AL171" i="56"/>
  <c r="AF171" i="56"/>
  <c r="AL159" i="56"/>
  <c r="AF159" i="56"/>
  <c r="AL147" i="56"/>
  <c r="AF147" i="56"/>
  <c r="AL135" i="56"/>
  <c r="AF135" i="56"/>
  <c r="AL123" i="56"/>
  <c r="AF123" i="56"/>
  <c r="AL111" i="56"/>
  <c r="AF111" i="56"/>
  <c r="AF77" i="56"/>
  <c r="AF65" i="56"/>
  <c r="AF53" i="56"/>
  <c r="AF41" i="56"/>
  <c r="AF29" i="56"/>
  <c r="AF317" i="56"/>
  <c r="AF305" i="56"/>
  <c r="AF292" i="56"/>
  <c r="AF278" i="56"/>
  <c r="AF265" i="56"/>
  <c r="AF252" i="56"/>
  <c r="AF239" i="56"/>
  <c r="AF226" i="56"/>
  <c r="AF213" i="56"/>
  <c r="AF200" i="56"/>
  <c r="AF187" i="56"/>
  <c r="AF174" i="56"/>
  <c r="AF161" i="56"/>
  <c r="AF148" i="56"/>
  <c r="AF134" i="56"/>
  <c r="AF121" i="56"/>
  <c r="AF108" i="56"/>
  <c r="AF96" i="56"/>
  <c r="AF16" i="56"/>
  <c r="AF316" i="56"/>
  <c r="AF304" i="56"/>
  <c r="AF290" i="56"/>
  <c r="AF277" i="56"/>
  <c r="AF264" i="56"/>
  <c r="AF251" i="56"/>
  <c r="AF238" i="56"/>
  <c r="AF225" i="56"/>
  <c r="AF212" i="56"/>
  <c r="AF199" i="56"/>
  <c r="AF186" i="56"/>
  <c r="AF173" i="56"/>
  <c r="AF160" i="56"/>
  <c r="AF146" i="56"/>
  <c r="AF133" i="56"/>
  <c r="AF120" i="56"/>
  <c r="AF107" i="56"/>
  <c r="AF95" i="56"/>
  <c r="AL185" i="56"/>
  <c r="AL243" i="56"/>
  <c r="AF243" i="56"/>
  <c r="AL303" i="56"/>
  <c r="AF303" i="56"/>
  <c r="AL291" i="56"/>
  <c r="AF291" i="56"/>
  <c r="AL279" i="56"/>
  <c r="AF279" i="56"/>
  <c r="AL267" i="56"/>
  <c r="AF267" i="56"/>
  <c r="AF75" i="56"/>
  <c r="AF63" i="56"/>
  <c r="AF51" i="56"/>
  <c r="AF27" i="56"/>
  <c r="AF15" i="56"/>
  <c r="AF315" i="56"/>
  <c r="AF302" i="56"/>
  <c r="AF289" i="56"/>
  <c r="AF276" i="56"/>
  <c r="AF263" i="56"/>
  <c r="AF250" i="56"/>
  <c r="AF237" i="56"/>
  <c r="AF224" i="56"/>
  <c r="AF211" i="56"/>
  <c r="AF198" i="56"/>
  <c r="AF172" i="56"/>
  <c r="AF158" i="56"/>
  <c r="AF145" i="56"/>
  <c r="AF132" i="56"/>
  <c r="AF119" i="56"/>
  <c r="AF106" i="56"/>
  <c r="AF94" i="56"/>
  <c r="AF86" i="56"/>
  <c r="AF74" i="56"/>
  <c r="AF62" i="56"/>
  <c r="AF50" i="56"/>
  <c r="AF38" i="56"/>
  <c r="AF26" i="56"/>
  <c r="AF14" i="56"/>
  <c r="AF314" i="56"/>
  <c r="AF301" i="56"/>
  <c r="AF262" i="56"/>
  <c r="AF249" i="56"/>
  <c r="AF236" i="56"/>
  <c r="AF223" i="56"/>
  <c r="AF210" i="56"/>
  <c r="AF197" i="56"/>
  <c r="AF184" i="56"/>
  <c r="AF170" i="56"/>
  <c r="AF157" i="56"/>
  <c r="AF144" i="56"/>
  <c r="AF131" i="56"/>
  <c r="AF118" i="56"/>
  <c r="AF105" i="56"/>
  <c r="AF92" i="56"/>
  <c r="AF85" i="56"/>
  <c r="AF73" i="56"/>
  <c r="AF61" i="56"/>
  <c r="AF49" i="56"/>
  <c r="AF37" i="56"/>
  <c r="AF25" i="56"/>
  <c r="AF13" i="56"/>
  <c r="AF313" i="56"/>
  <c r="AF300" i="56"/>
  <c r="AF287" i="56"/>
  <c r="AF274" i="56"/>
  <c r="AF261" i="56"/>
  <c r="AF222" i="56"/>
  <c r="AF209" i="56"/>
  <c r="AF196" i="56"/>
  <c r="AF182" i="56"/>
  <c r="AF169" i="56"/>
  <c r="AF156" i="56"/>
  <c r="AF143" i="56"/>
  <c r="AF130" i="56"/>
  <c r="AF117" i="56"/>
  <c r="AF104" i="56"/>
  <c r="AF91" i="56"/>
  <c r="Z4" i="45"/>
  <c r="G7" i="64"/>
  <c r="G8" i="64"/>
  <c r="G9" i="64"/>
  <c r="G10" i="64"/>
  <c r="G11" i="64"/>
  <c r="G12" i="64"/>
  <c r="G13" i="64"/>
  <c r="G14" i="64"/>
  <c r="G15" i="64"/>
  <c r="G16" i="64"/>
  <c r="G17" i="64"/>
  <c r="G18" i="64"/>
  <c r="G19"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179" i="64"/>
  <c r="G180" i="64"/>
  <c r="G181" i="64"/>
  <c r="G182" i="64"/>
  <c r="G183" i="64"/>
  <c r="G184" i="64"/>
  <c r="G185" i="64"/>
  <c r="G186" i="64"/>
  <c r="G187" i="64"/>
  <c r="G188" i="64"/>
  <c r="G189" i="64"/>
  <c r="G190" i="64"/>
  <c r="G191" i="64"/>
  <c r="G192" i="64"/>
  <c r="G193" i="64"/>
  <c r="G194" i="64"/>
  <c r="G195" i="64"/>
  <c r="G196" i="64"/>
  <c r="G197" i="64"/>
  <c r="G198" i="64"/>
  <c r="G199" i="64"/>
  <c r="G200" i="64"/>
  <c r="G201" i="64"/>
  <c r="G202" i="64"/>
  <c r="G203" i="64"/>
  <c r="G204" i="64"/>
  <c r="G205" i="64"/>
  <c r="G206" i="64"/>
  <c r="G207" i="64"/>
  <c r="G208" i="64"/>
  <c r="G209" i="64"/>
  <c r="G210" i="64"/>
  <c r="G211" i="64"/>
  <c r="G212" i="64"/>
  <c r="G213" i="64"/>
  <c r="G214" i="64"/>
  <c r="G215" i="64"/>
  <c r="G216" i="64"/>
  <c r="G217" i="64"/>
  <c r="G218" i="64"/>
  <c r="G219" i="64"/>
  <c r="G220" i="64"/>
  <c r="G221" i="64"/>
  <c r="G222" i="64"/>
  <c r="G223" i="64"/>
  <c r="G224" i="64"/>
  <c r="G225" i="64"/>
  <c r="G226" i="64"/>
  <c r="G227" i="64"/>
  <c r="G228" i="64"/>
  <c r="G229" i="64"/>
  <c r="G230" i="64"/>
  <c r="G231" i="64"/>
  <c r="G232" i="64"/>
  <c r="G233" i="64"/>
  <c r="G234" i="64"/>
  <c r="G235" i="64"/>
  <c r="G236" i="64"/>
  <c r="G237" i="64"/>
  <c r="G238" i="64"/>
  <c r="G239" i="64"/>
  <c r="G240" i="64"/>
  <c r="G241" i="64"/>
  <c r="G242" i="64"/>
  <c r="G243" i="64"/>
  <c r="G244" i="64"/>
  <c r="G245" i="64"/>
  <c r="G246" i="64"/>
  <c r="G247" i="64"/>
  <c r="G248" i="64"/>
  <c r="G249" i="64"/>
  <c r="G250" i="64"/>
  <c r="G251" i="64"/>
  <c r="G252" i="64"/>
  <c r="G253" i="64"/>
  <c r="G254" i="64"/>
  <c r="G255" i="64"/>
  <c r="G256" i="64"/>
  <c r="G257" i="64"/>
  <c r="G258" i="64"/>
  <c r="G259" i="64"/>
  <c r="G260" i="64"/>
  <c r="G261" i="64"/>
  <c r="G262" i="64"/>
  <c r="G263" i="64"/>
  <c r="G264" i="64"/>
  <c r="G265" i="64"/>
  <c r="G266" i="64"/>
  <c r="G267" i="64"/>
  <c r="G268" i="64"/>
  <c r="G269" i="64"/>
  <c r="G270" i="64"/>
  <c r="G271" i="64"/>
  <c r="G272" i="64"/>
  <c r="G273" i="64"/>
  <c r="G274" i="64"/>
  <c r="G275" i="64"/>
  <c r="G276" i="64"/>
  <c r="G277" i="64"/>
  <c r="G278" i="64"/>
  <c r="G279" i="64"/>
  <c r="G280" i="64"/>
  <c r="G281" i="64"/>
  <c r="G282" i="64"/>
  <c r="G283" i="64"/>
  <c r="G284" i="64"/>
  <c r="G285" i="64"/>
  <c r="G286" i="64"/>
  <c r="G287" i="64"/>
  <c r="G288" i="64"/>
  <c r="G289" i="64"/>
  <c r="G290" i="64"/>
  <c r="G291" i="64"/>
  <c r="G292" i="64"/>
  <c r="G293" i="64"/>
  <c r="G294" i="64"/>
  <c r="G295" i="64"/>
  <c r="G296" i="64"/>
  <c r="G297" i="64"/>
  <c r="G298" i="64"/>
  <c r="G299" i="64"/>
  <c r="G300" i="64"/>
  <c r="G301" i="64"/>
  <c r="G302" i="64"/>
  <c r="G303" i="64"/>
  <c r="G304" i="64"/>
  <c r="G305" i="64"/>
  <c r="G306" i="64"/>
  <c r="G307" i="64"/>
  <c r="G308" i="64"/>
  <c r="G309" i="64"/>
  <c r="G310" i="64"/>
  <c r="G311" i="64"/>
  <c r="G312" i="64"/>
  <c r="G313" i="64"/>
  <c r="G314" i="64"/>
  <c r="G315" i="64"/>
  <c r="G316" i="64"/>
  <c r="G317" i="64"/>
  <c r="G6" i="64"/>
  <c r="D5" i="64"/>
  <c r="G5" i="64" s="1"/>
  <c r="C5" i="64"/>
  <c r="AL6" i="56" l="1"/>
  <c r="AL5" i="56" s="1"/>
  <c r="AF6" i="56"/>
  <c r="AF5" i="56" s="1"/>
  <c r="D2" i="63"/>
  <c r="T5" i="45"/>
  <c r="T6" i="45"/>
  <c r="T7" i="45"/>
  <c r="AA9" i="56" s="1"/>
  <c r="T8" i="45"/>
  <c r="AA10" i="56" s="1"/>
  <c r="T9" i="45"/>
  <c r="AA11" i="56" s="1"/>
  <c r="T10" i="45"/>
  <c r="AA12" i="56" s="1"/>
  <c r="T11" i="45"/>
  <c r="T12" i="45"/>
  <c r="T13" i="45"/>
  <c r="AA15" i="56" s="1"/>
  <c r="T14" i="45"/>
  <c r="AA16" i="56" s="1"/>
  <c r="T15" i="45"/>
  <c r="AA17" i="56" s="1"/>
  <c r="T16" i="45"/>
  <c r="AA18" i="56" s="1"/>
  <c r="T17" i="45"/>
  <c r="T18" i="45"/>
  <c r="T19" i="45"/>
  <c r="AA21" i="56" s="1"/>
  <c r="T20" i="45"/>
  <c r="X22" i="56" s="1"/>
  <c r="T21" i="45"/>
  <c r="AA23" i="56" s="1"/>
  <c r="T22" i="45"/>
  <c r="AA24" i="56" s="1"/>
  <c r="T23" i="45"/>
  <c r="AA25" i="56" s="1"/>
  <c r="T24" i="45"/>
  <c r="T25" i="45"/>
  <c r="AA27" i="56" s="1"/>
  <c r="T26" i="45"/>
  <c r="AA28" i="56" s="1"/>
  <c r="T27" i="45"/>
  <c r="AA29" i="56" s="1"/>
  <c r="T28" i="45"/>
  <c r="AA30" i="56" s="1"/>
  <c r="T29" i="45"/>
  <c r="T30" i="45"/>
  <c r="T31" i="45"/>
  <c r="AA33" i="56" s="1"/>
  <c r="T32" i="45"/>
  <c r="AA34" i="56" s="1"/>
  <c r="T33" i="45"/>
  <c r="AA35" i="56" s="1"/>
  <c r="T34" i="45"/>
  <c r="T35" i="45"/>
  <c r="AA37" i="56" s="1"/>
  <c r="T36" i="45"/>
  <c r="T37" i="45"/>
  <c r="T38" i="45"/>
  <c r="AA40" i="56" s="1"/>
  <c r="T39" i="45"/>
  <c r="T40" i="45"/>
  <c r="AA42" i="56" s="1"/>
  <c r="T41" i="45"/>
  <c r="T42" i="45"/>
  <c r="T43" i="45"/>
  <c r="T44" i="45"/>
  <c r="X46" i="56" s="1"/>
  <c r="T45" i="45"/>
  <c r="AA47" i="56" s="1"/>
  <c r="T46" i="45"/>
  <c r="AA48" i="56" s="1"/>
  <c r="T47" i="45"/>
  <c r="AA49" i="56" s="1"/>
  <c r="T48" i="45"/>
  <c r="T49" i="45"/>
  <c r="AA51" i="56" s="1"/>
  <c r="T50" i="45"/>
  <c r="AA52" i="56" s="1"/>
  <c r="T51" i="45"/>
  <c r="T52" i="45"/>
  <c r="AA54" i="56" s="1"/>
  <c r="T53" i="45"/>
  <c r="T54" i="45"/>
  <c r="T55" i="45"/>
  <c r="T56" i="45"/>
  <c r="X58" i="56" s="1"/>
  <c r="T57" i="45"/>
  <c r="AA59" i="56" s="1"/>
  <c r="T58" i="45"/>
  <c r="AA60" i="56" s="1"/>
  <c r="T59" i="45"/>
  <c r="T60" i="45"/>
  <c r="AA62" i="56" s="1"/>
  <c r="T61" i="45"/>
  <c r="AA63" i="56" s="1"/>
  <c r="T62" i="45"/>
  <c r="T63" i="45"/>
  <c r="AA65" i="56" s="1"/>
  <c r="T64" i="45"/>
  <c r="AA66" i="56" s="1"/>
  <c r="T65" i="45"/>
  <c r="T66" i="45"/>
  <c r="T67" i="45"/>
  <c r="AA69" i="56" s="1"/>
  <c r="T68" i="45"/>
  <c r="AA70" i="56" s="1"/>
  <c r="T69" i="45"/>
  <c r="AA71" i="56" s="1"/>
  <c r="T70" i="45"/>
  <c r="AA72" i="56" s="1"/>
  <c r="T71" i="45"/>
  <c r="T72" i="45"/>
  <c r="T73" i="45"/>
  <c r="AA75" i="56" s="1"/>
  <c r="T74" i="45"/>
  <c r="T75" i="45"/>
  <c r="AA77" i="56" s="1"/>
  <c r="T76" i="45"/>
  <c r="T78" i="45"/>
  <c r="T79" i="45"/>
  <c r="T80" i="45"/>
  <c r="AA81" i="56" s="1"/>
  <c r="T81" i="45"/>
  <c r="X82" i="56" s="1"/>
  <c r="T83" i="45"/>
  <c r="AA84" i="56" s="1"/>
  <c r="T84" i="45"/>
  <c r="T85" i="45"/>
  <c r="AA86" i="56" s="1"/>
  <c r="T86" i="45"/>
  <c r="AA87" i="56" s="1"/>
  <c r="T87" i="45"/>
  <c r="AA88" i="56" s="1"/>
  <c r="T88" i="45"/>
  <c r="T89" i="45"/>
  <c r="AA90" i="56" s="1"/>
  <c r="T90" i="45"/>
  <c r="AA91" i="56" s="1"/>
  <c r="T91" i="45"/>
  <c r="T92" i="45"/>
  <c r="T93" i="45"/>
  <c r="AA94" i="56" s="1"/>
  <c r="T94" i="45"/>
  <c r="X95" i="56" s="1"/>
  <c r="T95" i="45"/>
  <c r="AA96" i="56" s="1"/>
  <c r="T96" i="45"/>
  <c r="AA97" i="56" s="1"/>
  <c r="T97" i="45"/>
  <c r="AA98" i="56" s="1"/>
  <c r="T99" i="45"/>
  <c r="AA100" i="56" s="1"/>
  <c r="T100" i="45"/>
  <c r="AA101" i="56" s="1"/>
  <c r="T101" i="45"/>
  <c r="AA102" i="56" s="1"/>
  <c r="T102" i="45"/>
  <c r="T103" i="45"/>
  <c r="AA104" i="56" s="1"/>
  <c r="T104" i="45"/>
  <c r="T105" i="45"/>
  <c r="T106" i="45"/>
  <c r="AA107" i="56" s="1"/>
  <c r="T108" i="45"/>
  <c r="AA109" i="56" s="1"/>
  <c r="T109" i="45"/>
  <c r="AA110" i="56" s="1"/>
  <c r="T111" i="45"/>
  <c r="AA111" i="56" s="1"/>
  <c r="T112" i="45"/>
  <c r="T113" i="45"/>
  <c r="T114" i="45"/>
  <c r="AA114" i="56" s="1"/>
  <c r="T115" i="45"/>
  <c r="AA115" i="56" s="1"/>
  <c r="T116" i="45"/>
  <c r="T117" i="45"/>
  <c r="T118" i="45"/>
  <c r="T119" i="45"/>
  <c r="T120" i="45"/>
  <c r="T121" i="45"/>
  <c r="AA121" i="56" s="1"/>
  <c r="T122" i="45"/>
  <c r="AA122" i="56" s="1"/>
  <c r="T123" i="45"/>
  <c r="AA123" i="56" s="1"/>
  <c r="T124" i="45"/>
  <c r="T125" i="45"/>
  <c r="T126" i="45"/>
  <c r="AA126" i="56" s="1"/>
  <c r="T127" i="45"/>
  <c r="AA127" i="56" s="1"/>
  <c r="T128" i="45"/>
  <c r="AA128" i="56" s="1"/>
  <c r="T129" i="45"/>
  <c r="T130" i="45"/>
  <c r="T131" i="45"/>
  <c r="T132" i="45"/>
  <c r="T133" i="45"/>
  <c r="AA133" i="56" s="1"/>
  <c r="T134" i="45"/>
  <c r="AA134" i="56" s="1"/>
  <c r="T135" i="45"/>
  <c r="AA135" i="56" s="1"/>
  <c r="T136" i="45"/>
  <c r="T137" i="45"/>
  <c r="AA137" i="56" s="1"/>
  <c r="T138" i="45"/>
  <c r="AA138" i="56" s="1"/>
  <c r="T139" i="45"/>
  <c r="AA139" i="56" s="1"/>
  <c r="T140" i="45"/>
  <c r="AA140" i="56" s="1"/>
  <c r="T141" i="45"/>
  <c r="AA141" i="56" s="1"/>
  <c r="T142" i="45"/>
  <c r="T143" i="45"/>
  <c r="T144" i="45"/>
  <c r="T145" i="45"/>
  <c r="T146" i="45"/>
  <c r="AA146" i="56" s="1"/>
  <c r="T147" i="45"/>
  <c r="T148" i="45"/>
  <c r="AA148" i="56" s="1"/>
  <c r="T149" i="45"/>
  <c r="T150" i="45"/>
  <c r="AA150" i="56" s="1"/>
  <c r="T151" i="45"/>
  <c r="AA151" i="56" s="1"/>
  <c r="T152" i="45"/>
  <c r="AA152" i="56" s="1"/>
  <c r="T153" i="45"/>
  <c r="AA153" i="56" s="1"/>
  <c r="T154" i="45"/>
  <c r="T155" i="45"/>
  <c r="T156" i="45"/>
  <c r="T157" i="45"/>
  <c r="AA157" i="56" s="1"/>
  <c r="T158" i="45"/>
  <c r="AA158" i="56" s="1"/>
  <c r="T159" i="45"/>
  <c r="T160" i="45"/>
  <c r="T161" i="45"/>
  <c r="AA161" i="56" s="1"/>
  <c r="T162" i="45"/>
  <c r="AA162" i="56" s="1"/>
  <c r="T163" i="45"/>
  <c r="AA163" i="56" s="1"/>
  <c r="T164" i="45"/>
  <c r="T165" i="45"/>
  <c r="T166" i="45"/>
  <c r="T167" i="45"/>
  <c r="AA167" i="56" s="1"/>
  <c r="T168" i="45"/>
  <c r="T169" i="45"/>
  <c r="AA169" i="56" s="1"/>
  <c r="T170" i="45"/>
  <c r="T171" i="45"/>
  <c r="T172" i="45"/>
  <c r="T173" i="45"/>
  <c r="T174" i="45"/>
  <c r="AA174" i="56" s="1"/>
  <c r="T175" i="45"/>
  <c r="AA175" i="56" s="1"/>
  <c r="T176" i="45"/>
  <c r="AA176" i="56" s="1"/>
  <c r="T177" i="45"/>
  <c r="T178" i="45"/>
  <c r="T179" i="45"/>
  <c r="T180" i="45"/>
  <c r="AA180" i="56" s="1"/>
  <c r="T181" i="45"/>
  <c r="AA181" i="56" s="1"/>
  <c r="T182" i="45"/>
  <c r="AA182" i="56" s="1"/>
  <c r="T183" i="45"/>
  <c r="T184" i="45"/>
  <c r="AA184" i="56" s="1"/>
  <c r="T185" i="45"/>
  <c r="AA185" i="56" s="1"/>
  <c r="T186" i="45"/>
  <c r="T187" i="45"/>
  <c r="AA187" i="56" s="1"/>
  <c r="T188" i="45"/>
  <c r="T189" i="45"/>
  <c r="AA189" i="56" s="1"/>
  <c r="T190" i="45"/>
  <c r="T191" i="45"/>
  <c r="T192" i="45"/>
  <c r="AA192" i="56" s="1"/>
  <c r="T193" i="45"/>
  <c r="AA193" i="56" s="1"/>
  <c r="T194" i="45"/>
  <c r="AA194" i="56" s="1"/>
  <c r="T195" i="45"/>
  <c r="AA195" i="56" s="1"/>
  <c r="T196" i="45"/>
  <c r="AA196" i="56" s="1"/>
  <c r="T197" i="45"/>
  <c r="AA197" i="56" s="1"/>
  <c r="T198" i="45"/>
  <c r="T199" i="45"/>
  <c r="AA199" i="56" s="1"/>
  <c r="T200" i="45"/>
  <c r="AA200" i="56" s="1"/>
  <c r="T201" i="45"/>
  <c r="AA201" i="56" s="1"/>
  <c r="T202" i="45"/>
  <c r="T203" i="45"/>
  <c r="T205" i="45"/>
  <c r="AA204" i="56" s="1"/>
  <c r="T206" i="45"/>
  <c r="T207" i="45"/>
  <c r="AA206" i="56" s="1"/>
  <c r="T208" i="45"/>
  <c r="AA207" i="56" s="1"/>
  <c r="T209" i="45"/>
  <c r="T210" i="45"/>
  <c r="AA209" i="56" s="1"/>
  <c r="T211" i="45"/>
  <c r="AA210" i="56" s="1"/>
  <c r="T212" i="45"/>
  <c r="AA211" i="56" s="1"/>
  <c r="T214" i="45"/>
  <c r="T215" i="45"/>
  <c r="T216" i="45"/>
  <c r="T217" i="45"/>
  <c r="T218" i="45"/>
  <c r="T219" i="45"/>
  <c r="T220" i="45"/>
  <c r="AA218" i="56" s="1"/>
  <c r="T221" i="45"/>
  <c r="T222" i="45"/>
  <c r="AA220" i="56" s="1"/>
  <c r="T223" i="45"/>
  <c r="AA221" i="56" s="1"/>
  <c r="T224" i="45"/>
  <c r="AA222" i="56" s="1"/>
  <c r="T225" i="45"/>
  <c r="AA223" i="56" s="1"/>
  <c r="T226" i="45"/>
  <c r="T227" i="45"/>
  <c r="AA225" i="56" s="1"/>
  <c r="T228" i="45"/>
  <c r="T229" i="45"/>
  <c r="T230" i="45"/>
  <c r="AA228" i="56" s="1"/>
  <c r="T231" i="45"/>
  <c r="AA229" i="56" s="1"/>
  <c r="T232" i="45"/>
  <c r="AA230" i="56" s="1"/>
  <c r="T234" i="45"/>
  <c r="T235" i="45"/>
  <c r="T236" i="45"/>
  <c r="AA233" i="56" s="1"/>
  <c r="T237" i="45"/>
  <c r="AA234" i="56" s="1"/>
  <c r="T238" i="45"/>
  <c r="AA235" i="56" s="1"/>
  <c r="T239" i="45"/>
  <c r="T240" i="45"/>
  <c r="T241" i="45"/>
  <c r="T242" i="45"/>
  <c r="T243" i="45"/>
  <c r="T244" i="45"/>
  <c r="T245" i="45"/>
  <c r="AA242" i="56" s="1"/>
  <c r="T246" i="45"/>
  <c r="AA243" i="56" s="1"/>
  <c r="T247" i="45"/>
  <c r="AA244" i="56" s="1"/>
  <c r="T248" i="45"/>
  <c r="AA245" i="56" s="1"/>
  <c r="T249" i="45"/>
  <c r="AA246" i="56" s="1"/>
  <c r="T250" i="45"/>
  <c r="AA247" i="56" s="1"/>
  <c r="T252" i="45"/>
  <c r="T253" i="45"/>
  <c r="AA250" i="56" s="1"/>
  <c r="T254" i="45"/>
  <c r="T255" i="45"/>
  <c r="T256" i="45"/>
  <c r="AA253" i="56" s="1"/>
  <c r="T257" i="45"/>
  <c r="T258" i="45"/>
  <c r="AA255" i="56" s="1"/>
  <c r="T259" i="45"/>
  <c r="T260" i="45"/>
  <c r="T261" i="45"/>
  <c r="T262" i="45"/>
  <c r="T263" i="45"/>
  <c r="T264" i="45"/>
  <c r="AA261" i="56" s="1"/>
  <c r="T265" i="45"/>
  <c r="AA262" i="56" s="1"/>
  <c r="T266" i="45"/>
  <c r="T267" i="45"/>
  <c r="AA264" i="56" s="1"/>
  <c r="T268" i="45"/>
  <c r="T269" i="45"/>
  <c r="AA265" i="56" s="1"/>
  <c r="T270" i="45"/>
  <c r="T271" i="45"/>
  <c r="AA268" i="56" s="1"/>
  <c r="T272" i="45"/>
  <c r="AA269" i="56" s="1"/>
  <c r="T273" i="45"/>
  <c r="T274" i="45"/>
  <c r="T275" i="45"/>
  <c r="AA272" i="56" s="1"/>
  <c r="T276" i="45"/>
  <c r="T277" i="45"/>
  <c r="T278" i="45"/>
  <c r="T279" i="45"/>
  <c r="T280" i="45"/>
  <c r="T281" i="45"/>
  <c r="AA278" i="56" s="1"/>
  <c r="T282" i="45"/>
  <c r="T283" i="45"/>
  <c r="AA280" i="56" s="1"/>
  <c r="T284" i="45"/>
  <c r="AA281" i="56" s="1"/>
  <c r="T285" i="45"/>
  <c r="AA282" i="56" s="1"/>
  <c r="T286" i="45"/>
  <c r="AA283" i="56" s="1"/>
  <c r="T287" i="45"/>
  <c r="AA284" i="56" s="1"/>
  <c r="T288" i="45"/>
  <c r="AA285" i="56" s="1"/>
  <c r="T289" i="45"/>
  <c r="T290" i="45"/>
  <c r="T291" i="45"/>
  <c r="T292" i="45"/>
  <c r="AA289" i="56" s="1"/>
  <c r="T293" i="45"/>
  <c r="T294" i="45"/>
  <c r="AA291" i="56" s="1"/>
  <c r="T295" i="45"/>
  <c r="AA292" i="56" s="1"/>
  <c r="T296" i="45"/>
  <c r="T297" i="45"/>
  <c r="AA294" i="56" s="1"/>
  <c r="T298" i="45"/>
  <c r="AA295" i="56" s="1"/>
  <c r="T299" i="45"/>
  <c r="AA296" i="56" s="1"/>
  <c r="T300" i="45"/>
  <c r="T301" i="45"/>
  <c r="T302" i="45"/>
  <c r="AA299" i="56" s="1"/>
  <c r="T303" i="45"/>
  <c r="T304" i="45"/>
  <c r="AA301" i="56" s="1"/>
  <c r="T305" i="45"/>
  <c r="T306" i="45"/>
  <c r="AA303" i="56" s="1"/>
  <c r="T308" i="45"/>
  <c r="AA304" i="56" s="1"/>
  <c r="T309" i="45"/>
  <c r="AA305" i="56" s="1"/>
  <c r="T310" i="45"/>
  <c r="AA306" i="56" s="1"/>
  <c r="T312" i="45"/>
  <c r="AA307" i="56" s="1"/>
  <c r="T313" i="45"/>
  <c r="T314" i="45"/>
  <c r="AA310" i="56" s="1"/>
  <c r="T315" i="45"/>
  <c r="AA309" i="56" s="1"/>
  <c r="T316" i="45"/>
  <c r="T317" i="45"/>
  <c r="T320" i="45"/>
  <c r="AA313" i="56" s="1"/>
  <c r="T321" i="45"/>
  <c r="T322" i="45"/>
  <c r="AA315" i="56" s="1"/>
  <c r="T323" i="45"/>
  <c r="AA316" i="56" s="1"/>
  <c r="T324" i="45"/>
  <c r="AA317" i="56" s="1"/>
  <c r="AA276" i="56"/>
  <c r="AA311" i="56"/>
  <c r="AA43" i="56"/>
  <c r="AA44" i="56"/>
  <c r="AA55" i="56"/>
  <c r="AA56" i="56"/>
  <c r="AA67" i="56"/>
  <c r="AA68" i="56"/>
  <c r="AA79" i="56"/>
  <c r="AA92" i="56"/>
  <c r="AA93" i="56"/>
  <c r="AA105" i="56"/>
  <c r="AA106" i="56"/>
  <c r="AA118" i="56"/>
  <c r="AA119" i="56"/>
  <c r="AA130" i="56"/>
  <c r="AA132" i="56"/>
  <c r="AA142" i="56"/>
  <c r="AA143" i="56"/>
  <c r="AA154" i="56"/>
  <c r="AA155" i="56"/>
  <c r="AA166" i="56"/>
  <c r="AA202" i="56"/>
  <c r="AA214" i="56"/>
  <c r="AA215" i="56"/>
  <c r="AA263" i="56"/>
  <c r="AA287" i="56"/>
  <c r="AA312" i="56"/>
  <c r="AA7" i="56"/>
  <c r="AA8" i="56"/>
  <c r="AA19" i="56"/>
  <c r="AA20" i="56"/>
  <c r="AA22" i="56"/>
  <c r="AA31" i="56"/>
  <c r="AA32" i="56"/>
  <c r="T4" i="45"/>
  <c r="AA6" i="56" s="1"/>
  <c r="R317" i="56"/>
  <c r="R316" i="56"/>
  <c r="R315" i="56"/>
  <c r="R313" i="56"/>
  <c r="R312" i="56"/>
  <c r="R311" i="56"/>
  <c r="R309" i="56"/>
  <c r="R310" i="56"/>
  <c r="R308" i="56"/>
  <c r="R307" i="56"/>
  <c r="R306" i="56"/>
  <c r="R305" i="56"/>
  <c r="R304" i="56"/>
  <c r="R303" i="56"/>
  <c r="R301" i="56"/>
  <c r="X300" i="56"/>
  <c r="R299" i="56"/>
  <c r="R298" i="56"/>
  <c r="R297" i="56"/>
  <c r="R296" i="56"/>
  <c r="R295" i="56"/>
  <c r="R294" i="56"/>
  <c r="R293" i="56"/>
  <c r="R292" i="56"/>
  <c r="R291" i="56"/>
  <c r="R289" i="56"/>
  <c r="X288" i="56"/>
  <c r="R287" i="56"/>
  <c r="R286" i="56"/>
  <c r="R285" i="56"/>
  <c r="R284" i="56"/>
  <c r="R283" i="56"/>
  <c r="R282" i="56"/>
  <c r="R281" i="56"/>
  <c r="R280" i="56"/>
  <c r="R279" i="56"/>
  <c r="R278" i="56"/>
  <c r="R277" i="56"/>
  <c r="R276" i="56"/>
  <c r="R275" i="56"/>
  <c r="R274" i="56"/>
  <c r="R273" i="56"/>
  <c r="R271" i="56"/>
  <c r="R270" i="56"/>
  <c r="R269" i="56"/>
  <c r="R265" i="56"/>
  <c r="R267" i="56"/>
  <c r="R266" i="56"/>
  <c r="R268" i="56"/>
  <c r="R264" i="56"/>
  <c r="R263" i="56"/>
  <c r="R262" i="56"/>
  <c r="R261" i="56"/>
  <c r="R260" i="56"/>
  <c r="R259" i="56"/>
  <c r="R258" i="56"/>
  <c r="R257" i="56"/>
  <c r="R256" i="56"/>
  <c r="R255" i="56"/>
  <c r="R253" i="56"/>
  <c r="X252" i="56"/>
  <c r="X251" i="56"/>
  <c r="R250" i="56"/>
  <c r="R249" i="56"/>
  <c r="R247" i="56"/>
  <c r="R246" i="56"/>
  <c r="R245" i="56"/>
  <c r="R244" i="56"/>
  <c r="R243" i="56"/>
  <c r="R242" i="56"/>
  <c r="R241" i="56"/>
  <c r="R240" i="56"/>
  <c r="R238" i="56"/>
  <c r="R237" i="56"/>
  <c r="R236" i="56"/>
  <c r="R235" i="56"/>
  <c r="R234" i="56"/>
  <c r="R233" i="56"/>
  <c r="R232" i="56"/>
  <c r="R231" i="56"/>
  <c r="R230" i="56"/>
  <c r="R229" i="56"/>
  <c r="R228" i="56"/>
  <c r="X227" i="56"/>
  <c r="X226" i="56"/>
  <c r="R225" i="56"/>
  <c r="R224" i="56"/>
  <c r="R223" i="56"/>
  <c r="R222" i="56"/>
  <c r="R221" i="56"/>
  <c r="R220" i="56"/>
  <c r="R218" i="56"/>
  <c r="R216" i="56"/>
  <c r="R128" i="56"/>
  <c r="R215" i="56"/>
  <c r="R214" i="56"/>
  <c r="R213" i="56"/>
  <c r="R212" i="56"/>
  <c r="R211" i="56"/>
  <c r="R210" i="56"/>
  <c r="R209" i="56"/>
  <c r="R208" i="56"/>
  <c r="R207" i="56"/>
  <c r="R206" i="56"/>
  <c r="R205" i="56"/>
  <c r="R204" i="56"/>
  <c r="X203" i="56"/>
  <c r="R202" i="56"/>
  <c r="R201" i="56"/>
  <c r="R200" i="56"/>
  <c r="R199" i="56"/>
  <c r="R198" i="56"/>
  <c r="R197" i="56"/>
  <c r="R196" i="56"/>
  <c r="R195" i="56"/>
  <c r="R194" i="56"/>
  <c r="R193" i="56"/>
  <c r="R192" i="56"/>
  <c r="X191" i="56"/>
  <c r="X190" i="56"/>
  <c r="R189" i="56"/>
  <c r="R188" i="56"/>
  <c r="R187" i="56"/>
  <c r="R186" i="56"/>
  <c r="R185" i="56"/>
  <c r="R184" i="56"/>
  <c r="R183" i="56"/>
  <c r="R182" i="56"/>
  <c r="R181" i="56"/>
  <c r="R180" i="56"/>
  <c r="X179" i="56"/>
  <c r="X178" i="56"/>
  <c r="R177" i="56"/>
  <c r="R176" i="56"/>
  <c r="R175" i="56"/>
  <c r="R174" i="56"/>
  <c r="R173" i="56"/>
  <c r="R172" i="56"/>
  <c r="R171" i="56"/>
  <c r="R170" i="56"/>
  <c r="R169" i="56"/>
  <c r="R168" i="56"/>
  <c r="R167" i="56"/>
  <c r="R166" i="56"/>
  <c r="R165" i="56"/>
  <c r="R164" i="56"/>
  <c r="R163" i="56"/>
  <c r="R162" i="56"/>
  <c r="R161" i="56"/>
  <c r="R160" i="56"/>
  <c r="R159" i="56"/>
  <c r="R158" i="56"/>
  <c r="R157" i="56"/>
  <c r="R156" i="56"/>
  <c r="R155" i="56"/>
  <c r="R154" i="56"/>
  <c r="R152" i="56"/>
  <c r="X151" i="56"/>
  <c r="R150" i="56"/>
  <c r="R149" i="56"/>
  <c r="R148" i="56"/>
  <c r="R147" i="56"/>
  <c r="R146" i="56"/>
  <c r="R144" i="56"/>
  <c r="R143" i="56"/>
  <c r="R142" i="56"/>
  <c r="R141" i="56"/>
  <c r="R140" i="56"/>
  <c r="R139" i="56"/>
  <c r="R137" i="56"/>
  <c r="R136" i="56"/>
  <c r="R135" i="56"/>
  <c r="R134" i="56"/>
  <c r="R133" i="56"/>
  <c r="R132" i="56"/>
  <c r="X131" i="56"/>
  <c r="R130" i="56"/>
  <c r="R129" i="56"/>
  <c r="R127" i="56"/>
  <c r="R126" i="56"/>
  <c r="R125" i="56"/>
  <c r="R124" i="56"/>
  <c r="R123" i="56"/>
  <c r="R122" i="56"/>
  <c r="R121" i="56"/>
  <c r="R120" i="56"/>
  <c r="R119" i="56"/>
  <c r="X118" i="56"/>
  <c r="R117" i="56"/>
  <c r="R116" i="56"/>
  <c r="R115" i="56"/>
  <c r="R114" i="56"/>
  <c r="R113" i="56"/>
  <c r="R112" i="56"/>
  <c r="R111" i="56"/>
  <c r="R110" i="56"/>
  <c r="R109" i="56"/>
  <c r="R107" i="56"/>
  <c r="R106" i="56"/>
  <c r="R105" i="56"/>
  <c r="R104" i="56"/>
  <c r="R103" i="56"/>
  <c r="X102" i="56"/>
  <c r="R101" i="56"/>
  <c r="R100" i="56"/>
  <c r="R219" i="56"/>
  <c r="R98" i="56"/>
  <c r="R97" i="56"/>
  <c r="R96" i="56"/>
  <c r="R94" i="56"/>
  <c r="R93" i="56"/>
  <c r="R92" i="56"/>
  <c r="R91" i="56"/>
  <c r="R90" i="56"/>
  <c r="R89" i="56"/>
  <c r="R88" i="56"/>
  <c r="R87" i="56"/>
  <c r="R86" i="56"/>
  <c r="R85" i="56"/>
  <c r="R84" i="56"/>
  <c r="R81" i="56"/>
  <c r="X80" i="56"/>
  <c r="R79" i="56"/>
  <c r="R78" i="56"/>
  <c r="R77" i="56"/>
  <c r="R76" i="56"/>
  <c r="R75" i="56"/>
  <c r="R74" i="56"/>
  <c r="R73" i="56"/>
  <c r="R72" i="56"/>
  <c r="R71" i="56"/>
  <c r="R70" i="56"/>
  <c r="R69" i="56"/>
  <c r="R68" i="56"/>
  <c r="R67" i="56"/>
  <c r="R66" i="56"/>
  <c r="R65" i="56"/>
  <c r="R64" i="56"/>
  <c r="R63" i="56"/>
  <c r="R62" i="56"/>
  <c r="R61" i="56"/>
  <c r="R60" i="56"/>
  <c r="R59" i="56"/>
  <c r="R57" i="56"/>
  <c r="R56" i="56"/>
  <c r="R55" i="56"/>
  <c r="R54" i="56"/>
  <c r="R53" i="56"/>
  <c r="R52" i="56"/>
  <c r="R51" i="56"/>
  <c r="R50" i="56"/>
  <c r="R49" i="56"/>
  <c r="R48" i="56"/>
  <c r="R47" i="56"/>
  <c r="X45" i="56"/>
  <c r="R44" i="56"/>
  <c r="R43" i="56"/>
  <c r="R42" i="56"/>
  <c r="R41" i="56"/>
  <c r="R40" i="56"/>
  <c r="R39" i="56"/>
  <c r="R38" i="56"/>
  <c r="R37" i="56"/>
  <c r="R36" i="56"/>
  <c r="R35" i="56"/>
  <c r="R34" i="56"/>
  <c r="R33" i="56"/>
  <c r="X32" i="56"/>
  <c r="X31" i="56"/>
  <c r="R30" i="56"/>
  <c r="R29" i="56"/>
  <c r="R28" i="56"/>
  <c r="R27" i="56"/>
  <c r="R26" i="56"/>
  <c r="R25" i="56"/>
  <c r="R24" i="56"/>
  <c r="R23" i="56"/>
  <c r="X21" i="56"/>
  <c r="X20" i="56"/>
  <c r="R19" i="56"/>
  <c r="R18" i="56"/>
  <c r="R17" i="56"/>
  <c r="R16" i="56"/>
  <c r="R15" i="56"/>
  <c r="R14" i="56"/>
  <c r="R13" i="56"/>
  <c r="R12" i="56"/>
  <c r="R11" i="56"/>
  <c r="R9" i="56"/>
  <c r="X8" i="56"/>
  <c r="R7" i="56"/>
  <c r="R6" i="56"/>
  <c r="X10" i="56" l="1"/>
  <c r="X254" i="56"/>
  <c r="X290" i="56"/>
  <c r="X145" i="56"/>
  <c r="X217" i="56"/>
  <c r="X314" i="56"/>
  <c r="X302" i="56"/>
  <c r="G189" i="62"/>
  <c r="U189" i="56" s="1"/>
  <c r="G290" i="62"/>
  <c r="U290" i="56" s="1"/>
  <c r="G17" i="62"/>
  <c r="U17" i="56" s="1"/>
  <c r="G29" i="62"/>
  <c r="U29" i="56" s="1"/>
  <c r="G41" i="62"/>
  <c r="G53" i="62"/>
  <c r="U52" i="56" s="1"/>
  <c r="G65" i="62"/>
  <c r="U64" i="56" s="1"/>
  <c r="G240" i="62"/>
  <c r="U239" i="56" s="1"/>
  <c r="C5" i="62"/>
  <c r="D5" i="62"/>
  <c r="E5" i="62"/>
  <c r="G211" i="62"/>
  <c r="U211" i="56" s="1"/>
  <c r="G319" i="62"/>
  <c r="U317" i="56" s="1"/>
  <c r="H5" i="62"/>
  <c r="X138" i="56"/>
  <c r="R314" i="56"/>
  <c r="R302" i="56"/>
  <c r="R290" i="56"/>
  <c r="R254" i="56"/>
  <c r="R217" i="56"/>
  <c r="R145" i="56"/>
  <c r="R95" i="56"/>
  <c r="R82" i="56"/>
  <c r="R58" i="56"/>
  <c r="R46" i="56"/>
  <c r="R22" i="56"/>
  <c r="X96" i="56"/>
  <c r="X308" i="56"/>
  <c r="X89" i="56"/>
  <c r="X64" i="56"/>
  <c r="G152" i="62"/>
  <c r="U153" i="56" s="1"/>
  <c r="G272" i="62"/>
  <c r="U272" i="56" s="1"/>
  <c r="F5" i="62"/>
  <c r="R45" i="56"/>
  <c r="R21" i="56"/>
  <c r="X84" i="56"/>
  <c r="X275" i="56"/>
  <c r="X271" i="56"/>
  <c r="X259" i="56"/>
  <c r="X198" i="56"/>
  <c r="X186" i="56"/>
  <c r="X39" i="56"/>
  <c r="G11" i="62"/>
  <c r="U11" i="56" s="1"/>
  <c r="G23" i="62"/>
  <c r="U23" i="56" s="1"/>
  <c r="G35" i="62"/>
  <c r="U35" i="56" s="1"/>
  <c r="G47" i="62"/>
  <c r="U46" i="56" s="1"/>
  <c r="G59" i="62"/>
  <c r="U58" i="56" s="1"/>
  <c r="G71" i="62"/>
  <c r="U70" i="56" s="1"/>
  <c r="G83" i="62"/>
  <c r="U82" i="56" s="1"/>
  <c r="G95" i="62"/>
  <c r="U95" i="56" s="1"/>
  <c r="G107" i="62"/>
  <c r="U107" i="56" s="1"/>
  <c r="G119" i="62"/>
  <c r="U120" i="56" s="1"/>
  <c r="G131" i="62"/>
  <c r="U133" i="56" s="1"/>
  <c r="G143" i="62"/>
  <c r="U144" i="56" s="1"/>
  <c r="G287" i="62"/>
  <c r="U287" i="56" s="1"/>
  <c r="G299" i="62"/>
  <c r="U298" i="56" s="1"/>
  <c r="R300" i="56"/>
  <c r="R288" i="56"/>
  <c r="R252" i="56"/>
  <c r="R239" i="56"/>
  <c r="R227" i="56"/>
  <c r="R203" i="56"/>
  <c r="R191" i="56"/>
  <c r="R179" i="56"/>
  <c r="R131" i="56"/>
  <c r="R80" i="56"/>
  <c r="R32" i="56"/>
  <c r="R20" i="56"/>
  <c r="X76" i="56"/>
  <c r="X270" i="56"/>
  <c r="X173" i="56"/>
  <c r="X149" i="56"/>
  <c r="X125" i="56"/>
  <c r="X113" i="56"/>
  <c r="X74" i="56"/>
  <c r="X50" i="56"/>
  <c r="X38" i="56"/>
  <c r="X26" i="56"/>
  <c r="X14" i="56"/>
  <c r="G160" i="62"/>
  <c r="U161" i="56" s="1"/>
  <c r="G196" i="62"/>
  <c r="U196" i="56" s="1"/>
  <c r="G256" i="62"/>
  <c r="U256" i="56" s="1"/>
  <c r="G280" i="62"/>
  <c r="U280" i="56" s="1"/>
  <c r="R251" i="56"/>
  <c r="R226" i="56"/>
  <c r="R190" i="56"/>
  <c r="R178" i="56"/>
  <c r="R118" i="56"/>
  <c r="R31" i="56"/>
  <c r="X293" i="56"/>
  <c r="X257" i="56"/>
  <c r="X232" i="56"/>
  <c r="X208" i="56"/>
  <c r="X172" i="56"/>
  <c r="X160" i="56"/>
  <c r="X136" i="56"/>
  <c r="X124" i="56"/>
  <c r="X112" i="56"/>
  <c r="X73" i="56"/>
  <c r="X61" i="56"/>
  <c r="X13" i="56"/>
  <c r="R153" i="56"/>
  <c r="X256" i="56"/>
  <c r="X231" i="56"/>
  <c r="X219" i="56"/>
  <c r="X183" i="56"/>
  <c r="X171" i="56"/>
  <c r="X159" i="56"/>
  <c r="X147" i="56"/>
  <c r="X85" i="56"/>
  <c r="X36" i="56"/>
  <c r="X12" i="56"/>
  <c r="R10" i="56"/>
  <c r="X279" i="56"/>
  <c r="X267" i="56"/>
  <c r="X170" i="56"/>
  <c r="X158" i="56"/>
  <c r="X146" i="56"/>
  <c r="X110" i="56"/>
  <c r="X47" i="56"/>
  <c r="X35" i="56"/>
  <c r="R272" i="56"/>
  <c r="R151" i="56"/>
  <c r="R102" i="56"/>
  <c r="X239" i="56"/>
  <c r="X241" i="56"/>
  <c r="X205" i="56"/>
  <c r="G156" i="62"/>
  <c r="U157" i="56" s="1"/>
  <c r="G168" i="62"/>
  <c r="U168" i="56" s="1"/>
  <c r="G312" i="62"/>
  <c r="U311" i="56" s="1"/>
  <c r="R8" i="56"/>
  <c r="R138" i="56"/>
  <c r="X11" i="56"/>
  <c r="X277" i="56"/>
  <c r="X266" i="56"/>
  <c r="X216" i="56"/>
  <c r="X168" i="56"/>
  <c r="X156" i="56"/>
  <c r="X144" i="56"/>
  <c r="X120" i="56"/>
  <c r="X57" i="56"/>
  <c r="X33" i="56"/>
  <c r="X9" i="56"/>
  <c r="G94" i="62"/>
  <c r="U94" i="56" s="1"/>
  <c r="X238" i="56"/>
  <c r="X298" i="56"/>
  <c r="X286" i="56"/>
  <c r="X274" i="56"/>
  <c r="X237" i="56"/>
  <c r="X213" i="56"/>
  <c r="X177" i="56"/>
  <c r="X165" i="56"/>
  <c r="X129" i="56"/>
  <c r="X117" i="56"/>
  <c r="X78" i="56"/>
  <c r="X297" i="56"/>
  <c r="X273" i="56"/>
  <c r="X249" i="56"/>
  <c r="X236" i="56"/>
  <c r="X224" i="56"/>
  <c r="X212" i="56"/>
  <c r="X188" i="56"/>
  <c r="X164" i="56"/>
  <c r="X116" i="56"/>
  <c r="X103" i="56"/>
  <c r="X53" i="56"/>
  <c r="X41" i="56"/>
  <c r="X122" i="56"/>
  <c r="X242" i="56"/>
  <c r="X97" i="56"/>
  <c r="X218" i="56"/>
  <c r="X98" i="56"/>
  <c r="X71" i="56"/>
  <c r="X207" i="56"/>
  <c r="X59" i="56"/>
  <c r="AA232" i="56"/>
  <c r="X206" i="56"/>
  <c r="X23" i="56"/>
  <c r="X87" i="56"/>
  <c r="AA183" i="56"/>
  <c r="X268" i="56"/>
  <c r="X72" i="56"/>
  <c r="AA160" i="56"/>
  <c r="X209" i="56"/>
  <c r="X196" i="56"/>
  <c r="AA159" i="56"/>
  <c r="X60" i="56"/>
  <c r="X315" i="56"/>
  <c r="AA279" i="56"/>
  <c r="X280" i="56"/>
  <c r="AA256" i="56"/>
  <c r="AA270" i="56"/>
  <c r="X292" i="56"/>
  <c r="AA85" i="56"/>
  <c r="AA74" i="56"/>
  <c r="X221" i="56"/>
  <c r="AA50" i="56"/>
  <c r="X269" i="56"/>
  <c r="AA172" i="56"/>
  <c r="AA36" i="56"/>
  <c r="X49" i="56"/>
  <c r="X184" i="56"/>
  <c r="X148" i="56"/>
  <c r="X48" i="56"/>
  <c r="X244" i="56"/>
  <c r="AA219" i="56"/>
  <c r="AA73" i="56"/>
  <c r="X86" i="56"/>
  <c r="X37" i="56"/>
  <c r="AA136" i="56"/>
  <c r="X304" i="56"/>
  <c r="AA124" i="56"/>
  <c r="AA293" i="56"/>
  <c r="AA257" i="56"/>
  <c r="AA231" i="56"/>
  <c r="AA61" i="56"/>
  <c r="AA112" i="56"/>
  <c r="X281" i="56"/>
  <c r="X62" i="56"/>
  <c r="X210" i="56"/>
  <c r="AA186" i="56"/>
  <c r="AA26" i="56"/>
  <c r="AA38" i="56"/>
  <c r="X253" i="56"/>
  <c r="X150" i="56"/>
  <c r="X75" i="56"/>
  <c r="X261" i="56"/>
  <c r="X140" i="56"/>
  <c r="X199" i="56"/>
  <c r="X187" i="56"/>
  <c r="AA308" i="56"/>
  <c r="X233" i="56"/>
  <c r="X185" i="56"/>
  <c r="AA64" i="56"/>
  <c r="X296" i="56"/>
  <c r="X127" i="56"/>
  <c r="X272" i="56"/>
  <c r="X175" i="56"/>
  <c r="X163" i="56"/>
  <c r="X284" i="56"/>
  <c r="AA53" i="56"/>
  <c r="AA273" i="56"/>
  <c r="AA198" i="56"/>
  <c r="AA41" i="56"/>
  <c r="X6" i="56"/>
  <c r="AA249" i="56"/>
  <c r="X307" i="56"/>
  <c r="AA103" i="56"/>
  <c r="X90" i="56"/>
  <c r="X65" i="56"/>
  <c r="AA212" i="56"/>
  <c r="AA188" i="56"/>
  <c r="X126" i="56"/>
  <c r="X88" i="56"/>
  <c r="X176" i="56"/>
  <c r="AA297" i="56"/>
  <c r="X285" i="56"/>
  <c r="AA236" i="56"/>
  <c r="X101" i="56"/>
  <c r="X174" i="56"/>
  <c r="AA224" i="56"/>
  <c r="X77" i="56"/>
  <c r="X51" i="56"/>
  <c r="X192" i="56"/>
  <c r="X162" i="56"/>
  <c r="X42" i="56"/>
  <c r="X262" i="56"/>
  <c r="X225" i="56"/>
  <c r="AA237" i="56"/>
  <c r="X189" i="56"/>
  <c r="AA274" i="56"/>
  <c r="AA213" i="56"/>
  <c r="X250" i="56"/>
  <c r="AA298" i="56"/>
  <c r="AA78" i="56"/>
  <c r="X141" i="56"/>
  <c r="X137" i="56"/>
  <c r="X111" i="56"/>
  <c r="X28" i="56"/>
  <c r="X309" i="56"/>
  <c r="AA125" i="56"/>
  <c r="AA149" i="56"/>
  <c r="AA208" i="56"/>
  <c r="X134" i="56"/>
  <c r="X40" i="56"/>
  <c r="X303" i="56"/>
  <c r="AA76" i="56"/>
  <c r="AA39" i="56"/>
  <c r="AA266" i="56"/>
  <c r="X228" i="56"/>
  <c r="X135" i="56"/>
  <c r="X195" i="56"/>
  <c r="AA173" i="56"/>
  <c r="AA147" i="56"/>
  <c r="X54" i="56"/>
  <c r="X194" i="56"/>
  <c r="AA267" i="56"/>
  <c r="AA113" i="56"/>
  <c r="X197" i="56"/>
  <c r="X16" i="56"/>
  <c r="AA171" i="56"/>
  <c r="AA89" i="56"/>
  <c r="X52" i="56"/>
  <c r="AA170" i="56"/>
  <c r="X255" i="56"/>
  <c r="AA277" i="56"/>
  <c r="AA168" i="56"/>
  <c r="AA144" i="56"/>
  <c r="AA120" i="56"/>
  <c r="AA82" i="56"/>
  <c r="AA14" i="56"/>
  <c r="X301" i="56"/>
  <c r="X94" i="56"/>
  <c r="AA216" i="56"/>
  <c r="X204" i="56"/>
  <c r="X69" i="56"/>
  <c r="X180" i="56"/>
  <c r="X132" i="56"/>
  <c r="X107" i="56"/>
  <c r="X289" i="56"/>
  <c r="AA156" i="56"/>
  <c r="AA286" i="56"/>
  <c r="X67" i="56"/>
  <c r="X43" i="56"/>
  <c r="X7" i="56"/>
  <c r="X245" i="56"/>
  <c r="X142" i="56"/>
  <c r="X154" i="56"/>
  <c r="X130" i="56"/>
  <c r="X79" i="56"/>
  <c r="X202" i="56"/>
  <c r="X121" i="56"/>
  <c r="AA178" i="56"/>
  <c r="X24" i="56"/>
  <c r="X287" i="56"/>
  <c r="AA275" i="56"/>
  <c r="X133" i="56"/>
  <c r="AA227" i="56"/>
  <c r="X312" i="56"/>
  <c r="AA290" i="56"/>
  <c r="X70" i="56"/>
  <c r="AA288" i="56"/>
  <c r="X143" i="56"/>
  <c r="X109" i="56"/>
  <c r="X264" i="56"/>
  <c r="X215" i="56"/>
  <c r="X157" i="56"/>
  <c r="X44" i="56"/>
  <c r="X155" i="56"/>
  <c r="AA145" i="56"/>
  <c r="X15" i="56"/>
  <c r="X311" i="56"/>
  <c r="X278" i="56"/>
  <c r="X265" i="56"/>
  <c r="X229" i="56"/>
  <c r="X214" i="56"/>
  <c r="AA241" i="56"/>
  <c r="AA226" i="56"/>
  <c r="AA179" i="56"/>
  <c r="AA131" i="56"/>
  <c r="AA13" i="56"/>
  <c r="AA254" i="56"/>
  <c r="X106" i="56"/>
  <c r="X56" i="56"/>
  <c r="X27" i="56"/>
  <c r="X169" i="56"/>
  <c r="AA238" i="56"/>
  <c r="AA191" i="56"/>
  <c r="AA95" i="56"/>
  <c r="X276" i="56"/>
  <c r="AA302" i="56"/>
  <c r="AA239" i="56"/>
  <c r="X55" i="56"/>
  <c r="X181" i="56"/>
  <c r="AA300" i="56"/>
  <c r="AA252" i="56"/>
  <c r="AA205" i="56"/>
  <c r="AA190" i="56"/>
  <c r="X25" i="56"/>
  <c r="X167" i="56"/>
  <c r="AA314" i="56"/>
  <c r="AA251" i="56"/>
  <c r="AA217" i="56"/>
  <c r="AA203" i="56"/>
  <c r="X119" i="56"/>
  <c r="X68" i="56"/>
  <c r="X294" i="56"/>
  <c r="X211" i="56"/>
  <c r="X295" i="56"/>
  <c r="X223" i="56"/>
  <c r="X81" i="56"/>
  <c r="X201" i="56"/>
  <c r="X200" i="56"/>
  <c r="X93" i="56"/>
  <c r="X305" i="56"/>
  <c r="X235" i="56"/>
  <c r="X222" i="56"/>
  <c r="AA58" i="56"/>
  <c r="AA46" i="56"/>
  <c r="X105" i="56"/>
  <c r="X234" i="56"/>
  <c r="AA177" i="56"/>
  <c r="AA165" i="56"/>
  <c r="AA129" i="56"/>
  <c r="AA117" i="56"/>
  <c r="AA57" i="56"/>
  <c r="AA45" i="56"/>
  <c r="X104" i="56"/>
  <c r="X247" i="56"/>
  <c r="AA164" i="56"/>
  <c r="AA116" i="56"/>
  <c r="AA80" i="56"/>
  <c r="X317" i="56"/>
  <c r="X246" i="56"/>
  <c r="AA271" i="56"/>
  <c r="AA259" i="56"/>
  <c r="X316" i="56"/>
  <c r="X18" i="56"/>
  <c r="X30" i="56"/>
  <c r="X17" i="56"/>
  <c r="X29" i="56"/>
  <c r="G277" i="62"/>
  <c r="U277" i="56" s="1"/>
  <c r="G301" i="62"/>
  <c r="U300" i="56" s="1"/>
  <c r="G294" i="62"/>
  <c r="U293" i="56" s="1"/>
  <c r="G306" i="62"/>
  <c r="U305" i="56" s="1"/>
  <c r="G163" i="62"/>
  <c r="U163" i="56" s="1"/>
  <c r="G192" i="62"/>
  <c r="U192" i="56" s="1"/>
  <c r="G22" i="62"/>
  <c r="U22" i="56" s="1"/>
  <c r="G34" i="62"/>
  <c r="U34" i="56" s="1"/>
  <c r="G46" i="62"/>
  <c r="U45" i="56" s="1"/>
  <c r="G58" i="62"/>
  <c r="U57" i="56" s="1"/>
  <c r="G82" i="62"/>
  <c r="U81" i="56" s="1"/>
  <c r="G176" i="62"/>
  <c r="U176" i="56" s="1"/>
  <c r="G188" i="62"/>
  <c r="U188" i="56" s="1"/>
  <c r="G212" i="62"/>
  <c r="U212" i="56" s="1"/>
  <c r="G224" i="62"/>
  <c r="U223" i="56" s="1"/>
  <c r="G248" i="62"/>
  <c r="U247" i="56" s="1"/>
  <c r="G308" i="62"/>
  <c r="U307" i="56" s="1"/>
  <c r="G182" i="62"/>
  <c r="U182" i="56" s="1"/>
  <c r="G304" i="62"/>
  <c r="U302" i="56" s="1"/>
  <c r="G316" i="62"/>
  <c r="G10" i="62"/>
  <c r="U10" i="56" s="1"/>
  <c r="G70" i="62"/>
  <c r="U69" i="56" s="1"/>
  <c r="G106" i="62"/>
  <c r="U106" i="56" s="1"/>
  <c r="G118" i="62"/>
  <c r="U119" i="56" s="1"/>
  <c r="G130" i="62"/>
  <c r="U132" i="56" s="1"/>
  <c r="G142" i="62"/>
  <c r="U143" i="56" s="1"/>
  <c r="G264" i="62"/>
  <c r="U264" i="56" s="1"/>
  <c r="G288" i="62"/>
  <c r="U288" i="56" s="1"/>
  <c r="G300" i="62"/>
  <c r="U299" i="56" s="1"/>
  <c r="G226" i="62"/>
  <c r="U225" i="56" s="1"/>
  <c r="G208" i="62"/>
  <c r="U208" i="56" s="1"/>
  <c r="G232" i="62"/>
  <c r="U231" i="56" s="1"/>
  <c r="G296" i="62"/>
  <c r="U295" i="56" s="1"/>
  <c r="G204" i="62"/>
  <c r="U204" i="56" s="1"/>
  <c r="G216" i="62"/>
  <c r="U215" i="56" s="1"/>
  <c r="G285" i="62"/>
  <c r="U285" i="56" s="1"/>
  <c r="G292" i="62"/>
  <c r="U291" i="56" s="1"/>
  <c r="G245" i="62"/>
  <c r="U244" i="56" s="1"/>
  <c r="G252" i="62"/>
  <c r="U252" i="56" s="1"/>
  <c r="G259" i="62"/>
  <c r="U259" i="56" s="1"/>
  <c r="G271" i="62"/>
  <c r="U271" i="56" s="1"/>
  <c r="G9" i="62"/>
  <c r="U9" i="56" s="1"/>
  <c r="G21" i="62"/>
  <c r="U21" i="56" s="1"/>
  <c r="G33" i="62"/>
  <c r="U33" i="56" s="1"/>
  <c r="G45" i="62"/>
  <c r="U44" i="56" s="1"/>
  <c r="G57" i="62"/>
  <c r="U56" i="56" s="1"/>
  <c r="G69" i="62"/>
  <c r="U68" i="56" s="1"/>
  <c r="G81" i="62"/>
  <c r="U80" i="56" s="1"/>
  <c r="G93" i="62"/>
  <c r="U93" i="56" s="1"/>
  <c r="G105" i="62"/>
  <c r="U105" i="56" s="1"/>
  <c r="G117" i="62"/>
  <c r="U118" i="56" s="1"/>
  <c r="G129" i="62"/>
  <c r="U131" i="56" s="1"/>
  <c r="G205" i="62"/>
  <c r="U205" i="56" s="1"/>
  <c r="G293" i="62"/>
  <c r="U292" i="56" s="1"/>
  <c r="G191" i="62"/>
  <c r="U191" i="56" s="1"/>
  <c r="G198" i="62"/>
  <c r="U198" i="56" s="1"/>
  <c r="G200" i="62"/>
  <c r="U200" i="56" s="1"/>
  <c r="G210" i="62"/>
  <c r="U210" i="56" s="1"/>
  <c r="G184" i="62"/>
  <c r="U184" i="56" s="1"/>
  <c r="G203" i="62"/>
  <c r="U203" i="56" s="1"/>
  <c r="G284" i="62"/>
  <c r="U284" i="56" s="1"/>
  <c r="G236" i="62"/>
  <c r="U235" i="56" s="1"/>
  <c r="G311" i="62"/>
  <c r="U309" i="56" s="1"/>
  <c r="G318" i="62"/>
  <c r="U316" i="56" s="1"/>
  <c r="G166" i="62"/>
  <c r="U166" i="56" s="1"/>
  <c r="G180" i="62"/>
  <c r="U180" i="56" s="1"/>
  <c r="G187" i="62"/>
  <c r="U187" i="56" s="1"/>
  <c r="G194" i="62"/>
  <c r="U194" i="56" s="1"/>
  <c r="G262" i="62"/>
  <c r="U262" i="56" s="1"/>
  <c r="G269" i="62"/>
  <c r="U269" i="56" s="1"/>
  <c r="G276" i="62"/>
  <c r="U276" i="56" s="1"/>
  <c r="G283" i="62"/>
  <c r="U283" i="56" s="1"/>
  <c r="G25" i="62"/>
  <c r="U25" i="56" s="1"/>
  <c r="G37" i="62"/>
  <c r="U37" i="56" s="1"/>
  <c r="G49" i="62"/>
  <c r="U48" i="56" s="1"/>
  <c r="G61" i="62"/>
  <c r="U60" i="56" s="1"/>
  <c r="G73" i="62"/>
  <c r="U72" i="56" s="1"/>
  <c r="G85" i="62"/>
  <c r="U85" i="56" s="1"/>
  <c r="G97" i="62"/>
  <c r="U97" i="56" s="1"/>
  <c r="G109" i="62"/>
  <c r="U110" i="56" s="1"/>
  <c r="G121" i="62"/>
  <c r="U122" i="56" s="1"/>
  <c r="G133" i="62"/>
  <c r="U135" i="56" s="1"/>
  <c r="G145" i="62"/>
  <c r="U146" i="56" s="1"/>
  <c r="G213" i="62"/>
  <c r="U213" i="56" s="1"/>
  <c r="G220" i="62"/>
  <c r="U218" i="56" s="1"/>
  <c r="G227" i="62"/>
  <c r="U226" i="56" s="1"/>
  <c r="G18" i="62"/>
  <c r="U18" i="56" s="1"/>
  <c r="G30" i="62"/>
  <c r="U30" i="56" s="1"/>
  <c r="G42" i="62"/>
  <c r="U41" i="56" s="1"/>
  <c r="G54" i="62"/>
  <c r="U53" i="56" s="1"/>
  <c r="G66" i="62"/>
  <c r="U65" i="56" s="1"/>
  <c r="G78" i="62"/>
  <c r="U77" i="56" s="1"/>
  <c r="G90" i="62"/>
  <c r="U90" i="56" s="1"/>
  <c r="G102" i="62"/>
  <c r="U102" i="56" s="1"/>
  <c r="G114" i="62"/>
  <c r="U115" i="56" s="1"/>
  <c r="G126" i="62"/>
  <c r="U127" i="56" s="1"/>
  <c r="G138" i="62"/>
  <c r="U139" i="56" s="1"/>
  <c r="G150" i="62"/>
  <c r="U151" i="56" s="1"/>
  <c r="G157" i="62"/>
  <c r="U158" i="56" s="1"/>
  <c r="G164" i="62"/>
  <c r="U164" i="56" s="1"/>
  <c r="G178" i="62"/>
  <c r="U178" i="56" s="1"/>
  <c r="G239" i="62"/>
  <c r="U238" i="56" s="1"/>
  <c r="G246" i="62"/>
  <c r="U245" i="56" s="1"/>
  <c r="G253" i="62"/>
  <c r="U253" i="56" s="1"/>
  <c r="G260" i="62"/>
  <c r="U260" i="56" s="1"/>
  <c r="G274" i="62"/>
  <c r="U274" i="56" s="1"/>
  <c r="G314" i="62"/>
  <c r="U313" i="56" s="1"/>
  <c r="G16" i="62"/>
  <c r="U16" i="56" s="1"/>
  <c r="G28" i="62"/>
  <c r="U28" i="56" s="1"/>
  <c r="G40" i="62"/>
  <c r="U40" i="56" s="1"/>
  <c r="G52" i="62"/>
  <c r="U51" i="56" s="1"/>
  <c r="G64" i="62"/>
  <c r="U63" i="56" s="1"/>
  <c r="G76" i="62"/>
  <c r="U75" i="56" s="1"/>
  <c r="G88" i="62"/>
  <c r="U88" i="56" s="1"/>
  <c r="G100" i="62"/>
  <c r="U100" i="56" s="1"/>
  <c r="G112" i="62"/>
  <c r="U113" i="56" s="1"/>
  <c r="G124" i="62"/>
  <c r="U125" i="56" s="1"/>
  <c r="G136" i="62"/>
  <c r="U138" i="56" s="1"/>
  <c r="G148" i="62"/>
  <c r="U149" i="56" s="1"/>
  <c r="G155" i="62"/>
  <c r="U156" i="56" s="1"/>
  <c r="G162" i="62"/>
  <c r="G230" i="62"/>
  <c r="U229" i="56" s="1"/>
  <c r="G237" i="62"/>
  <c r="U236" i="56" s="1"/>
  <c r="G244" i="62"/>
  <c r="U243" i="56" s="1"/>
  <c r="G251" i="62"/>
  <c r="U251" i="56" s="1"/>
  <c r="G258" i="62"/>
  <c r="U258" i="56" s="1"/>
  <c r="G265" i="62"/>
  <c r="U268" i="56" s="1"/>
  <c r="G141" i="62"/>
  <c r="U142" i="56" s="1"/>
  <c r="G38" i="62"/>
  <c r="U38" i="56" s="1"/>
  <c r="G50" i="62"/>
  <c r="U49" i="56" s="1"/>
  <c r="G62" i="62"/>
  <c r="U61" i="56" s="1"/>
  <c r="G74" i="62"/>
  <c r="U73" i="56" s="1"/>
  <c r="G110" i="62"/>
  <c r="U111" i="56" s="1"/>
  <c r="G214" i="62"/>
  <c r="U214" i="56" s="1"/>
  <c r="G228" i="62"/>
  <c r="U227" i="56" s="1"/>
  <c r="G235" i="62"/>
  <c r="U234" i="56" s="1"/>
  <c r="G242" i="62"/>
  <c r="U241" i="56" s="1"/>
  <c r="G310" i="62"/>
  <c r="U310" i="56" s="1"/>
  <c r="G317" i="62"/>
  <c r="U315" i="56" s="1"/>
  <c r="G14" i="62"/>
  <c r="U14" i="56" s="1"/>
  <c r="G172" i="62"/>
  <c r="U172" i="56" s="1"/>
  <c r="G179" i="62"/>
  <c r="U179" i="56" s="1"/>
  <c r="G261" i="62"/>
  <c r="U261" i="56" s="1"/>
  <c r="G268" i="62"/>
  <c r="U265" i="56" s="1"/>
  <c r="G275" i="62"/>
  <c r="U275" i="56" s="1"/>
  <c r="G77" i="62"/>
  <c r="U76" i="56" s="1"/>
  <c r="G89" i="62"/>
  <c r="U89" i="56" s="1"/>
  <c r="G101" i="62"/>
  <c r="U101" i="56" s="1"/>
  <c r="G113" i="62"/>
  <c r="U114" i="56" s="1"/>
  <c r="G125" i="62"/>
  <c r="U126" i="56" s="1"/>
  <c r="G137" i="62"/>
  <c r="G149" i="62"/>
  <c r="U150" i="56" s="1"/>
  <c r="G165" i="62"/>
  <c r="U165" i="56" s="1"/>
  <c r="G181" i="62"/>
  <c r="U181" i="56" s="1"/>
  <c r="G229" i="62"/>
  <c r="U228" i="56" s="1"/>
  <c r="G15" i="62"/>
  <c r="U15" i="56" s="1"/>
  <c r="G27" i="62"/>
  <c r="U27" i="56" s="1"/>
  <c r="G39" i="62"/>
  <c r="U39" i="56" s="1"/>
  <c r="G51" i="62"/>
  <c r="U50" i="56" s="1"/>
  <c r="G63" i="62"/>
  <c r="U62" i="56" s="1"/>
  <c r="G75" i="62"/>
  <c r="U74" i="56" s="1"/>
  <c r="G87" i="62"/>
  <c r="U87" i="56" s="1"/>
  <c r="G99" i="62"/>
  <c r="U219" i="56" s="1"/>
  <c r="G111" i="62"/>
  <c r="U112" i="56" s="1"/>
  <c r="G123" i="62"/>
  <c r="U124" i="56" s="1"/>
  <c r="G135" i="62"/>
  <c r="U137" i="56" s="1"/>
  <c r="G147" i="62"/>
  <c r="U148" i="56" s="1"/>
  <c r="G154" i="62"/>
  <c r="U155" i="56" s="1"/>
  <c r="G170" i="62"/>
  <c r="U170" i="56" s="1"/>
  <c r="G186" i="62"/>
  <c r="U186" i="56" s="1"/>
  <c r="G202" i="62"/>
  <c r="U202" i="56" s="1"/>
  <c r="G218" i="62"/>
  <c r="U216" i="56" s="1"/>
  <c r="G234" i="62"/>
  <c r="U233" i="56" s="1"/>
  <c r="G250" i="62"/>
  <c r="U250" i="56" s="1"/>
  <c r="G266" i="62"/>
  <c r="U266" i="56" s="1"/>
  <c r="G282" i="62"/>
  <c r="U282" i="56" s="1"/>
  <c r="G298" i="62"/>
  <c r="U297" i="56" s="1"/>
  <c r="G307" i="62"/>
  <c r="U306" i="56" s="1"/>
  <c r="G8" i="62"/>
  <c r="U8" i="56" s="1"/>
  <c r="G20" i="62"/>
  <c r="U20" i="56" s="1"/>
  <c r="G32" i="62"/>
  <c r="U32" i="56" s="1"/>
  <c r="G44" i="62"/>
  <c r="U43" i="56" s="1"/>
  <c r="G56" i="62"/>
  <c r="U55" i="56" s="1"/>
  <c r="G68" i="62"/>
  <c r="U67" i="56" s="1"/>
  <c r="G80" i="62"/>
  <c r="U79" i="56" s="1"/>
  <c r="G92" i="62"/>
  <c r="U92" i="56" s="1"/>
  <c r="G104" i="62"/>
  <c r="U104" i="56" s="1"/>
  <c r="G116" i="62"/>
  <c r="U117" i="56" s="1"/>
  <c r="G128" i="62"/>
  <c r="U130" i="56" s="1"/>
  <c r="G140" i="62"/>
  <c r="U141" i="56" s="1"/>
  <c r="G193" i="62"/>
  <c r="U193" i="56" s="1"/>
  <c r="G241" i="62"/>
  <c r="U240" i="56" s="1"/>
  <c r="G289" i="62"/>
  <c r="U289" i="56" s="1"/>
  <c r="G13" i="62"/>
  <c r="U13" i="56" s="1"/>
  <c r="G278" i="62"/>
  <c r="U278" i="56" s="1"/>
  <c r="G26" i="62"/>
  <c r="U26" i="56" s="1"/>
  <c r="G86" i="62"/>
  <c r="U86" i="56" s="1"/>
  <c r="G98" i="62"/>
  <c r="U98" i="56" s="1"/>
  <c r="G122" i="62"/>
  <c r="U123" i="56" s="1"/>
  <c r="G134" i="62"/>
  <c r="U136" i="56" s="1"/>
  <c r="G146" i="62"/>
  <c r="U147" i="56" s="1"/>
  <c r="G169" i="62"/>
  <c r="U169" i="56" s="1"/>
  <c r="G217" i="62"/>
  <c r="U128" i="56" s="1"/>
  <c r="G7" i="62"/>
  <c r="U7" i="56" s="1"/>
  <c r="G19" i="62"/>
  <c r="U19" i="56" s="1"/>
  <c r="G31" i="62"/>
  <c r="U31" i="56" s="1"/>
  <c r="G43" i="62"/>
  <c r="U42" i="56" s="1"/>
  <c r="G55" i="62"/>
  <c r="U54" i="56" s="1"/>
  <c r="G67" i="62"/>
  <c r="U66" i="56" s="1"/>
  <c r="G79" i="62"/>
  <c r="U78" i="56" s="1"/>
  <c r="G91" i="62"/>
  <c r="U91" i="56" s="1"/>
  <c r="G103" i="62"/>
  <c r="U103" i="56" s="1"/>
  <c r="G115" i="62"/>
  <c r="U116" i="56" s="1"/>
  <c r="G127" i="62"/>
  <c r="U129" i="56" s="1"/>
  <c r="G139" i="62"/>
  <c r="U140" i="56" s="1"/>
  <c r="G167" i="62"/>
  <c r="U167" i="56" s="1"/>
  <c r="G215" i="62"/>
  <c r="G247" i="62"/>
  <c r="U246" i="56" s="1"/>
  <c r="G263" i="62"/>
  <c r="U263" i="56" s="1"/>
  <c r="G295" i="62"/>
  <c r="U294" i="56" s="1"/>
  <c r="G315" i="62"/>
  <c r="U314" i="56" s="1"/>
  <c r="G12" i="62"/>
  <c r="U12" i="56" s="1"/>
  <c r="G24" i="62"/>
  <c r="U24" i="56" s="1"/>
  <c r="G36" i="62"/>
  <c r="U36" i="56" s="1"/>
  <c r="G48" i="62"/>
  <c r="U47" i="56" s="1"/>
  <c r="G60" i="62"/>
  <c r="U59" i="56" s="1"/>
  <c r="G72" i="62"/>
  <c r="U71" i="56" s="1"/>
  <c r="G84" i="62"/>
  <c r="U84" i="56" s="1"/>
  <c r="G96" i="62"/>
  <c r="U96" i="56" s="1"/>
  <c r="G108" i="62"/>
  <c r="U109" i="56" s="1"/>
  <c r="G120" i="62"/>
  <c r="U121" i="56" s="1"/>
  <c r="G132" i="62"/>
  <c r="U134" i="56" s="1"/>
  <c r="G144" i="62"/>
  <c r="U145" i="56" s="1"/>
  <c r="G158" i="62"/>
  <c r="U159" i="56" s="1"/>
  <c r="G174" i="62"/>
  <c r="U174" i="56" s="1"/>
  <c r="G190" i="62"/>
  <c r="U190" i="56" s="1"/>
  <c r="G206" i="62"/>
  <c r="U206" i="56" s="1"/>
  <c r="G222" i="62"/>
  <c r="U221" i="56" s="1"/>
  <c r="G238" i="62"/>
  <c r="U237" i="56" s="1"/>
  <c r="G254" i="62"/>
  <c r="U254" i="56" s="1"/>
  <c r="G270" i="62"/>
  <c r="U270" i="56" s="1"/>
  <c r="G286" i="62"/>
  <c r="U286" i="56" s="1"/>
  <c r="G302" i="62"/>
  <c r="U301" i="56" s="1"/>
  <c r="G313" i="62"/>
  <c r="U312" i="56" s="1"/>
  <c r="G309" i="62"/>
  <c r="U308" i="56" s="1"/>
  <c r="G161" i="62"/>
  <c r="U162" i="56" s="1"/>
  <c r="G185" i="62"/>
  <c r="U185" i="56" s="1"/>
  <c r="G209" i="62"/>
  <c r="U209" i="56" s="1"/>
  <c r="G233" i="62"/>
  <c r="U232" i="56" s="1"/>
  <c r="G257" i="62"/>
  <c r="U257" i="56" s="1"/>
  <c r="G281" i="62"/>
  <c r="U281" i="56" s="1"/>
  <c r="G305" i="62"/>
  <c r="U304" i="56" s="1"/>
  <c r="G159" i="62"/>
  <c r="U160" i="56" s="1"/>
  <c r="G183" i="62"/>
  <c r="U183" i="56" s="1"/>
  <c r="G207" i="62"/>
  <c r="U207" i="56" s="1"/>
  <c r="G231" i="62"/>
  <c r="U230" i="56" s="1"/>
  <c r="G255" i="62"/>
  <c r="U255" i="56" s="1"/>
  <c r="G279" i="62"/>
  <c r="U279" i="56" s="1"/>
  <c r="G303" i="62"/>
  <c r="U303" i="56" s="1"/>
  <c r="G6" i="62"/>
  <c r="G153" i="62"/>
  <c r="U154" i="56" s="1"/>
  <c r="G177" i="62"/>
  <c r="U177" i="56" s="1"/>
  <c r="G201" i="62"/>
  <c r="U201" i="56" s="1"/>
  <c r="G225" i="62"/>
  <c r="U224" i="56" s="1"/>
  <c r="G249" i="62"/>
  <c r="U249" i="56" s="1"/>
  <c r="G273" i="62"/>
  <c r="U273" i="56" s="1"/>
  <c r="G297" i="62"/>
  <c r="U296" i="56" s="1"/>
  <c r="G151" i="62"/>
  <c r="U152" i="56" s="1"/>
  <c r="G175" i="62"/>
  <c r="U175" i="56" s="1"/>
  <c r="G199" i="62"/>
  <c r="U199" i="56" s="1"/>
  <c r="G223" i="62"/>
  <c r="U222" i="56" s="1"/>
  <c r="G173" i="62"/>
  <c r="U173" i="56" s="1"/>
  <c r="G197" i="62"/>
  <c r="U197" i="56" s="1"/>
  <c r="G221" i="62"/>
  <c r="U220" i="56" s="1"/>
  <c r="G171" i="62"/>
  <c r="U171" i="56" s="1"/>
  <c r="G195" i="62"/>
  <c r="U195" i="56" s="1"/>
  <c r="G219" i="62"/>
  <c r="U217" i="56" s="1"/>
  <c r="G243" i="62"/>
  <c r="U242" i="56" s="1"/>
  <c r="G267" i="62"/>
  <c r="U267" i="56" s="1"/>
  <c r="G291" i="62"/>
  <c r="R5" i="56" l="1"/>
  <c r="U6" i="56"/>
  <c r="U5" i="56" s="1"/>
  <c r="G5" i="62"/>
  <c r="AA5" i="56"/>
  <c r="X5" i="56"/>
  <c r="V33" i="56"/>
  <c r="V39" i="56"/>
  <c r="V76" i="56"/>
  <c r="V83" i="56"/>
  <c r="V87" i="56"/>
  <c r="V89" i="56"/>
  <c r="V99" i="56"/>
  <c r="V108" i="56"/>
  <c r="V110" i="56"/>
  <c r="V124" i="56"/>
  <c r="V125" i="56"/>
  <c r="V135" i="56"/>
  <c r="V137" i="56"/>
  <c r="V138" i="56"/>
  <c r="V172" i="56"/>
  <c r="V173" i="56"/>
  <c r="V216" i="56"/>
  <c r="V221" i="56"/>
  <c r="V232" i="56"/>
  <c r="V248" i="56"/>
  <c r="V269" i="56"/>
  <c r="V277" i="56"/>
  <c r="V280" i="56"/>
  <c r="V298" i="56"/>
  <c r="V301" i="56"/>
  <c r="V305" i="56"/>
  <c r="D5" i="61"/>
  <c r="E5" i="61"/>
  <c r="F5" i="61"/>
  <c r="H5" i="61"/>
  <c r="C5" i="61"/>
  <c r="G296" i="61"/>
  <c r="G17" i="61"/>
  <c r="V17" i="56" s="1"/>
  <c r="G193" i="61"/>
  <c r="V196" i="56" s="1"/>
  <c r="G130" i="61"/>
  <c r="V134" i="56" s="1"/>
  <c r="G224" i="61"/>
  <c r="V226" i="56" s="1"/>
  <c r="G42" i="61"/>
  <c r="V42" i="56" s="1"/>
  <c r="G11" i="61"/>
  <c r="V11" i="56" s="1"/>
  <c r="G115" i="61"/>
  <c r="V118" i="56" s="1"/>
  <c r="G198" i="61"/>
  <c r="V201" i="56" s="1"/>
  <c r="G118" i="61"/>
  <c r="V121" i="56" s="1"/>
  <c r="G86" i="61"/>
  <c r="G207" i="61"/>
  <c r="V210" i="56" s="1"/>
  <c r="G222" i="61"/>
  <c r="V224" i="56" s="1"/>
  <c r="G139" i="61"/>
  <c r="V143" i="56" s="1"/>
  <c r="G257" i="61"/>
  <c r="V260" i="56" s="1"/>
  <c r="G76" i="61"/>
  <c r="G124" i="61"/>
  <c r="V127" i="56" s="1"/>
  <c r="G31" i="61"/>
  <c r="V31" i="56" s="1"/>
  <c r="G30" i="61"/>
  <c r="V30" i="56" s="1"/>
  <c r="G299" i="61"/>
  <c r="G203" i="61"/>
  <c r="V206" i="56" s="1"/>
  <c r="G56" i="61"/>
  <c r="V56" i="56" s="1"/>
  <c r="G237" i="61"/>
  <c r="V239" i="56" s="1"/>
  <c r="G28" i="61"/>
  <c r="V28" i="56" s="1"/>
  <c r="G213" i="61"/>
  <c r="V215" i="56" s="1"/>
  <c r="G212" i="61"/>
  <c r="G286" i="61"/>
  <c r="V289" i="56" s="1"/>
  <c r="G104" i="61"/>
  <c r="V105" i="56" s="1"/>
  <c r="G121" i="61"/>
  <c r="G99" i="61"/>
  <c r="V100" i="56" s="1"/>
  <c r="G295" i="61"/>
  <c r="V297" i="56" s="1"/>
  <c r="G81" i="61"/>
  <c r="V81" i="56" s="1"/>
  <c r="G27" i="61"/>
  <c r="V27" i="56" s="1"/>
  <c r="G14" i="61"/>
  <c r="V14" i="56" s="1"/>
  <c r="G223" i="61"/>
  <c r="V225" i="56" s="1"/>
  <c r="G63" i="61"/>
  <c r="V63" i="56" s="1"/>
  <c r="G256" i="61"/>
  <c r="V259" i="56" s="1"/>
  <c r="G131" i="61"/>
  <c r="G279" i="61"/>
  <c r="V282" i="56" s="1"/>
  <c r="G32" i="61"/>
  <c r="V32" i="56" s="1"/>
  <c r="G112" i="61"/>
  <c r="V115" i="56" s="1"/>
  <c r="G312" i="61"/>
  <c r="V314" i="56" s="1"/>
  <c r="G114" i="61"/>
  <c r="V117" i="56" s="1"/>
  <c r="G190" i="61"/>
  <c r="V193" i="56" s="1"/>
  <c r="G24" i="61"/>
  <c r="V24" i="56" s="1"/>
  <c r="G194" i="61"/>
  <c r="V197" i="56" s="1"/>
  <c r="G69" i="61"/>
  <c r="V69" i="56" s="1"/>
  <c r="G138" i="61"/>
  <c r="V142" i="56" s="1"/>
  <c r="G297" i="61"/>
  <c r="V299" i="56" s="1"/>
  <c r="G113" i="61"/>
  <c r="V116" i="56" s="1"/>
  <c r="G58" i="61"/>
  <c r="V58" i="56" s="1"/>
  <c r="G189" i="61"/>
  <c r="V192" i="56" s="1"/>
  <c r="G108" i="61"/>
  <c r="V111" i="56" s="1"/>
  <c r="G221" i="61"/>
  <c r="V223" i="56" s="1"/>
  <c r="G196" i="61"/>
  <c r="V199" i="56" s="1"/>
  <c r="G169" i="61"/>
  <c r="G255" i="61"/>
  <c r="V258" i="56" s="1"/>
  <c r="G111" i="61"/>
  <c r="V114" i="56" s="1"/>
  <c r="G202" i="61"/>
  <c r="V205" i="56" s="1"/>
  <c r="G290" i="61"/>
  <c r="V292" i="56" s="1"/>
  <c r="G215" i="61"/>
  <c r="G294" i="61"/>
  <c r="V296" i="56" s="1"/>
  <c r="G54" i="61"/>
  <c r="V54" i="56" s="1"/>
  <c r="G245" i="61"/>
  <c r="V247" i="56" s="1"/>
  <c r="G230" i="61"/>
  <c r="G153" i="61"/>
  <c r="V157" i="56" s="1"/>
  <c r="G78" i="61"/>
  <c r="V78" i="56" s="1"/>
  <c r="G308" i="61"/>
  <c r="V309" i="56" s="1"/>
  <c r="G92" i="61"/>
  <c r="V93" i="56" s="1"/>
  <c r="G6" i="61"/>
  <c r="G106" i="61"/>
  <c r="V107" i="56" s="1"/>
  <c r="G168" i="61"/>
  <c r="V171" i="56" s="1"/>
  <c r="G143" i="61"/>
  <c r="V147" i="56" s="1"/>
  <c r="G151" i="61"/>
  <c r="V155" i="56" s="1"/>
  <c r="G74" i="61"/>
  <c r="V74" i="56" s="1"/>
  <c r="G270" i="61"/>
  <c r="V273" i="56" s="1"/>
  <c r="G214" i="61"/>
  <c r="V128" i="56" s="1"/>
  <c r="G53" i="61"/>
  <c r="V53" i="56" s="1"/>
  <c r="G232" i="61"/>
  <c r="V234" i="56" s="1"/>
  <c r="G310" i="61"/>
  <c r="V312" i="56" s="1"/>
  <c r="G180" i="61"/>
  <c r="V183" i="56" s="1"/>
  <c r="G178" i="61"/>
  <c r="V181" i="56" s="1"/>
  <c r="G176" i="61"/>
  <c r="V179" i="56" s="1"/>
  <c r="G55" i="61"/>
  <c r="V55" i="56" s="1"/>
  <c r="G248" i="61"/>
  <c r="V251" i="56" s="1"/>
  <c r="G210" i="61"/>
  <c r="V213" i="56" s="1"/>
  <c r="G25" i="61"/>
  <c r="V25" i="56" s="1"/>
  <c r="G211" i="61"/>
  <c r="V214" i="56" s="1"/>
  <c r="G41" i="61"/>
  <c r="V41" i="56" s="1"/>
  <c r="G204" i="61"/>
  <c r="V207" i="56" s="1"/>
  <c r="G233" i="61"/>
  <c r="V235" i="56" s="1"/>
  <c r="G83" i="61"/>
  <c r="V84" i="56" s="1"/>
  <c r="G77" i="61"/>
  <c r="V77" i="56" s="1"/>
  <c r="G146" i="61"/>
  <c r="V150" i="56" s="1"/>
  <c r="G103" i="61"/>
  <c r="V104" i="56" s="1"/>
  <c r="G287" i="61"/>
  <c r="V290" i="56" s="1"/>
  <c r="G220" i="61"/>
  <c r="V222" i="56" s="1"/>
  <c r="G242" i="61"/>
  <c r="V244" i="56" s="1"/>
  <c r="G15" i="61"/>
  <c r="V15" i="56" s="1"/>
  <c r="G281" i="61"/>
  <c r="V284" i="56" s="1"/>
  <c r="G226" i="61"/>
  <c r="V228" i="56" s="1"/>
  <c r="G12" i="61"/>
  <c r="V12" i="56" s="1"/>
  <c r="G271" i="61"/>
  <c r="V274" i="56" s="1"/>
  <c r="G244" i="61"/>
  <c r="V246" i="56" s="1"/>
  <c r="G110" i="61"/>
  <c r="V113" i="56" s="1"/>
  <c r="G240" i="61"/>
  <c r="V242" i="56" s="1"/>
  <c r="G126" i="61"/>
  <c r="V130" i="56" s="1"/>
  <c r="G116" i="61"/>
  <c r="V119" i="56" s="1"/>
  <c r="G175" i="61"/>
  <c r="V178" i="56" s="1"/>
  <c r="G264" i="61"/>
  <c r="V267" i="56" s="1"/>
  <c r="G159" i="61"/>
  <c r="G265" i="61"/>
  <c r="V265" i="56" s="1"/>
  <c r="G217" i="61"/>
  <c r="V218" i="56" s="1"/>
  <c r="G98" i="61"/>
  <c r="V219" i="56" s="1"/>
  <c r="G107" i="61"/>
  <c r="V109" i="56" s="1"/>
  <c r="G22" i="61"/>
  <c r="V22" i="56" s="1"/>
  <c r="G13" i="61"/>
  <c r="V13" i="56" s="1"/>
  <c r="G170" i="61"/>
  <c r="G34" i="61"/>
  <c r="V35" i="56" s="1"/>
  <c r="G247" i="61"/>
  <c r="V250" i="56" s="1"/>
  <c r="G268" i="61"/>
  <c r="V271" i="56" s="1"/>
  <c r="G60" i="61"/>
  <c r="V60" i="56" s="1"/>
  <c r="G70" i="61"/>
  <c r="V70" i="56" s="1"/>
  <c r="G274" i="61"/>
  <c r="G73" i="61"/>
  <c r="V73" i="56" s="1"/>
  <c r="G119" i="61"/>
  <c r="V122" i="56" s="1"/>
  <c r="G43" i="61"/>
  <c r="V43" i="56" s="1"/>
  <c r="G311" i="61"/>
  <c r="V313" i="56" s="1"/>
  <c r="G19" i="61"/>
  <c r="V19" i="56" s="1"/>
  <c r="G33" i="61"/>
  <c r="V34" i="56" s="1"/>
  <c r="G280" i="61"/>
  <c r="V283" i="56" s="1"/>
  <c r="G90" i="61"/>
  <c r="V91" i="56" s="1"/>
  <c r="G120" i="61"/>
  <c r="V123" i="56" s="1"/>
  <c r="G228" i="61"/>
  <c r="V230" i="56" s="1"/>
  <c r="G91" i="61"/>
  <c r="V92" i="56" s="1"/>
  <c r="G304" i="61"/>
  <c r="V306" i="56" s="1"/>
  <c r="G135" i="61"/>
  <c r="V139" i="56" s="1"/>
  <c r="G162" i="61"/>
  <c r="V165" i="56" s="1"/>
  <c r="G79" i="61"/>
  <c r="V79" i="56" s="1"/>
  <c r="G154" i="61"/>
  <c r="V158" i="56" s="1"/>
  <c r="G152" i="61"/>
  <c r="V156" i="56" s="1"/>
  <c r="G7" i="61"/>
  <c r="V7" i="56" s="1"/>
  <c r="G309" i="61"/>
  <c r="V311" i="56" s="1"/>
  <c r="G21" i="61"/>
  <c r="V21" i="56" s="1"/>
  <c r="G275" i="61"/>
  <c r="V278" i="56" s="1"/>
  <c r="G185" i="61"/>
  <c r="V188" i="56" s="1"/>
  <c r="G199" i="61"/>
  <c r="V202" i="56" s="1"/>
  <c r="G37" i="61"/>
  <c r="V38" i="56" s="1"/>
  <c r="G302" i="61"/>
  <c r="V304" i="56" s="1"/>
  <c r="G36" i="61"/>
  <c r="V37" i="56" s="1"/>
  <c r="G252" i="61"/>
  <c r="V255" i="56" s="1"/>
  <c r="G219" i="61"/>
  <c r="G8" i="61"/>
  <c r="V8" i="56" s="1"/>
  <c r="G57" i="61"/>
  <c r="V57" i="56" s="1"/>
  <c r="G181" i="61"/>
  <c r="V184" i="56" s="1"/>
  <c r="G305" i="61"/>
  <c r="V307" i="56" s="1"/>
  <c r="G101" i="61"/>
  <c r="V102" i="56" s="1"/>
  <c r="G62" i="61"/>
  <c r="V62" i="56" s="1"/>
  <c r="G249" i="61"/>
  <c r="V252" i="56" s="1"/>
  <c r="G96" i="61"/>
  <c r="V97" i="56" s="1"/>
  <c r="G239" i="61"/>
  <c r="V241" i="56" s="1"/>
  <c r="G140" i="61"/>
  <c r="V144" i="56" s="1"/>
  <c r="G201" i="61"/>
  <c r="V204" i="56" s="1"/>
  <c r="G171" i="61"/>
  <c r="V174" i="56" s="1"/>
  <c r="G105" i="61"/>
  <c r="V106" i="56" s="1"/>
  <c r="G164" i="61"/>
  <c r="V167" i="56" s="1"/>
  <c r="G184" i="61"/>
  <c r="V187" i="56" s="1"/>
  <c r="G182" i="61"/>
  <c r="V185" i="56" s="1"/>
  <c r="G23" i="61"/>
  <c r="V23" i="56" s="1"/>
  <c r="G197" i="61"/>
  <c r="V200" i="56" s="1"/>
  <c r="G148" i="61"/>
  <c r="V152" i="56" s="1"/>
  <c r="G276" i="61"/>
  <c r="V279" i="56" s="1"/>
  <c r="G191" i="61"/>
  <c r="V194" i="56" s="1"/>
  <c r="G179" i="61"/>
  <c r="V182" i="56" s="1"/>
  <c r="G218" i="61"/>
  <c r="V220" i="56" s="1"/>
  <c r="G246" i="61"/>
  <c r="V249" i="56" s="1"/>
  <c r="G163" i="61"/>
  <c r="V166" i="56" s="1"/>
  <c r="G306" i="61"/>
  <c r="V308" i="56" s="1"/>
  <c r="G172" i="61"/>
  <c r="V175" i="56" s="1"/>
  <c r="G165" i="61"/>
  <c r="V168" i="56" s="1"/>
  <c r="G59" i="61"/>
  <c r="V59" i="56" s="1"/>
  <c r="G236" i="61"/>
  <c r="V238" i="56" s="1"/>
  <c r="G258" i="61"/>
  <c r="V261" i="56" s="1"/>
  <c r="G209" i="61"/>
  <c r="V212" i="56" s="1"/>
  <c r="G269" i="61"/>
  <c r="V272" i="56" s="1"/>
  <c r="G29" i="61"/>
  <c r="V29" i="56" s="1"/>
  <c r="G284" i="61"/>
  <c r="V287" i="56" s="1"/>
  <c r="G266" i="61"/>
  <c r="G65" i="61"/>
  <c r="V65" i="56" s="1"/>
  <c r="G192" i="61"/>
  <c r="V195" i="56" s="1"/>
  <c r="G44" i="61"/>
  <c r="V44" i="56" s="1"/>
  <c r="G200" i="61"/>
  <c r="V203" i="56" s="1"/>
  <c r="G87" i="61"/>
  <c r="V88" i="56" s="1"/>
  <c r="G18" i="61"/>
  <c r="V18" i="56" s="1"/>
  <c r="G71" i="61"/>
  <c r="V71" i="56" s="1"/>
  <c r="G303" i="61"/>
  <c r="G85" i="61"/>
  <c r="V86" i="56" s="1"/>
  <c r="G40" i="61"/>
  <c r="G263" i="61"/>
  <c r="V266" i="56" s="1"/>
  <c r="G238" i="61"/>
  <c r="V240" i="56" s="1"/>
  <c r="G187" i="61"/>
  <c r="V190" i="56" s="1"/>
  <c r="G133" i="61"/>
  <c r="G231" i="61"/>
  <c r="V233" i="56" s="1"/>
  <c r="G51" i="61"/>
  <c r="V51" i="56" s="1"/>
  <c r="G26" i="61"/>
  <c r="V26" i="56" s="1"/>
  <c r="G234" i="61"/>
  <c r="V236" i="56" s="1"/>
  <c r="G9" i="61"/>
  <c r="V9" i="56" s="1"/>
  <c r="G122" i="61"/>
  <c r="G52" i="61"/>
  <c r="V52" i="56" s="1"/>
  <c r="G158" i="61"/>
  <c r="V162" i="56" s="1"/>
  <c r="G241" i="61"/>
  <c r="V243" i="56" s="1"/>
  <c r="G157" i="61"/>
  <c r="V161" i="56" s="1"/>
  <c r="G149" i="61"/>
  <c r="V153" i="56" s="1"/>
  <c r="G260" i="61"/>
  <c r="V263" i="56" s="1"/>
  <c r="G80" i="61"/>
  <c r="V80" i="56" s="1"/>
  <c r="G125" i="61"/>
  <c r="V129" i="56" s="1"/>
  <c r="G160" i="61"/>
  <c r="V163" i="56" s="1"/>
  <c r="G72" i="61"/>
  <c r="V72" i="56" s="1"/>
  <c r="G10" i="61"/>
  <c r="V10" i="56" s="1"/>
  <c r="G142" i="61"/>
  <c r="V146" i="56" s="1"/>
  <c r="G109" i="61"/>
  <c r="V112" i="56" s="1"/>
  <c r="G150" i="61"/>
  <c r="V154" i="56" s="1"/>
  <c r="G243" i="61"/>
  <c r="V245" i="56" s="1"/>
  <c r="G127" i="61"/>
  <c r="V131" i="56" s="1"/>
  <c r="G261" i="61"/>
  <c r="V264" i="56" s="1"/>
  <c r="G61" i="61"/>
  <c r="V61" i="56" s="1"/>
  <c r="G95" i="61"/>
  <c r="V96" i="56" s="1"/>
  <c r="G254" i="61"/>
  <c r="V257" i="56" s="1"/>
  <c r="G250" i="61"/>
  <c r="V253" i="56" s="1"/>
  <c r="G188" i="61"/>
  <c r="V191" i="56" s="1"/>
  <c r="G97" i="61"/>
  <c r="V98" i="56" s="1"/>
  <c r="G166" i="61"/>
  <c r="V169" i="56" s="1"/>
  <c r="G145" i="61"/>
  <c r="V149" i="56" s="1"/>
  <c r="G144" i="61"/>
  <c r="V148" i="56" s="1"/>
  <c r="G35" i="61"/>
  <c r="V36" i="56" s="1"/>
  <c r="G88" i="61"/>
  <c r="G38" i="61"/>
  <c r="G67" i="61"/>
  <c r="V67" i="56" s="1"/>
  <c r="G129" i="61"/>
  <c r="V133" i="56" s="1"/>
  <c r="G300" i="61"/>
  <c r="V303" i="56" s="1"/>
  <c r="G64" i="61"/>
  <c r="V64" i="56" s="1"/>
  <c r="G225" i="61"/>
  <c r="V227" i="56" s="1"/>
  <c r="G251" i="61"/>
  <c r="V254" i="56" s="1"/>
  <c r="G206" i="61"/>
  <c r="V209" i="56" s="1"/>
  <c r="G186" i="61"/>
  <c r="V189" i="56" s="1"/>
  <c r="G39" i="61"/>
  <c r="V40" i="56" s="1"/>
  <c r="G298" i="61"/>
  <c r="V300" i="56" s="1"/>
  <c r="G285" i="61"/>
  <c r="V288" i="56" s="1"/>
  <c r="G50" i="61"/>
  <c r="V50" i="56" s="1"/>
  <c r="G132" i="61"/>
  <c r="V136" i="56" s="1"/>
  <c r="G262" i="61"/>
  <c r="V268" i="56" s="1"/>
  <c r="G82" i="61"/>
  <c r="V82" i="56" s="1"/>
  <c r="G48" i="61"/>
  <c r="V48" i="56" s="1"/>
  <c r="G141" i="61"/>
  <c r="V145" i="56" s="1"/>
  <c r="G174" i="61"/>
  <c r="V177" i="56" s="1"/>
  <c r="G117" i="61"/>
  <c r="V120" i="56" s="1"/>
  <c r="G315" i="61"/>
  <c r="V316" i="56" s="1"/>
  <c r="G173" i="61"/>
  <c r="V176" i="56" s="1"/>
  <c r="G282" i="61"/>
  <c r="V285" i="56" s="1"/>
  <c r="G183" i="61"/>
  <c r="V186" i="56" s="1"/>
  <c r="G216" i="61"/>
  <c r="V217" i="56" s="1"/>
  <c r="G100" i="61"/>
  <c r="V101" i="56" s="1"/>
  <c r="G227" i="61"/>
  <c r="V229" i="56" s="1"/>
  <c r="G273" i="61"/>
  <c r="V276" i="56" s="1"/>
  <c r="G288" i="61"/>
  <c r="G289" i="61"/>
  <c r="V291" i="56" s="1"/>
  <c r="G66" i="61"/>
  <c r="V66" i="56" s="1"/>
  <c r="G292" i="61"/>
  <c r="V294" i="56" s="1"/>
  <c r="G46" i="61"/>
  <c r="V46" i="56" s="1"/>
  <c r="G278" i="61"/>
  <c r="V281" i="56" s="1"/>
  <c r="G49" i="61"/>
  <c r="V49" i="56" s="1"/>
  <c r="G291" i="61"/>
  <c r="V293" i="56" s="1"/>
  <c r="G205" i="61"/>
  <c r="V208" i="56" s="1"/>
  <c r="G307" i="61"/>
  <c r="V310" i="56" s="1"/>
  <c r="G16" i="61"/>
  <c r="V16" i="56" s="1"/>
  <c r="G84" i="61"/>
  <c r="V85" i="56" s="1"/>
  <c r="G20" i="61"/>
  <c r="V20" i="56" s="1"/>
  <c r="G136" i="61"/>
  <c r="V140" i="56" s="1"/>
  <c r="G147" i="61"/>
  <c r="V151" i="56" s="1"/>
  <c r="G167" i="61"/>
  <c r="V170" i="56" s="1"/>
  <c r="G156" i="61"/>
  <c r="V160" i="56" s="1"/>
  <c r="G134" i="61"/>
  <c r="G123" i="61"/>
  <c r="V126" i="56" s="1"/>
  <c r="G128" i="61"/>
  <c r="V132" i="56" s="1"/>
  <c r="G272" i="61"/>
  <c r="V275" i="56" s="1"/>
  <c r="G208" i="61"/>
  <c r="V211" i="56" s="1"/>
  <c r="G45" i="61"/>
  <c r="V45" i="56" s="1"/>
  <c r="G195" i="61"/>
  <c r="V198" i="56" s="1"/>
  <c r="G89" i="61"/>
  <c r="V90" i="56" s="1"/>
  <c r="G259" i="61"/>
  <c r="V262" i="56" s="1"/>
  <c r="G47" i="61"/>
  <c r="V47" i="56" s="1"/>
  <c r="G75" i="61"/>
  <c r="V75" i="56" s="1"/>
  <c r="G229" i="61"/>
  <c r="V231" i="56" s="1"/>
  <c r="G253" i="61"/>
  <c r="V256" i="56" s="1"/>
  <c r="G177" i="61"/>
  <c r="V180" i="56" s="1"/>
  <c r="G283" i="61"/>
  <c r="V286" i="56" s="1"/>
  <c r="G161" i="61"/>
  <c r="V164" i="56" s="1"/>
  <c r="G314" i="61"/>
  <c r="V315" i="56" s="1"/>
  <c r="G68" i="61"/>
  <c r="V68" i="56" s="1"/>
  <c r="G235" i="61"/>
  <c r="V237" i="56" s="1"/>
  <c r="G137" i="61"/>
  <c r="V141" i="56" s="1"/>
  <c r="G93" i="61"/>
  <c r="V94" i="56" s="1"/>
  <c r="G267" i="61"/>
  <c r="V270" i="56" s="1"/>
  <c r="G277" i="61"/>
  <c r="G102" i="61"/>
  <c r="V103" i="56" s="1"/>
  <c r="G94" i="61"/>
  <c r="V95" i="56" s="1"/>
  <c r="G316" i="61"/>
  <c r="V317" i="56" s="1"/>
  <c r="G293" i="61"/>
  <c r="V295" i="56" s="1"/>
  <c r="G301" i="61"/>
  <c r="V302" i="56" s="1"/>
  <c r="G155" i="61"/>
  <c r="V159" i="56" s="1"/>
  <c r="G313" i="61"/>
  <c r="J5" i="56" l="1"/>
  <c r="M5" i="56"/>
  <c r="G5" i="61"/>
  <c r="G5" i="56"/>
  <c r="D5" i="56"/>
  <c r="J3" i="45" l="1"/>
  <c r="K314" i="45"/>
  <c r="L314" i="45"/>
  <c r="M314" i="45" l="1"/>
  <c r="L7" i="45"/>
  <c r="L8" i="45"/>
  <c r="L9" i="45"/>
  <c r="L10" i="45"/>
  <c r="L11" i="45"/>
  <c r="L12" i="45"/>
  <c r="L13" i="45"/>
  <c r="L14" i="45"/>
  <c r="L15" i="45"/>
  <c r="L16" i="45"/>
  <c r="L17" i="45"/>
  <c r="L18" i="45"/>
  <c r="L19" i="45"/>
  <c r="L20" i="45"/>
  <c r="L21" i="45"/>
  <c r="L22" i="45"/>
  <c r="L23" i="45"/>
  <c r="L24" i="45"/>
  <c r="L25" i="45"/>
  <c r="L26" i="45"/>
  <c r="L27" i="45"/>
  <c r="L28" i="45"/>
  <c r="L29" i="45"/>
  <c r="L30" i="45"/>
  <c r="L31" i="45"/>
  <c r="L32" i="45"/>
  <c r="L33" i="45"/>
  <c r="L34" i="45"/>
  <c r="L35" i="45"/>
  <c r="L36" i="45"/>
  <c r="L37" i="45"/>
  <c r="L38" i="45"/>
  <c r="L39" i="45"/>
  <c r="L40" i="45"/>
  <c r="L41" i="45"/>
  <c r="L42" i="45"/>
  <c r="L43" i="45"/>
  <c r="L44" i="45"/>
  <c r="L45" i="45"/>
  <c r="L46" i="45"/>
  <c r="L47" i="45"/>
  <c r="L48" i="45"/>
  <c r="L49" i="45"/>
  <c r="L50" i="45"/>
  <c r="L51" i="45"/>
  <c r="L52" i="45"/>
  <c r="L53" i="45"/>
  <c r="L54" i="45"/>
  <c r="L55" i="45"/>
  <c r="L56" i="45"/>
  <c r="L57" i="45"/>
  <c r="L58" i="45"/>
  <c r="L59" i="45"/>
  <c r="L60" i="45"/>
  <c r="L61" i="45"/>
  <c r="L62" i="45"/>
  <c r="L63" i="45"/>
  <c r="L64" i="45"/>
  <c r="L65" i="45"/>
  <c r="L66" i="45"/>
  <c r="L67" i="45"/>
  <c r="L68" i="45"/>
  <c r="L69" i="45"/>
  <c r="L70" i="45"/>
  <c r="L71" i="45"/>
  <c r="L72" i="45"/>
  <c r="L73" i="45"/>
  <c r="L74" i="45"/>
  <c r="L75" i="45"/>
  <c r="L76" i="45"/>
  <c r="L77" i="45"/>
  <c r="L78" i="45"/>
  <c r="L79" i="45"/>
  <c r="L80" i="45"/>
  <c r="L81" i="45"/>
  <c r="L82" i="45"/>
  <c r="L83" i="45"/>
  <c r="L84" i="45"/>
  <c r="L85" i="45"/>
  <c r="L86" i="45"/>
  <c r="L87" i="45"/>
  <c r="L88" i="45"/>
  <c r="L89" i="45"/>
  <c r="L90" i="45"/>
  <c r="L91" i="45"/>
  <c r="L92" i="45"/>
  <c r="L93" i="45"/>
  <c r="L94" i="45"/>
  <c r="L95" i="45"/>
  <c r="L96" i="45"/>
  <c r="L97" i="45"/>
  <c r="L98" i="45"/>
  <c r="L99" i="45"/>
  <c r="L100" i="45"/>
  <c r="L101" i="45"/>
  <c r="L102" i="45"/>
  <c r="L103" i="45"/>
  <c r="L104" i="45"/>
  <c r="L105" i="45"/>
  <c r="L106" i="45"/>
  <c r="L107" i="45"/>
  <c r="L108" i="45"/>
  <c r="L109" i="45"/>
  <c r="L111" i="45"/>
  <c r="L112" i="45"/>
  <c r="L113" i="45"/>
  <c r="L114" i="45"/>
  <c r="L115" i="45"/>
  <c r="L116" i="45"/>
  <c r="L117" i="45"/>
  <c r="L118" i="45"/>
  <c r="L119" i="45"/>
  <c r="L120" i="45"/>
  <c r="L121" i="45"/>
  <c r="L122" i="45"/>
  <c r="L123" i="45"/>
  <c r="L124" i="45"/>
  <c r="L125" i="45"/>
  <c r="L126" i="45"/>
  <c r="L127" i="45"/>
  <c r="L128" i="45"/>
  <c r="L129" i="45"/>
  <c r="L130" i="45"/>
  <c r="L131" i="45"/>
  <c r="L132" i="45"/>
  <c r="L133" i="45"/>
  <c r="L134" i="45"/>
  <c r="L135" i="45"/>
  <c r="L136" i="45"/>
  <c r="L137" i="45"/>
  <c r="L138" i="45"/>
  <c r="L139" i="45"/>
  <c r="L140" i="45"/>
  <c r="L141" i="45"/>
  <c r="L142" i="45"/>
  <c r="L143" i="45"/>
  <c r="L144" i="45"/>
  <c r="L145" i="45"/>
  <c r="L146" i="45"/>
  <c r="L147" i="45"/>
  <c r="L148" i="45"/>
  <c r="L149" i="45"/>
  <c r="L150" i="45"/>
  <c r="L151" i="45"/>
  <c r="L152" i="45"/>
  <c r="L153" i="45"/>
  <c r="L154" i="45"/>
  <c r="L155" i="45"/>
  <c r="L156" i="45"/>
  <c r="L157" i="45"/>
  <c r="L158" i="45"/>
  <c r="L159" i="45"/>
  <c r="L160" i="45"/>
  <c r="L161" i="45"/>
  <c r="L162" i="45"/>
  <c r="L163" i="45"/>
  <c r="L164" i="45"/>
  <c r="L165" i="45"/>
  <c r="L166" i="45"/>
  <c r="L167" i="45"/>
  <c r="L168" i="45"/>
  <c r="L169" i="45"/>
  <c r="L170" i="45"/>
  <c r="L171" i="45"/>
  <c r="L172" i="45"/>
  <c r="L173" i="45"/>
  <c r="L174" i="45"/>
  <c r="L175" i="45"/>
  <c r="L176" i="45"/>
  <c r="L177" i="45"/>
  <c r="L178" i="45"/>
  <c r="L179" i="45"/>
  <c r="L180" i="45"/>
  <c r="L181" i="45"/>
  <c r="L182" i="45"/>
  <c r="L183" i="45"/>
  <c r="L184" i="45"/>
  <c r="L185" i="45"/>
  <c r="L186" i="45"/>
  <c r="L187" i="45"/>
  <c r="L188" i="45"/>
  <c r="L189" i="45"/>
  <c r="L190" i="45"/>
  <c r="L191" i="45"/>
  <c r="L192" i="45"/>
  <c r="L193" i="45"/>
  <c r="L194" i="45"/>
  <c r="L195" i="45"/>
  <c r="L196" i="45"/>
  <c r="L197" i="45"/>
  <c r="L198" i="45"/>
  <c r="L199" i="45"/>
  <c r="L200" i="45"/>
  <c r="L201" i="45"/>
  <c r="L202" i="45"/>
  <c r="L203" i="45"/>
  <c r="L204" i="45"/>
  <c r="L205" i="45"/>
  <c r="L206" i="45"/>
  <c r="L207" i="45"/>
  <c r="L208" i="45"/>
  <c r="L209" i="45"/>
  <c r="L210" i="45"/>
  <c r="L211" i="45"/>
  <c r="L212" i="45"/>
  <c r="L213" i="45"/>
  <c r="L214" i="45"/>
  <c r="L215" i="45"/>
  <c r="L216" i="45"/>
  <c r="L217" i="45"/>
  <c r="L218" i="45"/>
  <c r="L219" i="45"/>
  <c r="L220" i="45"/>
  <c r="L221" i="45"/>
  <c r="L222" i="45"/>
  <c r="L223" i="45"/>
  <c r="L224" i="45"/>
  <c r="L225" i="45"/>
  <c r="L226" i="45"/>
  <c r="L227" i="45"/>
  <c r="L228" i="45"/>
  <c r="L229" i="45"/>
  <c r="L230" i="45"/>
  <c r="L231" i="45"/>
  <c r="L232"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L260" i="45"/>
  <c r="L261" i="45"/>
  <c r="L262" i="45"/>
  <c r="L263" i="45"/>
  <c r="L264" i="45"/>
  <c r="L265" i="45"/>
  <c r="L266" i="45"/>
  <c r="L267" i="45"/>
  <c r="L268" i="45"/>
  <c r="L269" i="45"/>
  <c r="L270" i="45"/>
  <c r="L271" i="45"/>
  <c r="L272" i="45"/>
  <c r="L273" i="45"/>
  <c r="L274" i="45"/>
  <c r="L275" i="45"/>
  <c r="L276" i="45"/>
  <c r="L277" i="45"/>
  <c r="L278" i="45"/>
  <c r="L279" i="45"/>
  <c r="L280" i="45"/>
  <c r="L281" i="45"/>
  <c r="L282" i="45"/>
  <c r="L283" i="45"/>
  <c r="L284" i="45"/>
  <c r="L285" i="45"/>
  <c r="L286" i="45"/>
  <c r="L287" i="45"/>
  <c r="L288" i="45"/>
  <c r="L289" i="45"/>
  <c r="L290" i="45"/>
  <c r="L291" i="45"/>
  <c r="L292" i="45"/>
  <c r="L293" i="45"/>
  <c r="L294" i="45"/>
  <c r="L295" i="45"/>
  <c r="L296" i="45"/>
  <c r="L297" i="45"/>
  <c r="L298" i="45"/>
  <c r="L299" i="45"/>
  <c r="L300" i="45"/>
  <c r="L301" i="45"/>
  <c r="L302" i="45"/>
  <c r="L303" i="45"/>
  <c r="L304" i="45"/>
  <c r="L305" i="45"/>
  <c r="L306" i="45"/>
  <c r="L307" i="45"/>
  <c r="L308" i="45"/>
  <c r="L309" i="45"/>
  <c r="L310" i="45"/>
  <c r="L311" i="45"/>
  <c r="L312" i="45"/>
  <c r="L313" i="45"/>
  <c r="L315" i="45"/>
  <c r="L316" i="45"/>
  <c r="L317" i="45"/>
  <c r="L320" i="45"/>
  <c r="L321" i="45"/>
  <c r="L322" i="45"/>
  <c r="L323" i="45"/>
  <c r="L324" i="45"/>
  <c r="L5" i="45"/>
  <c r="L6" i="45"/>
  <c r="L4" i="45"/>
  <c r="K9" i="45"/>
  <c r="K10" i="45"/>
  <c r="M10" i="45" s="1"/>
  <c r="K11" i="45"/>
  <c r="M11" i="45" s="1"/>
  <c r="K12" i="45"/>
  <c r="K13" i="45"/>
  <c r="K14" i="45"/>
  <c r="K15" i="45"/>
  <c r="K16" i="45"/>
  <c r="K17" i="45"/>
  <c r="K18" i="45"/>
  <c r="M18" i="45" s="1"/>
  <c r="K19" i="45"/>
  <c r="K20" i="45"/>
  <c r="M20" i="45" s="1"/>
  <c r="K21" i="45"/>
  <c r="K22" i="45"/>
  <c r="M22" i="45" s="1"/>
  <c r="K23" i="45"/>
  <c r="M23" i="45" s="1"/>
  <c r="K24" i="45"/>
  <c r="K25" i="45"/>
  <c r="K26" i="45"/>
  <c r="K27" i="45"/>
  <c r="K28" i="45"/>
  <c r="K29" i="45"/>
  <c r="K30" i="45"/>
  <c r="M30" i="45" s="1"/>
  <c r="K31" i="45"/>
  <c r="K32" i="45"/>
  <c r="M32" i="45" s="1"/>
  <c r="K33" i="45"/>
  <c r="K34" i="45"/>
  <c r="M34" i="45" s="1"/>
  <c r="K35" i="45"/>
  <c r="M35" i="45" s="1"/>
  <c r="K36" i="45"/>
  <c r="K37" i="45"/>
  <c r="K38" i="45"/>
  <c r="K39" i="45"/>
  <c r="K40" i="45"/>
  <c r="K41" i="45"/>
  <c r="K42" i="45"/>
  <c r="M42" i="45" s="1"/>
  <c r="K43" i="45"/>
  <c r="K44" i="45"/>
  <c r="M44" i="45" s="1"/>
  <c r="K45" i="45"/>
  <c r="K46" i="45"/>
  <c r="M46" i="45" s="1"/>
  <c r="K47" i="45"/>
  <c r="M47" i="45" s="1"/>
  <c r="K48" i="45"/>
  <c r="K49" i="45"/>
  <c r="K50" i="45"/>
  <c r="K51" i="45"/>
  <c r="K52" i="45"/>
  <c r="K53" i="45"/>
  <c r="K54" i="45"/>
  <c r="M54" i="45" s="1"/>
  <c r="K55" i="45"/>
  <c r="K56" i="45"/>
  <c r="K57" i="45"/>
  <c r="K58" i="45"/>
  <c r="M58" i="45" s="1"/>
  <c r="K59" i="45"/>
  <c r="M59" i="45" s="1"/>
  <c r="K60" i="45"/>
  <c r="K61" i="45"/>
  <c r="K62" i="45"/>
  <c r="K63" i="45"/>
  <c r="K64" i="45"/>
  <c r="K65" i="45"/>
  <c r="K66" i="45"/>
  <c r="M66" i="45" s="1"/>
  <c r="K67" i="45"/>
  <c r="K68" i="45"/>
  <c r="M68" i="45" s="1"/>
  <c r="K69" i="45"/>
  <c r="K70" i="45"/>
  <c r="M70" i="45" s="1"/>
  <c r="K71" i="45"/>
  <c r="M71" i="45" s="1"/>
  <c r="K72" i="45"/>
  <c r="K73" i="45"/>
  <c r="K74" i="45"/>
  <c r="K75" i="45"/>
  <c r="K76" i="45"/>
  <c r="K77" i="45"/>
  <c r="K78" i="45"/>
  <c r="M78" i="45" s="1"/>
  <c r="K79" i="45"/>
  <c r="K80" i="45"/>
  <c r="M80" i="45" s="1"/>
  <c r="K81" i="45"/>
  <c r="K82" i="45"/>
  <c r="M82" i="45" s="1"/>
  <c r="K83" i="45"/>
  <c r="M83" i="45" s="1"/>
  <c r="K84" i="45"/>
  <c r="K85" i="45"/>
  <c r="K86" i="45"/>
  <c r="K87" i="45"/>
  <c r="K88" i="45"/>
  <c r="K89" i="45"/>
  <c r="K90" i="45"/>
  <c r="M90" i="45" s="1"/>
  <c r="K91" i="45"/>
  <c r="K92" i="45"/>
  <c r="M92" i="45" s="1"/>
  <c r="K93" i="45"/>
  <c r="K94" i="45"/>
  <c r="M94" i="45" s="1"/>
  <c r="K95" i="45"/>
  <c r="M95" i="45" s="1"/>
  <c r="K96" i="45"/>
  <c r="K97" i="45"/>
  <c r="K98" i="45"/>
  <c r="K99" i="45"/>
  <c r="K100" i="45"/>
  <c r="K101" i="45"/>
  <c r="K102" i="45"/>
  <c r="M102" i="45" s="1"/>
  <c r="K103" i="45"/>
  <c r="K104" i="45"/>
  <c r="M104" i="45" s="1"/>
  <c r="K105" i="45"/>
  <c r="K106" i="45"/>
  <c r="M106" i="45" s="1"/>
  <c r="K107" i="45"/>
  <c r="M107" i="45" s="1"/>
  <c r="K108" i="45"/>
  <c r="K109" i="45"/>
  <c r="K111" i="45"/>
  <c r="K112" i="45"/>
  <c r="K113" i="45"/>
  <c r="K114" i="45"/>
  <c r="K115" i="45"/>
  <c r="M115" i="45" s="1"/>
  <c r="K116" i="45"/>
  <c r="K117" i="45"/>
  <c r="M117" i="45" s="1"/>
  <c r="K118" i="45"/>
  <c r="K119" i="45"/>
  <c r="M119" i="45" s="1"/>
  <c r="K120" i="45"/>
  <c r="M120" i="45" s="1"/>
  <c r="K121" i="45"/>
  <c r="K122" i="45"/>
  <c r="K123" i="45"/>
  <c r="K124" i="45"/>
  <c r="K125" i="45"/>
  <c r="K126" i="45"/>
  <c r="K127" i="45"/>
  <c r="M127" i="45" s="1"/>
  <c r="K128" i="45"/>
  <c r="K129" i="45"/>
  <c r="M129" i="45" s="1"/>
  <c r="K130" i="45"/>
  <c r="K131" i="45"/>
  <c r="M131" i="45" s="1"/>
  <c r="K132" i="45"/>
  <c r="K133" i="45"/>
  <c r="K134" i="45"/>
  <c r="K135" i="45"/>
  <c r="K136" i="45"/>
  <c r="K137" i="45"/>
  <c r="K138" i="45"/>
  <c r="K139" i="45"/>
  <c r="M139" i="45" s="1"/>
  <c r="K140" i="45"/>
  <c r="K141" i="45"/>
  <c r="M141" i="45" s="1"/>
  <c r="K142" i="45"/>
  <c r="K143" i="45"/>
  <c r="M143" i="45" s="1"/>
  <c r="K144" i="45"/>
  <c r="M144" i="45" s="1"/>
  <c r="K145" i="45"/>
  <c r="K146" i="45"/>
  <c r="K147" i="45"/>
  <c r="K148" i="45"/>
  <c r="K149" i="45"/>
  <c r="K150" i="45"/>
  <c r="K151" i="45"/>
  <c r="M151" i="45" s="1"/>
  <c r="K152" i="45"/>
  <c r="K153" i="45"/>
  <c r="K154" i="45"/>
  <c r="K155" i="45"/>
  <c r="M155" i="45" s="1"/>
  <c r="K156" i="45"/>
  <c r="M156" i="45" s="1"/>
  <c r="K157" i="45"/>
  <c r="K158" i="45"/>
  <c r="K159" i="45"/>
  <c r="K160" i="45"/>
  <c r="K161" i="45"/>
  <c r="K162" i="45"/>
  <c r="K163" i="45"/>
  <c r="M163" i="45" s="1"/>
  <c r="K164" i="45"/>
  <c r="K165" i="45"/>
  <c r="K166" i="45"/>
  <c r="K167" i="45"/>
  <c r="M167" i="45" s="1"/>
  <c r="K168" i="45"/>
  <c r="K169" i="45"/>
  <c r="K170" i="45"/>
  <c r="K171" i="45"/>
  <c r="K172" i="45"/>
  <c r="K173" i="45"/>
  <c r="K174" i="45"/>
  <c r="K175" i="45"/>
  <c r="M175" i="45" s="1"/>
  <c r="K176" i="45"/>
  <c r="K177" i="45"/>
  <c r="K178" i="45"/>
  <c r="K179" i="45"/>
  <c r="M179" i="45" s="1"/>
  <c r="K180" i="45"/>
  <c r="K181" i="45"/>
  <c r="K182" i="45"/>
  <c r="K183" i="45"/>
  <c r="K184" i="45"/>
  <c r="K185" i="45"/>
  <c r="K186" i="45"/>
  <c r="K187" i="45"/>
  <c r="M187" i="45" s="1"/>
  <c r="K188" i="45"/>
  <c r="K189" i="45"/>
  <c r="K190" i="45"/>
  <c r="K191" i="45"/>
  <c r="M191" i="45" s="1"/>
  <c r="K192" i="45"/>
  <c r="K193" i="45"/>
  <c r="K194" i="45"/>
  <c r="K195" i="45"/>
  <c r="K196" i="45"/>
  <c r="K197" i="45"/>
  <c r="K198" i="45"/>
  <c r="K199" i="45"/>
  <c r="M199" i="45" s="1"/>
  <c r="K200" i="45"/>
  <c r="K201" i="45"/>
  <c r="K202" i="45"/>
  <c r="K203" i="45"/>
  <c r="M203" i="45" s="1"/>
  <c r="K204" i="45"/>
  <c r="K205" i="45"/>
  <c r="K206" i="45"/>
  <c r="K207" i="45"/>
  <c r="K208" i="45"/>
  <c r="K209" i="45"/>
  <c r="K210" i="45"/>
  <c r="K211" i="45"/>
  <c r="M211" i="45" s="1"/>
  <c r="K212" i="45"/>
  <c r="K213" i="45"/>
  <c r="K214" i="45"/>
  <c r="K215" i="45"/>
  <c r="M215" i="45" s="1"/>
  <c r="K216" i="45"/>
  <c r="K217" i="45"/>
  <c r="K218" i="45"/>
  <c r="K219" i="45"/>
  <c r="K220" i="45"/>
  <c r="K221" i="45"/>
  <c r="K222" i="45"/>
  <c r="K223" i="45"/>
  <c r="M223" i="45" s="1"/>
  <c r="K224" i="45"/>
  <c r="K225" i="45"/>
  <c r="K226" i="45"/>
  <c r="K227" i="45"/>
  <c r="M227" i="45" s="1"/>
  <c r="K228" i="45"/>
  <c r="K229" i="45"/>
  <c r="K230" i="45"/>
  <c r="K231" i="45"/>
  <c r="K232" i="45"/>
  <c r="K234" i="45"/>
  <c r="K235" i="45"/>
  <c r="K236" i="45"/>
  <c r="M236" i="45" s="1"/>
  <c r="K237" i="45"/>
  <c r="K238" i="45"/>
  <c r="K239" i="45"/>
  <c r="K240" i="45"/>
  <c r="M240" i="45" s="1"/>
  <c r="K241" i="45"/>
  <c r="K242" i="45"/>
  <c r="K243" i="45"/>
  <c r="K244" i="45"/>
  <c r="K245" i="45"/>
  <c r="K246" i="45"/>
  <c r="K247" i="45"/>
  <c r="K248" i="45"/>
  <c r="M248" i="45" s="1"/>
  <c r="K249" i="45"/>
  <c r="K250" i="45"/>
  <c r="K251" i="45"/>
  <c r="K252" i="45"/>
  <c r="M252" i="45" s="1"/>
  <c r="K253" i="45"/>
  <c r="K254" i="45"/>
  <c r="K255" i="45"/>
  <c r="K256" i="45"/>
  <c r="K257" i="45"/>
  <c r="K258" i="45"/>
  <c r="K259" i="45"/>
  <c r="K260" i="45"/>
  <c r="M260" i="45" s="1"/>
  <c r="K261" i="45"/>
  <c r="K262" i="45"/>
  <c r="K263" i="45"/>
  <c r="K264" i="45"/>
  <c r="M264" i="45" s="1"/>
  <c r="K265" i="45"/>
  <c r="K266" i="45"/>
  <c r="K267" i="45"/>
  <c r="K268" i="45"/>
  <c r="K269" i="45"/>
  <c r="K270" i="45"/>
  <c r="K271" i="45"/>
  <c r="K272" i="45"/>
  <c r="M272" i="45" s="1"/>
  <c r="K273" i="45"/>
  <c r="K274" i="45"/>
  <c r="K275" i="45"/>
  <c r="K276" i="45"/>
  <c r="K277" i="45"/>
  <c r="K278" i="45"/>
  <c r="K279" i="45"/>
  <c r="K280" i="45"/>
  <c r="K281" i="45"/>
  <c r="K282" i="45"/>
  <c r="K283" i="45"/>
  <c r="K284" i="45"/>
  <c r="M284" i="45" s="1"/>
  <c r="K285" i="45"/>
  <c r="K286" i="45"/>
  <c r="K287" i="45"/>
  <c r="K288" i="45"/>
  <c r="K289" i="45"/>
  <c r="K290" i="45"/>
  <c r="K291" i="45"/>
  <c r="K292" i="45"/>
  <c r="K293" i="45"/>
  <c r="K294" i="45"/>
  <c r="K295" i="45"/>
  <c r="K296" i="45"/>
  <c r="K297" i="45"/>
  <c r="K298" i="45"/>
  <c r="K299" i="45"/>
  <c r="K300" i="45"/>
  <c r="K301" i="45"/>
  <c r="K302" i="45"/>
  <c r="K303" i="45"/>
  <c r="K304" i="45"/>
  <c r="K305" i="45"/>
  <c r="K306" i="45"/>
  <c r="K307" i="45"/>
  <c r="K308" i="45"/>
  <c r="K309" i="45"/>
  <c r="K310" i="45"/>
  <c r="K311" i="45"/>
  <c r="K312" i="45"/>
  <c r="K313" i="45"/>
  <c r="K315" i="45"/>
  <c r="K316" i="45"/>
  <c r="K317" i="45"/>
  <c r="K320" i="45"/>
  <c r="K321" i="45"/>
  <c r="K322" i="45"/>
  <c r="K323" i="45"/>
  <c r="K324" i="45"/>
  <c r="K5" i="45"/>
  <c r="K6" i="45"/>
  <c r="K7" i="45"/>
  <c r="M7" i="45" s="1"/>
  <c r="K8" i="45"/>
  <c r="M8" i="45" s="1"/>
  <c r="K4" i="45"/>
  <c r="G4" i="45"/>
  <c r="G5" i="45"/>
  <c r="G6" i="45"/>
  <c r="G7" i="45"/>
  <c r="G8" i="45"/>
  <c r="G9" i="45"/>
  <c r="G10" i="45"/>
  <c r="G11" i="45"/>
  <c r="G12" i="45"/>
  <c r="G13" i="45"/>
  <c r="G14" i="45"/>
  <c r="G15" i="45"/>
  <c r="G16" i="45"/>
  <c r="G17" i="45"/>
  <c r="G18" i="45"/>
  <c r="G19" i="45"/>
  <c r="G20" i="45"/>
  <c r="G21" i="45"/>
  <c r="G22" i="45"/>
  <c r="G23" i="45"/>
  <c r="G24" i="45"/>
  <c r="G25" i="45"/>
  <c r="G26" i="45"/>
  <c r="G27" i="45"/>
  <c r="G28" i="45"/>
  <c r="G29" i="45"/>
  <c r="G32" i="45"/>
  <c r="G30" i="45"/>
  <c r="G31" i="45"/>
  <c r="G33" i="45"/>
  <c r="G34" i="45"/>
  <c r="G35" i="45"/>
  <c r="G36" i="45"/>
  <c r="G37" i="45"/>
  <c r="G38" i="45"/>
  <c r="G39" i="45"/>
  <c r="G40" i="45"/>
  <c r="G41" i="45"/>
  <c r="G42" i="45"/>
  <c r="G43" i="45"/>
  <c r="G44" i="45"/>
  <c r="G45" i="45"/>
  <c r="G46" i="45"/>
  <c r="G47" i="45"/>
  <c r="G48" i="45"/>
  <c r="G49" i="45"/>
  <c r="G50" i="45"/>
  <c r="G51" i="45"/>
  <c r="G52" i="45"/>
  <c r="G53" i="45"/>
  <c r="G54" i="45"/>
  <c r="G55" i="45"/>
  <c r="G56" i="45"/>
  <c r="G57" i="45"/>
  <c r="G58" i="45"/>
  <c r="G61" i="45"/>
  <c r="G59" i="45"/>
  <c r="G60" i="45"/>
  <c r="G64" i="45"/>
  <c r="G62" i="45"/>
  <c r="G63" i="45"/>
  <c r="G65" i="45"/>
  <c r="G66" i="45"/>
  <c r="G67" i="45"/>
  <c r="G68" i="45"/>
  <c r="G69" i="45"/>
  <c r="G70" i="45"/>
  <c r="G71" i="45"/>
  <c r="G72" i="45"/>
  <c r="G73" i="45"/>
  <c r="G74" i="45"/>
  <c r="G75" i="45"/>
  <c r="G76" i="45"/>
  <c r="G77" i="45"/>
  <c r="G78" i="45"/>
  <c r="G79" i="45"/>
  <c r="G80" i="45"/>
  <c r="G81" i="45"/>
  <c r="G82" i="45"/>
  <c r="G83" i="45"/>
  <c r="G84" i="45"/>
  <c r="G85" i="45"/>
  <c r="G86" i="45"/>
  <c r="G87" i="45"/>
  <c r="G90" i="45"/>
  <c r="G91" i="45"/>
  <c r="G88" i="45"/>
  <c r="G89" i="45"/>
  <c r="G92" i="45"/>
  <c r="G93" i="45"/>
  <c r="G94" i="45"/>
  <c r="G95" i="45"/>
  <c r="G96" i="45"/>
  <c r="G98" i="45"/>
  <c r="G99" i="45"/>
  <c r="G97" i="45"/>
  <c r="G100" i="45"/>
  <c r="G101" i="45"/>
  <c r="G102" i="45"/>
  <c r="G103" i="45"/>
  <c r="G104" i="45"/>
  <c r="G105" i="45"/>
  <c r="G106" i="45"/>
  <c r="G107" i="45"/>
  <c r="G108" i="45"/>
  <c r="G109" i="45"/>
  <c r="G114" i="45"/>
  <c r="G115" i="45"/>
  <c r="G111" i="45"/>
  <c r="G112" i="45"/>
  <c r="G113" i="45"/>
  <c r="G116" i="45"/>
  <c r="G117" i="45"/>
  <c r="G118" i="45"/>
  <c r="G119" i="45"/>
  <c r="G123" i="45"/>
  <c r="G120" i="45"/>
  <c r="G121" i="45"/>
  <c r="G122" i="45"/>
  <c r="G124" i="45"/>
  <c r="G128" i="45"/>
  <c r="G125" i="45"/>
  <c r="G126" i="45"/>
  <c r="G127" i="45"/>
  <c r="G129" i="45"/>
  <c r="G130" i="45"/>
  <c r="G131" i="45"/>
  <c r="G132" i="45"/>
  <c r="G133" i="45"/>
  <c r="G134" i="45"/>
  <c r="G135" i="45"/>
  <c r="G136" i="45"/>
  <c r="G137" i="45"/>
  <c r="G138" i="45"/>
  <c r="G139" i="45"/>
  <c r="G140" i="45"/>
  <c r="G141" i="45"/>
  <c r="G142" i="45"/>
  <c r="G143" i="45"/>
  <c r="G144" i="45"/>
  <c r="G145" i="45"/>
  <c r="G146" i="45"/>
  <c r="G147" i="45"/>
  <c r="G148" i="45"/>
  <c r="G149" i="45"/>
  <c r="G150" i="45"/>
  <c r="G151" i="45"/>
  <c r="G152" i="45"/>
  <c r="G153" i="45"/>
  <c r="G154" i="45"/>
  <c r="G155" i="45"/>
  <c r="G156" i="45"/>
  <c r="G157" i="45"/>
  <c r="G158" i="45"/>
  <c r="G159" i="45"/>
  <c r="G160" i="45"/>
  <c r="G161" i="45"/>
  <c r="G162" i="45"/>
  <c r="G163" i="45"/>
  <c r="G164" i="45"/>
  <c r="G165" i="45"/>
  <c r="G166" i="45"/>
  <c r="G167" i="45"/>
  <c r="G168" i="45"/>
  <c r="G169" i="45"/>
  <c r="G170" i="45"/>
  <c r="G171" i="45"/>
  <c r="G172" i="45"/>
  <c r="G173" i="45"/>
  <c r="G174" i="45"/>
  <c r="G175" i="45"/>
  <c r="G176" i="45"/>
  <c r="G177" i="45"/>
  <c r="G178" i="45"/>
  <c r="G179" i="45"/>
  <c r="G180" i="45"/>
  <c r="G181" i="45"/>
  <c r="G182" i="45"/>
  <c r="G183" i="45"/>
  <c r="G184" i="45"/>
  <c r="G185" i="45"/>
  <c r="G186" i="45"/>
  <c r="G187" i="45"/>
  <c r="G188" i="45"/>
  <c r="G189" i="45"/>
  <c r="G190" i="45"/>
  <c r="G191" i="45"/>
  <c r="G192" i="45"/>
  <c r="G193" i="45"/>
  <c r="G194" i="45"/>
  <c r="G195" i="45"/>
  <c r="G196" i="45"/>
  <c r="G197" i="45"/>
  <c r="G198" i="45"/>
  <c r="G199" i="45"/>
  <c r="G200" i="45"/>
  <c r="G201" i="45"/>
  <c r="G202" i="45"/>
  <c r="G203" i="45"/>
  <c r="G204" i="45"/>
  <c r="G205" i="45"/>
  <c r="G206" i="45"/>
  <c r="G207" i="45"/>
  <c r="G208" i="45"/>
  <c r="G209" i="45"/>
  <c r="G210" i="45"/>
  <c r="G211" i="45"/>
  <c r="G212" i="45"/>
  <c r="G213" i="45"/>
  <c r="G214" i="45"/>
  <c r="G215" i="45"/>
  <c r="G216" i="45"/>
  <c r="G217" i="45"/>
  <c r="G218" i="45"/>
  <c r="G219" i="45"/>
  <c r="G220" i="45"/>
  <c r="G221" i="45"/>
  <c r="G222" i="45"/>
  <c r="G223" i="45"/>
  <c r="G224" i="45"/>
  <c r="G225" i="45"/>
  <c r="G226" i="45"/>
  <c r="G227" i="45"/>
  <c r="G228" i="45"/>
  <c r="G229" i="45"/>
  <c r="G230" i="45"/>
  <c r="G231" i="45"/>
  <c r="G232" i="45"/>
  <c r="G234" i="45"/>
  <c r="G235" i="45"/>
  <c r="G236" i="45"/>
  <c r="G237" i="45"/>
  <c r="G238" i="45"/>
  <c r="G239" i="45"/>
  <c r="G240" i="45"/>
  <c r="G241" i="45"/>
  <c r="G242" i="45"/>
  <c r="G243" i="45"/>
  <c r="G244" i="45"/>
  <c r="G245" i="45"/>
  <c r="G246" i="45"/>
  <c r="G247" i="45"/>
  <c r="G248" i="45"/>
  <c r="G249" i="45"/>
  <c r="G250" i="45"/>
  <c r="G251" i="45"/>
  <c r="G252" i="45"/>
  <c r="G253" i="45"/>
  <c r="G254" i="45"/>
  <c r="G255" i="45"/>
  <c r="G256" i="45"/>
  <c r="G257" i="45"/>
  <c r="G258" i="45"/>
  <c r="G259" i="45"/>
  <c r="G260" i="45"/>
  <c r="G261" i="45"/>
  <c r="G262" i="45"/>
  <c r="G263" i="45"/>
  <c r="G264" i="45"/>
  <c r="G265" i="45"/>
  <c r="G266" i="45"/>
  <c r="G267" i="45"/>
  <c r="G269" i="45"/>
  <c r="G268" i="45"/>
  <c r="G270" i="45"/>
  <c r="G271" i="45"/>
  <c r="G272" i="45"/>
  <c r="G273" i="45"/>
  <c r="G274" i="45"/>
  <c r="G275" i="45"/>
  <c r="G276" i="45"/>
  <c r="G277" i="45"/>
  <c r="G278" i="45"/>
  <c r="G279" i="45"/>
  <c r="G280" i="45"/>
  <c r="G281" i="45"/>
  <c r="G282" i="45"/>
  <c r="G283" i="45"/>
  <c r="G284" i="45"/>
  <c r="G285" i="45"/>
  <c r="G286" i="45"/>
  <c r="G287" i="45"/>
  <c r="G288" i="45"/>
  <c r="G289" i="45"/>
  <c r="G290" i="45"/>
  <c r="G291" i="45"/>
  <c r="G292" i="45"/>
  <c r="G293" i="45"/>
  <c r="G294" i="45"/>
  <c r="G295" i="45"/>
  <c r="G296" i="45"/>
  <c r="G297" i="45"/>
  <c r="G298" i="45"/>
  <c r="G299" i="45"/>
  <c r="G300" i="45"/>
  <c r="G301" i="45"/>
  <c r="G302" i="45"/>
  <c r="G303" i="45"/>
  <c r="G304" i="45"/>
  <c r="G305" i="45"/>
  <c r="G306" i="45"/>
  <c r="G307" i="45"/>
  <c r="G308" i="45"/>
  <c r="G309" i="45"/>
  <c r="G310" i="45"/>
  <c r="G311" i="45"/>
  <c r="G312" i="45"/>
  <c r="G313" i="45"/>
  <c r="G315" i="45"/>
  <c r="G316" i="45"/>
  <c r="G317" i="45"/>
  <c r="G320" i="45"/>
  <c r="G321" i="45"/>
  <c r="G322" i="45"/>
  <c r="G323" i="45"/>
  <c r="G32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2" i="45"/>
  <c r="F30" i="45"/>
  <c r="F31"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61" i="45"/>
  <c r="F59" i="45"/>
  <c r="F60" i="45"/>
  <c r="F64" i="45"/>
  <c r="F62" i="45"/>
  <c r="F63" i="45"/>
  <c r="F65" i="45"/>
  <c r="F66" i="45"/>
  <c r="F67" i="45"/>
  <c r="F68" i="45"/>
  <c r="F69" i="45"/>
  <c r="F70" i="45"/>
  <c r="F71" i="45"/>
  <c r="F72" i="45"/>
  <c r="F73" i="45"/>
  <c r="F74" i="45"/>
  <c r="F75" i="45"/>
  <c r="F76" i="45"/>
  <c r="F77" i="45"/>
  <c r="F78" i="45"/>
  <c r="F79" i="45"/>
  <c r="F80" i="45"/>
  <c r="F81" i="45"/>
  <c r="F82" i="45"/>
  <c r="F83" i="45"/>
  <c r="F84" i="45"/>
  <c r="F85" i="45"/>
  <c r="F86" i="45"/>
  <c r="F87" i="45"/>
  <c r="F90" i="45"/>
  <c r="F91" i="45"/>
  <c r="F88" i="45"/>
  <c r="F89" i="45"/>
  <c r="F92" i="45"/>
  <c r="F93" i="45"/>
  <c r="F94" i="45"/>
  <c r="F95" i="45"/>
  <c r="F96" i="45"/>
  <c r="F98" i="45"/>
  <c r="F99" i="45"/>
  <c r="F97" i="45"/>
  <c r="F100" i="45"/>
  <c r="F101" i="45"/>
  <c r="F102" i="45"/>
  <c r="F103" i="45"/>
  <c r="F104" i="45"/>
  <c r="F105" i="45"/>
  <c r="F106" i="45"/>
  <c r="F107" i="45"/>
  <c r="F108" i="45"/>
  <c r="F109" i="45"/>
  <c r="F114" i="45"/>
  <c r="F115" i="45"/>
  <c r="F111" i="45"/>
  <c r="F112" i="45"/>
  <c r="F113" i="45"/>
  <c r="F116" i="45"/>
  <c r="F117" i="45"/>
  <c r="F118" i="45"/>
  <c r="F119" i="45"/>
  <c r="F123" i="45"/>
  <c r="F120" i="45"/>
  <c r="F121" i="45"/>
  <c r="F122" i="45"/>
  <c r="F124" i="45"/>
  <c r="F128" i="45"/>
  <c r="F125" i="45"/>
  <c r="F126" i="45"/>
  <c r="F127"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175" i="45"/>
  <c r="F176" i="45"/>
  <c r="F177" i="45"/>
  <c r="F178" i="45"/>
  <c r="F179" i="45"/>
  <c r="F180" i="45"/>
  <c r="F181" i="45"/>
  <c r="F182" i="45"/>
  <c r="F183" i="45"/>
  <c r="F184" i="45"/>
  <c r="F185" i="45"/>
  <c r="F186" i="45"/>
  <c r="F187" i="45"/>
  <c r="F188" i="45"/>
  <c r="F189" i="45"/>
  <c r="F190" i="45"/>
  <c r="F191" i="45"/>
  <c r="F192" i="45"/>
  <c r="F193" i="45"/>
  <c r="F194" i="45"/>
  <c r="F195" i="45"/>
  <c r="F196" i="45"/>
  <c r="F197" i="45"/>
  <c r="F198" i="45"/>
  <c r="F199" i="45"/>
  <c r="F200" i="45"/>
  <c r="F201" i="45"/>
  <c r="F202" i="45"/>
  <c r="F203" i="45"/>
  <c r="F204" i="45"/>
  <c r="F205" i="45"/>
  <c r="F206" i="45"/>
  <c r="F207" i="45"/>
  <c r="F208" i="45"/>
  <c r="F209" i="45"/>
  <c r="F210" i="45"/>
  <c r="F211" i="45"/>
  <c r="F212" i="45"/>
  <c r="F213" i="45"/>
  <c r="F214" i="45"/>
  <c r="F215" i="45"/>
  <c r="F216" i="45"/>
  <c r="F217" i="45"/>
  <c r="F218" i="45"/>
  <c r="F219" i="45"/>
  <c r="F220" i="45"/>
  <c r="F221" i="45"/>
  <c r="F222" i="45"/>
  <c r="F223" i="45"/>
  <c r="F224" i="45"/>
  <c r="F225" i="45"/>
  <c r="F226" i="45"/>
  <c r="F227" i="45"/>
  <c r="F228" i="45"/>
  <c r="F229" i="45"/>
  <c r="F230" i="45"/>
  <c r="F231" i="45"/>
  <c r="F232" i="45"/>
  <c r="F234" i="45"/>
  <c r="F235" i="45"/>
  <c r="F236" i="45"/>
  <c r="F237" i="45"/>
  <c r="F238" i="45"/>
  <c r="F239" i="45"/>
  <c r="F240" i="45"/>
  <c r="F241" i="45"/>
  <c r="F242" i="45"/>
  <c r="F243" i="45"/>
  <c r="F244" i="45"/>
  <c r="F245" i="45"/>
  <c r="F246" i="45"/>
  <c r="F247" i="45"/>
  <c r="F248" i="45"/>
  <c r="F249" i="45"/>
  <c r="F250" i="45"/>
  <c r="F251" i="45"/>
  <c r="F252" i="45"/>
  <c r="F253" i="45"/>
  <c r="F254" i="45"/>
  <c r="F255" i="45"/>
  <c r="F256" i="45"/>
  <c r="F257" i="45"/>
  <c r="F258" i="45"/>
  <c r="F259" i="45"/>
  <c r="F260" i="45"/>
  <c r="F261" i="45"/>
  <c r="F262" i="45"/>
  <c r="F263" i="45"/>
  <c r="F264" i="45"/>
  <c r="F265" i="45"/>
  <c r="F266" i="45"/>
  <c r="F267" i="45"/>
  <c r="F269" i="45"/>
  <c r="F268" i="45"/>
  <c r="F270" i="45"/>
  <c r="F271" i="45"/>
  <c r="F272" i="45"/>
  <c r="F273" i="45"/>
  <c r="F274" i="45"/>
  <c r="F275" i="45"/>
  <c r="F276" i="45"/>
  <c r="F277" i="45"/>
  <c r="F278" i="45"/>
  <c r="F279" i="45"/>
  <c r="F280" i="45"/>
  <c r="F281" i="45"/>
  <c r="F282" i="45"/>
  <c r="F283" i="45"/>
  <c r="F284" i="45"/>
  <c r="F285" i="45"/>
  <c r="F286" i="45"/>
  <c r="F287" i="45"/>
  <c r="F288" i="45"/>
  <c r="F289" i="45"/>
  <c r="F290" i="45"/>
  <c r="F291" i="45"/>
  <c r="F292" i="45"/>
  <c r="F293" i="45"/>
  <c r="F294" i="45"/>
  <c r="F295" i="45"/>
  <c r="F296" i="45"/>
  <c r="F297" i="45"/>
  <c r="F298" i="45"/>
  <c r="F299" i="45"/>
  <c r="F300" i="45"/>
  <c r="F301" i="45"/>
  <c r="F302" i="45"/>
  <c r="F303" i="45"/>
  <c r="F304" i="45"/>
  <c r="F305" i="45"/>
  <c r="F306" i="45"/>
  <c r="F307" i="45"/>
  <c r="F308" i="45"/>
  <c r="F309" i="45"/>
  <c r="F310" i="45"/>
  <c r="F311" i="45"/>
  <c r="F312" i="45"/>
  <c r="F313" i="45"/>
  <c r="F315" i="45"/>
  <c r="F316" i="45"/>
  <c r="F317" i="45"/>
  <c r="F320" i="45"/>
  <c r="F321" i="45"/>
  <c r="F322" i="45"/>
  <c r="F323" i="45"/>
  <c r="F324" i="45"/>
  <c r="M277" i="45" l="1"/>
  <c r="M265" i="45"/>
  <c r="M253" i="45"/>
  <c r="M241" i="45"/>
  <c r="M228" i="45"/>
  <c r="M216" i="45"/>
  <c r="M204" i="45"/>
  <c r="M192" i="45"/>
  <c r="M180" i="45"/>
  <c r="M168" i="45"/>
  <c r="M132" i="45"/>
  <c r="M310" i="45"/>
  <c r="M298" i="45"/>
  <c r="M286" i="45"/>
  <c r="M274" i="45"/>
  <c r="M262" i="45"/>
  <c r="M250" i="45"/>
  <c r="M238" i="45"/>
  <c r="M225" i="45"/>
  <c r="M213" i="45"/>
  <c r="M201" i="45"/>
  <c r="M189" i="45"/>
  <c r="M177" i="45"/>
  <c r="M165" i="45"/>
  <c r="M153" i="45"/>
  <c r="M5" i="45"/>
  <c r="M188" i="45"/>
  <c r="M176" i="45"/>
  <c r="M164" i="45"/>
  <c r="M152" i="45"/>
  <c r="M140" i="45"/>
  <c r="M128" i="45"/>
  <c r="M116" i="45"/>
  <c r="M103" i="45"/>
  <c r="M91" i="45"/>
  <c r="M79" i="45"/>
  <c r="M67" i="45"/>
  <c r="M55" i="45"/>
  <c r="M43" i="45"/>
  <c r="M31" i="45"/>
  <c r="H267" i="45"/>
  <c r="H255" i="45"/>
  <c r="H243" i="45"/>
  <c r="H230" i="45"/>
  <c r="H218" i="45"/>
  <c r="H206" i="45"/>
  <c r="H194" i="45"/>
  <c r="H182" i="45"/>
  <c r="H170" i="45"/>
  <c r="H158" i="45"/>
  <c r="H146" i="45"/>
  <c r="H134" i="45"/>
  <c r="H121" i="45"/>
  <c r="H109" i="45"/>
  <c r="H98" i="45"/>
  <c r="H85" i="45"/>
  <c r="H73" i="45"/>
  <c r="M6" i="45"/>
  <c r="M311" i="45"/>
  <c r="M299" i="45"/>
  <c r="M287" i="45"/>
  <c r="M275" i="45"/>
  <c r="M263" i="45"/>
  <c r="M251" i="45"/>
  <c r="M239" i="45"/>
  <c r="M226" i="45"/>
  <c r="M214" i="45"/>
  <c r="M202" i="45"/>
  <c r="M190" i="45"/>
  <c r="M178" i="45"/>
  <c r="M166" i="45"/>
  <c r="M154" i="45"/>
  <c r="M142" i="45"/>
  <c r="M130" i="45"/>
  <c r="M118" i="45"/>
  <c r="M105" i="45"/>
  <c r="M93" i="45"/>
  <c r="M81" i="45"/>
  <c r="M69" i="45"/>
  <c r="M57" i="45"/>
  <c r="M45" i="45"/>
  <c r="M33" i="45"/>
  <c r="M21" i="45"/>
  <c r="M9" i="45"/>
  <c r="H60" i="45"/>
  <c r="H49" i="45"/>
  <c r="H37" i="45"/>
  <c r="H25" i="45"/>
  <c r="H13" i="45"/>
  <c r="H324" i="45"/>
  <c r="H309" i="45"/>
  <c r="H297" i="45"/>
  <c r="H285" i="45"/>
  <c r="H261" i="45"/>
  <c r="H249" i="45"/>
  <c r="H237" i="45"/>
  <c r="H224" i="45"/>
  <c r="H212" i="45"/>
  <c r="H188" i="45"/>
  <c r="H176" i="45"/>
  <c r="H164" i="45"/>
  <c r="H152" i="45"/>
  <c r="H140" i="45"/>
  <c r="H116" i="45"/>
  <c r="H103" i="45"/>
  <c r="H79" i="45"/>
  <c r="H67" i="45"/>
  <c r="H55" i="45"/>
  <c r="H43" i="45"/>
  <c r="H30" i="45"/>
  <c r="H19" i="45"/>
  <c r="H7" i="45"/>
  <c r="M323" i="45"/>
  <c r="M308" i="45"/>
  <c r="M296" i="45"/>
  <c r="H303" i="45"/>
  <c r="H279" i="45"/>
  <c r="H316" i="45"/>
  <c r="H291" i="45"/>
  <c r="H323" i="45"/>
  <c r="H308" i="45"/>
  <c r="H296" i="45"/>
  <c r="H284" i="45"/>
  <c r="H272" i="45"/>
  <c r="H260" i="45"/>
  <c r="H248" i="45"/>
  <c r="H236" i="45"/>
  <c r="H223" i="45"/>
  <c r="H211" i="45"/>
  <c r="H199" i="45"/>
  <c r="H187" i="45"/>
  <c r="H175" i="45"/>
  <c r="H163" i="45"/>
  <c r="H151" i="45"/>
  <c r="H139" i="45"/>
  <c r="H126" i="45"/>
  <c r="H113" i="45"/>
  <c r="H102" i="45"/>
  <c r="H88" i="45"/>
  <c r="H78" i="45"/>
  <c r="H66" i="45"/>
  <c r="H54" i="45"/>
  <c r="H42" i="45"/>
  <c r="H32" i="45"/>
  <c r="H18" i="45"/>
  <c r="H6" i="45"/>
  <c r="M324" i="45"/>
  <c r="M309" i="45"/>
  <c r="M297" i="45"/>
  <c r="M285" i="45"/>
  <c r="M273" i="45"/>
  <c r="M261" i="45"/>
  <c r="M249" i="45"/>
  <c r="M237" i="45"/>
  <c r="M224" i="45"/>
  <c r="M212" i="45"/>
  <c r="M200" i="45"/>
  <c r="M19" i="45"/>
  <c r="M321" i="45"/>
  <c r="M306" i="45"/>
  <c r="M294" i="45"/>
  <c r="M282" i="45"/>
  <c r="M270" i="45"/>
  <c r="M258" i="45"/>
  <c r="M246" i="45"/>
  <c r="M234" i="45"/>
  <c r="M221" i="45"/>
  <c r="M209" i="45"/>
  <c r="M197" i="45"/>
  <c r="M185" i="45"/>
  <c r="M173" i="45"/>
  <c r="M161" i="45"/>
  <c r="M149" i="45"/>
  <c r="M137" i="45"/>
  <c r="M125" i="45"/>
  <c r="M113" i="45"/>
  <c r="M100" i="45"/>
  <c r="M88" i="45"/>
  <c r="M76" i="45"/>
  <c r="M64" i="45"/>
  <c r="M52" i="45"/>
  <c r="M40" i="45"/>
  <c r="M28" i="45"/>
  <c r="M16" i="45"/>
  <c r="M313" i="45"/>
  <c r="M301" i="45"/>
  <c r="M289" i="45"/>
  <c r="M312" i="45"/>
  <c r="M300" i="45"/>
  <c r="M288" i="45"/>
  <c r="M276" i="45"/>
  <c r="H310" i="45"/>
  <c r="H298" i="45"/>
  <c r="H286" i="45"/>
  <c r="H262" i="45"/>
  <c r="H250" i="45"/>
  <c r="H238" i="45"/>
  <c r="H225" i="45"/>
  <c r="H213" i="45"/>
  <c r="H189" i="45"/>
  <c r="H177" i="45"/>
  <c r="H165" i="45"/>
  <c r="H153" i="45"/>
  <c r="H141" i="45"/>
  <c r="H129" i="45"/>
  <c r="H117" i="45"/>
  <c r="H92" i="45"/>
  <c r="H80" i="45"/>
  <c r="H56" i="45"/>
  <c r="H44" i="45"/>
  <c r="H31" i="45"/>
  <c r="H20" i="45"/>
  <c r="H8" i="45"/>
  <c r="M56" i="45"/>
  <c r="H312" i="45"/>
  <c r="H288" i="45"/>
  <c r="H300" i="45"/>
  <c r="H311" i="45"/>
  <c r="H299" i="45"/>
  <c r="H287" i="45"/>
  <c r="H275" i="45"/>
  <c r="H263" i="45"/>
  <c r="H251" i="45"/>
  <c r="H239" i="45"/>
  <c r="H226" i="45"/>
  <c r="H166" i="45"/>
  <c r="H154" i="45"/>
  <c r="H142" i="45"/>
  <c r="H130" i="45"/>
  <c r="H118" i="45"/>
  <c r="H105" i="45"/>
  <c r="H93" i="45"/>
  <c r="H81" i="45"/>
  <c r="H69" i="45"/>
  <c r="H57" i="45"/>
  <c r="H45" i="45"/>
  <c r="H33" i="45"/>
  <c r="H21" i="45"/>
  <c r="H9" i="45"/>
  <c r="H317" i="45"/>
  <c r="H292" i="45"/>
  <c r="H269" i="45"/>
  <c r="H256" i="45"/>
  <c r="H244" i="45"/>
  <c r="H231" i="45"/>
  <c r="H219" i="45"/>
  <c r="H207" i="45"/>
  <c r="H195" i="45"/>
  <c r="H183" i="45"/>
  <c r="H171" i="45"/>
  <c r="H159" i="45"/>
  <c r="H147" i="45"/>
  <c r="H135" i="45"/>
  <c r="H122" i="45"/>
  <c r="H114" i="45"/>
  <c r="H99" i="45"/>
  <c r="H86" i="45"/>
  <c r="H74" i="45"/>
  <c r="H64" i="45"/>
  <c r="H50" i="45"/>
  <c r="H38" i="45"/>
  <c r="H26" i="45"/>
  <c r="H14" i="45"/>
  <c r="M320" i="45"/>
  <c r="M305" i="45"/>
  <c r="M293" i="45"/>
  <c r="M281" i="45"/>
  <c r="M269" i="45"/>
  <c r="M257" i="45"/>
  <c r="M245" i="45"/>
  <c r="M232" i="45"/>
  <c r="M220" i="45"/>
  <c r="M208" i="45"/>
  <c r="M196" i="45"/>
  <c r="M184" i="45"/>
  <c r="M172" i="45"/>
  <c r="M160" i="45"/>
  <c r="M148" i="45"/>
  <c r="M136" i="45"/>
  <c r="M124" i="45"/>
  <c r="M112" i="45"/>
  <c r="M99" i="45"/>
  <c r="M87" i="45"/>
  <c r="M75" i="45"/>
  <c r="M63" i="45"/>
  <c r="M51" i="45"/>
  <c r="M39" i="45"/>
  <c r="M27" i="45"/>
  <c r="M15" i="45"/>
  <c r="H304" i="45"/>
  <c r="H280" i="45"/>
  <c r="H320" i="45"/>
  <c r="H305" i="45"/>
  <c r="H293" i="45"/>
  <c r="H281" i="45"/>
  <c r="H268" i="45"/>
  <c r="H257" i="45"/>
  <c r="H245" i="45"/>
  <c r="H232" i="45"/>
  <c r="H220" i="45"/>
  <c r="H208" i="45"/>
  <c r="H196" i="45"/>
  <c r="H184" i="45"/>
  <c r="H172" i="45"/>
  <c r="H313" i="45"/>
  <c r="H301" i="45"/>
  <c r="H289" i="45"/>
  <c r="H277" i="45"/>
  <c r="H265" i="45"/>
  <c r="H253" i="45"/>
  <c r="H241" i="45"/>
  <c r="H228" i="45"/>
  <c r="H216" i="45"/>
  <c r="H204" i="45"/>
  <c r="H192" i="45"/>
  <c r="H180" i="45"/>
  <c r="H168" i="45"/>
  <c r="H156" i="45"/>
  <c r="H144" i="45"/>
  <c r="H132" i="45"/>
  <c r="H123" i="45"/>
  <c r="H107" i="45"/>
  <c r="H95" i="45"/>
  <c r="H83" i="45"/>
  <c r="H71" i="45"/>
  <c r="H61" i="45"/>
  <c r="H47" i="45"/>
  <c r="H35" i="45"/>
  <c r="H23" i="45"/>
  <c r="H11" i="45"/>
  <c r="M315" i="45"/>
  <c r="M302" i="45"/>
  <c r="M290" i="45"/>
  <c r="M278" i="45"/>
  <c r="M266" i="45"/>
  <c r="M254" i="45"/>
  <c r="M242" i="45"/>
  <c r="M229" i="45"/>
  <c r="M217" i="45"/>
  <c r="M205" i="45"/>
  <c r="M193" i="45"/>
  <c r="M181" i="45"/>
  <c r="M169" i="45"/>
  <c r="M157" i="45"/>
  <c r="M145" i="45"/>
  <c r="M133" i="45"/>
  <c r="M121" i="45"/>
  <c r="M108" i="45"/>
  <c r="M96" i="45"/>
  <c r="M84" i="45"/>
  <c r="M72" i="45"/>
  <c r="M60" i="45"/>
  <c r="M48" i="45"/>
  <c r="M36" i="45"/>
  <c r="M24" i="45"/>
  <c r="M12" i="45"/>
  <c r="H271" i="45"/>
  <c r="H259" i="45"/>
  <c r="H247" i="45"/>
  <c r="H235" i="45"/>
  <c r="H222" i="45"/>
  <c r="H210" i="45"/>
  <c r="H198" i="45"/>
  <c r="H186" i="45"/>
  <c r="H174" i="45"/>
  <c r="H162" i="45"/>
  <c r="H150" i="45"/>
  <c r="H138" i="45"/>
  <c r="H125" i="45"/>
  <c r="H112" i="45"/>
  <c r="H101" i="45"/>
  <c r="H91" i="45"/>
  <c r="H77" i="45"/>
  <c r="H65" i="45"/>
  <c r="H53" i="45"/>
  <c r="H41" i="45"/>
  <c r="H29" i="45"/>
  <c r="H17" i="45"/>
  <c r="H5" i="45"/>
  <c r="H160" i="45"/>
  <c r="H148" i="45"/>
  <c r="H136" i="45"/>
  <c r="H124" i="45"/>
  <c r="H115" i="45"/>
  <c r="H97" i="45"/>
  <c r="H87" i="45"/>
  <c r="H75" i="45"/>
  <c r="H62" i="45"/>
  <c r="H51" i="45"/>
  <c r="H39" i="45"/>
  <c r="H27" i="45"/>
  <c r="H15" i="45"/>
  <c r="H295" i="45"/>
  <c r="H68" i="45"/>
  <c r="H322" i="45"/>
  <c r="H307" i="45"/>
  <c r="H283" i="45"/>
  <c r="H274" i="45"/>
  <c r="H201" i="45"/>
  <c r="H104" i="45"/>
  <c r="H321" i="45"/>
  <c r="H306" i="45"/>
  <c r="H294" i="45"/>
  <c r="H282" i="45"/>
  <c r="H270" i="45"/>
  <c r="H258" i="45"/>
  <c r="H246" i="45"/>
  <c r="H234" i="45"/>
  <c r="H221" i="45"/>
  <c r="H209" i="45"/>
  <c r="H197" i="45"/>
  <c r="H185" i="45"/>
  <c r="H173" i="45"/>
  <c r="H161" i="45"/>
  <c r="H149" i="45"/>
  <c r="H137" i="45"/>
  <c r="H128" i="45"/>
  <c r="H111" i="45"/>
  <c r="H100" i="45"/>
  <c r="H90" i="45"/>
  <c r="H76" i="45"/>
  <c r="H63" i="45"/>
  <c r="H52" i="45"/>
  <c r="H40" i="45"/>
  <c r="H28" i="45"/>
  <c r="H16" i="45"/>
  <c r="H273" i="45"/>
  <c r="H200" i="45"/>
  <c r="H315" i="45"/>
  <c r="H302" i="45"/>
  <c r="H290" i="45"/>
  <c r="H278" i="45"/>
  <c r="H266" i="45"/>
  <c r="H254" i="45"/>
  <c r="H242" i="45"/>
  <c r="H229" i="45"/>
  <c r="H217" i="45"/>
  <c r="H205" i="45"/>
  <c r="H193" i="45"/>
  <c r="H181" i="45"/>
  <c r="H169" i="45"/>
  <c r="H157" i="45"/>
  <c r="H145" i="45"/>
  <c r="H133" i="45"/>
  <c r="H120" i="45"/>
  <c r="H108" i="45"/>
  <c r="H96" i="45"/>
  <c r="H84" i="45"/>
  <c r="H72" i="45"/>
  <c r="H59" i="45"/>
  <c r="H48" i="45"/>
  <c r="H36" i="45"/>
  <c r="H24" i="45"/>
  <c r="H12" i="45"/>
  <c r="M322" i="45"/>
  <c r="M307" i="45"/>
  <c r="M295" i="45"/>
  <c r="M283" i="45"/>
  <c r="M271" i="45"/>
  <c r="M259" i="45"/>
  <c r="M247" i="45"/>
  <c r="M235" i="45"/>
  <c r="M222" i="45"/>
  <c r="M210" i="45"/>
  <c r="M198" i="45"/>
  <c r="M186" i="45"/>
  <c r="M174" i="45"/>
  <c r="M162" i="45"/>
  <c r="M150" i="45"/>
  <c r="M138" i="45"/>
  <c r="M126" i="45"/>
  <c r="M114" i="45"/>
  <c r="M101" i="45"/>
  <c r="M89" i="45"/>
  <c r="M77" i="45"/>
  <c r="M65" i="45"/>
  <c r="M53" i="45"/>
  <c r="M41" i="45"/>
  <c r="M29" i="45"/>
  <c r="M17" i="45"/>
  <c r="H276" i="45"/>
  <c r="H264" i="45"/>
  <c r="H252" i="45"/>
  <c r="H240" i="45"/>
  <c r="H227" i="45"/>
  <c r="H215" i="45"/>
  <c r="H203" i="45"/>
  <c r="H191" i="45"/>
  <c r="H179" i="45"/>
  <c r="H167" i="45"/>
  <c r="H155" i="45"/>
  <c r="H143" i="45"/>
  <c r="H131" i="45"/>
  <c r="H119" i="45"/>
  <c r="H106" i="45"/>
  <c r="H94" i="45"/>
  <c r="H82" i="45"/>
  <c r="H70" i="45"/>
  <c r="H58" i="45"/>
  <c r="H46" i="45"/>
  <c r="H34" i="45"/>
  <c r="H22" i="45"/>
  <c r="H10" i="45"/>
  <c r="H127" i="45"/>
  <c r="H89" i="45"/>
  <c r="M317" i="45"/>
  <c r="M304" i="45"/>
  <c r="M292" i="45"/>
  <c r="M280" i="45"/>
  <c r="M268" i="45"/>
  <c r="M256" i="45"/>
  <c r="M244" i="45"/>
  <c r="M231" i="45"/>
  <c r="M219" i="45"/>
  <c r="M207" i="45"/>
  <c r="M195" i="45"/>
  <c r="M183" i="45"/>
  <c r="M171" i="45"/>
  <c r="M159" i="45"/>
  <c r="M147" i="45"/>
  <c r="M135" i="45"/>
  <c r="M123" i="45"/>
  <c r="M111" i="45"/>
  <c r="M98" i="45"/>
  <c r="M86" i="45"/>
  <c r="M74" i="45"/>
  <c r="M62" i="45"/>
  <c r="M50" i="45"/>
  <c r="M38" i="45"/>
  <c r="M26" i="45"/>
  <c r="M14" i="45"/>
  <c r="H214" i="45"/>
  <c r="H202" i="45"/>
  <c r="H190" i="45"/>
  <c r="H178" i="45"/>
  <c r="M316" i="45"/>
  <c r="M303" i="45"/>
  <c r="M291" i="45"/>
  <c r="M279" i="45"/>
  <c r="M267" i="45"/>
  <c r="M255" i="45"/>
  <c r="M243" i="45"/>
  <c r="M230" i="45"/>
  <c r="M218" i="45"/>
  <c r="M206" i="45"/>
  <c r="M194" i="45"/>
  <c r="M182" i="45"/>
  <c r="M170" i="45"/>
  <c r="M158" i="45"/>
  <c r="M146" i="45"/>
  <c r="M134" i="45"/>
  <c r="M122" i="45"/>
  <c r="M109" i="45"/>
  <c r="M97" i="45"/>
  <c r="M85" i="45"/>
  <c r="M73" i="45"/>
  <c r="M61" i="45"/>
  <c r="M49" i="45"/>
  <c r="M37" i="45"/>
  <c r="M25" i="45"/>
  <c r="M13" i="45"/>
  <c r="L3" i="45"/>
  <c r="K3" i="45"/>
  <c r="M4" i="45"/>
  <c r="F4" i="45"/>
  <c r="H4" i="45" s="1"/>
  <c r="D5" i="59"/>
  <c r="E5" i="59"/>
  <c r="F5" i="59"/>
  <c r="G5" i="59"/>
  <c r="C5" i="59"/>
  <c r="H3" i="45" l="1"/>
  <c r="M3" i="45"/>
  <c r="G3" i="45"/>
  <c r="F3" i="45"/>
  <c r="AB15" i="45" l="1"/>
  <c r="AI17" i="56" s="1"/>
  <c r="AJ17" i="56" s="1"/>
  <c r="AB77" i="45"/>
  <c r="AB243" i="45"/>
  <c r="AB261" i="45"/>
  <c r="AI258" i="56" s="1"/>
  <c r="AJ258" i="56" s="1"/>
  <c r="AB263" i="45"/>
  <c r="AI260" i="56" s="1"/>
  <c r="AJ260" i="56" s="1"/>
  <c r="AJ83" i="56"/>
  <c r="AJ248" i="56"/>
  <c r="AG13" i="56"/>
  <c r="AG14" i="56"/>
  <c r="AG15" i="56"/>
  <c r="AG16" i="56"/>
  <c r="AG17" i="56"/>
  <c r="AG18" i="56"/>
  <c r="AG19" i="56"/>
  <c r="AG20" i="56"/>
  <c r="AG21" i="56"/>
  <c r="AG22" i="56"/>
  <c r="AG23" i="56"/>
  <c r="AG24" i="56"/>
  <c r="AG25" i="56"/>
  <c r="AG26" i="56"/>
  <c r="AG27" i="56"/>
  <c r="AG28" i="56"/>
  <c r="AG29" i="56"/>
  <c r="AG30" i="56"/>
  <c r="AG31" i="56"/>
  <c r="AG32" i="56"/>
  <c r="AG33" i="56"/>
  <c r="AG34" i="56"/>
  <c r="AG35" i="56"/>
  <c r="AG36" i="56"/>
  <c r="AG37" i="56"/>
  <c r="AG38" i="56"/>
  <c r="AG39" i="56"/>
  <c r="AG40" i="56"/>
  <c r="AG41" i="56"/>
  <c r="AG42" i="56"/>
  <c r="AG43" i="56"/>
  <c r="AG44" i="56"/>
  <c r="AG45" i="56"/>
  <c r="AG46" i="56"/>
  <c r="AG47" i="56"/>
  <c r="AG48" i="56"/>
  <c r="AG49" i="56"/>
  <c r="AG50" i="56"/>
  <c r="AG51" i="56"/>
  <c r="AG52" i="56"/>
  <c r="AG53" i="56"/>
  <c r="AG54" i="56"/>
  <c r="AG55" i="56"/>
  <c r="AG56" i="56"/>
  <c r="AG57" i="56"/>
  <c r="AG58" i="56"/>
  <c r="AG59" i="56"/>
  <c r="AG60" i="56"/>
  <c r="AG61" i="56"/>
  <c r="AG62" i="56"/>
  <c r="AG63" i="56"/>
  <c r="AG64" i="56"/>
  <c r="AG65" i="56"/>
  <c r="AG66" i="56"/>
  <c r="AG67" i="56"/>
  <c r="AG68" i="56"/>
  <c r="AG69" i="56"/>
  <c r="AG70" i="56"/>
  <c r="AG71" i="56"/>
  <c r="AG72" i="56"/>
  <c r="AG73" i="56"/>
  <c r="AG74" i="56"/>
  <c r="AG75" i="56"/>
  <c r="AG76" i="56"/>
  <c r="AG77" i="56"/>
  <c r="AG78" i="56"/>
  <c r="AG79" i="56"/>
  <c r="AG80" i="56"/>
  <c r="AG81" i="56"/>
  <c r="AG82" i="56"/>
  <c r="AG83" i="56"/>
  <c r="AG84" i="56"/>
  <c r="AG85" i="56"/>
  <c r="AG86" i="56"/>
  <c r="AG87" i="56"/>
  <c r="AG88" i="56"/>
  <c r="AG89" i="56"/>
  <c r="AG90" i="56"/>
  <c r="AG91" i="56"/>
  <c r="AG92" i="56"/>
  <c r="AG93" i="56"/>
  <c r="AG94" i="56"/>
  <c r="AG95" i="56"/>
  <c r="AG96" i="56"/>
  <c r="AG97" i="56"/>
  <c r="AG98" i="56"/>
  <c r="AG99" i="56"/>
  <c r="AG100" i="56"/>
  <c r="AG101" i="56"/>
  <c r="AG102" i="56"/>
  <c r="AG103" i="56"/>
  <c r="AG104" i="56"/>
  <c r="AG105" i="56"/>
  <c r="AG106" i="56"/>
  <c r="AG107" i="56"/>
  <c r="AG108" i="56"/>
  <c r="AG109" i="56"/>
  <c r="AG110" i="56"/>
  <c r="AG111" i="56"/>
  <c r="AG112" i="56"/>
  <c r="AG113" i="56"/>
  <c r="AG114" i="56"/>
  <c r="AG115" i="56"/>
  <c r="AG116" i="56"/>
  <c r="AG117" i="56"/>
  <c r="AG118" i="56"/>
  <c r="AG119" i="56"/>
  <c r="AG120" i="56"/>
  <c r="AG121" i="56"/>
  <c r="AG122" i="56"/>
  <c r="AG123" i="56"/>
  <c r="AG124" i="56"/>
  <c r="AG125" i="56"/>
  <c r="AG126" i="56"/>
  <c r="AG127" i="56"/>
  <c r="AG128" i="56"/>
  <c r="AG129" i="56"/>
  <c r="AG130" i="56"/>
  <c r="AG131" i="56"/>
  <c r="AG132" i="56"/>
  <c r="AG133" i="56"/>
  <c r="AG134" i="56"/>
  <c r="AG135" i="56"/>
  <c r="AG136" i="56"/>
  <c r="AG137" i="56"/>
  <c r="AG138" i="56"/>
  <c r="AG139" i="56"/>
  <c r="AG140" i="56"/>
  <c r="AG141" i="56"/>
  <c r="AG142" i="56"/>
  <c r="AG143" i="56"/>
  <c r="AG144" i="56"/>
  <c r="AG145" i="56"/>
  <c r="AG146" i="56"/>
  <c r="AG147" i="56"/>
  <c r="AG148" i="56"/>
  <c r="AG149" i="56"/>
  <c r="AG150" i="56"/>
  <c r="AG151" i="56"/>
  <c r="AG152" i="56"/>
  <c r="AG153" i="56"/>
  <c r="AG154" i="56"/>
  <c r="AG155" i="56"/>
  <c r="AG156" i="56"/>
  <c r="AG157" i="56"/>
  <c r="AG158" i="56"/>
  <c r="AG159" i="56"/>
  <c r="AG160" i="56"/>
  <c r="AG161" i="56"/>
  <c r="AG162" i="56"/>
  <c r="AG163" i="56"/>
  <c r="AG164" i="56"/>
  <c r="AG165" i="56"/>
  <c r="AG166" i="56"/>
  <c r="AG167" i="56"/>
  <c r="AG168" i="56"/>
  <c r="AG169" i="56"/>
  <c r="AG170" i="56"/>
  <c r="AG171" i="56"/>
  <c r="AG172" i="56"/>
  <c r="AG173" i="56"/>
  <c r="AG174" i="56"/>
  <c r="AG175" i="56"/>
  <c r="AG176" i="56"/>
  <c r="AG177" i="56"/>
  <c r="AG178" i="56"/>
  <c r="AG179" i="56"/>
  <c r="AG180" i="56"/>
  <c r="AG181" i="56"/>
  <c r="AG182" i="56"/>
  <c r="AG183" i="56"/>
  <c r="AG184" i="56"/>
  <c r="AG185" i="56"/>
  <c r="AG186" i="56"/>
  <c r="AG187" i="56"/>
  <c r="AG188" i="56"/>
  <c r="AG189" i="56"/>
  <c r="AG190" i="56"/>
  <c r="AG191" i="56"/>
  <c r="AG192" i="56"/>
  <c r="AG193" i="56"/>
  <c r="AG194" i="56"/>
  <c r="AG195" i="56"/>
  <c r="AG196" i="56"/>
  <c r="AG197" i="56"/>
  <c r="AG198" i="56"/>
  <c r="AG199" i="56"/>
  <c r="AG200" i="56"/>
  <c r="AG201" i="56"/>
  <c r="AG202" i="56"/>
  <c r="AG203" i="56"/>
  <c r="AG204" i="56"/>
  <c r="AG205" i="56"/>
  <c r="AG206" i="56"/>
  <c r="AG207" i="56"/>
  <c r="AG208" i="56"/>
  <c r="AG209" i="56"/>
  <c r="AG210" i="56"/>
  <c r="AG211" i="56"/>
  <c r="AG212" i="56"/>
  <c r="AG213" i="56"/>
  <c r="AG214" i="56"/>
  <c r="AG215" i="56"/>
  <c r="AG216" i="56"/>
  <c r="AG217" i="56"/>
  <c r="AG218" i="56"/>
  <c r="AG219" i="56"/>
  <c r="AG220" i="56"/>
  <c r="AG221" i="56"/>
  <c r="AG222" i="56"/>
  <c r="AG223" i="56"/>
  <c r="AG224" i="56"/>
  <c r="AG225" i="56"/>
  <c r="AG226" i="56"/>
  <c r="AG227" i="56"/>
  <c r="AG228" i="56"/>
  <c r="AG229" i="56"/>
  <c r="AG230" i="56"/>
  <c r="AG231" i="56"/>
  <c r="AG232" i="56"/>
  <c r="AG233" i="56"/>
  <c r="AG234" i="56"/>
  <c r="AG235" i="56"/>
  <c r="AG236" i="56"/>
  <c r="AG237" i="56"/>
  <c r="AG238" i="56"/>
  <c r="AG239" i="56"/>
  <c r="AG240" i="56"/>
  <c r="AG241" i="56"/>
  <c r="AG242" i="56"/>
  <c r="AG243" i="56"/>
  <c r="AG244" i="56"/>
  <c r="AG245" i="56"/>
  <c r="AG246" i="56"/>
  <c r="AG247" i="56"/>
  <c r="AG248" i="56"/>
  <c r="AG249" i="56"/>
  <c r="AG250" i="56"/>
  <c r="AG251" i="56"/>
  <c r="AG252" i="56"/>
  <c r="AG253" i="56"/>
  <c r="AG254" i="56"/>
  <c r="AG255" i="56"/>
  <c r="AG256" i="56"/>
  <c r="AG257" i="56"/>
  <c r="AG258" i="56"/>
  <c r="AG259" i="56"/>
  <c r="AG260" i="56"/>
  <c r="AG261" i="56"/>
  <c r="AG262" i="56"/>
  <c r="AG263" i="56"/>
  <c r="AG264" i="56"/>
  <c r="AG265" i="56"/>
  <c r="AG266" i="56"/>
  <c r="AG267" i="56"/>
  <c r="AG268" i="56"/>
  <c r="AG269" i="56"/>
  <c r="AG270" i="56"/>
  <c r="AG271" i="56"/>
  <c r="AG272" i="56"/>
  <c r="AG273" i="56"/>
  <c r="AG274" i="56"/>
  <c r="AG275" i="56"/>
  <c r="AG276" i="56"/>
  <c r="AG277" i="56"/>
  <c r="AG278" i="56"/>
  <c r="AG279" i="56"/>
  <c r="AG280" i="56"/>
  <c r="AG281" i="56"/>
  <c r="AG282" i="56"/>
  <c r="AG283" i="56"/>
  <c r="AG284" i="56"/>
  <c r="AG285" i="56"/>
  <c r="AG286" i="56"/>
  <c r="AG287" i="56"/>
  <c r="AG288" i="56"/>
  <c r="AG289" i="56"/>
  <c r="AG290" i="56"/>
  <c r="AG291" i="56"/>
  <c r="AG292" i="56"/>
  <c r="AG293" i="56"/>
  <c r="AG294" i="56"/>
  <c r="AG295" i="56"/>
  <c r="AG296" i="56"/>
  <c r="AG297" i="56"/>
  <c r="AG298" i="56"/>
  <c r="AG299" i="56"/>
  <c r="AG300" i="56"/>
  <c r="AG301" i="56"/>
  <c r="AG302" i="56"/>
  <c r="AG303" i="56"/>
  <c r="AG304" i="56"/>
  <c r="AG305" i="56"/>
  <c r="AG306" i="56"/>
  <c r="AG307" i="56"/>
  <c r="AG308" i="56"/>
  <c r="AG309" i="56"/>
  <c r="AG311" i="56"/>
  <c r="AG312" i="56"/>
  <c r="AG313" i="56"/>
  <c r="AG314" i="56"/>
  <c r="AG315" i="56"/>
  <c r="AG316" i="56"/>
  <c r="AG317" i="56"/>
  <c r="AG11" i="56"/>
  <c r="AG12" i="56"/>
  <c r="AG7" i="56"/>
  <c r="AG8" i="56"/>
  <c r="AG9" i="56"/>
  <c r="AG10" i="56"/>
  <c r="AG6" i="56"/>
  <c r="AB7" i="56"/>
  <c r="AB8" i="56"/>
  <c r="AB9" i="56"/>
  <c r="AB10" i="56"/>
  <c r="AB11" i="56"/>
  <c r="AB12" i="56"/>
  <c r="AB13" i="56"/>
  <c r="AB14" i="56"/>
  <c r="AB15" i="56"/>
  <c r="AB16" i="56"/>
  <c r="AB17" i="56"/>
  <c r="AB18" i="56"/>
  <c r="AB19" i="56"/>
  <c r="AB20" i="56"/>
  <c r="AB21" i="56"/>
  <c r="AB22" i="56"/>
  <c r="AB23" i="56"/>
  <c r="AB24" i="56"/>
  <c r="AB25" i="56"/>
  <c r="AB26" i="56"/>
  <c r="AB27" i="56"/>
  <c r="AB28" i="56"/>
  <c r="AB29" i="56"/>
  <c r="AB30" i="56"/>
  <c r="AB31" i="56"/>
  <c r="AB32" i="56"/>
  <c r="AB33" i="56"/>
  <c r="AB34" i="56"/>
  <c r="AB35" i="56"/>
  <c r="AB36" i="56"/>
  <c r="AB37" i="56"/>
  <c r="AB38" i="56"/>
  <c r="AB39" i="56"/>
  <c r="AB40" i="56"/>
  <c r="AB41" i="56"/>
  <c r="AB42" i="56"/>
  <c r="AB43" i="56"/>
  <c r="AB44" i="56"/>
  <c r="AB45" i="56"/>
  <c r="AB46" i="56"/>
  <c r="AB47" i="56"/>
  <c r="AB48" i="56"/>
  <c r="AB49" i="56"/>
  <c r="AB50" i="56"/>
  <c r="AB51" i="56"/>
  <c r="AB52" i="56"/>
  <c r="AB53" i="56"/>
  <c r="AB54" i="56"/>
  <c r="AB55" i="56"/>
  <c r="AB56" i="56"/>
  <c r="AB57" i="56"/>
  <c r="AB58" i="56"/>
  <c r="AB59" i="56"/>
  <c r="AB60" i="56"/>
  <c r="AB61" i="56"/>
  <c r="AB62" i="56"/>
  <c r="AB63" i="56"/>
  <c r="AB64" i="56"/>
  <c r="AB65" i="56"/>
  <c r="AB66" i="56"/>
  <c r="AB67" i="56"/>
  <c r="AB68" i="56"/>
  <c r="AB69" i="56"/>
  <c r="AB70" i="56"/>
  <c r="AB71" i="56"/>
  <c r="AB72" i="56"/>
  <c r="AB73" i="56"/>
  <c r="AB74" i="56"/>
  <c r="AB75" i="56"/>
  <c r="AB76" i="56"/>
  <c r="AB77" i="56"/>
  <c r="AB78" i="56"/>
  <c r="AB79" i="56"/>
  <c r="AB80" i="56"/>
  <c r="AB81" i="56"/>
  <c r="AB82" i="56"/>
  <c r="AB83" i="56"/>
  <c r="AB84" i="56"/>
  <c r="AB85" i="56"/>
  <c r="AB86" i="56"/>
  <c r="AB87" i="56"/>
  <c r="AB88" i="56"/>
  <c r="AB89" i="56"/>
  <c r="AB90" i="56"/>
  <c r="AB91" i="56"/>
  <c r="AB92" i="56"/>
  <c r="AB93" i="56"/>
  <c r="AB94" i="56"/>
  <c r="AB95" i="56"/>
  <c r="AB96" i="56"/>
  <c r="AB97" i="56"/>
  <c r="AB98" i="56"/>
  <c r="AB99" i="56"/>
  <c r="AB100" i="56"/>
  <c r="AB101" i="56"/>
  <c r="AB102" i="56"/>
  <c r="AB103" i="56"/>
  <c r="AB104" i="56"/>
  <c r="AB105" i="56"/>
  <c r="AB106" i="56"/>
  <c r="AB107" i="56"/>
  <c r="AB108" i="56"/>
  <c r="AB109" i="56"/>
  <c r="AB110" i="56"/>
  <c r="AB111" i="56"/>
  <c r="AB112" i="56"/>
  <c r="AB113" i="56"/>
  <c r="AB114" i="56"/>
  <c r="AB115" i="56"/>
  <c r="AB116" i="56"/>
  <c r="AB117" i="56"/>
  <c r="AB118" i="56"/>
  <c r="AB119" i="56"/>
  <c r="AB120" i="56"/>
  <c r="AB121" i="56"/>
  <c r="AB122" i="56"/>
  <c r="AB123" i="56"/>
  <c r="AB124" i="56"/>
  <c r="AB125" i="56"/>
  <c r="AB126" i="56"/>
  <c r="AB127" i="56"/>
  <c r="AB128" i="56"/>
  <c r="AB129" i="56"/>
  <c r="AB130" i="56"/>
  <c r="AB131" i="56"/>
  <c r="AB132" i="56"/>
  <c r="AB133" i="56"/>
  <c r="AB134" i="56"/>
  <c r="AB135" i="56"/>
  <c r="AB136" i="56"/>
  <c r="AB137" i="56"/>
  <c r="AB138" i="56"/>
  <c r="AB139" i="56"/>
  <c r="AB140" i="56"/>
  <c r="AB141" i="56"/>
  <c r="AB142" i="56"/>
  <c r="AB143" i="56"/>
  <c r="AB144" i="56"/>
  <c r="AB145" i="56"/>
  <c r="AB146" i="56"/>
  <c r="AB147" i="56"/>
  <c r="AB148" i="56"/>
  <c r="AB149" i="56"/>
  <c r="AB150" i="56"/>
  <c r="AB151" i="56"/>
  <c r="AB152" i="56"/>
  <c r="AB153" i="56"/>
  <c r="AB154" i="56"/>
  <c r="AB155" i="56"/>
  <c r="AB156" i="56"/>
  <c r="AB157" i="56"/>
  <c r="AB158" i="56"/>
  <c r="AB159" i="56"/>
  <c r="AB160" i="56"/>
  <c r="AB161" i="56"/>
  <c r="AB162" i="56"/>
  <c r="AB163" i="56"/>
  <c r="AB164" i="56"/>
  <c r="AB165" i="56"/>
  <c r="AB166" i="56"/>
  <c r="AB167" i="56"/>
  <c r="AB168" i="56"/>
  <c r="AB169" i="56"/>
  <c r="AB170" i="56"/>
  <c r="AB171" i="56"/>
  <c r="AB172" i="56"/>
  <c r="AB173" i="56"/>
  <c r="AB174" i="56"/>
  <c r="AB175" i="56"/>
  <c r="AB176" i="56"/>
  <c r="AB177" i="56"/>
  <c r="AB178" i="56"/>
  <c r="AB179" i="56"/>
  <c r="AB180" i="56"/>
  <c r="AB181" i="56"/>
  <c r="AB182" i="56"/>
  <c r="AB183" i="56"/>
  <c r="AB184" i="56"/>
  <c r="AB185" i="56"/>
  <c r="AB186" i="56"/>
  <c r="AB187" i="56"/>
  <c r="AB188" i="56"/>
  <c r="AB189" i="56"/>
  <c r="AB190" i="56"/>
  <c r="AB191" i="56"/>
  <c r="AB192" i="56"/>
  <c r="AB193" i="56"/>
  <c r="AB194" i="56"/>
  <c r="AB195" i="56"/>
  <c r="AB196" i="56"/>
  <c r="AB197" i="56"/>
  <c r="AB198" i="56"/>
  <c r="AB199" i="56"/>
  <c r="AB200" i="56"/>
  <c r="AB201" i="56"/>
  <c r="AB202" i="56"/>
  <c r="AB203" i="56"/>
  <c r="AB204" i="56"/>
  <c r="AB205" i="56"/>
  <c r="AB206" i="56"/>
  <c r="AB207" i="56"/>
  <c r="AB208" i="56"/>
  <c r="AB209" i="56"/>
  <c r="AB210" i="56"/>
  <c r="AB211" i="56"/>
  <c r="AB212" i="56"/>
  <c r="AB213" i="56"/>
  <c r="AB214" i="56"/>
  <c r="AB215" i="56"/>
  <c r="AB216" i="56"/>
  <c r="AB217" i="56"/>
  <c r="AB218" i="56"/>
  <c r="AB219" i="56"/>
  <c r="AB220" i="56"/>
  <c r="AB221" i="56"/>
  <c r="AB222" i="56"/>
  <c r="AB223" i="56"/>
  <c r="AB224" i="56"/>
  <c r="AB225" i="56"/>
  <c r="AB226" i="56"/>
  <c r="AB227" i="56"/>
  <c r="AB228" i="56"/>
  <c r="AB229" i="56"/>
  <c r="AB230" i="56"/>
  <c r="AB231" i="56"/>
  <c r="AB232" i="56"/>
  <c r="AB233" i="56"/>
  <c r="AB234" i="56"/>
  <c r="AB235" i="56"/>
  <c r="AB236" i="56"/>
  <c r="AB237" i="56"/>
  <c r="AB238" i="56"/>
  <c r="AB239" i="56"/>
  <c r="AB240" i="56"/>
  <c r="AB241" i="56"/>
  <c r="AB242" i="56"/>
  <c r="AB243" i="56"/>
  <c r="AB244" i="56"/>
  <c r="AB245" i="56"/>
  <c r="AB246" i="56"/>
  <c r="AB247" i="56"/>
  <c r="AB248" i="56"/>
  <c r="AB249" i="56"/>
  <c r="AB250" i="56"/>
  <c r="AB251" i="56"/>
  <c r="AB252" i="56"/>
  <c r="AB253" i="56"/>
  <c r="AB254" i="56"/>
  <c r="AB255" i="56"/>
  <c r="AB256" i="56"/>
  <c r="AB257" i="56"/>
  <c r="AB258" i="56"/>
  <c r="AB259" i="56"/>
  <c r="AB260" i="56"/>
  <c r="AB261" i="56"/>
  <c r="AB262" i="56"/>
  <c r="AB263" i="56"/>
  <c r="AB264" i="56"/>
  <c r="AB265" i="56"/>
  <c r="AB266" i="56"/>
  <c r="AB267" i="56"/>
  <c r="AB268" i="56"/>
  <c r="AB269" i="56"/>
  <c r="AB270" i="56"/>
  <c r="AB271" i="56"/>
  <c r="AB272" i="56"/>
  <c r="AB273" i="56"/>
  <c r="AB274" i="56"/>
  <c r="AB275" i="56"/>
  <c r="AB276" i="56"/>
  <c r="AB277" i="56"/>
  <c r="AB278" i="56"/>
  <c r="AB279" i="56"/>
  <c r="AB280" i="56"/>
  <c r="AB281" i="56"/>
  <c r="AB282" i="56"/>
  <c r="AB283" i="56"/>
  <c r="AB284" i="56"/>
  <c r="AB285" i="56"/>
  <c r="AB286" i="56"/>
  <c r="AB287" i="56"/>
  <c r="AB288" i="56"/>
  <c r="AB289" i="56"/>
  <c r="AB290" i="56"/>
  <c r="AB291" i="56"/>
  <c r="AB292" i="56"/>
  <c r="AB293" i="56"/>
  <c r="AB294" i="56"/>
  <c r="AB295" i="56"/>
  <c r="AB296" i="56"/>
  <c r="AB297" i="56"/>
  <c r="AB298" i="56"/>
  <c r="AB299" i="56"/>
  <c r="AB300" i="56"/>
  <c r="AB301" i="56"/>
  <c r="AB302" i="56"/>
  <c r="AB303" i="56"/>
  <c r="AB304" i="56"/>
  <c r="AB305" i="56"/>
  <c r="AB306" i="56"/>
  <c r="AB307" i="56"/>
  <c r="AB308" i="56"/>
  <c r="AB309" i="56"/>
  <c r="AB311" i="56"/>
  <c r="AB312" i="56"/>
  <c r="AB313" i="56"/>
  <c r="AB314" i="56"/>
  <c r="AB315" i="56"/>
  <c r="AB316" i="56"/>
  <c r="AB317" i="56"/>
  <c r="AB6" i="56"/>
  <c r="Y7" i="56"/>
  <c r="Y8" i="56"/>
  <c r="Y9" i="56"/>
  <c r="Y10" i="56"/>
  <c r="Y11" i="56"/>
  <c r="Y12" i="56"/>
  <c r="Y13" i="56"/>
  <c r="Y14" i="56"/>
  <c r="Y15" i="56"/>
  <c r="Y16" i="56"/>
  <c r="Y17" i="56"/>
  <c r="Y18" i="56"/>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4" i="56"/>
  <c r="Y85" i="56"/>
  <c r="Y86" i="56"/>
  <c r="Y87" i="56"/>
  <c r="Y88" i="56"/>
  <c r="Y89" i="56"/>
  <c r="Y90" i="56"/>
  <c r="Y91" i="56"/>
  <c r="Y92" i="56"/>
  <c r="Y93" i="56"/>
  <c r="Y94" i="56"/>
  <c r="Y95" i="56"/>
  <c r="Y96" i="56"/>
  <c r="Y97" i="56"/>
  <c r="Y98" i="56"/>
  <c r="Y99" i="56"/>
  <c r="Y100" i="56"/>
  <c r="Y101" i="56"/>
  <c r="Y102" i="56"/>
  <c r="Y103" i="56"/>
  <c r="Y104" i="56"/>
  <c r="Y105" i="56"/>
  <c r="Y106" i="56"/>
  <c r="Y107" i="56"/>
  <c r="Y108" i="56"/>
  <c r="Y109" i="56"/>
  <c r="Y110" i="56"/>
  <c r="Y111" i="56"/>
  <c r="Y112" i="56"/>
  <c r="Y113" i="56"/>
  <c r="Y114" i="56"/>
  <c r="Y115" i="56"/>
  <c r="Y116" i="56"/>
  <c r="Y117" i="56"/>
  <c r="Y118" i="56"/>
  <c r="Y119" i="56"/>
  <c r="Y120" i="56"/>
  <c r="Y121" i="56"/>
  <c r="Y122" i="56"/>
  <c r="Y123" i="56"/>
  <c r="Y124" i="56"/>
  <c r="Y125" i="56"/>
  <c r="Y126" i="56"/>
  <c r="Y127" i="56"/>
  <c r="Y128" i="56"/>
  <c r="Y129" i="56"/>
  <c r="Y130" i="56"/>
  <c r="Y131" i="56"/>
  <c r="Y132"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Y214" i="56"/>
  <c r="Y215" i="56"/>
  <c r="Y216" i="56"/>
  <c r="Y217" i="56"/>
  <c r="Y218" i="56"/>
  <c r="Y219" i="56"/>
  <c r="Y220" i="56"/>
  <c r="Y221" i="56"/>
  <c r="Y222" i="56"/>
  <c r="Y223" i="56"/>
  <c r="Y224" i="56"/>
  <c r="Y225" i="56"/>
  <c r="Y226" i="56"/>
  <c r="Y227" i="56"/>
  <c r="Y228" i="56"/>
  <c r="Y229" i="56"/>
  <c r="Y230" i="56"/>
  <c r="Y231" i="56"/>
  <c r="Y232" i="56"/>
  <c r="Y233" i="56"/>
  <c r="Y234" i="56"/>
  <c r="Y235" i="56"/>
  <c r="Y236" i="56"/>
  <c r="Y237" i="56"/>
  <c r="Y238" i="56"/>
  <c r="Y239" i="56"/>
  <c r="Y240" i="56"/>
  <c r="Y241" i="56"/>
  <c r="Y242" i="56"/>
  <c r="Y243" i="56"/>
  <c r="Y244" i="56"/>
  <c r="Y245" i="56"/>
  <c r="Y246" i="56"/>
  <c r="Y247" i="56"/>
  <c r="Y248" i="56"/>
  <c r="Y249" i="56"/>
  <c r="Y250" i="56"/>
  <c r="Y251" i="56"/>
  <c r="Y252" i="56"/>
  <c r="Y253" i="56"/>
  <c r="Y254" i="56"/>
  <c r="Y255" i="56"/>
  <c r="Y256" i="56"/>
  <c r="Y257" i="56"/>
  <c r="Y258" i="56"/>
  <c r="Y259" i="56"/>
  <c r="Y260" i="56"/>
  <c r="Y261" i="56"/>
  <c r="Y262" i="56"/>
  <c r="Y263" i="56"/>
  <c r="Y264" i="56"/>
  <c r="Y265" i="56"/>
  <c r="Y266" i="56"/>
  <c r="Y267" i="56"/>
  <c r="Y268" i="56"/>
  <c r="Y269" i="56"/>
  <c r="Y270" i="56"/>
  <c r="Y271" i="56"/>
  <c r="Y272" i="56"/>
  <c r="Y273" i="56"/>
  <c r="Y274" i="56"/>
  <c r="Y275" i="56"/>
  <c r="Y276" i="56"/>
  <c r="Y277" i="56"/>
  <c r="Y278" i="56"/>
  <c r="Y279" i="56"/>
  <c r="Y280" i="56"/>
  <c r="Y281" i="56"/>
  <c r="Y282" i="56"/>
  <c r="Y283" i="56"/>
  <c r="Y284" i="56"/>
  <c r="Y285" i="56"/>
  <c r="Y286" i="56"/>
  <c r="Y287" i="56"/>
  <c r="Y288" i="56"/>
  <c r="Y289" i="56"/>
  <c r="Y290" i="56"/>
  <c r="Y291" i="56"/>
  <c r="Y292" i="56"/>
  <c r="Y293" i="56"/>
  <c r="Y294" i="56"/>
  <c r="Y295" i="56"/>
  <c r="Y296" i="56"/>
  <c r="Y297" i="56"/>
  <c r="Y298" i="56"/>
  <c r="Y299" i="56"/>
  <c r="Y300" i="56"/>
  <c r="Y301" i="56"/>
  <c r="Y302" i="56"/>
  <c r="Y303" i="56"/>
  <c r="Y304" i="56"/>
  <c r="Y305" i="56"/>
  <c r="Y306" i="56"/>
  <c r="Y307" i="56"/>
  <c r="Y308" i="56"/>
  <c r="Y309" i="56"/>
  <c r="Y311" i="56"/>
  <c r="Y312" i="56"/>
  <c r="Y313" i="56"/>
  <c r="Y314" i="56"/>
  <c r="Y315" i="56"/>
  <c r="Y316" i="56"/>
  <c r="Y317" i="56"/>
  <c r="Y6" i="56"/>
  <c r="V6" i="56"/>
  <c r="AB22" i="45"/>
  <c r="AB34" i="45"/>
  <c r="AB46" i="45"/>
  <c r="AB58" i="45"/>
  <c r="AB70" i="45"/>
  <c r="AB84" i="45"/>
  <c r="AB96" i="45"/>
  <c r="AB109" i="45"/>
  <c r="AB121" i="45"/>
  <c r="AB134" i="45"/>
  <c r="AB146" i="45"/>
  <c r="AB158" i="45"/>
  <c r="AB170" i="45"/>
  <c r="AB182" i="45"/>
  <c r="AB194" i="45"/>
  <c r="AB206" i="45"/>
  <c r="AB218" i="45"/>
  <c r="AB230" i="45"/>
  <c r="AB244" i="45"/>
  <c r="AB257" i="45"/>
  <c r="AB271" i="45"/>
  <c r="AB283" i="45"/>
  <c r="AB295" i="45"/>
  <c r="AB307" i="45"/>
  <c r="AB322" i="45"/>
  <c r="AB9" i="45"/>
  <c r="G6" i="55"/>
  <c r="G7" i="55"/>
  <c r="G8" i="55"/>
  <c r="G9" i="55"/>
  <c r="G10" i="55"/>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258" i="55"/>
  <c r="G259" i="55"/>
  <c r="G260" i="55"/>
  <c r="G261" i="55"/>
  <c r="G262" i="55"/>
  <c r="G263" i="55"/>
  <c r="G264" i="55"/>
  <c r="G265" i="55"/>
  <c r="G266" i="55"/>
  <c r="G267" i="55"/>
  <c r="G268" i="55"/>
  <c r="G269" i="55"/>
  <c r="G270" i="55"/>
  <c r="G271" i="55"/>
  <c r="G272" i="55"/>
  <c r="G273" i="55"/>
  <c r="G274" i="55"/>
  <c r="G275" i="55"/>
  <c r="G276" i="55"/>
  <c r="G277" i="55"/>
  <c r="G278" i="55"/>
  <c r="G279" i="55"/>
  <c r="G280" i="55"/>
  <c r="G281" i="55"/>
  <c r="G282" i="55"/>
  <c r="G283" i="55"/>
  <c r="G284" i="55"/>
  <c r="G285" i="55"/>
  <c r="G286" i="55"/>
  <c r="G287" i="55"/>
  <c r="G288" i="55"/>
  <c r="G289" i="55"/>
  <c r="G290" i="55"/>
  <c r="G291" i="55"/>
  <c r="G292" i="55"/>
  <c r="G293" i="55"/>
  <c r="G294" i="55"/>
  <c r="G295" i="55"/>
  <c r="G296" i="55"/>
  <c r="G297" i="55"/>
  <c r="G298" i="55"/>
  <c r="G299" i="55"/>
  <c r="G300" i="55"/>
  <c r="G301" i="55"/>
  <c r="G302" i="55"/>
  <c r="G303" i="55"/>
  <c r="G304" i="55"/>
  <c r="G305" i="55"/>
  <c r="G306" i="55"/>
  <c r="G307" i="55"/>
  <c r="G308" i="55"/>
  <c r="G309" i="55"/>
  <c r="G310" i="55"/>
  <c r="G311" i="55"/>
  <c r="G312" i="55"/>
  <c r="G313" i="55"/>
  <c r="G314" i="55"/>
  <c r="G315" i="55"/>
  <c r="G316" i="55"/>
  <c r="G317" i="55"/>
  <c r="F6" i="55"/>
  <c r="F7" i="55"/>
  <c r="F8" i="55"/>
  <c r="F9" i="55"/>
  <c r="F10" i="55"/>
  <c r="F11" i="55"/>
  <c r="F12" i="55"/>
  <c r="F13" i="55"/>
  <c r="F14" i="55"/>
  <c r="F15" i="55"/>
  <c r="F16" i="55"/>
  <c r="F17" i="55"/>
  <c r="F18" i="55"/>
  <c r="F19" i="55"/>
  <c r="F20" i="55"/>
  <c r="F21" i="55"/>
  <c r="F22" i="55"/>
  <c r="F23" i="55"/>
  <c r="F24" i="55"/>
  <c r="F25" i="55"/>
  <c r="F26" i="55"/>
  <c r="F27" i="55"/>
  <c r="F28" i="55"/>
  <c r="F29" i="55"/>
  <c r="F30" i="55"/>
  <c r="F31" i="55"/>
  <c r="F32" i="55"/>
  <c r="F33" i="55"/>
  <c r="F34" i="55"/>
  <c r="F35" i="55"/>
  <c r="F36" i="55"/>
  <c r="F37" i="55"/>
  <c r="F38" i="55"/>
  <c r="F39" i="55"/>
  <c r="F40" i="55"/>
  <c r="F41" i="55"/>
  <c r="F42" i="55"/>
  <c r="F43" i="55"/>
  <c r="F44" i="55"/>
  <c r="F45" i="55"/>
  <c r="F46" i="55"/>
  <c r="F47" i="55"/>
  <c r="F48" i="55"/>
  <c r="F49" i="55"/>
  <c r="F50" i="55"/>
  <c r="F51" i="55"/>
  <c r="F52" i="55"/>
  <c r="F53" i="55"/>
  <c r="F54" i="55"/>
  <c r="F55" i="55"/>
  <c r="F56" i="55"/>
  <c r="F57" i="55"/>
  <c r="F58" i="55"/>
  <c r="F59" i="55"/>
  <c r="F60" i="55"/>
  <c r="F61" i="55"/>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111" i="55"/>
  <c r="F112" i="55"/>
  <c r="F113" i="55"/>
  <c r="F114" i="55"/>
  <c r="F115" i="55"/>
  <c r="F116" i="55"/>
  <c r="F117" i="55"/>
  <c r="F118" i="55"/>
  <c r="F119" i="55"/>
  <c r="F120" i="55"/>
  <c r="F121" i="55"/>
  <c r="F122" i="55"/>
  <c r="F123" i="55"/>
  <c r="F124" i="55"/>
  <c r="F125" i="55"/>
  <c r="F126" i="55"/>
  <c r="F127" i="55"/>
  <c r="F128" i="55"/>
  <c r="F129" i="55"/>
  <c r="F130" i="55"/>
  <c r="F131" i="55"/>
  <c r="F132" i="55"/>
  <c r="F133" i="55"/>
  <c r="F134" i="55"/>
  <c r="F135" i="55"/>
  <c r="F136" i="55"/>
  <c r="F137" i="55"/>
  <c r="F138" i="55"/>
  <c r="F139" i="55"/>
  <c r="F140" i="55"/>
  <c r="F141" i="55"/>
  <c r="F142" i="55"/>
  <c r="F143" i="55"/>
  <c r="F144" i="55"/>
  <c r="F145" i="55"/>
  <c r="F146" i="55"/>
  <c r="F147" i="55"/>
  <c r="F148" i="55"/>
  <c r="F149" i="55"/>
  <c r="F150" i="55"/>
  <c r="F151" i="55"/>
  <c r="F152" i="55"/>
  <c r="F153" i="55"/>
  <c r="F154" i="55"/>
  <c r="F155" i="55"/>
  <c r="F156" i="55"/>
  <c r="F157" i="55"/>
  <c r="F158" i="55"/>
  <c r="F159" i="55"/>
  <c r="F160" i="55"/>
  <c r="F161" i="55"/>
  <c r="F162" i="55"/>
  <c r="F163" i="55"/>
  <c r="F164" i="55"/>
  <c r="F165" i="55"/>
  <c r="F166" i="55"/>
  <c r="F167" i="55"/>
  <c r="F168" i="55"/>
  <c r="F169" i="55"/>
  <c r="F170" i="55"/>
  <c r="F171" i="55"/>
  <c r="F172" i="55"/>
  <c r="F173" i="55"/>
  <c r="F174" i="55"/>
  <c r="F175" i="55"/>
  <c r="F176" i="55"/>
  <c r="F177" i="55"/>
  <c r="F178" i="55"/>
  <c r="F179" i="55"/>
  <c r="F180" i="55"/>
  <c r="F181" i="55"/>
  <c r="F182" i="55"/>
  <c r="F183" i="55"/>
  <c r="F184" i="55"/>
  <c r="F185" i="55"/>
  <c r="F186" i="55"/>
  <c r="F187" i="55"/>
  <c r="F188" i="55"/>
  <c r="F189" i="55"/>
  <c r="F190" i="55"/>
  <c r="F191" i="55"/>
  <c r="F192" i="55"/>
  <c r="F193" i="55"/>
  <c r="F194" i="55"/>
  <c r="F195" i="55"/>
  <c r="F196" i="55"/>
  <c r="F197" i="55"/>
  <c r="F198" i="55"/>
  <c r="F199" i="55"/>
  <c r="F200" i="55"/>
  <c r="F201" i="55"/>
  <c r="F202" i="55"/>
  <c r="F203" i="55"/>
  <c r="F204" i="55"/>
  <c r="F205" i="55"/>
  <c r="F206" i="55"/>
  <c r="F207" i="55"/>
  <c r="F208" i="55"/>
  <c r="F209" i="55"/>
  <c r="F210" i="55"/>
  <c r="F211" i="55"/>
  <c r="F212" i="55"/>
  <c r="F213" i="55"/>
  <c r="F214" i="55"/>
  <c r="F215" i="55"/>
  <c r="F216" i="55"/>
  <c r="F217" i="55"/>
  <c r="F218" i="55"/>
  <c r="F219" i="55"/>
  <c r="F220" i="55"/>
  <c r="F221" i="55"/>
  <c r="F222" i="55"/>
  <c r="F223" i="55"/>
  <c r="F224" i="55"/>
  <c r="F225" i="55"/>
  <c r="F226" i="55"/>
  <c r="F227" i="55"/>
  <c r="F228" i="55"/>
  <c r="F229" i="55"/>
  <c r="F230" i="55"/>
  <c r="F231" i="55"/>
  <c r="F232" i="55"/>
  <c r="F233" i="55"/>
  <c r="F234" i="55"/>
  <c r="F235" i="55"/>
  <c r="F236" i="55"/>
  <c r="F237" i="55"/>
  <c r="F238" i="55"/>
  <c r="F239" i="55"/>
  <c r="F240" i="55"/>
  <c r="F241" i="55"/>
  <c r="F242" i="55"/>
  <c r="F243" i="55"/>
  <c r="F244" i="55"/>
  <c r="F245" i="55"/>
  <c r="F246" i="55"/>
  <c r="F247" i="55"/>
  <c r="F248" i="55"/>
  <c r="F249" i="55"/>
  <c r="F250" i="55"/>
  <c r="F251" i="55"/>
  <c r="F252" i="55"/>
  <c r="F253" i="55"/>
  <c r="F254" i="55"/>
  <c r="F255" i="55"/>
  <c r="F256" i="55"/>
  <c r="F257" i="55"/>
  <c r="F258" i="55"/>
  <c r="F259" i="55"/>
  <c r="F260" i="55"/>
  <c r="F261" i="55"/>
  <c r="F262" i="55"/>
  <c r="F263" i="55"/>
  <c r="F264" i="55"/>
  <c r="F265" i="55"/>
  <c r="F266" i="55"/>
  <c r="F267" i="55"/>
  <c r="F268" i="55"/>
  <c r="F269" i="55"/>
  <c r="F270" i="55"/>
  <c r="F271" i="55"/>
  <c r="F272" i="55"/>
  <c r="F273" i="55"/>
  <c r="F274" i="55"/>
  <c r="F275" i="55"/>
  <c r="F276" i="55"/>
  <c r="F277" i="55"/>
  <c r="F278" i="55"/>
  <c r="F279" i="55"/>
  <c r="F280" i="55"/>
  <c r="F281" i="55"/>
  <c r="F282" i="55"/>
  <c r="F283" i="55"/>
  <c r="F284" i="55"/>
  <c r="F285" i="55"/>
  <c r="F286" i="55"/>
  <c r="F287" i="55"/>
  <c r="F288" i="55"/>
  <c r="F289" i="55"/>
  <c r="F290" i="55"/>
  <c r="F291" i="55"/>
  <c r="F292" i="55"/>
  <c r="F293" i="55"/>
  <c r="F294" i="55"/>
  <c r="F295" i="55"/>
  <c r="F296" i="55"/>
  <c r="F297" i="55"/>
  <c r="F298" i="55"/>
  <c r="F299" i="55"/>
  <c r="F300" i="55"/>
  <c r="F301" i="55"/>
  <c r="F302" i="55"/>
  <c r="F303" i="55"/>
  <c r="F304" i="55"/>
  <c r="F305" i="55"/>
  <c r="F306" i="55"/>
  <c r="F307" i="55"/>
  <c r="F308" i="55"/>
  <c r="F309" i="55"/>
  <c r="F310" i="55"/>
  <c r="F311" i="55"/>
  <c r="F312" i="55"/>
  <c r="F313" i="55"/>
  <c r="F314" i="55"/>
  <c r="F315" i="55"/>
  <c r="F316" i="55"/>
  <c r="F317" i="55"/>
  <c r="G7" i="58"/>
  <c r="AU99" i="56"/>
  <c r="F8" i="58"/>
  <c r="G8" i="58" s="1"/>
  <c r="F9" i="58"/>
  <c r="G9" i="58" s="1"/>
  <c r="F10" i="58"/>
  <c r="G10" i="58" s="1"/>
  <c r="F11" i="58"/>
  <c r="F12" i="58"/>
  <c r="G12" i="58" s="1"/>
  <c r="F13" i="58"/>
  <c r="G13" i="58" s="1"/>
  <c r="F14" i="58"/>
  <c r="G14" i="58" s="1"/>
  <c r="F15" i="58"/>
  <c r="G15" i="58" s="1"/>
  <c r="F16" i="58"/>
  <c r="G16" i="58" s="1"/>
  <c r="F17" i="58"/>
  <c r="G17" i="58" s="1"/>
  <c r="F18" i="58"/>
  <c r="G18" i="58" s="1"/>
  <c r="F19" i="58"/>
  <c r="F20" i="58"/>
  <c r="G20" i="58" s="1"/>
  <c r="F21" i="58"/>
  <c r="G21" i="58" s="1"/>
  <c r="F22" i="58"/>
  <c r="G22" i="58" s="1"/>
  <c r="F23" i="58"/>
  <c r="G23" i="58" s="1"/>
  <c r="F24" i="58"/>
  <c r="G24" i="58" s="1"/>
  <c r="F25" i="58"/>
  <c r="G25" i="58" s="1"/>
  <c r="F26" i="58"/>
  <c r="F27" i="58"/>
  <c r="G27" i="58" s="1"/>
  <c r="F28" i="58"/>
  <c r="G28" i="58" s="1"/>
  <c r="F29" i="58"/>
  <c r="G29" i="58" s="1"/>
  <c r="F30" i="58"/>
  <c r="G30" i="58" s="1"/>
  <c r="F31" i="58"/>
  <c r="G31" i="58" s="1"/>
  <c r="F32" i="58"/>
  <c r="G32" i="58" s="1"/>
  <c r="F33" i="58"/>
  <c r="G33" i="58" s="1"/>
  <c r="F34" i="58"/>
  <c r="G34" i="58" s="1"/>
  <c r="F35" i="58"/>
  <c r="G35" i="58" s="1"/>
  <c r="F36" i="58"/>
  <c r="G36" i="58" s="1"/>
  <c r="F37" i="58"/>
  <c r="G37" i="58" s="1"/>
  <c r="F38" i="58"/>
  <c r="G38" i="58" s="1"/>
  <c r="F39" i="58"/>
  <c r="G39" i="58" s="1"/>
  <c r="F40" i="58"/>
  <c r="G40" i="58" s="1"/>
  <c r="F41" i="58"/>
  <c r="G41" i="58" s="1"/>
  <c r="F42" i="58"/>
  <c r="G42" i="58" s="1"/>
  <c r="F43" i="58"/>
  <c r="F44" i="58"/>
  <c r="G44" i="58" s="1"/>
  <c r="F45" i="58"/>
  <c r="G45" i="58" s="1"/>
  <c r="F46" i="58"/>
  <c r="G46" i="58" s="1"/>
  <c r="F47" i="58"/>
  <c r="F48" i="58"/>
  <c r="G48" i="58" s="1"/>
  <c r="F49" i="58"/>
  <c r="G49" i="58" s="1"/>
  <c r="F50" i="58"/>
  <c r="G50" i="58" s="1"/>
  <c r="F51" i="58"/>
  <c r="G51" i="58" s="1"/>
  <c r="F52" i="58"/>
  <c r="G52" i="58" s="1"/>
  <c r="F53" i="58"/>
  <c r="F54" i="58"/>
  <c r="G54" i="58" s="1"/>
  <c r="F55" i="58"/>
  <c r="F56" i="58"/>
  <c r="G56" i="58" s="1"/>
  <c r="F57" i="58"/>
  <c r="G57" i="58" s="1"/>
  <c r="F58" i="58"/>
  <c r="G58" i="58" s="1"/>
  <c r="F59" i="58"/>
  <c r="F60" i="58"/>
  <c r="G60" i="58" s="1"/>
  <c r="F61" i="58"/>
  <c r="G61" i="58" s="1"/>
  <c r="F62" i="58"/>
  <c r="G62" i="58" s="1"/>
  <c r="F63" i="58"/>
  <c r="G63" i="58" s="1"/>
  <c r="F64" i="58"/>
  <c r="G64" i="58" s="1"/>
  <c r="F65" i="58"/>
  <c r="G65" i="58" s="1"/>
  <c r="F66" i="58"/>
  <c r="G66" i="58" s="1"/>
  <c r="F67" i="58"/>
  <c r="G67" i="58" s="1"/>
  <c r="F68" i="58"/>
  <c r="G68" i="58" s="1"/>
  <c r="F69" i="58"/>
  <c r="G69" i="58" s="1"/>
  <c r="F70" i="58"/>
  <c r="G70" i="58" s="1"/>
  <c r="F71" i="58"/>
  <c r="F72" i="58"/>
  <c r="G72" i="58" s="1"/>
  <c r="F73" i="58"/>
  <c r="G73" i="58" s="1"/>
  <c r="F74" i="58"/>
  <c r="G74" i="58" s="1"/>
  <c r="F75" i="58"/>
  <c r="G75" i="58" s="1"/>
  <c r="F76" i="58"/>
  <c r="G76" i="58" s="1"/>
  <c r="F77" i="58"/>
  <c r="G77" i="58" s="1"/>
  <c r="F78" i="58"/>
  <c r="F79" i="58"/>
  <c r="G79" i="58" s="1"/>
  <c r="F80" i="58"/>
  <c r="G80" i="58" s="1"/>
  <c r="F81" i="58"/>
  <c r="G81" i="58" s="1"/>
  <c r="F82" i="58"/>
  <c r="G82" i="58" s="1"/>
  <c r="F83" i="58"/>
  <c r="F84" i="58"/>
  <c r="G84" i="58" s="1"/>
  <c r="F85" i="58"/>
  <c r="G85" i="58" s="1"/>
  <c r="F86" i="58"/>
  <c r="F87" i="58"/>
  <c r="G87" i="58" s="1"/>
  <c r="F88" i="58"/>
  <c r="G88" i="58" s="1"/>
  <c r="F89" i="58"/>
  <c r="G89" i="58" s="1"/>
  <c r="F90" i="58"/>
  <c r="F91" i="58"/>
  <c r="G91" i="58" s="1"/>
  <c r="F92" i="58"/>
  <c r="G92" i="58" s="1"/>
  <c r="F93" i="58"/>
  <c r="G93" i="58" s="1"/>
  <c r="F94" i="58"/>
  <c r="G94" i="58" s="1"/>
  <c r="F95" i="58"/>
  <c r="G95" i="58" s="1"/>
  <c r="F96" i="58"/>
  <c r="G96" i="58" s="1"/>
  <c r="F97" i="58"/>
  <c r="G97" i="58" s="1"/>
  <c r="F98" i="58"/>
  <c r="G98" i="58" s="1"/>
  <c r="F99" i="58"/>
  <c r="G99" i="58" s="1"/>
  <c r="F100" i="58"/>
  <c r="G100" i="58" s="1"/>
  <c r="F101" i="58"/>
  <c r="G101" i="58" s="1"/>
  <c r="F102" i="58"/>
  <c r="F103" i="58"/>
  <c r="F104" i="58"/>
  <c r="G104" i="58" s="1"/>
  <c r="F105" i="58"/>
  <c r="G105" i="58" s="1"/>
  <c r="F106" i="58"/>
  <c r="G106" i="58" s="1"/>
  <c r="F107" i="58"/>
  <c r="G107" i="58" s="1"/>
  <c r="F108" i="58"/>
  <c r="G108" i="58" s="1"/>
  <c r="F109" i="58"/>
  <c r="G109" i="58" s="1"/>
  <c r="F110" i="58"/>
  <c r="F111" i="58"/>
  <c r="G111" i="58" s="1"/>
  <c r="F112" i="58"/>
  <c r="G112" i="58" s="1"/>
  <c r="F113" i="58"/>
  <c r="F114" i="58"/>
  <c r="G114" i="58" s="1"/>
  <c r="F115" i="58"/>
  <c r="F116" i="58"/>
  <c r="G116" i="58" s="1"/>
  <c r="F117" i="58"/>
  <c r="G117" i="58" s="1"/>
  <c r="F118" i="58"/>
  <c r="G118" i="58" s="1"/>
  <c r="F119" i="58"/>
  <c r="G119" i="58" s="1"/>
  <c r="F120" i="58"/>
  <c r="G120" i="58" s="1"/>
  <c r="F121" i="58"/>
  <c r="G121" i="58" s="1"/>
  <c r="F122" i="58"/>
  <c r="G122" i="58" s="1"/>
  <c r="F123" i="58"/>
  <c r="G123" i="58" s="1"/>
  <c r="F124" i="58"/>
  <c r="G124" i="58" s="1"/>
  <c r="F125" i="58"/>
  <c r="F126" i="58"/>
  <c r="G126" i="58" s="1"/>
  <c r="F127" i="58"/>
  <c r="F128" i="58"/>
  <c r="G128" i="58" s="1"/>
  <c r="F129" i="58"/>
  <c r="G129" i="58" s="1"/>
  <c r="F130" i="58"/>
  <c r="G130" i="58" s="1"/>
  <c r="F131" i="58"/>
  <c r="G131" i="58" s="1"/>
  <c r="F132" i="58"/>
  <c r="G132" i="58" s="1"/>
  <c r="F133" i="58"/>
  <c r="G133" i="58" s="1"/>
  <c r="F134" i="58"/>
  <c r="F135" i="58"/>
  <c r="F136" i="58"/>
  <c r="G136" i="58" s="1"/>
  <c r="F137" i="58"/>
  <c r="G137" i="58" s="1"/>
  <c r="F138" i="58"/>
  <c r="F139" i="58"/>
  <c r="G139" i="58" s="1"/>
  <c r="F140" i="58"/>
  <c r="G140" i="58" s="1"/>
  <c r="F141" i="58"/>
  <c r="G141" i="58" s="1"/>
  <c r="F142" i="58"/>
  <c r="G142" i="58" s="1"/>
  <c r="F143" i="58"/>
  <c r="G143" i="58" s="1"/>
  <c r="F144" i="58"/>
  <c r="G144" i="58" s="1"/>
  <c r="F145" i="58"/>
  <c r="G145" i="58" s="1"/>
  <c r="F146" i="58"/>
  <c r="G146" i="58" s="1"/>
  <c r="F147" i="58"/>
  <c r="G147" i="58" s="1"/>
  <c r="F148" i="58"/>
  <c r="G148" i="58" s="1"/>
  <c r="F149" i="58"/>
  <c r="G149" i="58" s="1"/>
  <c r="F150" i="58"/>
  <c r="F151" i="58"/>
  <c r="F152" i="58"/>
  <c r="G152" i="58" s="1"/>
  <c r="F153" i="58"/>
  <c r="G153" i="58" s="1"/>
  <c r="F154" i="58"/>
  <c r="G154" i="58" s="1"/>
  <c r="F155" i="58"/>
  <c r="G155" i="58" s="1"/>
  <c r="F156" i="58"/>
  <c r="G156" i="58" s="1"/>
  <c r="F157" i="58"/>
  <c r="G157" i="58" s="1"/>
  <c r="F158" i="58"/>
  <c r="G158" i="58" s="1"/>
  <c r="F159" i="58"/>
  <c r="G159" i="58" s="1"/>
  <c r="F160" i="58"/>
  <c r="G160" i="58" s="1"/>
  <c r="F161" i="58"/>
  <c r="G161" i="58" s="1"/>
  <c r="F162" i="58"/>
  <c r="G162" i="58" s="1"/>
  <c r="F163" i="58"/>
  <c r="F164" i="58"/>
  <c r="G164" i="58" s="1"/>
  <c r="F165" i="58"/>
  <c r="G165" i="58" s="1"/>
  <c r="F166" i="58"/>
  <c r="G166" i="58" s="1"/>
  <c r="F167" i="58"/>
  <c r="G167" i="58" s="1"/>
  <c r="F168" i="58"/>
  <c r="G168" i="58" s="1"/>
  <c r="F169" i="58"/>
  <c r="G169" i="58" s="1"/>
  <c r="F170" i="58"/>
  <c r="G170" i="58" s="1"/>
  <c r="F171" i="58"/>
  <c r="G171" i="58" s="1"/>
  <c r="F172" i="58"/>
  <c r="G172" i="58" s="1"/>
  <c r="F173" i="58"/>
  <c r="G173" i="58" s="1"/>
  <c r="F174" i="58"/>
  <c r="G174" i="58" s="1"/>
  <c r="F175" i="58"/>
  <c r="F176" i="58"/>
  <c r="G176" i="58" s="1"/>
  <c r="F177" i="58"/>
  <c r="G177" i="58" s="1"/>
  <c r="F178" i="58"/>
  <c r="G178" i="58" s="1"/>
  <c r="F179" i="58"/>
  <c r="G179" i="58" s="1"/>
  <c r="F180" i="58"/>
  <c r="G180" i="58" s="1"/>
  <c r="F181" i="58"/>
  <c r="G181" i="58" s="1"/>
  <c r="F182" i="58"/>
  <c r="G182" i="58" s="1"/>
  <c r="F183" i="58"/>
  <c r="F184" i="58"/>
  <c r="G184" i="58" s="1"/>
  <c r="F185" i="58"/>
  <c r="F186" i="58"/>
  <c r="F187" i="58"/>
  <c r="F188" i="58"/>
  <c r="G188" i="58" s="1"/>
  <c r="F189" i="58"/>
  <c r="G189" i="58" s="1"/>
  <c r="F190" i="58"/>
  <c r="G190" i="58" s="1"/>
  <c r="F191" i="58"/>
  <c r="G191" i="58" s="1"/>
  <c r="F192" i="58"/>
  <c r="G192" i="58" s="1"/>
  <c r="F193" i="58"/>
  <c r="G193" i="58" s="1"/>
  <c r="F194" i="58"/>
  <c r="G194" i="58" s="1"/>
  <c r="F195" i="58"/>
  <c r="G195" i="58" s="1"/>
  <c r="F196" i="58"/>
  <c r="G196" i="58" s="1"/>
  <c r="F197" i="58"/>
  <c r="G197" i="58" s="1"/>
  <c r="F198" i="58"/>
  <c r="G198" i="58" s="1"/>
  <c r="F199" i="58"/>
  <c r="F200" i="58"/>
  <c r="G200" i="58" s="1"/>
  <c r="F201" i="58"/>
  <c r="G201" i="58" s="1"/>
  <c r="F202" i="58"/>
  <c r="G202" i="58" s="1"/>
  <c r="F203" i="58"/>
  <c r="G203" i="58" s="1"/>
  <c r="F204" i="58"/>
  <c r="G204" i="58" s="1"/>
  <c r="F205" i="58"/>
  <c r="G205" i="58" s="1"/>
  <c r="F206" i="58"/>
  <c r="G206" i="58" s="1"/>
  <c r="F207" i="58"/>
  <c r="G207" i="58" s="1"/>
  <c r="F208" i="58"/>
  <c r="G208" i="58" s="1"/>
  <c r="F209" i="58"/>
  <c r="F210" i="58"/>
  <c r="F211" i="58"/>
  <c r="G211" i="58" s="1"/>
  <c r="F212" i="58"/>
  <c r="G212" i="58" s="1"/>
  <c r="F213" i="58"/>
  <c r="G213" i="58" s="1"/>
  <c r="F214" i="58"/>
  <c r="G214" i="58" s="1"/>
  <c r="F215" i="58"/>
  <c r="G215" i="58" s="1"/>
  <c r="F216" i="58"/>
  <c r="G216" i="58" s="1"/>
  <c r="F217" i="58"/>
  <c r="G217" i="58" s="1"/>
  <c r="F218" i="58"/>
  <c r="G218" i="58" s="1"/>
  <c r="F219" i="58"/>
  <c r="G219" i="58" s="1"/>
  <c r="F220" i="58"/>
  <c r="G220" i="58" s="1"/>
  <c r="F221" i="58"/>
  <c r="F222" i="58"/>
  <c r="G222" i="58" s="1"/>
  <c r="F223" i="58"/>
  <c r="G223" i="58" s="1"/>
  <c r="F224" i="58"/>
  <c r="G224" i="58" s="1"/>
  <c r="F225" i="58"/>
  <c r="G225" i="58" s="1"/>
  <c r="F226" i="58"/>
  <c r="G226" i="58" s="1"/>
  <c r="F227" i="58"/>
  <c r="G227" i="58" s="1"/>
  <c r="F228" i="58"/>
  <c r="G228" i="58" s="1"/>
  <c r="F229" i="58"/>
  <c r="G229" i="58" s="1"/>
  <c r="F230" i="58"/>
  <c r="G230" i="58" s="1"/>
  <c r="F231" i="58"/>
  <c r="G231" i="58" s="1"/>
  <c r="F232" i="58"/>
  <c r="G232" i="58" s="1"/>
  <c r="F233" i="58"/>
  <c r="G233" i="58" s="1"/>
  <c r="F234" i="58"/>
  <c r="G234" i="58" s="1"/>
  <c r="F235" i="58"/>
  <c r="F236" i="58"/>
  <c r="G236" i="58" s="1"/>
  <c r="F237" i="58"/>
  <c r="G237" i="58" s="1"/>
  <c r="F238" i="58"/>
  <c r="G238" i="58" s="1"/>
  <c r="F239" i="58"/>
  <c r="F240" i="58"/>
  <c r="G240" i="58" s="1"/>
  <c r="F241" i="58"/>
  <c r="G241" i="58" s="1"/>
  <c r="F242" i="58"/>
  <c r="G242" i="58" s="1"/>
  <c r="F243" i="58"/>
  <c r="G243" i="58" s="1"/>
  <c r="F244" i="58"/>
  <c r="G244" i="58" s="1"/>
  <c r="F245" i="58"/>
  <c r="G245" i="58" s="1"/>
  <c r="F246" i="58"/>
  <c r="G246" i="58" s="1"/>
  <c r="F247" i="58"/>
  <c r="F248" i="58"/>
  <c r="G248" i="58" s="1"/>
  <c r="F249" i="58"/>
  <c r="G249" i="58" s="1"/>
  <c r="F250" i="58"/>
  <c r="G250" i="58" s="1"/>
  <c r="F251" i="58"/>
  <c r="F252" i="58"/>
  <c r="G252" i="58" s="1"/>
  <c r="F253" i="58"/>
  <c r="G253" i="58" s="1"/>
  <c r="F254" i="58"/>
  <c r="G254" i="58" s="1"/>
  <c r="F255" i="58"/>
  <c r="G255" i="58" s="1"/>
  <c r="F256" i="58"/>
  <c r="G256" i="58" s="1"/>
  <c r="F257" i="58"/>
  <c r="G257" i="58" s="1"/>
  <c r="F258" i="58"/>
  <c r="G258" i="58" s="1"/>
  <c r="F259" i="58"/>
  <c r="G259" i="58" s="1"/>
  <c r="F260" i="58"/>
  <c r="G260" i="58" s="1"/>
  <c r="F261" i="58"/>
  <c r="G261" i="58" s="1"/>
  <c r="F262" i="58"/>
  <c r="G262" i="58" s="1"/>
  <c r="F263" i="58"/>
  <c r="F264" i="58"/>
  <c r="G264" i="58" s="1"/>
  <c r="F265" i="58"/>
  <c r="G265" i="58" s="1"/>
  <c r="F266" i="58"/>
  <c r="G266" i="58" s="1"/>
  <c r="F267" i="58"/>
  <c r="G267" i="58" s="1"/>
  <c r="F268" i="58"/>
  <c r="G268" i="58" s="1"/>
  <c r="F269" i="58"/>
  <c r="G269" i="58" s="1"/>
  <c r="F270" i="58"/>
  <c r="G270" i="58" s="1"/>
  <c r="F271" i="58"/>
  <c r="F272" i="58"/>
  <c r="G272" i="58" s="1"/>
  <c r="F273" i="58"/>
  <c r="G273" i="58" s="1"/>
  <c r="F274" i="58"/>
  <c r="G274" i="58" s="1"/>
  <c r="F275" i="58"/>
  <c r="F276" i="58"/>
  <c r="G276" i="58" s="1"/>
  <c r="F277" i="58"/>
  <c r="G277" i="58" s="1"/>
  <c r="F278" i="58"/>
  <c r="G278" i="58" s="1"/>
  <c r="F279" i="58"/>
  <c r="G279" i="58" s="1"/>
  <c r="F280" i="58"/>
  <c r="G280" i="58" s="1"/>
  <c r="F281" i="58"/>
  <c r="F282" i="58"/>
  <c r="G282" i="58" s="1"/>
  <c r="F283" i="58"/>
  <c r="F284" i="58"/>
  <c r="G284" i="58" s="1"/>
  <c r="F285" i="58"/>
  <c r="G285" i="58" s="1"/>
  <c r="F286" i="58"/>
  <c r="G286" i="58" s="1"/>
  <c r="F287" i="58"/>
  <c r="F288" i="58"/>
  <c r="G288" i="58" s="1"/>
  <c r="F289" i="58"/>
  <c r="G289" i="58" s="1"/>
  <c r="F290" i="58"/>
  <c r="G290" i="58" s="1"/>
  <c r="F291" i="58"/>
  <c r="G291" i="58" s="1"/>
  <c r="F292" i="58"/>
  <c r="G292" i="58" s="1"/>
  <c r="F293" i="58"/>
  <c r="G293" i="58" s="1"/>
  <c r="F294" i="58"/>
  <c r="G294" i="58" s="1"/>
  <c r="F295" i="58"/>
  <c r="G295" i="58" s="1"/>
  <c r="F296" i="58"/>
  <c r="G296" i="58" s="1"/>
  <c r="F297" i="58"/>
  <c r="G297" i="58" s="1"/>
  <c r="F298" i="58"/>
  <c r="G298" i="58" s="1"/>
  <c r="F299" i="58"/>
  <c r="G299" i="58" s="1"/>
  <c r="F300" i="58"/>
  <c r="G300" i="58" s="1"/>
  <c r="F301" i="58"/>
  <c r="G301" i="58" s="1"/>
  <c r="F302" i="58"/>
  <c r="G302" i="58" s="1"/>
  <c r="F303" i="58"/>
  <c r="G303" i="58" s="1"/>
  <c r="F304" i="58"/>
  <c r="G304" i="58" s="1"/>
  <c r="F305" i="58"/>
  <c r="G305" i="58" s="1"/>
  <c r="F306" i="58"/>
  <c r="F307" i="58"/>
  <c r="G307" i="58" s="1"/>
  <c r="F308" i="58"/>
  <c r="G308" i="58" s="1"/>
  <c r="F309" i="58"/>
  <c r="G309" i="58" s="1"/>
  <c r="F310" i="58"/>
  <c r="F311" i="58"/>
  <c r="G311" i="58" s="1"/>
  <c r="F312" i="58"/>
  <c r="G312" i="58" s="1"/>
  <c r="F313" i="58"/>
  <c r="G313" i="58" s="1"/>
  <c r="F314" i="58"/>
  <c r="G314" i="58" s="1"/>
  <c r="F315" i="58"/>
  <c r="G315" i="58" s="1"/>
  <c r="F316" i="58"/>
  <c r="G316" i="58" s="1"/>
  <c r="F317" i="58"/>
  <c r="G317" i="58" s="1"/>
  <c r="F318" i="58"/>
  <c r="F319" i="58"/>
  <c r="G319" i="58" s="1"/>
  <c r="F7" i="58"/>
  <c r="AP17" i="56"/>
  <c r="AP83" i="56"/>
  <c r="AP99" i="56"/>
  <c r="AP248" i="56"/>
  <c r="AM17" i="56"/>
  <c r="AM240" i="56"/>
  <c r="AM260" i="56"/>
  <c r="AM83" i="56"/>
  <c r="AM99" i="56"/>
  <c r="AM248" i="56"/>
  <c r="AM258" i="56"/>
  <c r="S7" i="56"/>
  <c r="S8" i="56"/>
  <c r="S9" i="56"/>
  <c r="S10" i="56"/>
  <c r="S20" i="56"/>
  <c r="S21" i="56"/>
  <c r="S26" i="56"/>
  <c r="S28" i="56"/>
  <c r="S31" i="56"/>
  <c r="S38" i="56"/>
  <c r="S17" i="56"/>
  <c r="S41" i="56"/>
  <c r="S19" i="56"/>
  <c r="S42" i="56"/>
  <c r="S43" i="56"/>
  <c r="S50" i="56"/>
  <c r="S52" i="56"/>
  <c r="S54" i="56"/>
  <c r="S55" i="56"/>
  <c r="S58" i="56"/>
  <c r="S59" i="56"/>
  <c r="S61" i="56"/>
  <c r="S29" i="56"/>
  <c r="S30" i="56"/>
  <c r="S71" i="56"/>
  <c r="S74" i="56"/>
  <c r="S76" i="56"/>
  <c r="S34" i="56"/>
  <c r="S77" i="56"/>
  <c r="S85" i="56"/>
  <c r="S86" i="56"/>
  <c r="S88" i="56"/>
  <c r="S89" i="56"/>
  <c r="S91" i="56"/>
  <c r="S96" i="56"/>
  <c r="S98" i="56"/>
  <c r="S101" i="56"/>
  <c r="S107" i="56"/>
  <c r="S45" i="56"/>
  <c r="S115" i="56"/>
  <c r="S47" i="56"/>
  <c r="S48" i="56"/>
  <c r="S120" i="56"/>
  <c r="S121" i="56"/>
  <c r="S51" i="56"/>
  <c r="S123" i="56"/>
  <c r="S53" i="56"/>
  <c r="S124" i="56"/>
  <c r="S126" i="56"/>
  <c r="S128" i="56"/>
  <c r="S129" i="56"/>
  <c r="S131" i="56"/>
  <c r="S133" i="56"/>
  <c r="S136" i="56"/>
  <c r="S137" i="56"/>
  <c r="S142" i="56"/>
  <c r="S63" i="56"/>
  <c r="S64" i="56"/>
  <c r="S144" i="56"/>
  <c r="S66" i="56"/>
  <c r="S146" i="56"/>
  <c r="S68" i="56"/>
  <c r="S147" i="56"/>
  <c r="S149" i="56"/>
  <c r="S152" i="56"/>
  <c r="S155" i="56"/>
  <c r="S165" i="56"/>
  <c r="S168" i="56"/>
  <c r="S75" i="56"/>
  <c r="S169" i="56"/>
  <c r="S174" i="56"/>
  <c r="S78" i="56"/>
  <c r="S177" i="56"/>
  <c r="S181" i="56"/>
  <c r="S182" i="56"/>
  <c r="S82" i="56"/>
  <c r="S183" i="56"/>
  <c r="S84" i="56"/>
  <c r="S185" i="56"/>
  <c r="S189" i="56"/>
  <c r="S191" i="56"/>
  <c r="S192" i="56"/>
  <c r="S193" i="56"/>
  <c r="S194" i="56"/>
  <c r="S201" i="56"/>
  <c r="S92" i="56"/>
  <c r="S203" i="56"/>
  <c r="S94" i="56"/>
  <c r="S95" i="56"/>
  <c r="S204" i="56"/>
  <c r="S208" i="56"/>
  <c r="S209" i="56"/>
  <c r="S210" i="56"/>
  <c r="S211" i="56"/>
  <c r="S100" i="56"/>
  <c r="S213" i="56"/>
  <c r="S214" i="56"/>
  <c r="S103" i="56"/>
  <c r="S104" i="56"/>
  <c r="S217" i="56"/>
  <c r="S106" i="56"/>
  <c r="S218" i="56"/>
  <c r="S111" i="56"/>
  <c r="S112" i="56"/>
  <c r="S220" i="56"/>
  <c r="S221" i="56"/>
  <c r="S223" i="56"/>
  <c r="S113" i="56"/>
  <c r="S114" i="56"/>
  <c r="S226" i="56"/>
  <c r="S116" i="56"/>
  <c r="S231" i="56"/>
  <c r="S234" i="56"/>
  <c r="S119" i="56"/>
  <c r="S245" i="56"/>
  <c r="S247" i="56"/>
  <c r="S122" i="56"/>
  <c r="S259" i="56"/>
  <c r="S268" i="56"/>
  <c r="S270" i="56"/>
  <c r="S273" i="56"/>
  <c r="S276" i="56"/>
  <c r="S277" i="56"/>
  <c r="S279" i="56"/>
  <c r="S281" i="56"/>
  <c r="S286" i="56"/>
  <c r="S132" i="56"/>
  <c r="S288" i="56"/>
  <c r="S134" i="56"/>
  <c r="S292" i="56"/>
  <c r="S293" i="56"/>
  <c r="S294" i="56"/>
  <c r="S299" i="56"/>
  <c r="S139" i="56"/>
  <c r="S300" i="56"/>
  <c r="S141" i="56"/>
  <c r="S301" i="56"/>
  <c r="S302" i="56"/>
  <c r="S303" i="56"/>
  <c r="S308" i="56"/>
  <c r="S25" i="56"/>
  <c r="S22" i="56"/>
  <c r="S287" i="56"/>
  <c r="S264" i="56"/>
  <c r="S207" i="56"/>
  <c r="S151" i="56"/>
  <c r="S35" i="56"/>
  <c r="S153" i="56"/>
  <c r="S13" i="56"/>
  <c r="S145" i="56"/>
  <c r="S156" i="56"/>
  <c r="S40" i="56"/>
  <c r="S158" i="56"/>
  <c r="S233" i="56"/>
  <c r="S11" i="56"/>
  <c r="S161" i="56"/>
  <c r="S304" i="56"/>
  <c r="S62" i="56"/>
  <c r="S164" i="56"/>
  <c r="S198" i="56"/>
  <c r="S166" i="56"/>
  <c r="S167" i="56"/>
  <c r="S90" i="56"/>
  <c r="S157" i="56"/>
  <c r="S170" i="56"/>
  <c r="S143" i="56"/>
  <c r="S172" i="56"/>
  <c r="S49" i="56"/>
  <c r="S97" i="56"/>
  <c r="S175" i="56"/>
  <c r="S102" i="56"/>
  <c r="S249" i="56"/>
  <c r="S178" i="56"/>
  <c r="S236" i="56"/>
  <c r="S180" i="56"/>
  <c r="S79" i="56"/>
  <c r="S278" i="56"/>
  <c r="S148" i="56"/>
  <c r="S184" i="56"/>
  <c r="S80" i="56"/>
  <c r="S186" i="56"/>
  <c r="S187" i="56"/>
  <c r="S199" i="56"/>
  <c r="S24" i="56"/>
  <c r="S154" i="56"/>
  <c r="S179" i="56"/>
  <c r="S117" i="56"/>
  <c r="S188" i="56"/>
  <c r="S32" i="56"/>
  <c r="S195" i="56"/>
  <c r="S196" i="56"/>
  <c r="S197" i="56"/>
  <c r="S296" i="56"/>
  <c r="S190" i="56"/>
  <c r="S200" i="56"/>
  <c r="S205" i="56"/>
  <c r="S202" i="56"/>
  <c r="S135" i="56"/>
  <c r="S216" i="56"/>
  <c r="S125" i="56"/>
  <c r="S228" i="56"/>
  <c r="S297" i="56"/>
  <c r="S225" i="56"/>
  <c r="S140" i="56"/>
  <c r="S15" i="56"/>
  <c r="S46" i="56"/>
  <c r="S212" i="56"/>
  <c r="S272" i="56"/>
  <c r="S93" i="56"/>
  <c r="S215" i="56"/>
  <c r="S118" i="56"/>
  <c r="S67" i="56"/>
  <c r="S314" i="56"/>
  <c r="S159" i="56"/>
  <c r="S69" i="56"/>
  <c r="S224" i="56"/>
  <c r="S44" i="56"/>
  <c r="S289" i="56"/>
  <c r="S72" i="56"/>
  <c r="S18" i="56"/>
  <c r="S227" i="56"/>
  <c r="S307" i="56"/>
  <c r="S229" i="56"/>
  <c r="S230" i="56"/>
  <c r="S70" i="56"/>
  <c r="S232" i="56"/>
  <c r="S127" i="56"/>
  <c r="S241" i="56"/>
  <c r="S87" i="56"/>
  <c r="S73" i="56"/>
  <c r="S237" i="56"/>
  <c r="S238" i="56"/>
  <c r="S239" i="56"/>
  <c r="S240" i="56"/>
  <c r="S14" i="56"/>
  <c r="S305" i="56"/>
  <c r="S243" i="56"/>
  <c r="S244" i="56"/>
  <c r="S206" i="56"/>
  <c r="S253" i="56"/>
  <c r="S23" i="56"/>
  <c r="S105" i="56"/>
  <c r="S39" i="56"/>
  <c r="S250" i="56"/>
  <c r="S251" i="56"/>
  <c r="S252" i="56"/>
  <c r="S57" i="56"/>
  <c r="S254" i="56"/>
  <c r="S255" i="56"/>
  <c r="S256" i="56"/>
  <c r="S257" i="56"/>
  <c r="S36" i="56"/>
  <c r="S27" i="56"/>
  <c r="S260" i="56"/>
  <c r="S261" i="56"/>
  <c r="S262" i="56"/>
  <c r="S263" i="56"/>
  <c r="S37" i="56"/>
  <c r="S265" i="56"/>
  <c r="S266" i="56"/>
  <c r="S267" i="56"/>
  <c r="S81" i="56"/>
  <c r="S269" i="56"/>
  <c r="S65" i="56"/>
  <c r="S271" i="56"/>
  <c r="S173" i="56"/>
  <c r="S316" i="56"/>
  <c r="S274" i="56"/>
  <c r="S275" i="56"/>
  <c r="S171" i="56"/>
  <c r="S309" i="56"/>
  <c r="S160" i="56"/>
  <c r="S285" i="56"/>
  <c r="S280" i="56"/>
  <c r="S56" i="56"/>
  <c r="S282" i="56"/>
  <c r="S283" i="56"/>
  <c r="S315" i="56"/>
  <c r="S163" i="56"/>
  <c r="S162" i="56"/>
  <c r="S176" i="56"/>
  <c r="S12" i="56"/>
  <c r="S16" i="56"/>
  <c r="S290" i="56"/>
  <c r="S291" i="56"/>
  <c r="S246" i="56"/>
  <c r="S222" i="56"/>
  <c r="S284" i="56"/>
  <c r="S295" i="56"/>
  <c r="S219" i="56"/>
  <c r="S130" i="56"/>
  <c r="S298" i="56"/>
  <c r="S242" i="56"/>
  <c r="S150" i="56"/>
  <c r="S235" i="56"/>
  <c r="S60" i="56"/>
  <c r="S83" i="56"/>
  <c r="S99" i="56"/>
  <c r="S248" i="56"/>
  <c r="S306" i="56"/>
  <c r="S258" i="56"/>
  <c r="S33" i="56"/>
  <c r="S108" i="56"/>
  <c r="S311" i="56"/>
  <c r="S312" i="56"/>
  <c r="S313" i="56"/>
  <c r="S109" i="56"/>
  <c r="S110" i="56"/>
  <c r="S138" i="56"/>
  <c r="S317" i="56"/>
  <c r="S6" i="56"/>
  <c r="AU248" i="56"/>
  <c r="AU17" i="56"/>
  <c r="L6" i="20"/>
  <c r="L7" i="20"/>
  <c r="L8" i="20"/>
  <c r="L9" i="20"/>
  <c r="L10" i="20"/>
  <c r="L11" i="20"/>
  <c r="L12" i="20"/>
  <c r="L13" i="20"/>
  <c r="L14" i="20"/>
  <c r="L15" i="20"/>
  <c r="L16" i="20"/>
  <c r="L17" i="20"/>
  <c r="L18" i="20"/>
  <c r="L19" i="20"/>
  <c r="L20" i="20"/>
  <c r="L21" i="20"/>
  <c r="L22" i="20"/>
  <c r="L23" i="20"/>
  <c r="L24" i="20"/>
  <c r="L25" i="20"/>
  <c r="L26" i="20"/>
  <c r="L27" i="20"/>
  <c r="L28" i="20"/>
  <c r="L29" i="20"/>
  <c r="AG15" i="45"/>
  <c r="AG77" i="45"/>
  <c r="AG243" i="45"/>
  <c r="AG263" i="45"/>
  <c r="AO194" i="56" l="1"/>
  <c r="AI194" i="56"/>
  <c r="AJ194" i="56" s="1"/>
  <c r="AO48" i="56"/>
  <c r="AI48" i="56"/>
  <c r="AJ48" i="56" s="1"/>
  <c r="AO60" i="56"/>
  <c r="AI60" i="56"/>
  <c r="AJ60" i="56" s="1"/>
  <c r="AO11" i="56"/>
  <c r="AI11" i="56"/>
  <c r="AJ11" i="56" s="1"/>
  <c r="AO182" i="56"/>
  <c r="AI182" i="56"/>
  <c r="AJ182" i="56" s="1"/>
  <c r="AO36" i="56"/>
  <c r="AI36" i="56"/>
  <c r="AJ36" i="56" s="1"/>
  <c r="AO205" i="56"/>
  <c r="AI205" i="56"/>
  <c r="AJ205" i="56" s="1"/>
  <c r="AO315" i="56"/>
  <c r="AI315" i="56"/>
  <c r="AJ315" i="56" s="1"/>
  <c r="AO170" i="56"/>
  <c r="AI170" i="56"/>
  <c r="AJ170" i="56" s="1"/>
  <c r="AO24" i="56"/>
  <c r="AI24" i="56"/>
  <c r="AJ24" i="56" s="1"/>
  <c r="AO158" i="56"/>
  <c r="AI158" i="56"/>
  <c r="AJ158" i="56" s="1"/>
  <c r="AO292" i="56"/>
  <c r="AI292" i="56"/>
  <c r="AJ292" i="56" s="1"/>
  <c r="AO146" i="56"/>
  <c r="AI146" i="56"/>
  <c r="AJ146" i="56" s="1"/>
  <c r="AO280" i="56"/>
  <c r="AI280" i="56"/>
  <c r="AJ280" i="56" s="1"/>
  <c r="AO134" i="56"/>
  <c r="AI134" i="56"/>
  <c r="AJ134" i="56" s="1"/>
  <c r="AO268" i="56"/>
  <c r="AI268" i="56"/>
  <c r="AJ268" i="56" s="1"/>
  <c r="AO121" i="56"/>
  <c r="AI121" i="56"/>
  <c r="AJ121" i="56" s="1"/>
  <c r="AO254" i="56"/>
  <c r="AI254" i="56"/>
  <c r="AJ254" i="56" s="1"/>
  <c r="AO110" i="56"/>
  <c r="AI110" i="56"/>
  <c r="AJ110" i="56" s="1"/>
  <c r="AO241" i="56"/>
  <c r="AI241" i="56"/>
  <c r="AJ241" i="56" s="1"/>
  <c r="AO97" i="56"/>
  <c r="AI97" i="56"/>
  <c r="AJ97" i="56" s="1"/>
  <c r="BD240" i="56"/>
  <c r="AI240" i="56"/>
  <c r="AJ240" i="56" s="1"/>
  <c r="AO228" i="56"/>
  <c r="AI228" i="56"/>
  <c r="AJ228" i="56" s="1"/>
  <c r="AO85" i="56"/>
  <c r="AI85" i="56"/>
  <c r="AJ85" i="56" s="1"/>
  <c r="AO216" i="56"/>
  <c r="AI216" i="56"/>
  <c r="AJ216" i="56" s="1"/>
  <c r="AO72" i="56"/>
  <c r="AI72" i="56"/>
  <c r="AJ72" i="56" s="1"/>
  <c r="AW240" i="56"/>
  <c r="BK240" i="56" s="1"/>
  <c r="AW260" i="56"/>
  <c r="AW17" i="56"/>
  <c r="AB316" i="45"/>
  <c r="AB303" i="45"/>
  <c r="AB291" i="45"/>
  <c r="AB279" i="45"/>
  <c r="AB267" i="45"/>
  <c r="AB253" i="45"/>
  <c r="AB239" i="45"/>
  <c r="AB226" i="45"/>
  <c r="AB214" i="45"/>
  <c r="AB202" i="45"/>
  <c r="AB190" i="45"/>
  <c r="AB178" i="45"/>
  <c r="AB166" i="45"/>
  <c r="AB154" i="45"/>
  <c r="AB142" i="45"/>
  <c r="AB130" i="45"/>
  <c r="AB118" i="45"/>
  <c r="AB105" i="45"/>
  <c r="AB92" i="45"/>
  <c r="AB79" i="45"/>
  <c r="AB66" i="45"/>
  <c r="AB54" i="45"/>
  <c r="AB42" i="45"/>
  <c r="AB32" i="45"/>
  <c r="AB18" i="45"/>
  <c r="AB313" i="45"/>
  <c r="AB301" i="45"/>
  <c r="AB289" i="45"/>
  <c r="AB277" i="45"/>
  <c r="AB265" i="45"/>
  <c r="AB250" i="45"/>
  <c r="AB237" i="45"/>
  <c r="AB224" i="45"/>
  <c r="AB212" i="45"/>
  <c r="AB200" i="45"/>
  <c r="AB188" i="45"/>
  <c r="AB176" i="45"/>
  <c r="AB164" i="45"/>
  <c r="AB152" i="45"/>
  <c r="AB140" i="45"/>
  <c r="AB127" i="45"/>
  <c r="AB116" i="45"/>
  <c r="AB103" i="45"/>
  <c r="AB88" i="45"/>
  <c r="AB76" i="45"/>
  <c r="AB63" i="45"/>
  <c r="AB52" i="45"/>
  <c r="AB40" i="45"/>
  <c r="AB28" i="45"/>
  <c r="AB16" i="45"/>
  <c r="AB7" i="45"/>
  <c r="AB238" i="45"/>
  <c r="AB201" i="45"/>
  <c r="AB189" i="45"/>
  <c r="AB177" i="45"/>
  <c r="AB165" i="45"/>
  <c r="AB129" i="45"/>
  <c r="AB117" i="45"/>
  <c r="AB104" i="45"/>
  <c r="AB89" i="45"/>
  <c r="AB53" i="45"/>
  <c r="AB41" i="45"/>
  <c r="AB29" i="45"/>
  <c r="AB17" i="45"/>
  <c r="AB317" i="45"/>
  <c r="AB304" i="45"/>
  <c r="AB292" i="45"/>
  <c r="AB280" i="45"/>
  <c r="AB269" i="45"/>
  <c r="AB254" i="45"/>
  <c r="AB240" i="45"/>
  <c r="AB227" i="45"/>
  <c r="AB215" i="45"/>
  <c r="AB203" i="45"/>
  <c r="AB191" i="45"/>
  <c r="AB179" i="45"/>
  <c r="AB167" i="45"/>
  <c r="AB155" i="45"/>
  <c r="AB143" i="45"/>
  <c r="AB131" i="45"/>
  <c r="AB119" i="45"/>
  <c r="AB106" i="45"/>
  <c r="AB93" i="45"/>
  <c r="AB80" i="45"/>
  <c r="AB67" i="45"/>
  <c r="AB55" i="45"/>
  <c r="AB43" i="45"/>
  <c r="AB30" i="45"/>
  <c r="AB19" i="45"/>
  <c r="AB5" i="45"/>
  <c r="AB310" i="45"/>
  <c r="AB298" i="45"/>
  <c r="AB286" i="45"/>
  <c r="AB274" i="45"/>
  <c r="AB260" i="45"/>
  <c r="AB247" i="45"/>
  <c r="AB234" i="45"/>
  <c r="AB221" i="45"/>
  <c r="AB209" i="45"/>
  <c r="AB197" i="45"/>
  <c r="AB185" i="45"/>
  <c r="AB173" i="45"/>
  <c r="AB161" i="45"/>
  <c r="AB149" i="45"/>
  <c r="AB137" i="45"/>
  <c r="AB128" i="45"/>
  <c r="AB111" i="45"/>
  <c r="AB100" i="45"/>
  <c r="AB87" i="45"/>
  <c r="AB73" i="45"/>
  <c r="AB60" i="45"/>
  <c r="AB49" i="45"/>
  <c r="AB37" i="45"/>
  <c r="AB25" i="45"/>
  <c r="AB12" i="45"/>
  <c r="AB249" i="45"/>
  <c r="AB4" i="45"/>
  <c r="AB311" i="45"/>
  <c r="AB299" i="45"/>
  <c r="AB287" i="45"/>
  <c r="AB275" i="45"/>
  <c r="AB262" i="45"/>
  <c r="AB324" i="45"/>
  <c r="AB309" i="45"/>
  <c r="AB297" i="45"/>
  <c r="AB285" i="45"/>
  <c r="AB273" i="45"/>
  <c r="AB259" i="45"/>
  <c r="AB246" i="45"/>
  <c r="AB232" i="45"/>
  <c r="AB220" i="45"/>
  <c r="AB208" i="45"/>
  <c r="AB196" i="45"/>
  <c r="AB184" i="45"/>
  <c r="AB172" i="45"/>
  <c r="AB160" i="45"/>
  <c r="AB148" i="45"/>
  <c r="AB136" i="45"/>
  <c r="AB124" i="45"/>
  <c r="AB115" i="45"/>
  <c r="AB97" i="45"/>
  <c r="AB86" i="45"/>
  <c r="AB72" i="45"/>
  <c r="AB59" i="45"/>
  <c r="AB48" i="45"/>
  <c r="AB36" i="45"/>
  <c r="AB24" i="45"/>
  <c r="AB11" i="45"/>
  <c r="AB10" i="45"/>
  <c r="AB323" i="45"/>
  <c r="AB308" i="45"/>
  <c r="AB296" i="45"/>
  <c r="AB284" i="45"/>
  <c r="AB272" i="45"/>
  <c r="AB258" i="45"/>
  <c r="AB245" i="45"/>
  <c r="AB231" i="45"/>
  <c r="AB219" i="45"/>
  <c r="AB207" i="45"/>
  <c r="AB195" i="45"/>
  <c r="AB183" i="45"/>
  <c r="AB171" i="45"/>
  <c r="AB159" i="45"/>
  <c r="AB147" i="45"/>
  <c r="AB135" i="45"/>
  <c r="AB122" i="45"/>
  <c r="AB114" i="45"/>
  <c r="AB99" i="45"/>
  <c r="AB85" i="45"/>
  <c r="AB71" i="45"/>
  <c r="AB61" i="45"/>
  <c r="AB47" i="45"/>
  <c r="AB35" i="45"/>
  <c r="AB23" i="45"/>
  <c r="AB225" i="45"/>
  <c r="AB213" i="45"/>
  <c r="AB153" i="45"/>
  <c r="AB141" i="45"/>
  <c r="AB78" i="45"/>
  <c r="AB65" i="45"/>
  <c r="AB321" i="45"/>
  <c r="AB306" i="45"/>
  <c r="AB294" i="45"/>
  <c r="AB282" i="45"/>
  <c r="AB270" i="45"/>
  <c r="AB256" i="45"/>
  <c r="AB242" i="45"/>
  <c r="AB229" i="45"/>
  <c r="AB217" i="45"/>
  <c r="AB205" i="45"/>
  <c r="AB193" i="45"/>
  <c r="AB181" i="45"/>
  <c r="AB169" i="45"/>
  <c r="AB157" i="45"/>
  <c r="AB145" i="45"/>
  <c r="AB133" i="45"/>
  <c r="AB120" i="45"/>
  <c r="AB108" i="45"/>
  <c r="AB95" i="45"/>
  <c r="AB83" i="45"/>
  <c r="AB69" i="45"/>
  <c r="AB57" i="45"/>
  <c r="AB45" i="45"/>
  <c r="AB33" i="45"/>
  <c r="AB21" i="45"/>
  <c r="AB320" i="45"/>
  <c r="AB305" i="45"/>
  <c r="AB293" i="45"/>
  <c r="AB281" i="45"/>
  <c r="AB268" i="45"/>
  <c r="AB255" i="45"/>
  <c r="AB241" i="45"/>
  <c r="AB228" i="45"/>
  <c r="AB216" i="45"/>
  <c r="AB204" i="45"/>
  <c r="AB192" i="45"/>
  <c r="AB180" i="45"/>
  <c r="AB168" i="45"/>
  <c r="AB156" i="45"/>
  <c r="AB144" i="45"/>
  <c r="AB132" i="45"/>
  <c r="AB123" i="45"/>
  <c r="AB107" i="45"/>
  <c r="AB94" i="45"/>
  <c r="AB81" i="45"/>
  <c r="AB68" i="45"/>
  <c r="AB56" i="45"/>
  <c r="AB44" i="45"/>
  <c r="AB31" i="45"/>
  <c r="AB20" i="45"/>
  <c r="AB8" i="45"/>
  <c r="AB315" i="45"/>
  <c r="AB302" i="45"/>
  <c r="AB290" i="45"/>
  <c r="AB278" i="45"/>
  <c r="AB266" i="45"/>
  <c r="AB252" i="45"/>
  <c r="AB312" i="45"/>
  <c r="AB300" i="45"/>
  <c r="AB288" i="45"/>
  <c r="AB276" i="45"/>
  <c r="AB264" i="45"/>
  <c r="AB236" i="45"/>
  <c r="AB223" i="45"/>
  <c r="AB211" i="45"/>
  <c r="AB199" i="45"/>
  <c r="AB187" i="45"/>
  <c r="AB175" i="45"/>
  <c r="AB163" i="45"/>
  <c r="AB151" i="45"/>
  <c r="AB139" i="45"/>
  <c r="AB126" i="45"/>
  <c r="AB113" i="45"/>
  <c r="AB102" i="45"/>
  <c r="AB91" i="45"/>
  <c r="AB75" i="45"/>
  <c r="AB62" i="45"/>
  <c r="AB51" i="45"/>
  <c r="AB39" i="45"/>
  <c r="AB27" i="45"/>
  <c r="AB14" i="45"/>
  <c r="AB248" i="45"/>
  <c r="AB235" i="45"/>
  <c r="AB222" i="45"/>
  <c r="AB210" i="45"/>
  <c r="AB198" i="45"/>
  <c r="AB186" i="45"/>
  <c r="AB174" i="45"/>
  <c r="AB162" i="45"/>
  <c r="AB150" i="45"/>
  <c r="AB138" i="45"/>
  <c r="AB125" i="45"/>
  <c r="AB112" i="45"/>
  <c r="AB101" i="45"/>
  <c r="AB90" i="45"/>
  <c r="AB74" i="45"/>
  <c r="AB64" i="45"/>
  <c r="AB50" i="45"/>
  <c r="AB38" i="45"/>
  <c r="AB26" i="45"/>
  <c r="AB13" i="45"/>
  <c r="AB6" i="45"/>
  <c r="AD261" i="56"/>
  <c r="AD129" i="56"/>
  <c r="AD237" i="56"/>
  <c r="AD273" i="56"/>
  <c r="AD214" i="56"/>
  <c r="AD201" i="56"/>
  <c r="AD177" i="56"/>
  <c r="AD23" i="56"/>
  <c r="AD299" i="56"/>
  <c r="AX248" i="56"/>
  <c r="AX83" i="56"/>
  <c r="G287" i="58"/>
  <c r="G275" i="58"/>
  <c r="G263" i="58"/>
  <c r="G251" i="58"/>
  <c r="G239" i="58"/>
  <c r="G83" i="58"/>
  <c r="G71" i="58"/>
  <c r="G59" i="58"/>
  <c r="G47" i="58"/>
  <c r="G11" i="58"/>
  <c r="G310" i="58"/>
  <c r="AX99" i="56"/>
  <c r="AD161" i="56"/>
  <c r="AD197" i="56"/>
  <c r="AD124" i="56"/>
  <c r="AJ99" i="56"/>
  <c r="AD317" i="56"/>
  <c r="AD280" i="56"/>
  <c r="AD256" i="56"/>
  <c r="AD244" i="56"/>
  <c r="AD232" i="56"/>
  <c r="AD148" i="56"/>
  <c r="AD64" i="56"/>
  <c r="AD123" i="56"/>
  <c r="AD171" i="56"/>
  <c r="AD135" i="56"/>
  <c r="AD52" i="56"/>
  <c r="AD279" i="56"/>
  <c r="AD231" i="56"/>
  <c r="AD147" i="56"/>
  <c r="AD76" i="56"/>
  <c r="AD316" i="56"/>
  <c r="AD33" i="56"/>
  <c r="AD105" i="56"/>
  <c r="AD190" i="56"/>
  <c r="AD226" i="56"/>
  <c r="AD213" i="56"/>
  <c r="AD41" i="56"/>
  <c r="AD140" i="56"/>
  <c r="AD65" i="56"/>
  <c r="AD225" i="56"/>
  <c r="AD297" i="56"/>
  <c r="AD284" i="56"/>
  <c r="AD285" i="56"/>
  <c r="AD189" i="56"/>
  <c r="AD142" i="56"/>
  <c r="AD309" i="56"/>
  <c r="AD117" i="56"/>
  <c r="AD165" i="56"/>
  <c r="AD286" i="56"/>
  <c r="AD21" i="56"/>
  <c r="AD202" i="56"/>
  <c r="AD154" i="56"/>
  <c r="AD178" i="56"/>
  <c r="AD166" i="56"/>
  <c r="AD106" i="56"/>
  <c r="AD311" i="56"/>
  <c r="AD298" i="56"/>
  <c r="AD274" i="56"/>
  <c r="AD262" i="56"/>
  <c r="AD250" i="56"/>
  <c r="AD238" i="56"/>
  <c r="AD249" i="56"/>
  <c r="AD153" i="56"/>
  <c r="AD141" i="56"/>
  <c r="AD94" i="56"/>
  <c r="AD82" i="56"/>
  <c r="AD34" i="56"/>
  <c r="AD10" i="56"/>
  <c r="AD136" i="56"/>
  <c r="AD149" i="56"/>
  <c r="AD77" i="56"/>
  <c r="AD212" i="56"/>
  <c r="AD260" i="56"/>
  <c r="AD128" i="56"/>
  <c r="Z325" i="45"/>
  <c r="AD151" i="56"/>
  <c r="AD246" i="56"/>
  <c r="AD162" i="56"/>
  <c r="AD8" i="56"/>
  <c r="AD139" i="56"/>
  <c r="AU83" i="56"/>
  <c r="AD102" i="56"/>
  <c r="AD187" i="56"/>
  <c r="AD283" i="56"/>
  <c r="AD211" i="56"/>
  <c r="AD175" i="56"/>
  <c r="AD312" i="56"/>
  <c r="AD263" i="56"/>
  <c r="AD18" i="56"/>
  <c r="AD130" i="56"/>
  <c r="AD35" i="56"/>
  <c r="AD203" i="56"/>
  <c r="AD103" i="56"/>
  <c r="AD118" i="56"/>
  <c r="AD251" i="56"/>
  <c r="AD239" i="56"/>
  <c r="AD227" i="56"/>
  <c r="AD275" i="56"/>
  <c r="AD289" i="56"/>
  <c r="AD276" i="56"/>
  <c r="AD92" i="56"/>
  <c r="AD181" i="56"/>
  <c r="AD68" i="56"/>
  <c r="AD69" i="56"/>
  <c r="AD287" i="56"/>
  <c r="AD144" i="56"/>
  <c r="AD81" i="56"/>
  <c r="AD143" i="56"/>
  <c r="AD192" i="56"/>
  <c r="AD169" i="56"/>
  <c r="AD61" i="56"/>
  <c r="AD38" i="56"/>
  <c r="AD49" i="56"/>
  <c r="AD11" i="56"/>
  <c r="AD193" i="56"/>
  <c r="AD96" i="56"/>
  <c r="AD314" i="56"/>
  <c r="AD228" i="56"/>
  <c r="AD191" i="56"/>
  <c r="AD253" i="56"/>
  <c r="AD264" i="56"/>
  <c r="AD60" i="56"/>
  <c r="AD67" i="56"/>
  <c r="AD157" i="56"/>
  <c r="AD288" i="56"/>
  <c r="AD168" i="56"/>
  <c r="AD265" i="56"/>
  <c r="AD229" i="56"/>
  <c r="AD216" i="56"/>
  <c r="AD180" i="56"/>
  <c r="AD156" i="56"/>
  <c r="AD132" i="56"/>
  <c r="AD120" i="56"/>
  <c r="AD241" i="56"/>
  <c r="AD109" i="56"/>
  <c r="AD57" i="56"/>
  <c r="AD313" i="56"/>
  <c r="AD12" i="56"/>
  <c r="AD37" i="56"/>
  <c r="AD252" i="56"/>
  <c r="AD240" i="56"/>
  <c r="AD215" i="56"/>
  <c r="AD179" i="56"/>
  <c r="AD167" i="56"/>
  <c r="AD145" i="56"/>
  <c r="AD302" i="56"/>
  <c r="AD119" i="56"/>
  <c r="AD218" i="56"/>
  <c r="AD204" i="56"/>
  <c r="AD84" i="56"/>
  <c r="AD155" i="56"/>
  <c r="AD48" i="56"/>
  <c r="AD85" i="56"/>
  <c r="AD242" i="56"/>
  <c r="AD301" i="56"/>
  <c r="AD133" i="56"/>
  <c r="AD36" i="56"/>
  <c r="AD24" i="56"/>
  <c r="AD217" i="56"/>
  <c r="AD131" i="56"/>
  <c r="AD194" i="56"/>
  <c r="AD93" i="56"/>
  <c r="AD205" i="56"/>
  <c r="AD108" i="56"/>
  <c r="AD72" i="56"/>
  <c r="AD300" i="56"/>
  <c r="AD277" i="56"/>
  <c r="AD182" i="56"/>
  <c r="AD45" i="56"/>
  <c r="AD6" i="56"/>
  <c r="AD269" i="56"/>
  <c r="AD257" i="56"/>
  <c r="AD206" i="56"/>
  <c r="AD196" i="56"/>
  <c r="AD184" i="56"/>
  <c r="AD172" i="56"/>
  <c r="AD293" i="56"/>
  <c r="AD268" i="56"/>
  <c r="AD100" i="56"/>
  <c r="AD53" i="56"/>
  <c r="AD29" i="56"/>
  <c r="AD17" i="56"/>
  <c r="AD159" i="56"/>
  <c r="AD292" i="56"/>
  <c r="AD221" i="56"/>
  <c r="AD243" i="56"/>
  <c r="AD170" i="56"/>
  <c r="AD134" i="56"/>
  <c r="AD233" i="56"/>
  <c r="AD267" i="56"/>
  <c r="AD70" i="56"/>
  <c r="AD278" i="56"/>
  <c r="AD220" i="56"/>
  <c r="AD89" i="56"/>
  <c r="AD110" i="56"/>
  <c r="AD290" i="56"/>
  <c r="AD160" i="56"/>
  <c r="AD266" i="56"/>
  <c r="AD254" i="56"/>
  <c r="AD305" i="56"/>
  <c r="AD230" i="56"/>
  <c r="AD40" i="56"/>
  <c r="AD112" i="56"/>
  <c r="AD209" i="56"/>
  <c r="AD121" i="56"/>
  <c r="AD88" i="56"/>
  <c r="AD58" i="56"/>
  <c r="AD28" i="56"/>
  <c r="AD195" i="56"/>
  <c r="AD22" i="56"/>
  <c r="AD138" i="56"/>
  <c r="AD291" i="56"/>
  <c r="AD255" i="56"/>
  <c r="AD158" i="56"/>
  <c r="AD122" i="56"/>
  <c r="AD59" i="56"/>
  <c r="AD16" i="56"/>
  <c r="AD303" i="56"/>
  <c r="AD245" i="56"/>
  <c r="AD111" i="56"/>
  <c r="AD208" i="56"/>
  <c r="AD185" i="56"/>
  <c r="AD281" i="56"/>
  <c r="AD95" i="56"/>
  <c r="AD183" i="56"/>
  <c r="AD47" i="56"/>
  <c r="AD315" i="56"/>
  <c r="AD73" i="56"/>
  <c r="AD46" i="56"/>
  <c r="AD107" i="56"/>
  <c r="AD42" i="56"/>
  <c r="AD219" i="56"/>
  <c r="AD173" i="56"/>
  <c r="AD62" i="56"/>
  <c r="AD74" i="56"/>
  <c r="AD258" i="56"/>
  <c r="AD27" i="56"/>
  <c r="AD15" i="56"/>
  <c r="AD186" i="56"/>
  <c r="AD97" i="56"/>
  <c r="AD304" i="56"/>
  <c r="AD207" i="56"/>
  <c r="AD146" i="56"/>
  <c r="AD101" i="56"/>
  <c r="AD71" i="56"/>
  <c r="AD307" i="56"/>
  <c r="AD272" i="56"/>
  <c r="AD198" i="56"/>
  <c r="AD115" i="56"/>
  <c r="AD50" i="56"/>
  <c r="AD163" i="56"/>
  <c r="AD39" i="56"/>
  <c r="AD200" i="56"/>
  <c r="AD199" i="56"/>
  <c r="AD164" i="56"/>
  <c r="AD116" i="56"/>
  <c r="AD104" i="56"/>
  <c r="AD43" i="56"/>
  <c r="AD9" i="56"/>
  <c r="AD236" i="56"/>
  <c r="AD296" i="56"/>
  <c r="AD19" i="56"/>
  <c r="AD306" i="56"/>
  <c r="AD282" i="56"/>
  <c r="AD224" i="56"/>
  <c r="AD80" i="56"/>
  <c r="AD294" i="56"/>
  <c r="AD270" i="56"/>
  <c r="AD113" i="56"/>
  <c r="AD78" i="56"/>
  <c r="AD66" i="56"/>
  <c r="AD98" i="56"/>
  <c r="AD30" i="56"/>
  <c r="AD222" i="56"/>
  <c r="AD56" i="56"/>
  <c r="AD127" i="56"/>
  <c r="AD223" i="56"/>
  <c r="AD174" i="56"/>
  <c r="AD295" i="56"/>
  <c r="AD91" i="56"/>
  <c r="AD271" i="56"/>
  <c r="AD25" i="56"/>
  <c r="AD210" i="56"/>
  <c r="AD75" i="56"/>
  <c r="AD63" i="56"/>
  <c r="AD51" i="56"/>
  <c r="AD31" i="56"/>
  <c r="AD44" i="56"/>
  <c r="AD126" i="56"/>
  <c r="AD32" i="56"/>
  <c r="AD125" i="56"/>
  <c r="AD188" i="56"/>
  <c r="AD79" i="56"/>
  <c r="AD308" i="56"/>
  <c r="AD247" i="56"/>
  <c r="AD114" i="56"/>
  <c r="AD235" i="56"/>
  <c r="AD14" i="56"/>
  <c r="AD90" i="56"/>
  <c r="AD137" i="56"/>
  <c r="AD86" i="56"/>
  <c r="AD55" i="56"/>
  <c r="AD26" i="56"/>
  <c r="AD87" i="56"/>
  <c r="AD150" i="56"/>
  <c r="AD54" i="56"/>
  <c r="AD7" i="56"/>
  <c r="AD259" i="56"/>
  <c r="AD176" i="56"/>
  <c r="AD13" i="56"/>
  <c r="AD234" i="56"/>
  <c r="AD152" i="56"/>
  <c r="AD20" i="56"/>
  <c r="G283" i="58"/>
  <c r="G271" i="58"/>
  <c r="G247" i="58"/>
  <c r="G235" i="58"/>
  <c r="G199" i="58"/>
  <c r="G187" i="58"/>
  <c r="G175" i="58"/>
  <c r="G163" i="58"/>
  <c r="G151" i="58"/>
  <c r="G127" i="58"/>
  <c r="G115" i="58"/>
  <c r="G103" i="58"/>
  <c r="G55" i="58"/>
  <c r="G43" i="58"/>
  <c r="G19" i="58"/>
  <c r="G318" i="58"/>
  <c r="G306" i="58"/>
  <c r="G210" i="58"/>
  <c r="G186" i="58"/>
  <c r="G150" i="58"/>
  <c r="G138" i="58"/>
  <c r="G102" i="58"/>
  <c r="G90" i="58"/>
  <c r="G78" i="58"/>
  <c r="G281" i="58"/>
  <c r="G221" i="58"/>
  <c r="G209" i="58"/>
  <c r="G185" i="58"/>
  <c r="G125" i="58"/>
  <c r="G113" i="58"/>
  <c r="G53" i="58"/>
  <c r="G183" i="58"/>
  <c r="G135" i="58"/>
  <c r="G134" i="58"/>
  <c r="G110" i="58"/>
  <c r="G86" i="58"/>
  <c r="G26" i="58"/>
  <c r="Z3" i="45"/>
  <c r="AG204" i="45"/>
  <c r="AG213" i="45"/>
  <c r="AT258" i="56"/>
  <c r="BH258" i="56" s="1"/>
  <c r="AT259" i="56"/>
  <c r="BH259" i="56" s="1"/>
  <c r="AG307" i="45"/>
  <c r="AG311" i="45"/>
  <c r="L6" i="17"/>
  <c r="L7" i="17"/>
  <c r="L8" i="17"/>
  <c r="L9" i="17"/>
  <c r="L10" i="17"/>
  <c r="L11" i="17"/>
  <c r="L12" i="17"/>
  <c r="L13" i="17"/>
  <c r="L14" i="17"/>
  <c r="L15" i="17"/>
  <c r="L16" i="17"/>
  <c r="L17" i="17"/>
  <c r="L18" i="17"/>
  <c r="L22" i="17"/>
  <c r="L23" i="17"/>
  <c r="L24" i="17"/>
  <c r="L25" i="17"/>
  <c r="L26" i="17"/>
  <c r="L27" i="17"/>
  <c r="L28" i="17"/>
  <c r="L29" i="17"/>
  <c r="B2" i="1"/>
  <c r="B1" i="14"/>
  <c r="I1" i="14"/>
  <c r="B1" i="9"/>
  <c r="I1" i="9"/>
  <c r="P6" i="56"/>
  <c r="AD325" i="45"/>
  <c r="AD3" i="45" s="1"/>
  <c r="V77" i="57"/>
  <c r="V15" i="57"/>
  <c r="V193" i="57"/>
  <c r="V131" i="57"/>
  <c r="V225" i="57"/>
  <c r="V40" i="57"/>
  <c r="V9" i="57"/>
  <c r="V115" i="57"/>
  <c r="V198" i="57"/>
  <c r="V119" i="57"/>
  <c r="V85" i="57"/>
  <c r="V208" i="57"/>
  <c r="V223" i="57"/>
  <c r="V140" i="57"/>
  <c r="V260" i="57"/>
  <c r="V74" i="57"/>
  <c r="V125" i="57"/>
  <c r="V29" i="57"/>
  <c r="V28" i="57"/>
  <c r="V301" i="57"/>
  <c r="V201" i="57"/>
  <c r="V204" i="57"/>
  <c r="V54" i="57"/>
  <c r="V240" i="57"/>
  <c r="V26" i="57"/>
  <c r="V214" i="57"/>
  <c r="V289" i="57"/>
  <c r="V102" i="57"/>
  <c r="V121" i="57"/>
  <c r="V96" i="57"/>
  <c r="V297" i="57"/>
  <c r="V80" i="57"/>
  <c r="V25" i="57"/>
  <c r="V12" i="57"/>
  <c r="V224" i="57"/>
  <c r="V59" i="57"/>
  <c r="V259" i="57"/>
  <c r="V132" i="57"/>
  <c r="V282" i="57"/>
  <c r="V31" i="57"/>
  <c r="V109" i="57"/>
  <c r="V315" i="57"/>
  <c r="V114" i="57"/>
  <c r="V190" i="57"/>
  <c r="V22" i="57"/>
  <c r="V194" i="57"/>
  <c r="V67" i="57"/>
  <c r="V139" i="57"/>
  <c r="V299" i="57"/>
  <c r="V113" i="57"/>
  <c r="V56" i="57"/>
  <c r="V189" i="57"/>
  <c r="V110" i="57"/>
  <c r="V222" i="57"/>
  <c r="V196" i="57"/>
  <c r="V169" i="57"/>
  <c r="V258" i="57"/>
  <c r="V108" i="57"/>
  <c r="V203" i="57"/>
  <c r="V292" i="57"/>
  <c r="V215" i="57"/>
  <c r="V296" i="57"/>
  <c r="V52" i="57"/>
  <c r="V248" i="57"/>
  <c r="V231" i="57"/>
  <c r="V154" i="57"/>
  <c r="V76" i="57"/>
  <c r="V311" i="57"/>
  <c r="V91" i="57"/>
  <c r="V4" i="57"/>
  <c r="V104" i="57"/>
  <c r="V168" i="57"/>
  <c r="V144" i="57"/>
  <c r="V152" i="57"/>
  <c r="V72" i="57"/>
  <c r="V273" i="57"/>
  <c r="V122" i="57"/>
  <c r="V51" i="57"/>
  <c r="V233" i="57"/>
  <c r="V313" i="57"/>
  <c r="V180" i="57"/>
  <c r="V178" i="57"/>
  <c r="V176" i="57"/>
  <c r="V53" i="57"/>
  <c r="V251" i="57"/>
  <c r="V212" i="57"/>
  <c r="V23" i="57"/>
  <c r="V213" i="57"/>
  <c r="V39" i="57"/>
  <c r="V205" i="57"/>
  <c r="V236" i="57"/>
  <c r="V82" i="57"/>
  <c r="V75" i="57"/>
  <c r="V147" i="57"/>
  <c r="V101" i="57"/>
  <c r="V290" i="57"/>
  <c r="V221" i="57"/>
  <c r="V245" i="57"/>
  <c r="V13" i="57"/>
  <c r="V284" i="57"/>
  <c r="V227" i="57"/>
  <c r="V10" i="57"/>
  <c r="V274" i="57"/>
  <c r="V247" i="57"/>
  <c r="V112" i="57"/>
  <c r="V243" i="57"/>
  <c r="V127" i="57"/>
  <c r="V116" i="57"/>
  <c r="V175" i="57"/>
  <c r="V267" i="57"/>
  <c r="V265" i="57"/>
  <c r="V217" i="57"/>
  <c r="V218" i="57"/>
  <c r="V106" i="57"/>
  <c r="V107" i="57"/>
  <c r="V308" i="57"/>
  <c r="V20" i="57"/>
  <c r="V11" i="57"/>
  <c r="V170" i="57"/>
  <c r="V33" i="57"/>
  <c r="V250" i="57"/>
  <c r="V32" i="57"/>
  <c r="V271" i="57"/>
  <c r="V58" i="57"/>
  <c r="V68" i="57"/>
  <c r="V277" i="57"/>
  <c r="V71" i="57"/>
  <c r="V120" i="57"/>
  <c r="V41" i="57"/>
  <c r="V314" i="57"/>
  <c r="V17" i="57"/>
  <c r="V30" i="57"/>
  <c r="V283" i="57"/>
  <c r="V87" i="57"/>
  <c r="V117" i="57"/>
  <c r="V229" i="57"/>
  <c r="V88" i="57"/>
  <c r="V307" i="57"/>
  <c r="V136" i="57"/>
  <c r="V162" i="57"/>
  <c r="V78" i="57"/>
  <c r="V155" i="57"/>
  <c r="V153" i="57"/>
  <c r="V5" i="57"/>
  <c r="V312" i="57"/>
  <c r="V19" i="57"/>
  <c r="V278" i="57"/>
  <c r="V185" i="57"/>
  <c r="V199" i="57"/>
  <c r="V36" i="57"/>
  <c r="V305" i="57"/>
  <c r="V35" i="57"/>
  <c r="V255" i="57"/>
  <c r="V220" i="57"/>
  <c r="V6" i="57"/>
  <c r="V55" i="57"/>
  <c r="V181" i="57"/>
  <c r="V309" i="57"/>
  <c r="V99" i="57"/>
  <c r="V61" i="57"/>
  <c r="V252" i="57"/>
  <c r="V95" i="57"/>
  <c r="V242" i="57"/>
  <c r="V141" i="57"/>
  <c r="V202" i="57"/>
  <c r="V171" i="57"/>
  <c r="V103" i="57"/>
  <c r="V164" i="57"/>
  <c r="V184" i="57"/>
  <c r="V182" i="57"/>
  <c r="V21" i="57"/>
  <c r="V197" i="57"/>
  <c r="V149" i="57"/>
  <c r="V279" i="57"/>
  <c r="V191" i="57"/>
  <c r="V179" i="57"/>
  <c r="V219" i="57"/>
  <c r="V249" i="57"/>
  <c r="V163" i="57"/>
  <c r="V310" i="57"/>
  <c r="V172" i="57"/>
  <c r="V165" i="57"/>
  <c r="V57" i="57"/>
  <c r="V239" i="57"/>
  <c r="V261" i="57"/>
  <c r="V211" i="57"/>
  <c r="V272" i="57"/>
  <c r="V27" i="57"/>
  <c r="V287" i="57"/>
  <c r="V269" i="57"/>
  <c r="V64" i="57"/>
  <c r="V192" i="57"/>
  <c r="V42" i="57"/>
  <c r="V200" i="57"/>
  <c r="V86" i="57"/>
  <c r="V16" i="57"/>
  <c r="V69" i="57"/>
  <c r="V306" i="57"/>
  <c r="V84" i="57"/>
  <c r="V105" i="57"/>
  <c r="V266" i="57"/>
  <c r="V241" i="57"/>
  <c r="V187" i="57"/>
  <c r="V134" i="57"/>
  <c r="V232" i="57"/>
  <c r="V49" i="57"/>
  <c r="V24" i="57"/>
  <c r="V237" i="57"/>
  <c r="V7" i="57"/>
  <c r="V123" i="57"/>
  <c r="V50" i="57"/>
  <c r="V159" i="57"/>
  <c r="V244" i="57"/>
  <c r="V158" i="57"/>
  <c r="V150" i="57"/>
  <c r="V263" i="57"/>
  <c r="V79" i="57"/>
  <c r="V126" i="57"/>
  <c r="V160" i="57"/>
  <c r="V70" i="57"/>
  <c r="V8" i="57"/>
  <c r="V143" i="57"/>
  <c r="V111" i="57"/>
  <c r="V151" i="57"/>
  <c r="V246" i="57"/>
  <c r="V128" i="57"/>
  <c r="V264" i="57"/>
  <c r="V60" i="57"/>
  <c r="V94" i="57"/>
  <c r="V257" i="57"/>
  <c r="V253" i="57"/>
  <c r="V188" i="57"/>
  <c r="V97" i="57"/>
  <c r="V166" i="57"/>
  <c r="V146" i="57"/>
  <c r="V145" i="57"/>
  <c r="V34" i="57"/>
  <c r="V89" i="57"/>
  <c r="V37" i="57"/>
  <c r="V65" i="57"/>
  <c r="V130" i="57"/>
  <c r="V303" i="57"/>
  <c r="V63" i="57"/>
  <c r="V226" i="57"/>
  <c r="V254" i="57"/>
  <c r="V135" i="57"/>
  <c r="V207" i="57"/>
  <c r="V186" i="57"/>
  <c r="V38" i="57"/>
  <c r="V300" i="57"/>
  <c r="V288" i="57"/>
  <c r="V48" i="57"/>
  <c r="V133" i="57"/>
  <c r="V268" i="57"/>
  <c r="V81" i="57"/>
  <c r="V46" i="57"/>
  <c r="V142" i="57"/>
  <c r="V174" i="57"/>
  <c r="V118" i="57"/>
  <c r="V317" i="57"/>
  <c r="V173" i="57"/>
  <c r="V285" i="57"/>
  <c r="V183" i="57"/>
  <c r="V216" i="57"/>
  <c r="V98" i="57"/>
  <c r="V228" i="57"/>
  <c r="V276" i="57"/>
  <c r="V234" i="57"/>
  <c r="V235" i="57"/>
  <c r="V291" i="57"/>
  <c r="V62" i="57"/>
  <c r="V294" i="57"/>
  <c r="V44" i="57"/>
  <c r="V281" i="57"/>
  <c r="V47" i="57"/>
  <c r="V293" i="57"/>
  <c r="V206" i="57"/>
  <c r="V14" i="57"/>
  <c r="V83" i="57"/>
  <c r="V18" i="57"/>
  <c r="V137" i="57"/>
  <c r="V148" i="57"/>
  <c r="V167" i="57"/>
  <c r="V157" i="57"/>
  <c r="V304" i="57"/>
  <c r="V124" i="57"/>
  <c r="V129" i="57"/>
  <c r="V275" i="57"/>
  <c r="V209" i="57"/>
  <c r="V43" i="57"/>
  <c r="V195" i="57"/>
  <c r="V90" i="57"/>
  <c r="V262" i="57"/>
  <c r="V45" i="57"/>
  <c r="V73" i="57"/>
  <c r="V230" i="57"/>
  <c r="V256" i="57"/>
  <c r="V177" i="57"/>
  <c r="V210" i="57"/>
  <c r="V286" i="57"/>
  <c r="V161" i="57"/>
  <c r="V316" i="57"/>
  <c r="V66" i="57"/>
  <c r="V238" i="57"/>
  <c r="V138" i="57"/>
  <c r="V92" i="57"/>
  <c r="V270" i="57"/>
  <c r="V280" i="57"/>
  <c r="V100" i="57"/>
  <c r="V93" i="57"/>
  <c r="V318" i="57"/>
  <c r="V295" i="57"/>
  <c r="V302" i="57"/>
  <c r="V156" i="57"/>
  <c r="V319" i="57"/>
  <c r="V298" i="57"/>
  <c r="AX17" i="56" l="1"/>
  <c r="BK17" i="56"/>
  <c r="AT198" i="56"/>
  <c r="BH198" i="56" s="1"/>
  <c r="AZ198" i="56"/>
  <c r="AT315" i="56"/>
  <c r="BH315" i="56" s="1"/>
  <c r="AZ315" i="56"/>
  <c r="AZ308" i="56"/>
  <c r="AT308" i="56"/>
  <c r="BH308" i="56" s="1"/>
  <c r="AZ298" i="56"/>
  <c r="AT298" i="56"/>
  <c r="AZ286" i="56"/>
  <c r="AT286" i="56"/>
  <c r="AT274" i="56"/>
  <c r="AZ274" i="56"/>
  <c r="AZ262" i="56"/>
  <c r="AT262" i="56"/>
  <c r="BH262" i="56" s="1"/>
  <c r="AZ249" i="56"/>
  <c r="AT249" i="56"/>
  <c r="BH249" i="56" s="1"/>
  <c r="AZ235" i="56"/>
  <c r="AT235" i="56"/>
  <c r="AZ223" i="56"/>
  <c r="AT223" i="56"/>
  <c r="AZ201" i="56"/>
  <c r="AT201" i="56"/>
  <c r="AZ189" i="56"/>
  <c r="AT189" i="56"/>
  <c r="AZ177" i="56"/>
  <c r="AT177" i="56"/>
  <c r="BH177" i="56" s="1"/>
  <c r="AZ165" i="56"/>
  <c r="AT165" i="56"/>
  <c r="BH165" i="56" s="1"/>
  <c r="AT153" i="56"/>
  <c r="BH153" i="56" s="1"/>
  <c r="AZ153" i="56"/>
  <c r="AZ141" i="56"/>
  <c r="AT141" i="56"/>
  <c r="AZ129" i="56"/>
  <c r="AT129" i="56"/>
  <c r="AZ117" i="56"/>
  <c r="AT117" i="56"/>
  <c r="AT105" i="56"/>
  <c r="BH105" i="56" s="1"/>
  <c r="AZ105" i="56"/>
  <c r="AZ90" i="56"/>
  <c r="AT90" i="56"/>
  <c r="BH90" i="56" s="1"/>
  <c r="AZ79" i="56"/>
  <c r="AT79" i="56"/>
  <c r="BH79" i="56" s="1"/>
  <c r="AT67" i="56"/>
  <c r="AZ67" i="56"/>
  <c r="AZ55" i="56"/>
  <c r="AT55" i="56"/>
  <c r="AZ43" i="56"/>
  <c r="AT43" i="56"/>
  <c r="AT31" i="56"/>
  <c r="BH31" i="56" s="1"/>
  <c r="AZ31" i="56"/>
  <c r="AT19" i="56"/>
  <c r="BH19" i="56" s="1"/>
  <c r="AZ19" i="56"/>
  <c r="AO102" i="56"/>
  <c r="AI102" i="56"/>
  <c r="AJ102" i="56" s="1"/>
  <c r="AO245" i="56"/>
  <c r="AI245" i="56"/>
  <c r="AJ245" i="56" s="1"/>
  <c r="AO151" i="56"/>
  <c r="AI151" i="56"/>
  <c r="AJ151" i="56" s="1"/>
  <c r="AO307" i="56"/>
  <c r="AI307" i="56"/>
  <c r="AJ307" i="56" s="1"/>
  <c r="AO70" i="56"/>
  <c r="AI70" i="56"/>
  <c r="AO214" i="56"/>
  <c r="AI214" i="56"/>
  <c r="AJ214" i="56" s="1"/>
  <c r="AO59" i="56"/>
  <c r="AI59" i="56"/>
  <c r="AJ59" i="56" s="1"/>
  <c r="AO204" i="56"/>
  <c r="AI204" i="56"/>
  <c r="AJ204" i="56" s="1"/>
  <c r="AO141" i="56"/>
  <c r="AI141" i="56"/>
  <c r="AJ141" i="56" s="1"/>
  <c r="AO122" i="56"/>
  <c r="AI122" i="56"/>
  <c r="AJ122" i="56" s="1"/>
  <c r="AO269" i="56"/>
  <c r="AI269" i="56"/>
  <c r="AJ269" i="56" s="1"/>
  <c r="AO87" i="56"/>
  <c r="AI87" i="56"/>
  <c r="AJ87" i="56" s="1"/>
  <c r="AO230" i="56"/>
  <c r="AI230" i="56"/>
  <c r="AJ230" i="56" s="1"/>
  <c r="AO128" i="56"/>
  <c r="AI128" i="56"/>
  <c r="AJ128" i="56" s="1"/>
  <c r="AO271" i="56"/>
  <c r="AI271" i="56"/>
  <c r="AJ271" i="56" s="1"/>
  <c r="AO81" i="56"/>
  <c r="AI81" i="56"/>
  <c r="AJ81" i="56" s="1"/>
  <c r="AO225" i="56"/>
  <c r="AI225" i="56"/>
  <c r="AJ225" i="56" s="1"/>
  <c r="AO90" i="56"/>
  <c r="AI90" i="56"/>
  <c r="AJ90" i="56" s="1"/>
  <c r="AO42" i="56"/>
  <c r="AI42" i="56"/>
  <c r="AJ42" i="56" s="1"/>
  <c r="AO188" i="56"/>
  <c r="AI188" i="56"/>
  <c r="AJ188" i="56" s="1"/>
  <c r="AO34" i="56"/>
  <c r="AI34" i="56"/>
  <c r="AJ34" i="56" s="1"/>
  <c r="AO178" i="56"/>
  <c r="AI178" i="56"/>
  <c r="AJ178" i="56" s="1"/>
  <c r="AZ296" i="56"/>
  <c r="AT296" i="56"/>
  <c r="BH296" i="56" s="1"/>
  <c r="AZ220" i="56"/>
  <c r="AT220" i="56"/>
  <c r="BH220" i="56" s="1"/>
  <c r="AZ76" i="56"/>
  <c r="AT76" i="56"/>
  <c r="BH76" i="56" s="1"/>
  <c r="AZ307" i="56"/>
  <c r="AT307" i="56"/>
  <c r="AZ297" i="56"/>
  <c r="AT297" i="56"/>
  <c r="AZ285" i="56"/>
  <c r="AT285" i="56"/>
  <c r="AZ273" i="56"/>
  <c r="AT273" i="56"/>
  <c r="BH273" i="56" s="1"/>
  <c r="AT261" i="56"/>
  <c r="BH261" i="56" s="1"/>
  <c r="AZ261" i="56"/>
  <c r="AZ247" i="56"/>
  <c r="AT247" i="56"/>
  <c r="BH247" i="56" s="1"/>
  <c r="AZ234" i="56"/>
  <c r="AT234" i="56"/>
  <c r="AZ222" i="56"/>
  <c r="AT222" i="56"/>
  <c r="AT211" i="56"/>
  <c r="AZ211" i="56"/>
  <c r="AT200" i="56"/>
  <c r="BH200" i="56" s="1"/>
  <c r="AZ200" i="56"/>
  <c r="AZ188" i="56"/>
  <c r="AT188" i="56"/>
  <c r="BH188" i="56" s="1"/>
  <c r="AZ176" i="56"/>
  <c r="AT176" i="56"/>
  <c r="BH176" i="56" s="1"/>
  <c r="AZ164" i="56"/>
  <c r="AT164" i="56"/>
  <c r="AZ152" i="56"/>
  <c r="AT152" i="56"/>
  <c r="AT140" i="56"/>
  <c r="AZ140" i="56"/>
  <c r="AZ127" i="56"/>
  <c r="AT127" i="56"/>
  <c r="BH127" i="56" s="1"/>
  <c r="AZ116" i="56"/>
  <c r="AT116" i="56"/>
  <c r="BH116" i="56" s="1"/>
  <c r="AZ104" i="56"/>
  <c r="AT104" i="56"/>
  <c r="BH104" i="56" s="1"/>
  <c r="AZ89" i="56"/>
  <c r="AT89" i="56"/>
  <c r="AZ78" i="56"/>
  <c r="AT78" i="56"/>
  <c r="AT65" i="56"/>
  <c r="AZ65" i="56"/>
  <c r="AT54" i="56"/>
  <c r="BH54" i="56" s="1"/>
  <c r="AZ54" i="56"/>
  <c r="AZ42" i="56"/>
  <c r="AT42" i="56"/>
  <c r="BH42" i="56" s="1"/>
  <c r="AT30" i="56"/>
  <c r="AZ30" i="56"/>
  <c r="AT18" i="56"/>
  <c r="AZ18" i="56"/>
  <c r="AO112" i="56"/>
  <c r="AI112" i="56"/>
  <c r="AJ112" i="56" s="1"/>
  <c r="AO16" i="56"/>
  <c r="AI16" i="56"/>
  <c r="AJ16" i="56" s="1"/>
  <c r="AO163" i="56"/>
  <c r="AI163" i="56"/>
  <c r="AJ163" i="56" s="1"/>
  <c r="AO249" i="56"/>
  <c r="AI249" i="56"/>
  <c r="AJ249" i="56" s="1"/>
  <c r="AO82" i="56"/>
  <c r="AI82" i="56"/>
  <c r="AJ82" i="56" s="1"/>
  <c r="AO226" i="56"/>
  <c r="AI226" i="56"/>
  <c r="AJ226" i="56" s="1"/>
  <c r="AO71" i="56"/>
  <c r="AI71" i="56"/>
  <c r="AJ71" i="56" s="1"/>
  <c r="AO215" i="56"/>
  <c r="AI215" i="56"/>
  <c r="AJ215" i="56" s="1"/>
  <c r="AO153" i="56"/>
  <c r="AI153" i="56"/>
  <c r="AJ153" i="56" s="1"/>
  <c r="AO135" i="56"/>
  <c r="AI135" i="56"/>
  <c r="AJ135" i="56" s="1"/>
  <c r="AO281" i="56"/>
  <c r="AI281" i="56"/>
  <c r="AJ281" i="56" s="1"/>
  <c r="AO98" i="56"/>
  <c r="AI98" i="56"/>
  <c r="AJ98" i="56" s="1"/>
  <c r="AO243" i="56"/>
  <c r="AI243" i="56"/>
  <c r="AJ243" i="56" s="1"/>
  <c r="AO6" i="56"/>
  <c r="AP6" i="56" s="1"/>
  <c r="AI6" i="56"/>
  <c r="AJ6" i="56" s="1"/>
  <c r="AI137" i="56"/>
  <c r="AJ137" i="56" s="1"/>
  <c r="AO137" i="56"/>
  <c r="AO283" i="56"/>
  <c r="AI283" i="56"/>
  <c r="AJ283" i="56" s="1"/>
  <c r="AO94" i="56"/>
  <c r="AI94" i="56"/>
  <c r="AJ94" i="56" s="1"/>
  <c r="AO237" i="56"/>
  <c r="AI237" i="56"/>
  <c r="AJ237" i="56" s="1"/>
  <c r="AO105" i="56"/>
  <c r="AI105" i="56"/>
  <c r="AJ105" i="56" s="1"/>
  <c r="AO54" i="56"/>
  <c r="AI54" i="56"/>
  <c r="AJ54" i="56" s="1"/>
  <c r="AO200" i="56"/>
  <c r="AI200" i="56"/>
  <c r="AJ200" i="56" s="1"/>
  <c r="AO44" i="56"/>
  <c r="AI44" i="56"/>
  <c r="AJ44" i="56" s="1"/>
  <c r="AO190" i="56"/>
  <c r="AI190" i="56"/>
  <c r="AJ190" i="56" s="1"/>
  <c r="AZ272" i="56"/>
  <c r="AT272" i="56"/>
  <c r="AZ246" i="56"/>
  <c r="AT246" i="56"/>
  <c r="AZ233" i="56"/>
  <c r="AT233" i="56"/>
  <c r="AZ221" i="56"/>
  <c r="AT221" i="56"/>
  <c r="BH221" i="56" s="1"/>
  <c r="AZ210" i="56"/>
  <c r="AT210" i="56"/>
  <c r="BH210" i="56" s="1"/>
  <c r="AZ199" i="56"/>
  <c r="AT199" i="56"/>
  <c r="BH199" i="56" s="1"/>
  <c r="AZ187" i="56"/>
  <c r="AT187" i="56"/>
  <c r="AZ175" i="56"/>
  <c r="AT175" i="56"/>
  <c r="AZ163" i="56"/>
  <c r="AT163" i="56"/>
  <c r="AZ151" i="56"/>
  <c r="AT151" i="56"/>
  <c r="BH151" i="56" s="1"/>
  <c r="AT139" i="56"/>
  <c r="BH139" i="56" s="1"/>
  <c r="AZ139" i="56"/>
  <c r="AT126" i="56"/>
  <c r="BH126" i="56" s="1"/>
  <c r="AZ126" i="56"/>
  <c r="AT113" i="56"/>
  <c r="AZ113" i="56"/>
  <c r="AZ103" i="56"/>
  <c r="AT103" i="56"/>
  <c r="AZ92" i="56"/>
  <c r="AT92" i="56"/>
  <c r="AZ77" i="56"/>
  <c r="AT77" i="56"/>
  <c r="BH77" i="56" s="1"/>
  <c r="AZ64" i="56"/>
  <c r="AT64" i="56"/>
  <c r="BH64" i="56" s="1"/>
  <c r="AZ53" i="56"/>
  <c r="AT53" i="56"/>
  <c r="BH53" i="56" s="1"/>
  <c r="AZ41" i="56"/>
  <c r="AT41" i="56"/>
  <c r="AT29" i="56"/>
  <c r="AZ29" i="56"/>
  <c r="AT16" i="56"/>
  <c r="AZ16" i="56"/>
  <c r="AI125" i="56"/>
  <c r="AJ125" i="56" s="1"/>
  <c r="AO125" i="56"/>
  <c r="AO29" i="56"/>
  <c r="AI29" i="56"/>
  <c r="AJ29" i="56" s="1"/>
  <c r="AO175" i="56"/>
  <c r="AI175" i="56"/>
  <c r="AJ175" i="56" s="1"/>
  <c r="AO263" i="56"/>
  <c r="AI263" i="56"/>
  <c r="AJ263" i="56" s="1"/>
  <c r="AO95" i="56"/>
  <c r="AI95" i="56"/>
  <c r="AJ95" i="56" s="1"/>
  <c r="AO238" i="56"/>
  <c r="AI238" i="56"/>
  <c r="AJ238" i="56" s="1"/>
  <c r="AO84" i="56"/>
  <c r="AI84" i="56"/>
  <c r="AJ84" i="56" s="1"/>
  <c r="AO227" i="56"/>
  <c r="AI227" i="56"/>
  <c r="AJ227" i="56" s="1"/>
  <c r="AO147" i="56"/>
  <c r="AI147" i="56"/>
  <c r="AJ147" i="56" s="1"/>
  <c r="AO293" i="56"/>
  <c r="AI293" i="56"/>
  <c r="AJ293" i="56" s="1"/>
  <c r="AO115" i="56"/>
  <c r="AI115" i="56"/>
  <c r="AJ115" i="56" s="1"/>
  <c r="AO256" i="56"/>
  <c r="AI256" i="56"/>
  <c r="AJ256" i="56" s="1"/>
  <c r="AO246" i="56"/>
  <c r="AI246" i="56"/>
  <c r="AJ246" i="56" s="1"/>
  <c r="AI149" i="56"/>
  <c r="AJ149" i="56" s="1"/>
  <c r="AO149" i="56"/>
  <c r="AO295" i="56"/>
  <c r="AI295" i="56"/>
  <c r="AJ295" i="56" s="1"/>
  <c r="AO107" i="56"/>
  <c r="AI107" i="56"/>
  <c r="AJ107" i="56" s="1"/>
  <c r="AI251" i="56"/>
  <c r="AJ251" i="56" s="1"/>
  <c r="AO251" i="56"/>
  <c r="AO117" i="56"/>
  <c r="AI117" i="56"/>
  <c r="AJ117" i="56" s="1"/>
  <c r="AO65" i="56"/>
  <c r="AI65" i="56"/>
  <c r="AJ65" i="56" s="1"/>
  <c r="AO211" i="56"/>
  <c r="AI211" i="56"/>
  <c r="AJ211" i="56" s="1"/>
  <c r="AO56" i="56"/>
  <c r="AI56" i="56"/>
  <c r="AJ56" i="56" s="1"/>
  <c r="AO202" i="56"/>
  <c r="AI202" i="56"/>
  <c r="AJ202" i="56" s="1"/>
  <c r="AZ138" i="56"/>
  <c r="AT138" i="56"/>
  <c r="AZ102" i="56"/>
  <c r="AT102" i="56"/>
  <c r="AT28" i="56"/>
  <c r="BH28" i="56" s="1"/>
  <c r="AZ28" i="56"/>
  <c r="AT15" i="56"/>
  <c r="BH15" i="56" s="1"/>
  <c r="AZ15" i="56"/>
  <c r="AO138" i="56"/>
  <c r="AI138" i="56"/>
  <c r="AJ138" i="56" s="1"/>
  <c r="AO41" i="56"/>
  <c r="AI41" i="56"/>
  <c r="AJ41" i="56" s="1"/>
  <c r="AO187" i="56"/>
  <c r="AI187" i="56"/>
  <c r="AJ187" i="56" s="1"/>
  <c r="AO275" i="56"/>
  <c r="AI275" i="56"/>
  <c r="AJ275" i="56" s="1"/>
  <c r="AO108" i="56"/>
  <c r="AI108" i="56"/>
  <c r="AJ108" i="56" s="1"/>
  <c r="AO252" i="56"/>
  <c r="AI252" i="56"/>
  <c r="AJ252" i="56" s="1"/>
  <c r="AO96" i="56"/>
  <c r="AI96" i="56"/>
  <c r="AJ96" i="56" s="1"/>
  <c r="AO239" i="56"/>
  <c r="AI239" i="56"/>
  <c r="AJ239" i="56" s="1"/>
  <c r="AO223" i="56"/>
  <c r="AI223" i="56"/>
  <c r="AJ223" i="56" s="1"/>
  <c r="AO159" i="56"/>
  <c r="AI159" i="56"/>
  <c r="AJ159" i="56" s="1"/>
  <c r="AO304" i="56"/>
  <c r="AI304" i="56"/>
  <c r="AJ304" i="56" s="1"/>
  <c r="AO124" i="56"/>
  <c r="AI124" i="56"/>
  <c r="AJ124" i="56" s="1"/>
  <c r="AO270" i="56"/>
  <c r="AI270" i="56"/>
  <c r="AJ270" i="56" s="1"/>
  <c r="AO14" i="56"/>
  <c r="AI14" i="56"/>
  <c r="AJ14" i="56" s="1"/>
  <c r="AO161" i="56"/>
  <c r="AI161" i="56"/>
  <c r="AJ161" i="56" s="1"/>
  <c r="AO306" i="56"/>
  <c r="AI306" i="56"/>
  <c r="AJ306" i="56" s="1"/>
  <c r="AO119" i="56"/>
  <c r="AI119" i="56"/>
  <c r="AJ119" i="56" s="1"/>
  <c r="AI265" i="56"/>
  <c r="AJ265" i="56" s="1"/>
  <c r="AO265" i="56"/>
  <c r="AI129" i="56"/>
  <c r="AJ129" i="56" s="1"/>
  <c r="AO129" i="56"/>
  <c r="AO78" i="56"/>
  <c r="AI78" i="56"/>
  <c r="AJ78" i="56" s="1"/>
  <c r="AO222" i="56"/>
  <c r="AI222" i="56"/>
  <c r="AJ222" i="56" s="1"/>
  <c r="AO68" i="56"/>
  <c r="AI68" i="56"/>
  <c r="AJ68" i="56" s="1"/>
  <c r="AO212" i="56"/>
  <c r="AI212" i="56"/>
  <c r="AJ212" i="56" s="1"/>
  <c r="AZ232" i="56"/>
  <c r="AT232" i="56"/>
  <c r="BH232" i="56" s="1"/>
  <c r="AT317" i="56"/>
  <c r="BH317" i="56" s="1"/>
  <c r="AZ317" i="56"/>
  <c r="AZ294" i="56"/>
  <c r="AT294" i="56"/>
  <c r="AZ270" i="56"/>
  <c r="AT270" i="56"/>
  <c r="AT257" i="56"/>
  <c r="AZ257" i="56"/>
  <c r="AT244" i="56"/>
  <c r="BH244" i="56" s="1"/>
  <c r="AZ244" i="56"/>
  <c r="AZ231" i="56"/>
  <c r="AT231" i="56"/>
  <c r="BH231" i="56" s="1"/>
  <c r="AZ219" i="56"/>
  <c r="AT219" i="56"/>
  <c r="BH219" i="56" s="1"/>
  <c r="AZ208" i="56"/>
  <c r="AT208" i="56"/>
  <c r="AT197" i="56"/>
  <c r="AZ197" i="56"/>
  <c r="AT185" i="56"/>
  <c r="AZ185" i="56"/>
  <c r="AZ173" i="56"/>
  <c r="AT173" i="56"/>
  <c r="BH173" i="56" s="1"/>
  <c r="AZ161" i="56"/>
  <c r="AT161" i="56"/>
  <c r="BH161" i="56" s="1"/>
  <c r="AZ149" i="56"/>
  <c r="AT149" i="56"/>
  <c r="BH149" i="56" s="1"/>
  <c r="AZ137" i="56"/>
  <c r="AT137" i="56"/>
  <c r="AZ128" i="56"/>
  <c r="AT128" i="56"/>
  <c r="AT111" i="56"/>
  <c r="AZ111" i="56"/>
  <c r="AZ101" i="56"/>
  <c r="AT101" i="56"/>
  <c r="BH101" i="56" s="1"/>
  <c r="AZ88" i="56"/>
  <c r="AT88" i="56"/>
  <c r="BH88" i="56" s="1"/>
  <c r="AT75" i="56"/>
  <c r="AZ75" i="56"/>
  <c r="AZ62" i="56"/>
  <c r="AT62" i="56"/>
  <c r="AT51" i="56"/>
  <c r="AZ51" i="56"/>
  <c r="AT39" i="56"/>
  <c r="AZ39" i="56"/>
  <c r="AT27" i="56"/>
  <c r="AZ27" i="56"/>
  <c r="AT14" i="56"/>
  <c r="BH14" i="56" s="1"/>
  <c r="AZ14" i="56"/>
  <c r="AO8" i="56"/>
  <c r="AI8" i="56"/>
  <c r="AJ8" i="56" s="1"/>
  <c r="AO150" i="56"/>
  <c r="AI150" i="56"/>
  <c r="AJ150" i="56" s="1"/>
  <c r="AO53" i="56"/>
  <c r="AI53" i="56"/>
  <c r="AJ53" i="56" s="1"/>
  <c r="AO199" i="56"/>
  <c r="AI199" i="56"/>
  <c r="AJ199" i="56" s="1"/>
  <c r="AO287" i="56"/>
  <c r="AI287" i="56"/>
  <c r="AJ287" i="56" s="1"/>
  <c r="AO123" i="56"/>
  <c r="AI123" i="56"/>
  <c r="AJ123" i="56" s="1"/>
  <c r="AO266" i="56"/>
  <c r="AI266" i="56"/>
  <c r="AJ266" i="56" s="1"/>
  <c r="AO109" i="56"/>
  <c r="AI109" i="56"/>
  <c r="AJ109" i="56" s="1"/>
  <c r="AO253" i="56"/>
  <c r="AI253" i="56"/>
  <c r="AJ253" i="56" s="1"/>
  <c r="AO25" i="56"/>
  <c r="AI25" i="56"/>
  <c r="AJ25" i="56" s="1"/>
  <c r="AO171" i="56"/>
  <c r="AI171" i="56"/>
  <c r="AJ171" i="56" s="1"/>
  <c r="AO316" i="56"/>
  <c r="AI316" i="56"/>
  <c r="AJ316" i="56" s="1"/>
  <c r="AO136" i="56"/>
  <c r="AI136" i="56"/>
  <c r="AJ136" i="56" s="1"/>
  <c r="AO282" i="56"/>
  <c r="AI282" i="56"/>
  <c r="AJ282" i="56" s="1"/>
  <c r="AO27" i="56"/>
  <c r="AI27" i="56"/>
  <c r="AJ27" i="56" s="1"/>
  <c r="AO173" i="56"/>
  <c r="AI173" i="56"/>
  <c r="AJ173" i="56" s="1"/>
  <c r="AO7" i="56"/>
  <c r="AI7" i="56"/>
  <c r="AJ7" i="56" s="1"/>
  <c r="AO131" i="56"/>
  <c r="AI131" i="56"/>
  <c r="AJ131" i="56" s="1"/>
  <c r="AI277" i="56"/>
  <c r="AJ277" i="56" s="1"/>
  <c r="AO277" i="56"/>
  <c r="AO165" i="56"/>
  <c r="AI165" i="56"/>
  <c r="AJ165" i="56" s="1"/>
  <c r="AO89" i="56"/>
  <c r="AI89" i="56"/>
  <c r="AJ89" i="56" s="1"/>
  <c r="AO234" i="56"/>
  <c r="AI234" i="56"/>
  <c r="AJ234" i="56" s="1"/>
  <c r="AO80" i="56"/>
  <c r="AI80" i="56"/>
  <c r="AJ80" i="56" s="1"/>
  <c r="AO224" i="56"/>
  <c r="AI224" i="56"/>
  <c r="AJ224" i="56" s="1"/>
  <c r="AZ306" i="56"/>
  <c r="AT306" i="56"/>
  <c r="AZ162" i="56"/>
  <c r="AT162" i="56"/>
  <c r="AZ305" i="56"/>
  <c r="AT305" i="56"/>
  <c r="AZ282" i="56"/>
  <c r="AT282" i="56"/>
  <c r="AT316" i="56"/>
  <c r="BH316" i="56" s="1"/>
  <c r="AZ316" i="56"/>
  <c r="AZ304" i="56"/>
  <c r="AT304" i="56"/>
  <c r="BH304" i="56" s="1"/>
  <c r="AZ293" i="56"/>
  <c r="AT293" i="56"/>
  <c r="AZ281" i="56"/>
  <c r="AT281" i="56"/>
  <c r="AZ269" i="56"/>
  <c r="AT269" i="56"/>
  <c r="AT256" i="56"/>
  <c r="AZ256" i="56"/>
  <c r="AT243" i="56"/>
  <c r="BH243" i="56" s="1"/>
  <c r="AZ243" i="56"/>
  <c r="AT230" i="56"/>
  <c r="AZ230" i="56"/>
  <c r="AZ218" i="56"/>
  <c r="AT218" i="56"/>
  <c r="AZ207" i="56"/>
  <c r="AT207" i="56"/>
  <c r="AT196" i="56"/>
  <c r="AZ196" i="56"/>
  <c r="AT184" i="56"/>
  <c r="AZ184" i="56"/>
  <c r="AT172" i="56"/>
  <c r="AZ172" i="56"/>
  <c r="AZ160" i="56"/>
  <c r="AT160" i="56"/>
  <c r="BH160" i="56" s="1"/>
  <c r="AZ148" i="56"/>
  <c r="AT148" i="56"/>
  <c r="AZ136" i="56"/>
  <c r="AT136" i="56"/>
  <c r="AT124" i="56"/>
  <c r="AZ124" i="56"/>
  <c r="AZ115" i="56"/>
  <c r="AT115" i="56"/>
  <c r="AT98" i="56"/>
  <c r="AZ98" i="56"/>
  <c r="AT87" i="56"/>
  <c r="AZ87" i="56"/>
  <c r="AZ74" i="56"/>
  <c r="AT74" i="56"/>
  <c r="AZ61" i="56"/>
  <c r="AT61" i="56"/>
  <c r="AZ50" i="56"/>
  <c r="AT50" i="56"/>
  <c r="AT38" i="56"/>
  <c r="AZ38" i="56"/>
  <c r="AT26" i="56"/>
  <c r="AZ26" i="56"/>
  <c r="AZ13" i="56"/>
  <c r="AT13" i="56"/>
  <c r="BH13" i="56" s="1"/>
  <c r="AO15" i="56"/>
  <c r="AI15" i="56"/>
  <c r="AJ15" i="56" s="1"/>
  <c r="AO162" i="56"/>
  <c r="AI162" i="56"/>
  <c r="AJ162" i="56" s="1"/>
  <c r="AO64" i="56"/>
  <c r="AI64" i="56"/>
  <c r="AJ64" i="56" s="1"/>
  <c r="AO210" i="56"/>
  <c r="AI210" i="56"/>
  <c r="AJ210" i="56" s="1"/>
  <c r="AO299" i="56"/>
  <c r="AI299" i="56"/>
  <c r="AJ299" i="56" s="1"/>
  <c r="AO132" i="56"/>
  <c r="AI132" i="56"/>
  <c r="AJ132" i="56" s="1"/>
  <c r="AO278" i="56"/>
  <c r="AI278" i="56"/>
  <c r="AJ278" i="56" s="1"/>
  <c r="AO120" i="56"/>
  <c r="AI120" i="56"/>
  <c r="AJ120" i="56" s="1"/>
  <c r="AO267" i="56"/>
  <c r="AI267" i="56"/>
  <c r="AJ267" i="56" s="1"/>
  <c r="AO37" i="56"/>
  <c r="AI37" i="56"/>
  <c r="AJ37" i="56" s="1"/>
  <c r="AO183" i="56"/>
  <c r="AI183" i="56"/>
  <c r="AJ183" i="56" s="1"/>
  <c r="AO12" i="56"/>
  <c r="AI12" i="56"/>
  <c r="AJ12" i="56" s="1"/>
  <c r="AO148" i="56"/>
  <c r="AI148" i="56"/>
  <c r="AJ148" i="56" s="1"/>
  <c r="AO294" i="56"/>
  <c r="AI294" i="56"/>
  <c r="AJ294" i="56" s="1"/>
  <c r="AI39" i="56"/>
  <c r="AJ39" i="56" s="1"/>
  <c r="AO39" i="56"/>
  <c r="AO185" i="56"/>
  <c r="AI185" i="56"/>
  <c r="AJ185" i="56" s="1"/>
  <c r="AO143" i="56"/>
  <c r="AI143" i="56"/>
  <c r="AJ143" i="56" s="1"/>
  <c r="AI289" i="56"/>
  <c r="AJ289" i="56" s="1"/>
  <c r="AO289" i="56"/>
  <c r="AO177" i="56"/>
  <c r="AI177" i="56"/>
  <c r="AJ177" i="56" s="1"/>
  <c r="AO104" i="56"/>
  <c r="AI104" i="56"/>
  <c r="AJ104" i="56" s="1"/>
  <c r="AO247" i="56"/>
  <c r="AI247" i="56"/>
  <c r="AJ247" i="56" s="1"/>
  <c r="AO93" i="56"/>
  <c r="AI93" i="56"/>
  <c r="AJ93" i="56" s="1"/>
  <c r="AO236" i="56"/>
  <c r="AI236" i="56"/>
  <c r="AJ236" i="56" s="1"/>
  <c r="AZ271" i="56"/>
  <c r="AT271" i="56"/>
  <c r="BH271" i="56" s="1"/>
  <c r="AT112" i="56"/>
  <c r="AZ112" i="56"/>
  <c r="AZ292" i="56"/>
  <c r="AT292" i="56"/>
  <c r="AZ280" i="56"/>
  <c r="AT280" i="56"/>
  <c r="AZ268" i="56"/>
  <c r="AT268" i="56"/>
  <c r="AZ255" i="56"/>
  <c r="AT255" i="56"/>
  <c r="BH255" i="56" s="1"/>
  <c r="AZ242" i="56"/>
  <c r="AT242" i="56"/>
  <c r="BH242" i="56" s="1"/>
  <c r="AZ229" i="56"/>
  <c r="AT229" i="56"/>
  <c r="AZ217" i="56"/>
  <c r="AT217" i="56"/>
  <c r="AZ206" i="56"/>
  <c r="AT206" i="56"/>
  <c r="AT195" i="56"/>
  <c r="AZ195" i="56"/>
  <c r="AT183" i="56"/>
  <c r="BH183" i="56" s="1"/>
  <c r="AZ183" i="56"/>
  <c r="AT171" i="56"/>
  <c r="AZ171" i="56"/>
  <c r="AZ159" i="56"/>
  <c r="AT159" i="56"/>
  <c r="BH159" i="56" s="1"/>
  <c r="AZ147" i="56"/>
  <c r="AT147" i="56"/>
  <c r="AZ135" i="56"/>
  <c r="AT135" i="56"/>
  <c r="AT122" i="56"/>
  <c r="AZ122" i="56"/>
  <c r="AZ114" i="56"/>
  <c r="AT114" i="56"/>
  <c r="BH114" i="56" s="1"/>
  <c r="AT100" i="56"/>
  <c r="AZ100" i="56"/>
  <c r="AZ86" i="56"/>
  <c r="AT86" i="56"/>
  <c r="AZ73" i="56"/>
  <c r="AT73" i="56"/>
  <c r="AT63" i="56"/>
  <c r="AZ63" i="56"/>
  <c r="AZ49" i="56"/>
  <c r="AT49" i="56"/>
  <c r="AT37" i="56"/>
  <c r="AZ37" i="56"/>
  <c r="AZ25" i="56"/>
  <c r="AT25" i="56"/>
  <c r="AZ12" i="56"/>
  <c r="AT12" i="56"/>
  <c r="AO28" i="56"/>
  <c r="AI28" i="56"/>
  <c r="AJ28" i="56" s="1"/>
  <c r="AO174" i="56"/>
  <c r="AI174" i="56"/>
  <c r="AJ174" i="56" s="1"/>
  <c r="AO77" i="56"/>
  <c r="AI77" i="56"/>
  <c r="AJ77" i="56" s="1"/>
  <c r="AI221" i="56"/>
  <c r="AJ221" i="56" s="1"/>
  <c r="AO221" i="56"/>
  <c r="AO309" i="56"/>
  <c r="AI309" i="56"/>
  <c r="AJ309" i="56" s="1"/>
  <c r="AO144" i="56"/>
  <c r="AI144" i="56"/>
  <c r="AJ144" i="56" s="1"/>
  <c r="AO290" i="56"/>
  <c r="AI290" i="56"/>
  <c r="AJ290" i="56" s="1"/>
  <c r="AO133" i="56"/>
  <c r="AI133" i="56"/>
  <c r="AJ133" i="56" s="1"/>
  <c r="AO279" i="56"/>
  <c r="AI279" i="56"/>
  <c r="AJ279" i="56" s="1"/>
  <c r="AO49" i="56"/>
  <c r="AI49" i="56"/>
  <c r="AJ49" i="56" s="1"/>
  <c r="AO195" i="56"/>
  <c r="AI195" i="56"/>
  <c r="AJ195" i="56" s="1"/>
  <c r="AO13" i="56"/>
  <c r="AI13" i="56"/>
  <c r="AJ13" i="56" s="1"/>
  <c r="AO160" i="56"/>
  <c r="AI160" i="56"/>
  <c r="AJ160" i="56" s="1"/>
  <c r="AO305" i="56"/>
  <c r="AI305" i="56"/>
  <c r="AJ305" i="56" s="1"/>
  <c r="AI51" i="56"/>
  <c r="AJ51" i="56" s="1"/>
  <c r="AO51" i="56"/>
  <c r="AI197" i="56"/>
  <c r="AJ197" i="56" s="1"/>
  <c r="AO197" i="56"/>
  <c r="AO155" i="56"/>
  <c r="AI155" i="56"/>
  <c r="AJ155" i="56" s="1"/>
  <c r="AO301" i="56"/>
  <c r="AI301" i="56"/>
  <c r="AJ301" i="56" s="1"/>
  <c r="AO189" i="56"/>
  <c r="AI189" i="56"/>
  <c r="AJ189" i="56" s="1"/>
  <c r="AO116" i="56"/>
  <c r="AI116" i="56"/>
  <c r="AJ116" i="56" s="1"/>
  <c r="AO262" i="56"/>
  <c r="AI262" i="56"/>
  <c r="AJ262" i="56" s="1"/>
  <c r="AO106" i="56"/>
  <c r="AI106" i="56"/>
  <c r="AJ106" i="56" s="1"/>
  <c r="AO250" i="56"/>
  <c r="AI250" i="56"/>
  <c r="AJ250" i="56" s="1"/>
  <c r="AZ295" i="56"/>
  <c r="AT295" i="56"/>
  <c r="BH295" i="56" s="1"/>
  <c r="AT186" i="56"/>
  <c r="AZ186" i="56"/>
  <c r="AZ66" i="56"/>
  <c r="AT66" i="56"/>
  <c r="AZ291" i="56"/>
  <c r="AT291" i="56"/>
  <c r="AZ279" i="56"/>
  <c r="AT279" i="56"/>
  <c r="BH279" i="56" s="1"/>
  <c r="AZ267" i="56"/>
  <c r="AT267" i="56"/>
  <c r="AZ254" i="56"/>
  <c r="AT254" i="56"/>
  <c r="AZ241" i="56"/>
  <c r="AT241" i="56"/>
  <c r="AZ228" i="56"/>
  <c r="AT228" i="56"/>
  <c r="AZ216" i="56"/>
  <c r="AT216" i="56"/>
  <c r="AZ205" i="56"/>
  <c r="AT205" i="56"/>
  <c r="BH205" i="56" s="1"/>
  <c r="AT194" i="56"/>
  <c r="AZ194" i="56"/>
  <c r="AT182" i="56"/>
  <c r="AZ182" i="56"/>
  <c r="AT170" i="56"/>
  <c r="AZ170" i="56"/>
  <c r="AT158" i="56"/>
  <c r="BH158" i="56" s="1"/>
  <c r="AZ158" i="56"/>
  <c r="AZ146" i="56"/>
  <c r="AT146" i="56"/>
  <c r="AZ134" i="56"/>
  <c r="AT134" i="56"/>
  <c r="AZ121" i="56"/>
  <c r="AT121" i="56"/>
  <c r="AT110" i="56"/>
  <c r="AZ110" i="56"/>
  <c r="AT97" i="56"/>
  <c r="AZ97" i="56"/>
  <c r="AT85" i="56"/>
  <c r="AZ85" i="56"/>
  <c r="AZ72" i="56"/>
  <c r="AT72" i="56"/>
  <c r="AZ60" i="56"/>
  <c r="AT60" i="56"/>
  <c r="AZ48" i="56"/>
  <c r="AT48" i="56"/>
  <c r="AZ36" i="56"/>
  <c r="AT36" i="56"/>
  <c r="AT24" i="56"/>
  <c r="AZ24" i="56"/>
  <c r="AT11" i="56"/>
  <c r="AZ11" i="56"/>
  <c r="AO40" i="56"/>
  <c r="AI40" i="56"/>
  <c r="AJ40" i="56" s="1"/>
  <c r="AO186" i="56"/>
  <c r="AI186" i="56"/>
  <c r="AJ186" i="56" s="1"/>
  <c r="AO92" i="56"/>
  <c r="AI92" i="56"/>
  <c r="AJ92" i="56" s="1"/>
  <c r="AO233" i="56"/>
  <c r="AI233" i="56"/>
  <c r="AJ233" i="56" s="1"/>
  <c r="AO10" i="56"/>
  <c r="AI10" i="56"/>
  <c r="AJ10" i="56" s="1"/>
  <c r="AO156" i="56"/>
  <c r="AI156" i="56"/>
  <c r="AJ156" i="56" s="1"/>
  <c r="AO302" i="56"/>
  <c r="AI302" i="56"/>
  <c r="AJ302" i="56" s="1"/>
  <c r="AO145" i="56"/>
  <c r="AI145" i="56"/>
  <c r="AJ145" i="56" s="1"/>
  <c r="AO291" i="56"/>
  <c r="AI291" i="56"/>
  <c r="AJ291" i="56" s="1"/>
  <c r="AI63" i="56"/>
  <c r="AJ63" i="56" s="1"/>
  <c r="AO63" i="56"/>
  <c r="AO206" i="56"/>
  <c r="AI206" i="56"/>
  <c r="AJ206" i="56" s="1"/>
  <c r="AO26" i="56"/>
  <c r="AI26" i="56"/>
  <c r="AJ26" i="56" s="1"/>
  <c r="AO172" i="56"/>
  <c r="AI172" i="56"/>
  <c r="AJ172" i="56" s="1"/>
  <c r="AO317" i="56"/>
  <c r="AI317" i="56"/>
  <c r="AJ317" i="56" s="1"/>
  <c r="AO62" i="56"/>
  <c r="AI62" i="56"/>
  <c r="AJ62" i="56" s="1"/>
  <c r="AO208" i="56"/>
  <c r="AI208" i="56"/>
  <c r="AJ208" i="56" s="1"/>
  <c r="AO21" i="56"/>
  <c r="AI21" i="56"/>
  <c r="AJ21" i="56" s="1"/>
  <c r="AO167" i="56"/>
  <c r="AI167" i="56"/>
  <c r="AJ167" i="56" s="1"/>
  <c r="AO312" i="56"/>
  <c r="AI312" i="56"/>
  <c r="AJ312" i="56" s="1"/>
  <c r="AI201" i="56"/>
  <c r="AJ201" i="56" s="1"/>
  <c r="AO201" i="56"/>
  <c r="AO127" i="56"/>
  <c r="AI127" i="56"/>
  <c r="AJ127" i="56" s="1"/>
  <c r="AO274" i="56"/>
  <c r="AI274" i="56"/>
  <c r="AJ274" i="56" s="1"/>
  <c r="AO118" i="56"/>
  <c r="AI118" i="56"/>
  <c r="AJ118" i="56" s="1"/>
  <c r="AO264" i="56"/>
  <c r="AI264" i="56"/>
  <c r="AJ264" i="56" s="1"/>
  <c r="AT245" i="56"/>
  <c r="AZ245" i="56"/>
  <c r="AT125" i="56"/>
  <c r="AZ125" i="56"/>
  <c r="AT40" i="56"/>
  <c r="AZ40" i="56"/>
  <c r="AT303" i="56"/>
  <c r="AZ303" i="56"/>
  <c r="AT313" i="56"/>
  <c r="AZ313" i="56"/>
  <c r="AT302" i="56"/>
  <c r="AZ302" i="56"/>
  <c r="AT290" i="56"/>
  <c r="AZ290" i="56"/>
  <c r="AZ278" i="56"/>
  <c r="AT278" i="56"/>
  <c r="AZ266" i="56"/>
  <c r="AT266" i="56"/>
  <c r="AT253" i="56"/>
  <c r="AZ253" i="56"/>
  <c r="AT239" i="56"/>
  <c r="AZ239" i="56"/>
  <c r="AT227" i="56"/>
  <c r="AZ227" i="56"/>
  <c r="AZ215" i="56"/>
  <c r="AT215" i="56"/>
  <c r="AZ204" i="56"/>
  <c r="AT204" i="56"/>
  <c r="AZ193" i="56"/>
  <c r="AT193" i="56"/>
  <c r="AZ181" i="56"/>
  <c r="AT181" i="56"/>
  <c r="AZ169" i="56"/>
  <c r="AT169" i="56"/>
  <c r="AZ157" i="56"/>
  <c r="AT157" i="56"/>
  <c r="AZ145" i="56"/>
  <c r="AT145" i="56"/>
  <c r="AZ133" i="56"/>
  <c r="AT133" i="56"/>
  <c r="BH133" i="56" s="1"/>
  <c r="AZ120" i="56"/>
  <c r="AT120" i="56"/>
  <c r="AZ109" i="56"/>
  <c r="AT109" i="56"/>
  <c r="AZ96" i="56"/>
  <c r="AT96" i="56"/>
  <c r="AZ84" i="56"/>
  <c r="AT84" i="56"/>
  <c r="AZ71" i="56"/>
  <c r="AT71" i="56"/>
  <c r="AZ59" i="56"/>
  <c r="AT59" i="56"/>
  <c r="BH59" i="56" s="1"/>
  <c r="AZ47" i="56"/>
  <c r="AT47" i="56"/>
  <c r="AZ35" i="56"/>
  <c r="AT35" i="56"/>
  <c r="AZ23" i="56"/>
  <c r="AT23" i="56"/>
  <c r="AZ10" i="56"/>
  <c r="AT10" i="56"/>
  <c r="AO52" i="56"/>
  <c r="AI52" i="56"/>
  <c r="AJ52" i="56" s="1"/>
  <c r="AO198" i="56"/>
  <c r="AI198" i="56"/>
  <c r="AJ198" i="56" s="1"/>
  <c r="AO103" i="56"/>
  <c r="AI103" i="56"/>
  <c r="AJ103" i="56" s="1"/>
  <c r="AO261" i="56"/>
  <c r="AI261" i="56"/>
  <c r="AJ261" i="56" s="1"/>
  <c r="AO22" i="56"/>
  <c r="AI22" i="56"/>
  <c r="AJ22" i="56" s="1"/>
  <c r="AO168" i="56"/>
  <c r="AI168" i="56"/>
  <c r="AJ168" i="56" s="1"/>
  <c r="AO313" i="56"/>
  <c r="AI313" i="56"/>
  <c r="AJ313" i="56" s="1"/>
  <c r="AO157" i="56"/>
  <c r="AI157" i="56"/>
  <c r="AJ157" i="56" s="1"/>
  <c r="AO303" i="56"/>
  <c r="AI303" i="56"/>
  <c r="AJ303" i="56" s="1"/>
  <c r="AO73" i="56"/>
  <c r="AI73" i="56"/>
  <c r="AJ73" i="56" s="1"/>
  <c r="AO217" i="56"/>
  <c r="AI217" i="56"/>
  <c r="AJ217" i="56" s="1"/>
  <c r="AO38" i="56"/>
  <c r="AI38" i="56"/>
  <c r="AJ38" i="56" s="1"/>
  <c r="AO184" i="56"/>
  <c r="AI184" i="56"/>
  <c r="AJ184" i="56" s="1"/>
  <c r="AO259" i="56"/>
  <c r="AI259" i="56"/>
  <c r="AJ259" i="56" s="1"/>
  <c r="AI75" i="56"/>
  <c r="AJ75" i="56" s="1"/>
  <c r="AO75" i="56"/>
  <c r="AO219" i="56"/>
  <c r="AI219" i="56"/>
  <c r="AJ219" i="56" s="1"/>
  <c r="AO32" i="56"/>
  <c r="AI32" i="56"/>
  <c r="AJ32" i="56" s="1"/>
  <c r="AO179" i="56"/>
  <c r="AI179" i="56"/>
  <c r="AJ179" i="56" s="1"/>
  <c r="AO19" i="56"/>
  <c r="AI19" i="56"/>
  <c r="AJ19" i="56" s="1"/>
  <c r="AO235" i="56"/>
  <c r="AI235" i="56"/>
  <c r="AJ235" i="56" s="1"/>
  <c r="AO140" i="56"/>
  <c r="AI140" i="56"/>
  <c r="AJ140" i="56" s="1"/>
  <c r="AO286" i="56"/>
  <c r="AI286" i="56"/>
  <c r="AJ286" i="56" s="1"/>
  <c r="AO130" i="56"/>
  <c r="AI130" i="56"/>
  <c r="AJ130" i="56" s="1"/>
  <c r="AO276" i="56"/>
  <c r="AI276" i="56"/>
  <c r="AJ276" i="56" s="1"/>
  <c r="AZ283" i="56"/>
  <c r="AT283" i="56"/>
  <c r="AZ150" i="56"/>
  <c r="AT150" i="56"/>
  <c r="AT52" i="56"/>
  <c r="AZ52" i="56"/>
  <c r="AT314" i="56"/>
  <c r="AZ314" i="56"/>
  <c r="AT312" i="56"/>
  <c r="AZ312" i="56"/>
  <c r="AT301" i="56"/>
  <c r="AZ301" i="56"/>
  <c r="AT289" i="56"/>
  <c r="AZ289" i="56"/>
  <c r="AT277" i="56"/>
  <c r="AZ277" i="56"/>
  <c r="AZ265" i="56"/>
  <c r="AT265" i="56"/>
  <c r="AT252" i="56"/>
  <c r="AZ252" i="56"/>
  <c r="AZ238" i="56"/>
  <c r="AT238" i="56"/>
  <c r="AZ226" i="56"/>
  <c r="AT226" i="56"/>
  <c r="AZ214" i="56"/>
  <c r="AT214" i="56"/>
  <c r="AZ192" i="56"/>
  <c r="AT192" i="56"/>
  <c r="AZ180" i="56"/>
  <c r="AT180" i="56"/>
  <c r="AZ168" i="56"/>
  <c r="AT168" i="56"/>
  <c r="AZ156" i="56"/>
  <c r="AT156" i="56"/>
  <c r="AZ144" i="56"/>
  <c r="AT144" i="56"/>
  <c r="AZ132" i="56"/>
  <c r="AT132" i="56"/>
  <c r="AT123" i="56"/>
  <c r="AZ123" i="56"/>
  <c r="AZ108" i="56"/>
  <c r="AT108" i="56"/>
  <c r="AZ95" i="56"/>
  <c r="AT95" i="56"/>
  <c r="AZ82" i="56"/>
  <c r="AT82" i="56"/>
  <c r="AZ70" i="56"/>
  <c r="AT70" i="56"/>
  <c r="BH70" i="56" s="1"/>
  <c r="AZ58" i="56"/>
  <c r="AT58" i="56"/>
  <c r="AZ46" i="56"/>
  <c r="AT46" i="56"/>
  <c r="AT33" i="56"/>
  <c r="AZ33" i="56"/>
  <c r="AZ22" i="56"/>
  <c r="AT22" i="56"/>
  <c r="AZ9" i="56"/>
  <c r="AT9" i="56"/>
  <c r="AO66" i="56"/>
  <c r="AI66" i="56"/>
  <c r="AJ66" i="56" s="1"/>
  <c r="AI209" i="56"/>
  <c r="AJ209" i="56" s="1"/>
  <c r="AO209" i="56"/>
  <c r="AO113" i="56"/>
  <c r="AI113" i="56"/>
  <c r="AJ113" i="56" s="1"/>
  <c r="AO273" i="56"/>
  <c r="AI273" i="56"/>
  <c r="AJ273" i="56" s="1"/>
  <c r="AO33" i="56"/>
  <c r="AI33" i="56"/>
  <c r="AJ33" i="56" s="1"/>
  <c r="AO180" i="56"/>
  <c r="AI180" i="56"/>
  <c r="AJ180" i="56" s="1"/>
  <c r="AO23" i="56"/>
  <c r="AI23" i="56"/>
  <c r="AJ23" i="56" s="1"/>
  <c r="AO169" i="56"/>
  <c r="AI169" i="56"/>
  <c r="AJ169" i="56" s="1"/>
  <c r="AO314" i="56"/>
  <c r="AI314" i="56"/>
  <c r="AJ314" i="56" s="1"/>
  <c r="AO86" i="56"/>
  <c r="AI86" i="56"/>
  <c r="AJ86" i="56" s="1"/>
  <c r="AO229" i="56"/>
  <c r="AI229" i="56"/>
  <c r="AJ229" i="56" s="1"/>
  <c r="AO50" i="56"/>
  <c r="AI50" i="56"/>
  <c r="AJ50" i="56" s="1"/>
  <c r="AO196" i="56"/>
  <c r="AI196" i="56"/>
  <c r="AJ196" i="56" s="1"/>
  <c r="AO272" i="56"/>
  <c r="AI272" i="56"/>
  <c r="AJ272" i="56" s="1"/>
  <c r="AO88" i="56"/>
  <c r="AI88" i="56"/>
  <c r="AJ88" i="56" s="1"/>
  <c r="AO231" i="56"/>
  <c r="AI231" i="56"/>
  <c r="AJ231" i="56" s="1"/>
  <c r="AO45" i="56"/>
  <c r="AI45" i="56"/>
  <c r="AJ45" i="56" s="1"/>
  <c r="AO191" i="56"/>
  <c r="AI191" i="56"/>
  <c r="AJ191" i="56" s="1"/>
  <c r="AO31" i="56"/>
  <c r="AI31" i="56"/>
  <c r="AJ31" i="56" s="1"/>
  <c r="AO9" i="56"/>
  <c r="AI9" i="56"/>
  <c r="AJ9" i="56" s="1"/>
  <c r="AO152" i="56"/>
  <c r="AI152" i="56"/>
  <c r="AJ152" i="56" s="1"/>
  <c r="AO298" i="56"/>
  <c r="AI298" i="56"/>
  <c r="AJ298" i="56" s="1"/>
  <c r="AO142" i="56"/>
  <c r="AI142" i="56"/>
  <c r="AJ142" i="56" s="1"/>
  <c r="AO288" i="56"/>
  <c r="AI288" i="56"/>
  <c r="AJ288" i="56" s="1"/>
  <c r="AZ284" i="56"/>
  <c r="AT284" i="56"/>
  <c r="AZ6" i="56"/>
  <c r="AT6" i="56"/>
  <c r="AZ174" i="56"/>
  <c r="AT174" i="56"/>
  <c r="AT311" i="56"/>
  <c r="AZ311" i="56"/>
  <c r="AT300" i="56"/>
  <c r="AZ300" i="56"/>
  <c r="AT288" i="56"/>
  <c r="AZ288" i="56"/>
  <c r="AT276" i="56"/>
  <c r="AZ276" i="56"/>
  <c r="AZ264" i="56"/>
  <c r="AT264" i="56"/>
  <c r="AT251" i="56"/>
  <c r="AZ251" i="56"/>
  <c r="AZ237" i="56"/>
  <c r="AT237" i="56"/>
  <c r="AT225" i="56"/>
  <c r="AZ225" i="56"/>
  <c r="AZ213" i="56"/>
  <c r="AT213" i="56"/>
  <c r="BH213" i="56" s="1"/>
  <c r="AT203" i="56"/>
  <c r="AZ203" i="56"/>
  <c r="AT191" i="56"/>
  <c r="AZ191" i="56"/>
  <c r="AT179" i="56"/>
  <c r="BH179" i="56" s="1"/>
  <c r="AZ179" i="56"/>
  <c r="AT167" i="56"/>
  <c r="AZ167" i="56"/>
  <c r="AT155" i="56"/>
  <c r="AZ155" i="56"/>
  <c r="AZ143" i="56"/>
  <c r="AT143" i="56"/>
  <c r="AT131" i="56"/>
  <c r="AZ131" i="56"/>
  <c r="AT119" i="56"/>
  <c r="AZ119" i="56"/>
  <c r="AT107" i="56"/>
  <c r="AZ107" i="56"/>
  <c r="AT94" i="56"/>
  <c r="AZ94" i="56"/>
  <c r="AT81" i="56"/>
  <c r="AZ81" i="56"/>
  <c r="AZ69" i="56"/>
  <c r="AT69" i="56"/>
  <c r="AZ57" i="56"/>
  <c r="AT57" i="56"/>
  <c r="AZ45" i="56"/>
  <c r="AT45" i="56"/>
  <c r="AT32" i="56"/>
  <c r="AZ32" i="56"/>
  <c r="AT21" i="56"/>
  <c r="AZ21" i="56"/>
  <c r="AT8" i="56"/>
  <c r="AZ8" i="56"/>
  <c r="AO76" i="56"/>
  <c r="AI76" i="56"/>
  <c r="AJ76" i="56" s="1"/>
  <c r="AO220" i="56"/>
  <c r="AI220" i="56"/>
  <c r="AJ220" i="56" s="1"/>
  <c r="AO126" i="56"/>
  <c r="AI126" i="56"/>
  <c r="AJ126" i="56" s="1"/>
  <c r="AO285" i="56"/>
  <c r="AI285" i="56"/>
  <c r="AJ285" i="56" s="1"/>
  <c r="AO46" i="56"/>
  <c r="AI46" i="56"/>
  <c r="AJ46" i="56" s="1"/>
  <c r="AO192" i="56"/>
  <c r="AI192" i="56"/>
  <c r="AJ192" i="56" s="1"/>
  <c r="AO35" i="56"/>
  <c r="AI35" i="56"/>
  <c r="AJ35" i="56" s="1"/>
  <c r="AO181" i="56"/>
  <c r="AI181" i="56"/>
  <c r="AJ181" i="56" s="1"/>
  <c r="AO67" i="56"/>
  <c r="AI67" i="56"/>
  <c r="AJ67" i="56" s="1"/>
  <c r="AO100" i="56"/>
  <c r="AI100" i="56"/>
  <c r="AJ100" i="56" s="1"/>
  <c r="AO242" i="56"/>
  <c r="AI242" i="56"/>
  <c r="AJ242" i="56" s="1"/>
  <c r="AO61" i="56"/>
  <c r="AI61" i="56"/>
  <c r="AJ61" i="56" s="1"/>
  <c r="AO207" i="56"/>
  <c r="AI207" i="56"/>
  <c r="AJ207" i="56" s="1"/>
  <c r="AO284" i="56"/>
  <c r="AI284" i="56"/>
  <c r="AJ284" i="56" s="1"/>
  <c r="AO101" i="56"/>
  <c r="AI101" i="56"/>
  <c r="AJ101" i="56" s="1"/>
  <c r="AO244" i="56"/>
  <c r="AI244" i="56"/>
  <c r="AJ244" i="56" s="1"/>
  <c r="AO57" i="56"/>
  <c r="AI57" i="56"/>
  <c r="AJ57" i="56" s="1"/>
  <c r="AO203" i="56"/>
  <c r="AI203" i="56"/>
  <c r="AJ203" i="56" s="1"/>
  <c r="AO43" i="56"/>
  <c r="AI43" i="56"/>
  <c r="AJ43" i="56" s="1"/>
  <c r="AO18" i="56"/>
  <c r="AI18" i="56"/>
  <c r="AJ18" i="56" s="1"/>
  <c r="AO164" i="56"/>
  <c r="AI164" i="56"/>
  <c r="AJ164" i="56" s="1"/>
  <c r="AO308" i="56"/>
  <c r="AI308" i="56"/>
  <c r="AJ308" i="56" s="1"/>
  <c r="AO154" i="56"/>
  <c r="AI154" i="56"/>
  <c r="AJ154" i="56" s="1"/>
  <c r="AO300" i="56"/>
  <c r="AI300" i="56"/>
  <c r="AJ300" i="56" s="1"/>
  <c r="AZ209" i="56"/>
  <c r="AT209" i="56"/>
  <c r="AZ91" i="56"/>
  <c r="AT91" i="56"/>
  <c r="AZ309" i="56"/>
  <c r="AT309" i="56"/>
  <c r="AT299" i="56"/>
  <c r="AZ299" i="56"/>
  <c r="AT287" i="56"/>
  <c r="AZ287" i="56"/>
  <c r="AT275" i="56"/>
  <c r="AZ275" i="56"/>
  <c r="AT263" i="56"/>
  <c r="AZ263" i="56"/>
  <c r="AZ250" i="56"/>
  <c r="AT250" i="56"/>
  <c r="AZ236" i="56"/>
  <c r="AT236" i="56"/>
  <c r="AZ224" i="56"/>
  <c r="AT224" i="56"/>
  <c r="AZ212" i="56"/>
  <c r="AT212" i="56"/>
  <c r="AZ202" i="56"/>
  <c r="AT202" i="56"/>
  <c r="AZ190" i="56"/>
  <c r="AT190" i="56"/>
  <c r="AZ178" i="56"/>
  <c r="AT178" i="56"/>
  <c r="AZ166" i="56"/>
  <c r="AT166" i="56"/>
  <c r="AZ154" i="56"/>
  <c r="AT154" i="56"/>
  <c r="AT142" i="56"/>
  <c r="AZ142" i="56"/>
  <c r="AZ130" i="56"/>
  <c r="AT130" i="56"/>
  <c r="AT118" i="56"/>
  <c r="AZ118" i="56"/>
  <c r="AT106" i="56"/>
  <c r="AZ106" i="56"/>
  <c r="AT93" i="56"/>
  <c r="AZ93" i="56"/>
  <c r="AT80" i="56"/>
  <c r="AZ80" i="56"/>
  <c r="AT68" i="56"/>
  <c r="AZ68" i="56"/>
  <c r="AZ56" i="56"/>
  <c r="AT56" i="56"/>
  <c r="AZ44" i="56"/>
  <c r="AT44" i="56"/>
  <c r="AZ34" i="56"/>
  <c r="AT34" i="56"/>
  <c r="AT20" i="56"/>
  <c r="AZ20" i="56"/>
  <c r="AT7" i="56"/>
  <c r="AZ7" i="56"/>
  <c r="AO91" i="56"/>
  <c r="AI91" i="56"/>
  <c r="AJ91" i="56" s="1"/>
  <c r="AO232" i="56"/>
  <c r="AI232" i="56"/>
  <c r="AJ232" i="56" s="1"/>
  <c r="AO139" i="56"/>
  <c r="AI139" i="56"/>
  <c r="AJ139" i="56" s="1"/>
  <c r="AI297" i="56"/>
  <c r="AJ297" i="56" s="1"/>
  <c r="AO297" i="56"/>
  <c r="AO58" i="56"/>
  <c r="AI58" i="56"/>
  <c r="AJ58" i="56" s="1"/>
  <c r="AO47" i="56"/>
  <c r="AI47" i="56"/>
  <c r="AJ47" i="56" s="1"/>
  <c r="AO193" i="56"/>
  <c r="AI193" i="56"/>
  <c r="AJ193" i="56" s="1"/>
  <c r="AO79" i="56"/>
  <c r="AI79" i="56"/>
  <c r="AJ79" i="56" s="1"/>
  <c r="AO114" i="56"/>
  <c r="AI114" i="56"/>
  <c r="AJ114" i="56" s="1"/>
  <c r="AO255" i="56"/>
  <c r="AI255" i="56"/>
  <c r="AJ255" i="56" s="1"/>
  <c r="AO74" i="56"/>
  <c r="AI74" i="56"/>
  <c r="AJ74" i="56" s="1"/>
  <c r="AO218" i="56"/>
  <c r="AI218" i="56"/>
  <c r="AJ218" i="56" s="1"/>
  <c r="AO296" i="56"/>
  <c r="AI296" i="56"/>
  <c r="AJ296" i="56" s="1"/>
  <c r="AO111" i="56"/>
  <c r="AI111" i="56"/>
  <c r="AJ111" i="56" s="1"/>
  <c r="AO257" i="56"/>
  <c r="AI257" i="56"/>
  <c r="AJ257" i="56" s="1"/>
  <c r="AO69" i="56"/>
  <c r="AI69" i="56"/>
  <c r="AJ69" i="56" s="1"/>
  <c r="AO213" i="56"/>
  <c r="AI213" i="56"/>
  <c r="AJ213" i="56" s="1"/>
  <c r="AO55" i="56"/>
  <c r="AI55" i="56"/>
  <c r="AJ55" i="56" s="1"/>
  <c r="AO30" i="56"/>
  <c r="AI30" i="56"/>
  <c r="AJ30" i="56" s="1"/>
  <c r="AO176" i="56"/>
  <c r="AI176" i="56"/>
  <c r="AJ176" i="56" s="1"/>
  <c r="AO20" i="56"/>
  <c r="AI20" i="56"/>
  <c r="AJ20" i="56" s="1"/>
  <c r="AO166" i="56"/>
  <c r="AI166" i="56"/>
  <c r="AJ166" i="56" s="1"/>
  <c r="AO311" i="56"/>
  <c r="AI311" i="56"/>
  <c r="AJ311" i="56" s="1"/>
  <c r="BA258" i="56"/>
  <c r="BA17" i="56"/>
  <c r="BA248" i="56"/>
  <c r="BA99" i="56"/>
  <c r="BA83" i="56"/>
  <c r="AG277" i="45"/>
  <c r="AU165" i="56"/>
  <c r="AG165" i="45"/>
  <c r="AG78" i="45"/>
  <c r="AG65" i="45"/>
  <c r="AG53" i="45"/>
  <c r="AG41" i="45"/>
  <c r="AU31" i="56"/>
  <c r="AG29" i="45"/>
  <c r="AU19" i="56"/>
  <c r="AG17" i="45"/>
  <c r="AG312" i="45"/>
  <c r="AG300" i="45"/>
  <c r="AG288" i="45"/>
  <c r="AG276" i="45"/>
  <c r="AU261" i="56"/>
  <c r="AG264" i="45"/>
  <c r="AG250" i="45"/>
  <c r="AG237" i="45"/>
  <c r="AG224" i="45"/>
  <c r="AG212" i="45"/>
  <c r="AU200" i="56"/>
  <c r="AG200" i="45"/>
  <c r="AU188" i="56"/>
  <c r="AG188" i="45"/>
  <c r="AG176" i="45"/>
  <c r="AG164" i="45"/>
  <c r="AG152" i="45"/>
  <c r="AG140" i="45"/>
  <c r="AG127" i="45"/>
  <c r="AU116" i="56"/>
  <c r="AG116" i="45"/>
  <c r="AG103" i="45"/>
  <c r="AG88" i="45"/>
  <c r="AG76" i="45"/>
  <c r="AG63" i="45"/>
  <c r="AU54" i="56"/>
  <c r="AG52" i="45"/>
  <c r="AU42" i="56"/>
  <c r="AG40" i="45"/>
  <c r="AG28" i="45"/>
  <c r="AG16" i="45"/>
  <c r="AG301" i="45"/>
  <c r="AG201" i="45"/>
  <c r="AU90" i="56"/>
  <c r="AG89" i="45"/>
  <c r="AG275" i="45"/>
  <c r="AG175" i="45"/>
  <c r="AG163" i="45"/>
  <c r="AG151" i="45"/>
  <c r="AU139" i="56"/>
  <c r="AG139" i="45"/>
  <c r="AG126" i="45"/>
  <c r="AG113" i="45"/>
  <c r="AG102" i="45"/>
  <c r="AG91" i="45"/>
  <c r="AU77" i="56"/>
  <c r="AG75" i="45"/>
  <c r="AU64" i="56"/>
  <c r="AG62" i="45"/>
  <c r="AG51" i="45"/>
  <c r="AG39" i="45"/>
  <c r="AG27" i="45"/>
  <c r="AG14" i="45"/>
  <c r="AG238" i="45"/>
  <c r="AG117" i="45"/>
  <c r="AG249" i="45"/>
  <c r="AG310" i="45"/>
  <c r="AU271" i="56"/>
  <c r="AG274" i="45"/>
  <c r="AU232" i="56"/>
  <c r="AG235" i="45"/>
  <c r="AU198" i="56"/>
  <c r="AG198" i="45"/>
  <c r="AG162" i="45"/>
  <c r="AG125" i="45"/>
  <c r="AG90" i="45"/>
  <c r="AG64" i="45"/>
  <c r="AG38" i="45"/>
  <c r="AU15" i="56"/>
  <c r="AG13" i="45"/>
  <c r="AU210" i="56"/>
  <c r="AG211" i="45"/>
  <c r="AG298" i="45"/>
  <c r="AU258" i="56"/>
  <c r="AG261" i="45"/>
  <c r="AU220" i="56"/>
  <c r="AG222" i="45"/>
  <c r="AG186" i="45"/>
  <c r="AG150" i="45"/>
  <c r="AG112" i="45"/>
  <c r="AG74" i="45"/>
  <c r="AU28" i="56"/>
  <c r="AG26" i="45"/>
  <c r="AG324" i="45"/>
  <c r="AG309" i="45"/>
  <c r="AG297" i="45"/>
  <c r="AG285" i="45"/>
  <c r="AG273" i="45"/>
  <c r="AG260" i="45"/>
  <c r="AU244" i="56"/>
  <c r="AG247" i="45"/>
  <c r="AU231" i="56"/>
  <c r="AG234" i="45"/>
  <c r="AG221" i="45"/>
  <c r="AG209" i="45"/>
  <c r="AG197" i="45"/>
  <c r="AG185" i="45"/>
  <c r="AG173" i="45"/>
  <c r="AG161" i="45"/>
  <c r="AU161" i="56"/>
  <c r="AG149" i="45"/>
  <c r="AG137" i="45"/>
  <c r="AG128" i="45"/>
  <c r="AG111" i="45"/>
  <c r="AU101" i="56"/>
  <c r="AG100" i="45"/>
  <c r="AU88" i="56"/>
  <c r="AG87" i="45"/>
  <c r="AG73" i="45"/>
  <c r="AG60" i="45"/>
  <c r="AG49" i="45"/>
  <c r="AG37" i="45"/>
  <c r="AG25" i="45"/>
  <c r="AU14" i="56"/>
  <c r="AG12" i="45"/>
  <c r="AG225" i="45"/>
  <c r="AG104" i="45"/>
  <c r="AU105" i="56"/>
  <c r="AU259" i="56"/>
  <c r="AG262" i="45"/>
  <c r="AG4" i="45"/>
  <c r="AG286" i="45"/>
  <c r="AG248" i="45"/>
  <c r="AG210" i="45"/>
  <c r="AG174" i="45"/>
  <c r="AG138" i="45"/>
  <c r="AG101" i="45"/>
  <c r="AG50" i="45"/>
  <c r="AU316" i="56"/>
  <c r="AG323" i="45"/>
  <c r="AU304" i="56"/>
  <c r="AG308" i="45"/>
  <c r="AG296" i="45"/>
  <c r="AG284" i="45"/>
  <c r="AG272" i="45"/>
  <c r="AG259" i="45"/>
  <c r="AU243" i="56"/>
  <c r="AG246" i="45"/>
  <c r="AG232" i="45"/>
  <c r="AG220" i="45"/>
  <c r="AG208" i="45"/>
  <c r="AG196" i="45"/>
  <c r="AG184" i="45"/>
  <c r="AG172" i="45"/>
  <c r="AU160" i="56"/>
  <c r="AG160" i="45"/>
  <c r="AG148" i="45"/>
  <c r="AG136" i="45"/>
  <c r="AG124" i="45"/>
  <c r="AG115" i="45"/>
  <c r="AG97" i="45"/>
  <c r="AG86" i="45"/>
  <c r="AG72" i="45"/>
  <c r="AG59" i="45"/>
  <c r="AG48" i="45"/>
  <c r="AG36" i="45"/>
  <c r="AG24" i="45"/>
  <c r="AG11" i="45"/>
  <c r="AU13" i="56"/>
  <c r="AG189" i="45"/>
  <c r="AG287" i="45"/>
  <c r="AU315" i="56"/>
  <c r="AG322" i="45"/>
  <c r="AG295" i="45"/>
  <c r="AG283" i="45"/>
  <c r="AG271" i="45"/>
  <c r="AU255" i="56"/>
  <c r="AG258" i="45"/>
  <c r="AU242" i="56"/>
  <c r="AG245" i="45"/>
  <c r="AG231" i="45"/>
  <c r="AG219" i="45"/>
  <c r="AG207" i="45"/>
  <c r="AG195" i="45"/>
  <c r="AG183" i="45"/>
  <c r="AG171" i="45"/>
  <c r="AG159" i="45"/>
  <c r="AG147" i="45"/>
  <c r="AG135" i="45"/>
  <c r="AG122" i="45"/>
  <c r="AU114" i="56"/>
  <c r="AG114" i="45"/>
  <c r="AG99" i="45"/>
  <c r="AG85" i="45"/>
  <c r="AG71" i="45"/>
  <c r="AG61" i="45"/>
  <c r="AG47" i="45"/>
  <c r="AG35" i="45"/>
  <c r="AG23" i="45"/>
  <c r="AG10" i="45"/>
  <c r="AU249" i="56"/>
  <c r="AG252" i="45"/>
  <c r="AG299" i="45"/>
  <c r="AG321" i="45"/>
  <c r="AG306" i="45"/>
  <c r="AG294" i="45"/>
  <c r="AG282" i="45"/>
  <c r="AG270" i="45"/>
  <c r="AG257" i="45"/>
  <c r="AG244" i="45"/>
  <c r="AG230" i="45"/>
  <c r="AG218" i="45"/>
  <c r="AG206" i="45"/>
  <c r="AG194" i="45"/>
  <c r="AG182" i="45"/>
  <c r="AG170" i="45"/>
  <c r="AG158" i="45"/>
  <c r="AG146" i="45"/>
  <c r="AG134" i="45"/>
  <c r="AG121" i="45"/>
  <c r="AG109" i="45"/>
  <c r="AG96" i="45"/>
  <c r="AG84" i="45"/>
  <c r="AG70" i="45"/>
  <c r="AG58" i="45"/>
  <c r="AG46" i="45"/>
  <c r="AG34" i="45"/>
  <c r="AG22" i="45"/>
  <c r="AG9" i="45"/>
  <c r="AG289" i="45"/>
  <c r="AG129" i="45"/>
  <c r="AG187" i="45"/>
  <c r="AG320" i="45"/>
  <c r="AG305" i="45"/>
  <c r="AG293" i="45"/>
  <c r="AG281" i="45"/>
  <c r="AG268" i="45"/>
  <c r="AG256" i="45"/>
  <c r="AG242" i="45"/>
  <c r="AG229" i="45"/>
  <c r="AG217" i="45"/>
  <c r="AG205" i="45"/>
  <c r="AG193" i="45"/>
  <c r="AG181" i="45"/>
  <c r="AG169" i="45"/>
  <c r="AG157" i="45"/>
  <c r="AG145" i="45"/>
  <c r="AG133" i="45"/>
  <c r="AG120" i="45"/>
  <c r="AG108" i="45"/>
  <c r="AG95" i="45"/>
  <c r="AG83" i="45"/>
  <c r="AG69" i="45"/>
  <c r="AG57" i="45"/>
  <c r="AG45" i="45"/>
  <c r="AG33" i="45"/>
  <c r="AG21" i="45"/>
  <c r="AG8" i="45"/>
  <c r="AU262" i="56"/>
  <c r="AG265" i="45"/>
  <c r="AG141" i="45"/>
  <c r="AU221" i="56"/>
  <c r="AG223" i="45"/>
  <c r="AG317" i="45"/>
  <c r="AG304" i="45"/>
  <c r="AG292" i="45"/>
  <c r="AG280" i="45"/>
  <c r="AG269" i="45"/>
  <c r="AG255" i="45"/>
  <c r="AG241" i="45"/>
  <c r="AG228" i="45"/>
  <c r="AG216" i="45"/>
  <c r="AG192" i="45"/>
  <c r="AG180" i="45"/>
  <c r="AG168" i="45"/>
  <c r="AG156" i="45"/>
  <c r="AG144" i="45"/>
  <c r="AG132" i="45"/>
  <c r="AG123" i="45"/>
  <c r="AG107" i="45"/>
  <c r="AG94" i="45"/>
  <c r="AG81" i="45"/>
  <c r="AG68" i="45"/>
  <c r="AG56" i="45"/>
  <c r="AG44" i="45"/>
  <c r="AG31" i="45"/>
  <c r="AG20" i="45"/>
  <c r="AG7" i="45"/>
  <c r="AG177" i="45"/>
  <c r="AG236" i="45"/>
  <c r="AG316" i="45"/>
  <c r="AG303" i="45"/>
  <c r="AG291" i="45"/>
  <c r="AG279" i="45"/>
  <c r="AG267" i="45"/>
  <c r="AG254" i="45"/>
  <c r="AG240" i="45"/>
  <c r="AG227" i="45"/>
  <c r="AG215" i="45"/>
  <c r="AG203" i="45"/>
  <c r="AG191" i="45"/>
  <c r="AG179" i="45"/>
  <c r="AG167" i="45"/>
  <c r="AG155" i="45"/>
  <c r="AG143" i="45"/>
  <c r="AG131" i="45"/>
  <c r="AG119" i="45"/>
  <c r="AG106" i="45"/>
  <c r="AG93" i="45"/>
  <c r="AG80" i="45"/>
  <c r="AG67" i="45"/>
  <c r="AG55" i="45"/>
  <c r="AG43" i="45"/>
  <c r="AG30" i="45"/>
  <c r="AG19" i="45"/>
  <c r="AG6" i="45"/>
  <c r="AG313" i="45"/>
  <c r="AG153" i="45"/>
  <c r="AU153" i="56"/>
  <c r="AG199" i="45"/>
  <c r="AG315" i="45"/>
  <c r="AG302" i="45"/>
  <c r="AG290" i="45"/>
  <c r="AG278" i="45"/>
  <c r="AG266" i="45"/>
  <c r="AG253" i="45"/>
  <c r="AG239" i="45"/>
  <c r="AG226" i="45"/>
  <c r="AG214" i="45"/>
  <c r="AG202" i="45"/>
  <c r="AG190" i="45"/>
  <c r="AG178" i="45"/>
  <c r="AG166" i="45"/>
  <c r="AG154" i="45"/>
  <c r="AG142" i="45"/>
  <c r="AG130" i="45"/>
  <c r="AG118" i="45"/>
  <c r="AG105" i="45"/>
  <c r="AG92" i="45"/>
  <c r="AG79" i="45"/>
  <c r="AG66" i="45"/>
  <c r="AG54" i="45"/>
  <c r="AG42" i="45"/>
  <c r="AG32" i="45"/>
  <c r="AG18" i="45"/>
  <c r="AG5" i="45"/>
  <c r="AE325" i="45"/>
  <c r="AF325" i="45"/>
  <c r="AF3" i="45"/>
  <c r="AE3" i="45"/>
  <c r="AP241" i="56"/>
  <c r="BD260" i="56"/>
  <c r="AM21" i="56"/>
  <c r="AM22" i="56"/>
  <c r="AM23" i="56"/>
  <c r="AM24" i="56"/>
  <c r="AM25" i="56"/>
  <c r="AM26" i="56"/>
  <c r="AM27" i="56"/>
  <c r="AM28" i="56"/>
  <c r="AM29" i="56"/>
  <c r="AM30" i="56"/>
  <c r="AM31" i="56"/>
  <c r="AM32" i="56"/>
  <c r="AM33" i="56"/>
  <c r="AM34" i="56"/>
  <c r="AM35" i="56"/>
  <c r="AM36" i="56"/>
  <c r="AM37" i="56"/>
  <c r="AM38" i="56"/>
  <c r="AM39" i="56"/>
  <c r="AM40" i="56"/>
  <c r="AM41" i="56"/>
  <c r="AM42" i="56"/>
  <c r="AM43" i="56"/>
  <c r="AM44" i="56"/>
  <c r="AM45" i="56"/>
  <c r="AM46" i="56"/>
  <c r="AM47" i="56"/>
  <c r="AM48" i="56"/>
  <c r="AM49" i="56"/>
  <c r="AM50" i="56"/>
  <c r="AM51" i="56"/>
  <c r="AM52" i="56"/>
  <c r="AM53" i="56"/>
  <c r="AM54" i="56"/>
  <c r="AM55" i="56"/>
  <c r="AM56" i="56"/>
  <c r="AM57" i="56"/>
  <c r="AM58" i="56"/>
  <c r="AM59" i="56"/>
  <c r="AM60" i="56"/>
  <c r="AM61" i="56"/>
  <c r="AM62" i="56"/>
  <c r="AM63" i="56"/>
  <c r="AM64" i="56"/>
  <c r="AM65" i="56"/>
  <c r="AM66" i="56"/>
  <c r="AM67" i="56"/>
  <c r="AM68" i="56"/>
  <c r="AM69" i="56"/>
  <c r="AM70" i="56"/>
  <c r="AM71" i="56"/>
  <c r="AM72" i="56"/>
  <c r="AM73" i="56"/>
  <c r="AM74" i="56"/>
  <c r="AM75" i="56"/>
  <c r="AM76" i="56"/>
  <c r="AM77" i="56"/>
  <c r="AM78" i="56"/>
  <c r="AM79" i="56"/>
  <c r="AM80" i="56"/>
  <c r="AM81" i="56"/>
  <c r="AM82" i="56"/>
  <c r="AM84" i="56"/>
  <c r="AM85" i="56"/>
  <c r="AM86" i="56"/>
  <c r="AM87" i="56"/>
  <c r="AM88" i="56"/>
  <c r="AM89" i="56"/>
  <c r="AM90" i="56"/>
  <c r="AM91" i="56"/>
  <c r="AM92" i="56"/>
  <c r="AM93" i="56"/>
  <c r="AM94" i="56"/>
  <c r="AM95" i="56"/>
  <c r="AM96" i="56"/>
  <c r="AM97" i="56"/>
  <c r="AM98" i="56"/>
  <c r="AM219" i="56"/>
  <c r="AM100" i="56"/>
  <c r="AM101" i="56"/>
  <c r="AM102" i="56"/>
  <c r="AM103" i="56"/>
  <c r="AM104" i="56"/>
  <c r="AM105" i="56"/>
  <c r="AM106" i="56"/>
  <c r="AM107" i="56"/>
  <c r="AM111" i="56"/>
  <c r="AM112" i="56"/>
  <c r="AM108" i="56"/>
  <c r="AM109" i="56"/>
  <c r="AM110" i="56"/>
  <c r="AM113" i="56"/>
  <c r="AM114" i="56"/>
  <c r="AM115" i="56"/>
  <c r="AM116" i="56"/>
  <c r="AM117" i="56"/>
  <c r="AM118" i="56"/>
  <c r="AM119" i="56"/>
  <c r="AM120" i="56"/>
  <c r="AM121" i="56"/>
  <c r="AM122" i="56"/>
  <c r="AM123" i="56"/>
  <c r="AM124" i="56"/>
  <c r="AM125" i="56"/>
  <c r="AM126" i="56"/>
  <c r="AM127" i="56"/>
  <c r="AM128" i="56"/>
  <c r="AM129" i="56"/>
  <c r="AM130" i="56"/>
  <c r="AM131" i="56"/>
  <c r="AM132" i="56"/>
  <c r="AM133" i="56"/>
  <c r="AM134" i="56"/>
  <c r="AM135" i="56"/>
  <c r="AM136" i="56"/>
  <c r="AM137" i="56"/>
  <c r="AM138" i="56"/>
  <c r="AM139" i="56"/>
  <c r="AM140" i="56"/>
  <c r="AM141" i="56"/>
  <c r="AM142" i="56"/>
  <c r="AM143" i="56"/>
  <c r="AM144" i="56"/>
  <c r="AM145" i="56"/>
  <c r="AM146" i="56"/>
  <c r="AM147" i="56"/>
  <c r="AM148" i="56"/>
  <c r="AM149" i="56"/>
  <c r="AM150" i="56"/>
  <c r="AM151" i="56"/>
  <c r="AM152" i="56"/>
  <c r="AM153" i="56"/>
  <c r="AM154" i="56"/>
  <c r="AM155" i="56"/>
  <c r="AM156" i="56"/>
  <c r="AM157" i="56"/>
  <c r="AM158" i="56"/>
  <c r="AM159" i="56"/>
  <c r="AM160" i="56"/>
  <c r="AM161" i="56"/>
  <c r="AM162" i="56"/>
  <c r="AM163" i="56"/>
  <c r="AM164" i="56"/>
  <c r="AM165" i="56"/>
  <c r="AM166" i="56"/>
  <c r="AM167" i="56"/>
  <c r="AM168" i="56"/>
  <c r="AM169" i="56"/>
  <c r="AM170" i="56"/>
  <c r="AM171" i="56"/>
  <c r="AM172" i="56"/>
  <c r="AM173" i="56"/>
  <c r="AM174" i="56"/>
  <c r="AM175" i="56"/>
  <c r="AM176" i="56"/>
  <c r="AM177" i="56"/>
  <c r="AM178" i="56"/>
  <c r="AM179" i="56"/>
  <c r="AM180" i="56"/>
  <c r="AM181" i="56"/>
  <c r="AM182" i="56"/>
  <c r="AM183" i="56"/>
  <c r="AM184" i="56"/>
  <c r="AM185" i="56"/>
  <c r="AM186" i="56"/>
  <c r="AM187" i="56"/>
  <c r="AM188" i="56"/>
  <c r="AM189" i="56"/>
  <c r="AM190" i="56"/>
  <c r="AM191" i="56"/>
  <c r="AM192" i="56"/>
  <c r="AM193" i="56"/>
  <c r="AM194" i="56"/>
  <c r="AM195" i="56"/>
  <c r="AM196" i="56"/>
  <c r="AM197" i="56"/>
  <c r="AM198" i="56"/>
  <c r="AM199" i="56"/>
  <c r="AM200" i="56"/>
  <c r="AM201" i="56"/>
  <c r="AM202" i="56"/>
  <c r="AM203" i="56"/>
  <c r="AM204" i="56"/>
  <c r="AM205" i="56"/>
  <c r="AM206" i="56"/>
  <c r="AM207" i="56"/>
  <c r="AM208" i="56"/>
  <c r="AM209" i="56"/>
  <c r="AM210" i="56"/>
  <c r="AM211" i="56"/>
  <c r="AM212" i="56"/>
  <c r="AM213" i="56"/>
  <c r="AM214" i="56"/>
  <c r="AM215" i="56"/>
  <c r="AM216" i="56"/>
  <c r="AM217" i="56"/>
  <c r="AM218" i="56"/>
  <c r="AM220" i="56"/>
  <c r="AM221" i="56"/>
  <c r="AM222" i="56"/>
  <c r="AM223" i="56"/>
  <c r="AM224" i="56"/>
  <c r="AM225" i="56"/>
  <c r="AM226" i="56"/>
  <c r="AM227" i="56"/>
  <c r="AM228" i="56"/>
  <c r="AM229" i="56"/>
  <c r="AM230" i="56"/>
  <c r="AM231" i="56"/>
  <c r="AM232" i="56"/>
  <c r="AM233" i="56"/>
  <c r="AM234" i="56"/>
  <c r="AM235" i="56"/>
  <c r="AM236" i="56"/>
  <c r="AM237" i="56"/>
  <c r="AM238" i="56"/>
  <c r="AM239" i="56"/>
  <c r="AM241" i="56"/>
  <c r="AM242" i="56"/>
  <c r="AM243" i="56"/>
  <c r="AM244" i="56"/>
  <c r="AM245" i="56"/>
  <c r="AM246" i="56"/>
  <c r="AM247" i="56"/>
  <c r="AM249" i="56"/>
  <c r="AM250" i="56"/>
  <c r="AM251" i="56"/>
  <c r="AM252" i="56"/>
  <c r="AM253" i="56"/>
  <c r="AM254" i="56"/>
  <c r="AM255" i="56"/>
  <c r="AM256" i="56"/>
  <c r="AM257" i="56"/>
  <c r="BA259" i="56"/>
  <c r="AM261" i="56"/>
  <c r="AM262" i="56"/>
  <c r="AM263" i="56"/>
  <c r="AM264" i="56"/>
  <c r="AM265" i="56"/>
  <c r="AM266" i="56"/>
  <c r="AM267" i="56"/>
  <c r="AM268" i="56"/>
  <c r="AM269" i="56"/>
  <c r="AM270" i="56"/>
  <c r="AM271" i="56"/>
  <c r="AM272" i="56"/>
  <c r="AM273" i="56"/>
  <c r="AM274" i="56"/>
  <c r="AM275" i="56"/>
  <c r="AM276" i="56"/>
  <c r="AM277" i="56"/>
  <c r="AM278" i="56"/>
  <c r="AM279" i="56"/>
  <c r="AM280" i="56"/>
  <c r="AM281" i="56"/>
  <c r="AM282" i="56"/>
  <c r="AM283" i="56"/>
  <c r="AM284" i="56"/>
  <c r="AM285" i="56"/>
  <c r="AM286" i="56"/>
  <c r="AM287" i="56"/>
  <c r="AM288" i="56"/>
  <c r="AM289" i="56"/>
  <c r="AM290" i="56"/>
  <c r="AM291" i="56"/>
  <c r="AM292" i="56"/>
  <c r="AM293" i="56"/>
  <c r="AM294" i="56"/>
  <c r="AM295" i="56"/>
  <c r="AM296" i="56"/>
  <c r="AM297" i="56"/>
  <c r="AM298" i="56"/>
  <c r="AM299" i="56"/>
  <c r="AM300" i="56"/>
  <c r="AM301" i="56"/>
  <c r="AM302" i="56"/>
  <c r="AM303" i="56"/>
  <c r="AM304" i="56"/>
  <c r="AM305" i="56"/>
  <c r="AM306" i="56"/>
  <c r="AM307" i="56"/>
  <c r="AM308" i="56"/>
  <c r="AM309" i="56"/>
  <c r="AM311" i="56"/>
  <c r="AM312" i="56"/>
  <c r="AM313" i="56"/>
  <c r="AM314" i="56"/>
  <c r="AM315" i="56"/>
  <c r="AM316" i="56"/>
  <c r="AM317" i="56"/>
  <c r="AM7" i="56"/>
  <c r="AM8" i="56"/>
  <c r="AM9" i="56"/>
  <c r="AM10" i="56"/>
  <c r="AM11" i="56"/>
  <c r="AM12" i="56"/>
  <c r="AM13" i="56"/>
  <c r="AM14" i="56"/>
  <c r="AM15" i="56"/>
  <c r="AM16" i="56"/>
  <c r="AM18" i="56"/>
  <c r="AM19" i="56"/>
  <c r="AM20" i="56"/>
  <c r="AM6" i="56"/>
  <c r="C5" i="55"/>
  <c r="BH235" i="56" l="1"/>
  <c r="AU279" i="56"/>
  <c r="AU308" i="56"/>
  <c r="AU183" i="56"/>
  <c r="AU173" i="56"/>
  <c r="AU151" i="56"/>
  <c r="AU273" i="56"/>
  <c r="AU177" i="56"/>
  <c r="AU127" i="56"/>
  <c r="AU205" i="56"/>
  <c r="AU104" i="56"/>
  <c r="AU235" i="56"/>
  <c r="AU133" i="56"/>
  <c r="AU59" i="56"/>
  <c r="AU79" i="56"/>
  <c r="AU159" i="56"/>
  <c r="AU126" i="56"/>
  <c r="AU317" i="56"/>
  <c r="AU53" i="56"/>
  <c r="AU247" i="56"/>
  <c r="AU199" i="56"/>
  <c r="AU219" i="56"/>
  <c r="AU295" i="56"/>
  <c r="AU76" i="56"/>
  <c r="AU176" i="56"/>
  <c r="AU149" i="56"/>
  <c r="AU69" i="56"/>
  <c r="BH69" i="56"/>
  <c r="AU156" i="56"/>
  <c r="BH156" i="56"/>
  <c r="AU96" i="56"/>
  <c r="BH96" i="56"/>
  <c r="AU298" i="56"/>
  <c r="BH298" i="56"/>
  <c r="AU142" i="56"/>
  <c r="BH142" i="56"/>
  <c r="AU251" i="56"/>
  <c r="BH251" i="56"/>
  <c r="AU20" i="56"/>
  <c r="BH20" i="56"/>
  <c r="AU93" i="56"/>
  <c r="BH93" i="56"/>
  <c r="AU34" i="56"/>
  <c r="BH34" i="56"/>
  <c r="AU178" i="56"/>
  <c r="BH178" i="56"/>
  <c r="AU250" i="56"/>
  <c r="BH250" i="56"/>
  <c r="AU91" i="56"/>
  <c r="BH91" i="56"/>
  <c r="AU57" i="56"/>
  <c r="BH57" i="56"/>
  <c r="AU284" i="56"/>
  <c r="BH284" i="56"/>
  <c r="AU144" i="56"/>
  <c r="BH144" i="56"/>
  <c r="AU226" i="56"/>
  <c r="BH226" i="56"/>
  <c r="AU10" i="56"/>
  <c r="BH10" i="56"/>
  <c r="AU84" i="56"/>
  <c r="BH84" i="56"/>
  <c r="AU157" i="56"/>
  <c r="BH157" i="56"/>
  <c r="AU228" i="56"/>
  <c r="BH228" i="56"/>
  <c r="AU66" i="56"/>
  <c r="BH66" i="56"/>
  <c r="AU135" i="56"/>
  <c r="BH135" i="56"/>
  <c r="AU206" i="56"/>
  <c r="BH206" i="56"/>
  <c r="AU280" i="56"/>
  <c r="BH280" i="56"/>
  <c r="AU50" i="56"/>
  <c r="BH50" i="56"/>
  <c r="AU269" i="56"/>
  <c r="BH269" i="56"/>
  <c r="AU305" i="56"/>
  <c r="BH305" i="56"/>
  <c r="AU128" i="56"/>
  <c r="BH128" i="56"/>
  <c r="AU270" i="56"/>
  <c r="BH270" i="56"/>
  <c r="AU138" i="56"/>
  <c r="BH138" i="56"/>
  <c r="AU103" i="56"/>
  <c r="BH103" i="56"/>
  <c r="AU175" i="56"/>
  <c r="BH175" i="56"/>
  <c r="AU246" i="56"/>
  <c r="BH246" i="56"/>
  <c r="AU78" i="56"/>
  <c r="BH78" i="56"/>
  <c r="AU152" i="56"/>
  <c r="BH152" i="56"/>
  <c r="AU222" i="56"/>
  <c r="BH222" i="56"/>
  <c r="AU297" i="56"/>
  <c r="BH297" i="56"/>
  <c r="AU55" i="56"/>
  <c r="BH55" i="56"/>
  <c r="AU129" i="56"/>
  <c r="BH129" i="56"/>
  <c r="AU201" i="56"/>
  <c r="BH201" i="56"/>
  <c r="AU286" i="56"/>
  <c r="BH286" i="56"/>
  <c r="AU131" i="56"/>
  <c r="BH131" i="56"/>
  <c r="AU301" i="56"/>
  <c r="BH301" i="56"/>
  <c r="AU227" i="56"/>
  <c r="BH227" i="56"/>
  <c r="AU302" i="56"/>
  <c r="BH302" i="56"/>
  <c r="AU11" i="56"/>
  <c r="BH11" i="56"/>
  <c r="AU85" i="56"/>
  <c r="BH85" i="56"/>
  <c r="AU63" i="56"/>
  <c r="BH63" i="56"/>
  <c r="AU124" i="56"/>
  <c r="BH124" i="56"/>
  <c r="AU196" i="56"/>
  <c r="BH196" i="56"/>
  <c r="AU51" i="56"/>
  <c r="BH51" i="56"/>
  <c r="AU197" i="56"/>
  <c r="BH197" i="56"/>
  <c r="AU29" i="56"/>
  <c r="BH29" i="56"/>
  <c r="AU23" i="56"/>
  <c r="BH23" i="56"/>
  <c r="AU162" i="56"/>
  <c r="BH162" i="56"/>
  <c r="AU137" i="56"/>
  <c r="BH137" i="56"/>
  <c r="AU24" i="56"/>
  <c r="BH24" i="56"/>
  <c r="AU170" i="56"/>
  <c r="BH170" i="56"/>
  <c r="AU113" i="56"/>
  <c r="BH113" i="56"/>
  <c r="AU18" i="56"/>
  <c r="BH18" i="56"/>
  <c r="AU67" i="56"/>
  <c r="BH67" i="56"/>
  <c r="AU203" i="56"/>
  <c r="BH203" i="56"/>
  <c r="AU44" i="56"/>
  <c r="BH44" i="56"/>
  <c r="AU169" i="56"/>
  <c r="BH169" i="56"/>
  <c r="AU263" i="56"/>
  <c r="BH263" i="56"/>
  <c r="AU312" i="56"/>
  <c r="BH312" i="56"/>
  <c r="AU239" i="56"/>
  <c r="BH239" i="56"/>
  <c r="AU56" i="56"/>
  <c r="BH56" i="56"/>
  <c r="AU130" i="56"/>
  <c r="BH130" i="56"/>
  <c r="AU202" i="56"/>
  <c r="BH202" i="56"/>
  <c r="AU22" i="56"/>
  <c r="BH22" i="56"/>
  <c r="AU95" i="56"/>
  <c r="BH95" i="56"/>
  <c r="AU168" i="56"/>
  <c r="BH168" i="56"/>
  <c r="AU35" i="56"/>
  <c r="BH35" i="56"/>
  <c r="AU109" i="56"/>
  <c r="BH109" i="56"/>
  <c r="AU181" i="56"/>
  <c r="BH181" i="56"/>
  <c r="AU36" i="56"/>
  <c r="BH36" i="56"/>
  <c r="AU254" i="56"/>
  <c r="BH254" i="56"/>
  <c r="AU12" i="56"/>
  <c r="BH12" i="56"/>
  <c r="AU86" i="56"/>
  <c r="BH86" i="56"/>
  <c r="AU229" i="56"/>
  <c r="BH229" i="56"/>
  <c r="AU74" i="56"/>
  <c r="BH74" i="56"/>
  <c r="AU148" i="56"/>
  <c r="BH148" i="56"/>
  <c r="AU218" i="56"/>
  <c r="BH218" i="56"/>
  <c r="AU293" i="56"/>
  <c r="BH293" i="56"/>
  <c r="AU306" i="56"/>
  <c r="BH306" i="56"/>
  <c r="AU82" i="56"/>
  <c r="BH82" i="56"/>
  <c r="AU217" i="56"/>
  <c r="BH217" i="56"/>
  <c r="AU136" i="56"/>
  <c r="BH136" i="56"/>
  <c r="AU208" i="56"/>
  <c r="BH208" i="56"/>
  <c r="AU187" i="56"/>
  <c r="BH187" i="56"/>
  <c r="AU164" i="56"/>
  <c r="BH164" i="56"/>
  <c r="AU313" i="56"/>
  <c r="BH313" i="56"/>
  <c r="AU97" i="56"/>
  <c r="BH97" i="56"/>
  <c r="AU81" i="56"/>
  <c r="BH81" i="56"/>
  <c r="AU300" i="56"/>
  <c r="BH300" i="56"/>
  <c r="AU252" i="56"/>
  <c r="BH252" i="56"/>
  <c r="AU314" i="56"/>
  <c r="BH314" i="56"/>
  <c r="AU253" i="56"/>
  <c r="BH253" i="56"/>
  <c r="AU303" i="56"/>
  <c r="BH303" i="56"/>
  <c r="AU110" i="56"/>
  <c r="BH110" i="56"/>
  <c r="AU182" i="56"/>
  <c r="BH182" i="56"/>
  <c r="AU112" i="56"/>
  <c r="BH112" i="56"/>
  <c r="AU75" i="56"/>
  <c r="BH75" i="56"/>
  <c r="AU30" i="56"/>
  <c r="BH30" i="56"/>
  <c r="AU190" i="56"/>
  <c r="BH190" i="56"/>
  <c r="AU294" i="56"/>
  <c r="BH294" i="56"/>
  <c r="AU272" i="56"/>
  <c r="BH272" i="56"/>
  <c r="AU307" i="56"/>
  <c r="BH307" i="56"/>
  <c r="AU118" i="56"/>
  <c r="BH118" i="56"/>
  <c r="AU288" i="56"/>
  <c r="BH288" i="56"/>
  <c r="AU186" i="56"/>
  <c r="BH186" i="56"/>
  <c r="AU275" i="56"/>
  <c r="BH275" i="56"/>
  <c r="AU8" i="56"/>
  <c r="BH8" i="56"/>
  <c r="AU155" i="56"/>
  <c r="BH155" i="56"/>
  <c r="AU225" i="56"/>
  <c r="BH225" i="56"/>
  <c r="AU212" i="56"/>
  <c r="BH212" i="56"/>
  <c r="AU237" i="56"/>
  <c r="BH237" i="56"/>
  <c r="AU108" i="56"/>
  <c r="BH108" i="56"/>
  <c r="AU180" i="56"/>
  <c r="BH180" i="56"/>
  <c r="AU265" i="56"/>
  <c r="BH265" i="56"/>
  <c r="AU47" i="56"/>
  <c r="BH47" i="56"/>
  <c r="AU120" i="56"/>
  <c r="BH120" i="56"/>
  <c r="AU193" i="56"/>
  <c r="BH193" i="56"/>
  <c r="AU266" i="56"/>
  <c r="BH266" i="56"/>
  <c r="AU48" i="56"/>
  <c r="BH48" i="56"/>
  <c r="AU121" i="56"/>
  <c r="BH121" i="56"/>
  <c r="AU267" i="56"/>
  <c r="BH267" i="56"/>
  <c r="AU25" i="56"/>
  <c r="BH25" i="56"/>
  <c r="AU106" i="56"/>
  <c r="BH106" i="56"/>
  <c r="AU9" i="56"/>
  <c r="BH9" i="56"/>
  <c r="AU281" i="56"/>
  <c r="BH281" i="56"/>
  <c r="AU223" i="56"/>
  <c r="BH223" i="56"/>
  <c r="AU68" i="56"/>
  <c r="BH68" i="56"/>
  <c r="AU194" i="56"/>
  <c r="BH194" i="56"/>
  <c r="AU100" i="56"/>
  <c r="BH100" i="56"/>
  <c r="AU171" i="56"/>
  <c r="BH171" i="56"/>
  <c r="AU87" i="56"/>
  <c r="BH87" i="56"/>
  <c r="AU230" i="56"/>
  <c r="BH230" i="56"/>
  <c r="AU276" i="56"/>
  <c r="BH276" i="56"/>
  <c r="AU141" i="56"/>
  <c r="BH141" i="56"/>
  <c r="AU21" i="56"/>
  <c r="BH21" i="56"/>
  <c r="AU311" i="56"/>
  <c r="BH311" i="56"/>
  <c r="AU33" i="56"/>
  <c r="BH33" i="56"/>
  <c r="AU154" i="56"/>
  <c r="BH154" i="56"/>
  <c r="AU224" i="56"/>
  <c r="BH224" i="56"/>
  <c r="AU174" i="56"/>
  <c r="BH174" i="56"/>
  <c r="AU46" i="56"/>
  <c r="BH46" i="56"/>
  <c r="AU192" i="56"/>
  <c r="BH192" i="56"/>
  <c r="AU150" i="56"/>
  <c r="BH150" i="56"/>
  <c r="AU204" i="56"/>
  <c r="BH204" i="56"/>
  <c r="AU278" i="56"/>
  <c r="BH278" i="56"/>
  <c r="AU60" i="56"/>
  <c r="BH60" i="56"/>
  <c r="AU134" i="56"/>
  <c r="BH134" i="56"/>
  <c r="AU238" i="56"/>
  <c r="BH238" i="56"/>
  <c r="AU147" i="56"/>
  <c r="BH147" i="56"/>
  <c r="AU234" i="56"/>
  <c r="BH234" i="56"/>
  <c r="AU287" i="56"/>
  <c r="BH287" i="56"/>
  <c r="AU167" i="56"/>
  <c r="BH167" i="56"/>
  <c r="AU299" i="56"/>
  <c r="BH299" i="56"/>
  <c r="AU32" i="56"/>
  <c r="BH32" i="56"/>
  <c r="AU107" i="56"/>
  <c r="BH107" i="56"/>
  <c r="AU123" i="56"/>
  <c r="BH123" i="56"/>
  <c r="AU277" i="56"/>
  <c r="BH277" i="56"/>
  <c r="AU125" i="56"/>
  <c r="BH125" i="56"/>
  <c r="AU37" i="56"/>
  <c r="BH37" i="56"/>
  <c r="AU26" i="56"/>
  <c r="BH26" i="56"/>
  <c r="AU98" i="56"/>
  <c r="BH98" i="56"/>
  <c r="AU172" i="56"/>
  <c r="BH172" i="56"/>
  <c r="AU27" i="56"/>
  <c r="BH27" i="56"/>
  <c r="AU241" i="56"/>
  <c r="BH241" i="56"/>
  <c r="AU73" i="56"/>
  <c r="BH73" i="56"/>
  <c r="AU207" i="56"/>
  <c r="BH207" i="56"/>
  <c r="AU62" i="56"/>
  <c r="BH62" i="56"/>
  <c r="AU52" i="56"/>
  <c r="BH52" i="56"/>
  <c r="AU40" i="56"/>
  <c r="BH40" i="56"/>
  <c r="AU7" i="56"/>
  <c r="BH7" i="56"/>
  <c r="AU80" i="56"/>
  <c r="BH80" i="56"/>
  <c r="AU166" i="56"/>
  <c r="BH166" i="56"/>
  <c r="AU236" i="56"/>
  <c r="BH236" i="56"/>
  <c r="AU309" i="56"/>
  <c r="BH309" i="56"/>
  <c r="AU45" i="56"/>
  <c r="BH45" i="56"/>
  <c r="AU264" i="56"/>
  <c r="BH264" i="56"/>
  <c r="AU6" i="56"/>
  <c r="BH6" i="56"/>
  <c r="AU58" i="56"/>
  <c r="BH58" i="56"/>
  <c r="AU132" i="56"/>
  <c r="BH132" i="56"/>
  <c r="AU214" i="56"/>
  <c r="BH214" i="56"/>
  <c r="AU283" i="56"/>
  <c r="BH283" i="56"/>
  <c r="AU71" i="56"/>
  <c r="BH71" i="56"/>
  <c r="AU145" i="56"/>
  <c r="BH145" i="56"/>
  <c r="AU215" i="56"/>
  <c r="BH215" i="56"/>
  <c r="AU72" i="56"/>
  <c r="BH72" i="56"/>
  <c r="AU146" i="56"/>
  <c r="BH146" i="56"/>
  <c r="AU216" i="56"/>
  <c r="BH216" i="56"/>
  <c r="AU291" i="56"/>
  <c r="BH291" i="56"/>
  <c r="AU49" i="56"/>
  <c r="BH49" i="56"/>
  <c r="AU268" i="56"/>
  <c r="BH268" i="56"/>
  <c r="AU115" i="56"/>
  <c r="BH115" i="56"/>
  <c r="AU282" i="56"/>
  <c r="BH282" i="56"/>
  <c r="AU102" i="56"/>
  <c r="BH102" i="56"/>
  <c r="AU92" i="56"/>
  <c r="BH92" i="56"/>
  <c r="AU163" i="56"/>
  <c r="BH163" i="56"/>
  <c r="AU233" i="56"/>
  <c r="BH233" i="56"/>
  <c r="AU285" i="56"/>
  <c r="BH285" i="56"/>
  <c r="AU43" i="56"/>
  <c r="BH43" i="56"/>
  <c r="AU117" i="56"/>
  <c r="BH117" i="56"/>
  <c r="AU189" i="56"/>
  <c r="BH189" i="56"/>
  <c r="AU209" i="56"/>
  <c r="BH209" i="56"/>
  <c r="AU143" i="56"/>
  <c r="BH143" i="56"/>
  <c r="AU292" i="56"/>
  <c r="BH292" i="56"/>
  <c r="AU61" i="56"/>
  <c r="BH61" i="56"/>
  <c r="AU41" i="56"/>
  <c r="BH41" i="56"/>
  <c r="AU89" i="56"/>
  <c r="BH89" i="56"/>
  <c r="AU94" i="56"/>
  <c r="BH94" i="56"/>
  <c r="AU119" i="56"/>
  <c r="BH119" i="56"/>
  <c r="AU191" i="56"/>
  <c r="BH191" i="56"/>
  <c r="AU289" i="56"/>
  <c r="BH289" i="56"/>
  <c r="AU290" i="56"/>
  <c r="BH290" i="56"/>
  <c r="AU245" i="56"/>
  <c r="BH245" i="56"/>
  <c r="AU122" i="56"/>
  <c r="BH122" i="56"/>
  <c r="AU195" i="56"/>
  <c r="BH195" i="56"/>
  <c r="AU38" i="56"/>
  <c r="BH38" i="56"/>
  <c r="AU184" i="56"/>
  <c r="BH184" i="56"/>
  <c r="AU256" i="56"/>
  <c r="BH256" i="56"/>
  <c r="AU39" i="56"/>
  <c r="BH39" i="56"/>
  <c r="AU111" i="56"/>
  <c r="BH111" i="56"/>
  <c r="AU185" i="56"/>
  <c r="BH185" i="56"/>
  <c r="AU257" i="56"/>
  <c r="BH257" i="56"/>
  <c r="AU16" i="56"/>
  <c r="BH16" i="56"/>
  <c r="AU65" i="56"/>
  <c r="BH65" i="56"/>
  <c r="AU140" i="56"/>
  <c r="BH140" i="56"/>
  <c r="AU211" i="56"/>
  <c r="BH211" i="56"/>
  <c r="AU274" i="56"/>
  <c r="BH274" i="56"/>
  <c r="AZ5" i="56"/>
  <c r="AT5" i="56"/>
  <c r="AI5" i="56"/>
  <c r="AJ70" i="56"/>
  <c r="AO5" i="56"/>
  <c r="BC53" i="56"/>
  <c r="BD53" i="56" s="1"/>
  <c r="AW53" i="56"/>
  <c r="BC23" i="56"/>
  <c r="BD23" i="56" s="1"/>
  <c r="AW23" i="56"/>
  <c r="BC110" i="56"/>
  <c r="BD110" i="56" s="1"/>
  <c r="AW110" i="56"/>
  <c r="BC63" i="56"/>
  <c r="BD63" i="56" s="1"/>
  <c r="AW63" i="56"/>
  <c r="BC14" i="56"/>
  <c r="BD14" i="56" s="1"/>
  <c r="AW14" i="56"/>
  <c r="BC88" i="56"/>
  <c r="BD88" i="56" s="1"/>
  <c r="AW88" i="56"/>
  <c r="BC231" i="56"/>
  <c r="BD231" i="56" s="1"/>
  <c r="AW231" i="56"/>
  <c r="BC305" i="56"/>
  <c r="BD305" i="56" s="1"/>
  <c r="AW305" i="56"/>
  <c r="BC186" i="56"/>
  <c r="BD186" i="56" s="1"/>
  <c r="AW186" i="56"/>
  <c r="BC40" i="56"/>
  <c r="BD40" i="56" s="1"/>
  <c r="AW40" i="56"/>
  <c r="BC232" i="56"/>
  <c r="BD232" i="56" s="1"/>
  <c r="AW232" i="56"/>
  <c r="BC16" i="56"/>
  <c r="BD16" i="56" s="1"/>
  <c r="AW16" i="56"/>
  <c r="BC92" i="56"/>
  <c r="BD92" i="56" s="1"/>
  <c r="AW92" i="56"/>
  <c r="AW163" i="56"/>
  <c r="BC163" i="56"/>
  <c r="BD163" i="56" s="1"/>
  <c r="BC18" i="56"/>
  <c r="BD18" i="56" s="1"/>
  <c r="AW18" i="56"/>
  <c r="BC89" i="56"/>
  <c r="BD89" i="56" s="1"/>
  <c r="AW89" i="56"/>
  <c r="BC164" i="56"/>
  <c r="BD164" i="56" s="1"/>
  <c r="AW164" i="56"/>
  <c r="BC234" i="56"/>
  <c r="BD234" i="56" s="1"/>
  <c r="AW234" i="56"/>
  <c r="AW307" i="56"/>
  <c r="BC307" i="56"/>
  <c r="BD307" i="56" s="1"/>
  <c r="AW287" i="56"/>
  <c r="BC287" i="56"/>
  <c r="BD287" i="56" s="1"/>
  <c r="BC90" i="56"/>
  <c r="BD90" i="56" s="1"/>
  <c r="AW90" i="56"/>
  <c r="AW118" i="56"/>
  <c r="BC118" i="56"/>
  <c r="BD118" i="56" s="1"/>
  <c r="AW263" i="56"/>
  <c r="BC263" i="56"/>
  <c r="BD263" i="56" s="1"/>
  <c r="AW57" i="56"/>
  <c r="BC57" i="56"/>
  <c r="BD57" i="56" s="1"/>
  <c r="AW131" i="56"/>
  <c r="BC131" i="56"/>
  <c r="BD131" i="56" s="1"/>
  <c r="AW203" i="56"/>
  <c r="BC203" i="56"/>
  <c r="BD203" i="56" s="1"/>
  <c r="AW276" i="56"/>
  <c r="BC276" i="56"/>
  <c r="BD276" i="56" s="1"/>
  <c r="AW9" i="56"/>
  <c r="BC9" i="56"/>
  <c r="BD9" i="56" s="1"/>
  <c r="AW82" i="56"/>
  <c r="BC82" i="56"/>
  <c r="BD82" i="56" s="1"/>
  <c r="BC156" i="56"/>
  <c r="AW156" i="56"/>
  <c r="AW312" i="56"/>
  <c r="BC312" i="56"/>
  <c r="BD312" i="56" s="1"/>
  <c r="BC109" i="56"/>
  <c r="BD109" i="56" s="1"/>
  <c r="AW109" i="56"/>
  <c r="BC181" i="56"/>
  <c r="BD181" i="56" s="1"/>
  <c r="AW181" i="56"/>
  <c r="BC253" i="56"/>
  <c r="BD253" i="56" s="1"/>
  <c r="AW253" i="56"/>
  <c r="AW187" i="56"/>
  <c r="BC187" i="56"/>
  <c r="BD187" i="56" s="1"/>
  <c r="BC48" i="56"/>
  <c r="BD48" i="56" s="1"/>
  <c r="AW48" i="56"/>
  <c r="BC194" i="56"/>
  <c r="BD194" i="56" s="1"/>
  <c r="AW194" i="56"/>
  <c r="AW267" i="56"/>
  <c r="BC267" i="56"/>
  <c r="BD267" i="56" s="1"/>
  <c r="AW249" i="56"/>
  <c r="BC249" i="56"/>
  <c r="BD249" i="56" s="1"/>
  <c r="BC147" i="56"/>
  <c r="BD147" i="56" s="1"/>
  <c r="AW147" i="56"/>
  <c r="BC217" i="56"/>
  <c r="BD217" i="56" s="1"/>
  <c r="AW217" i="56"/>
  <c r="BC292" i="56"/>
  <c r="BD292" i="56" s="1"/>
  <c r="AW292" i="56"/>
  <c r="BC38" i="56"/>
  <c r="BD38" i="56" s="1"/>
  <c r="AW38" i="56"/>
  <c r="AW115" i="56"/>
  <c r="BC115" i="56"/>
  <c r="BD115" i="56" s="1"/>
  <c r="BC184" i="56"/>
  <c r="BD184" i="56" s="1"/>
  <c r="AW184" i="56"/>
  <c r="BC256" i="56"/>
  <c r="BD256" i="56" s="1"/>
  <c r="AW256" i="56"/>
  <c r="BC52" i="56"/>
  <c r="BD52" i="56" s="1"/>
  <c r="AW52" i="56"/>
  <c r="AW283" i="56"/>
  <c r="BC283" i="56"/>
  <c r="BD283" i="56" s="1"/>
  <c r="BC161" i="56"/>
  <c r="BD161" i="56" s="1"/>
  <c r="AW161" i="56"/>
  <c r="AW79" i="56"/>
  <c r="BC79" i="56"/>
  <c r="BD79" i="56" s="1"/>
  <c r="BC51" i="56"/>
  <c r="BD51" i="56" s="1"/>
  <c r="AW51" i="56"/>
  <c r="BC54" i="56"/>
  <c r="BD54" i="56" s="1"/>
  <c r="AW54" i="56"/>
  <c r="AW44" i="56"/>
  <c r="BC44" i="56"/>
  <c r="BD44" i="56" s="1"/>
  <c r="AW190" i="56"/>
  <c r="BC190" i="56"/>
  <c r="BD190" i="56" s="1"/>
  <c r="AW153" i="56"/>
  <c r="BC153" i="56"/>
  <c r="BD153" i="56" s="1"/>
  <c r="AW238" i="56"/>
  <c r="BC238" i="56"/>
  <c r="BD238" i="56" s="1"/>
  <c r="BC35" i="56"/>
  <c r="BD35" i="56" s="1"/>
  <c r="AW35" i="56"/>
  <c r="BC121" i="56"/>
  <c r="BD121" i="56" s="1"/>
  <c r="AW121" i="56"/>
  <c r="BC73" i="56"/>
  <c r="BD73" i="56" s="1"/>
  <c r="AW73" i="56"/>
  <c r="BC27" i="56"/>
  <c r="BD27" i="56" s="1"/>
  <c r="AW27" i="56"/>
  <c r="BC101" i="56"/>
  <c r="BD101" i="56" s="1"/>
  <c r="AW101" i="56"/>
  <c r="BC173" i="56"/>
  <c r="BD173" i="56" s="1"/>
  <c r="AW173" i="56"/>
  <c r="BC244" i="56"/>
  <c r="BD244" i="56" s="1"/>
  <c r="AW244" i="56"/>
  <c r="BC317" i="56"/>
  <c r="BD317" i="56" s="1"/>
  <c r="AW317" i="56"/>
  <c r="BC220" i="56"/>
  <c r="BD220" i="56" s="1"/>
  <c r="AW220" i="56"/>
  <c r="BC66" i="56"/>
  <c r="BD66" i="56" s="1"/>
  <c r="AW66" i="56"/>
  <c r="AW271" i="56"/>
  <c r="BC271" i="56"/>
  <c r="BD271" i="56" s="1"/>
  <c r="BC29" i="56"/>
  <c r="BD29" i="56" s="1"/>
  <c r="AW29" i="56"/>
  <c r="AW103" i="56"/>
  <c r="BC103" i="56"/>
  <c r="BD103" i="56" s="1"/>
  <c r="AW175" i="56"/>
  <c r="BC175" i="56"/>
  <c r="BD175" i="56" s="1"/>
  <c r="BC30" i="56"/>
  <c r="BD30" i="56" s="1"/>
  <c r="AW30" i="56"/>
  <c r="BC104" i="56"/>
  <c r="BD104" i="56" s="1"/>
  <c r="AW104" i="56"/>
  <c r="BC176" i="56"/>
  <c r="BD176" i="56" s="1"/>
  <c r="AW176" i="56"/>
  <c r="AW247" i="56"/>
  <c r="BC247" i="56"/>
  <c r="BD247" i="56" s="1"/>
  <c r="AW19" i="56"/>
  <c r="BC19" i="56"/>
  <c r="BD19" i="56" s="1"/>
  <c r="AW165" i="56"/>
  <c r="BC165" i="56"/>
  <c r="BD165" i="56" s="1"/>
  <c r="BC72" i="56"/>
  <c r="BD72" i="56" s="1"/>
  <c r="AW72" i="56"/>
  <c r="AW259" i="56"/>
  <c r="BC128" i="56"/>
  <c r="BD128" i="56" s="1"/>
  <c r="AW128" i="56"/>
  <c r="BC270" i="56"/>
  <c r="BD270" i="56" s="1"/>
  <c r="AW270" i="56"/>
  <c r="BC76" i="56"/>
  <c r="BD76" i="56" s="1"/>
  <c r="AW76" i="56"/>
  <c r="AW295" i="56"/>
  <c r="BC295" i="56"/>
  <c r="BD295" i="56" s="1"/>
  <c r="BC125" i="56"/>
  <c r="BD125" i="56" s="1"/>
  <c r="AW125" i="56"/>
  <c r="AW202" i="56"/>
  <c r="BC202" i="56"/>
  <c r="BD202" i="56" s="1"/>
  <c r="AW275" i="56"/>
  <c r="BC275" i="56"/>
  <c r="BD275" i="56" s="1"/>
  <c r="BC308" i="56"/>
  <c r="BD308" i="56" s="1"/>
  <c r="AW308" i="56"/>
  <c r="AW143" i="56"/>
  <c r="BC143" i="56"/>
  <c r="BD143" i="56" s="1"/>
  <c r="AW213" i="56"/>
  <c r="BK213" i="56" s="1"/>
  <c r="BS213" i="56" s="1"/>
  <c r="BC213" i="56"/>
  <c r="AW288" i="56"/>
  <c r="BC288" i="56"/>
  <c r="BD288" i="56" s="1"/>
  <c r="AW22" i="56"/>
  <c r="BC22" i="56"/>
  <c r="BD22" i="56" s="1"/>
  <c r="BC168" i="56"/>
  <c r="BD168" i="56" s="1"/>
  <c r="AW168" i="56"/>
  <c r="AW252" i="56"/>
  <c r="BC252" i="56"/>
  <c r="BD252" i="56" s="1"/>
  <c r="BC221" i="56"/>
  <c r="BD221" i="56" s="1"/>
  <c r="AW221" i="56"/>
  <c r="BC47" i="56"/>
  <c r="BD47" i="56" s="1"/>
  <c r="AW47" i="56"/>
  <c r="BC120" i="56"/>
  <c r="BD120" i="56" s="1"/>
  <c r="AW120" i="56"/>
  <c r="BC193" i="56"/>
  <c r="BD193" i="56" s="1"/>
  <c r="AW193" i="56"/>
  <c r="AW266" i="56"/>
  <c r="BC266" i="56"/>
  <c r="BD266" i="56" s="1"/>
  <c r="AW129" i="56"/>
  <c r="BC129" i="56"/>
  <c r="BD129" i="56" s="1"/>
  <c r="BC60" i="56"/>
  <c r="BD60" i="56" s="1"/>
  <c r="AW60" i="56"/>
  <c r="BC205" i="56"/>
  <c r="BD205" i="56" s="1"/>
  <c r="AW205" i="56"/>
  <c r="AW279" i="56"/>
  <c r="BC279" i="56"/>
  <c r="BD279" i="56" s="1"/>
  <c r="BC12" i="56"/>
  <c r="BD12" i="56" s="1"/>
  <c r="AW12" i="56"/>
  <c r="BC86" i="56"/>
  <c r="BD86" i="56" s="1"/>
  <c r="AW86" i="56"/>
  <c r="BC159" i="56"/>
  <c r="BD159" i="56" s="1"/>
  <c r="AW159" i="56"/>
  <c r="BC229" i="56"/>
  <c r="BD229" i="56" s="1"/>
  <c r="AW229" i="56"/>
  <c r="AW315" i="56"/>
  <c r="BC315" i="56"/>
  <c r="BD315" i="56" s="1"/>
  <c r="BC50" i="56"/>
  <c r="BD50" i="56" s="1"/>
  <c r="AW50" i="56"/>
  <c r="BC124" i="56"/>
  <c r="BD124" i="56" s="1"/>
  <c r="AW124" i="56"/>
  <c r="BC196" i="56"/>
  <c r="BD196" i="56" s="1"/>
  <c r="AW196" i="56"/>
  <c r="BC269" i="56"/>
  <c r="BD269" i="56" s="1"/>
  <c r="AW269" i="56"/>
  <c r="BC102" i="56"/>
  <c r="BD102" i="56" s="1"/>
  <c r="AW102" i="56"/>
  <c r="BC6" i="56"/>
  <c r="BD6" i="56" s="1"/>
  <c r="AW6" i="56"/>
  <c r="AW56" i="56"/>
  <c r="BC56" i="56"/>
  <c r="BD56" i="56" s="1"/>
  <c r="AW130" i="56"/>
  <c r="BC130" i="56"/>
  <c r="BD130" i="56" s="1"/>
  <c r="AW69" i="56"/>
  <c r="BC69" i="56"/>
  <c r="BD69" i="56" s="1"/>
  <c r="AW95" i="56"/>
  <c r="BC95" i="56"/>
  <c r="BD95" i="56" s="1"/>
  <c r="BC134" i="56"/>
  <c r="BD134" i="56" s="1"/>
  <c r="AW134" i="56"/>
  <c r="BC39" i="56"/>
  <c r="AW39" i="56"/>
  <c r="BK39" i="56" s="1"/>
  <c r="BC111" i="56"/>
  <c r="BD111" i="56" s="1"/>
  <c r="AW111" i="56"/>
  <c r="BC185" i="56"/>
  <c r="BD185" i="56" s="1"/>
  <c r="AW185" i="56"/>
  <c r="BC257" i="56"/>
  <c r="BD257" i="56" s="1"/>
  <c r="AW257" i="56"/>
  <c r="BC28" i="56"/>
  <c r="BD28" i="56" s="1"/>
  <c r="AW28" i="56"/>
  <c r="AW258" i="56"/>
  <c r="AW91" i="56"/>
  <c r="BC91" i="56"/>
  <c r="BD91" i="56" s="1"/>
  <c r="BC306" i="56"/>
  <c r="BD306" i="56" s="1"/>
  <c r="AW306" i="56"/>
  <c r="BC41" i="56"/>
  <c r="BD41" i="56" s="1"/>
  <c r="AW41" i="56"/>
  <c r="BC113" i="56"/>
  <c r="BD113" i="56" s="1"/>
  <c r="AW113" i="56"/>
  <c r="BC272" i="56"/>
  <c r="BD272" i="56" s="1"/>
  <c r="AW272" i="56"/>
  <c r="BC42" i="56"/>
  <c r="BD42" i="56" s="1"/>
  <c r="AW42" i="56"/>
  <c r="BC116" i="56"/>
  <c r="BD116" i="56" s="1"/>
  <c r="AW116" i="56"/>
  <c r="BC188" i="56"/>
  <c r="BD188" i="56" s="1"/>
  <c r="AW188" i="56"/>
  <c r="AW261" i="56"/>
  <c r="BC261" i="56"/>
  <c r="BD261" i="56" s="1"/>
  <c r="AW31" i="56"/>
  <c r="BC31" i="56"/>
  <c r="BD31" i="56" s="1"/>
  <c r="AW274" i="56"/>
  <c r="BC274" i="56"/>
  <c r="BD274" i="56" s="1"/>
  <c r="AW68" i="56"/>
  <c r="BC68" i="56"/>
  <c r="BD68" i="56" s="1"/>
  <c r="BC212" i="56"/>
  <c r="BD212" i="56" s="1"/>
  <c r="AW212" i="56"/>
  <c r="AW8" i="56"/>
  <c r="BC8" i="56"/>
  <c r="BD8" i="56" s="1"/>
  <c r="AW81" i="56"/>
  <c r="BC81" i="56"/>
  <c r="BD81" i="56" s="1"/>
  <c r="AW155" i="56"/>
  <c r="BC155" i="56"/>
  <c r="BD155" i="56" s="1"/>
  <c r="AW225" i="56"/>
  <c r="BC225" i="56"/>
  <c r="BD225" i="56" s="1"/>
  <c r="AW300" i="56"/>
  <c r="BC300" i="56"/>
  <c r="BD300" i="56" s="1"/>
  <c r="AW33" i="56"/>
  <c r="BC33" i="56"/>
  <c r="BD33" i="56" s="1"/>
  <c r="BC108" i="56"/>
  <c r="BD108" i="56" s="1"/>
  <c r="AW108" i="56"/>
  <c r="BC180" i="56"/>
  <c r="BD180" i="56" s="1"/>
  <c r="AW180" i="56"/>
  <c r="AW265" i="56"/>
  <c r="BC265" i="56"/>
  <c r="BD265" i="56" s="1"/>
  <c r="AW141" i="56"/>
  <c r="BC141" i="56"/>
  <c r="BD141" i="56" s="1"/>
  <c r="BC59" i="56"/>
  <c r="BD59" i="56" s="1"/>
  <c r="AW59" i="56"/>
  <c r="BC133" i="56"/>
  <c r="BD133" i="56" s="1"/>
  <c r="AW133" i="56"/>
  <c r="BC204" i="56"/>
  <c r="BD204" i="56" s="1"/>
  <c r="AW204" i="56"/>
  <c r="AW278" i="56"/>
  <c r="BC278" i="56"/>
  <c r="BD278" i="56" s="1"/>
  <c r="AW286" i="56"/>
  <c r="BC286" i="56"/>
  <c r="BD286" i="56" s="1"/>
  <c r="BC146" i="56"/>
  <c r="BD146" i="56" s="1"/>
  <c r="AW146" i="56"/>
  <c r="BC216" i="56"/>
  <c r="BD216" i="56" s="1"/>
  <c r="AW216" i="56"/>
  <c r="AW291" i="56"/>
  <c r="BC291" i="56"/>
  <c r="BD291" i="56" s="1"/>
  <c r="BC25" i="56"/>
  <c r="BD25" i="56" s="1"/>
  <c r="AW25" i="56"/>
  <c r="BC100" i="56"/>
  <c r="BD100" i="56" s="1"/>
  <c r="AW100" i="56"/>
  <c r="BC171" i="56"/>
  <c r="BD171" i="56" s="1"/>
  <c r="AW171" i="56"/>
  <c r="BC242" i="56"/>
  <c r="BD242" i="56" s="1"/>
  <c r="AW242" i="56"/>
  <c r="BC284" i="56"/>
  <c r="BD284" i="56" s="1"/>
  <c r="AW284" i="56"/>
  <c r="BC61" i="56"/>
  <c r="BD61" i="56" s="1"/>
  <c r="AW61" i="56"/>
  <c r="BC136" i="56"/>
  <c r="BD136" i="56" s="1"/>
  <c r="AW136" i="56"/>
  <c r="BC207" i="56"/>
  <c r="BD207" i="56" s="1"/>
  <c r="AW207" i="56"/>
  <c r="BC281" i="56"/>
  <c r="BD281" i="56" s="1"/>
  <c r="AW281" i="56"/>
  <c r="BC138" i="56"/>
  <c r="BD138" i="56" s="1"/>
  <c r="AW138" i="56"/>
  <c r="AW142" i="56"/>
  <c r="BC142" i="56"/>
  <c r="BD142" i="56" s="1"/>
  <c r="AW273" i="56"/>
  <c r="BC273" i="56"/>
  <c r="BD273" i="56" s="1"/>
  <c r="AW7" i="56"/>
  <c r="BC7" i="56"/>
  <c r="BD7" i="56" s="1"/>
  <c r="BC80" i="56"/>
  <c r="BD80" i="56" s="1"/>
  <c r="AW80" i="56"/>
  <c r="BC224" i="56"/>
  <c r="BD224" i="56" s="1"/>
  <c r="AW224" i="56"/>
  <c r="AW21" i="56"/>
  <c r="BC21" i="56"/>
  <c r="BD21" i="56" s="1"/>
  <c r="AW94" i="56"/>
  <c r="BC94" i="56"/>
  <c r="BD94" i="56" s="1"/>
  <c r="AW167" i="56"/>
  <c r="BC167" i="56"/>
  <c r="BD167" i="56" s="1"/>
  <c r="AW237" i="56"/>
  <c r="BC237" i="56"/>
  <c r="BD237" i="56" s="1"/>
  <c r="AW311" i="56"/>
  <c r="BC311" i="56"/>
  <c r="BD311" i="56" s="1"/>
  <c r="AW46" i="56"/>
  <c r="BC46" i="56"/>
  <c r="BD46" i="56" s="1"/>
  <c r="BC123" i="56"/>
  <c r="BD123" i="56" s="1"/>
  <c r="AW123" i="56"/>
  <c r="BC192" i="56"/>
  <c r="BD192" i="56" s="1"/>
  <c r="AW192" i="56"/>
  <c r="AW277" i="56"/>
  <c r="BC277" i="56"/>
  <c r="BD277" i="56" s="1"/>
  <c r="AW262" i="56"/>
  <c r="BC262" i="56"/>
  <c r="BD262" i="56" s="1"/>
  <c r="BC71" i="56"/>
  <c r="BD71" i="56" s="1"/>
  <c r="AW71" i="56"/>
  <c r="BC145" i="56"/>
  <c r="BD145" i="56" s="1"/>
  <c r="AW145" i="56"/>
  <c r="AW215" i="56"/>
  <c r="BC215" i="56"/>
  <c r="BD215" i="56" s="1"/>
  <c r="AW290" i="56"/>
  <c r="BC290" i="56"/>
  <c r="BD290" i="56" s="1"/>
  <c r="BC11" i="56"/>
  <c r="BD11" i="56" s="1"/>
  <c r="AW11" i="56"/>
  <c r="BC85" i="56"/>
  <c r="BD85" i="56" s="1"/>
  <c r="AW85" i="56"/>
  <c r="BC303" i="56"/>
  <c r="BD303" i="56" s="1"/>
  <c r="AW303" i="56"/>
  <c r="BC37" i="56"/>
  <c r="BD37" i="56" s="1"/>
  <c r="AW37" i="56"/>
  <c r="BC114" i="56"/>
  <c r="BD114" i="56" s="1"/>
  <c r="AW114" i="56"/>
  <c r="BC183" i="56"/>
  <c r="BD183" i="56" s="1"/>
  <c r="AW183" i="56"/>
  <c r="BC255" i="56"/>
  <c r="BD255" i="56" s="1"/>
  <c r="AW255" i="56"/>
  <c r="BC74" i="56"/>
  <c r="BD74" i="56" s="1"/>
  <c r="AW74" i="56"/>
  <c r="BC148" i="56"/>
  <c r="BD148" i="56" s="1"/>
  <c r="AW148" i="56"/>
  <c r="BC218" i="56"/>
  <c r="BD218" i="56" s="1"/>
  <c r="AW218" i="56"/>
  <c r="BC293" i="56"/>
  <c r="BD293" i="56" s="1"/>
  <c r="AW293" i="56"/>
  <c r="BC174" i="56"/>
  <c r="BD174" i="56" s="1"/>
  <c r="AW174" i="56"/>
  <c r="BC197" i="56"/>
  <c r="BD197" i="56" s="1"/>
  <c r="AW197" i="56"/>
  <c r="BC246" i="56"/>
  <c r="BD246" i="56" s="1"/>
  <c r="AW246" i="56"/>
  <c r="AW43" i="56"/>
  <c r="BC43" i="56"/>
  <c r="BD43" i="56" s="1"/>
  <c r="AW154" i="56"/>
  <c r="BC154" i="56"/>
  <c r="BD154" i="56" s="1"/>
  <c r="AW299" i="56"/>
  <c r="BC299" i="56"/>
  <c r="BD299" i="56" s="1"/>
  <c r="BC158" i="56"/>
  <c r="AW158" i="56"/>
  <c r="BK158" i="56" s="1"/>
  <c r="BS158" i="56" s="1"/>
  <c r="BC228" i="56"/>
  <c r="BD228" i="56" s="1"/>
  <c r="AW228" i="56"/>
  <c r="AW189" i="56"/>
  <c r="BC189" i="56"/>
  <c r="BD189" i="56" s="1"/>
  <c r="BC62" i="56"/>
  <c r="BD62" i="56" s="1"/>
  <c r="AW62" i="56"/>
  <c r="BC137" i="56"/>
  <c r="BD137" i="56" s="1"/>
  <c r="AW137" i="56"/>
  <c r="BC208" i="56"/>
  <c r="BD208" i="56" s="1"/>
  <c r="AW208" i="56"/>
  <c r="BC112" i="56"/>
  <c r="BD112" i="56" s="1"/>
  <c r="AW112" i="56"/>
  <c r="BC210" i="56"/>
  <c r="BD210" i="56" s="1"/>
  <c r="AW210" i="56"/>
  <c r="BC162" i="56"/>
  <c r="BD162" i="56" s="1"/>
  <c r="AW162" i="56"/>
  <c r="AW117" i="56"/>
  <c r="BC117" i="56"/>
  <c r="BD117" i="56" s="1"/>
  <c r="BC64" i="56"/>
  <c r="BD64" i="56" s="1"/>
  <c r="AW64" i="56"/>
  <c r="AW139" i="56"/>
  <c r="BC139" i="56"/>
  <c r="BD139" i="56" s="1"/>
  <c r="AW201" i="56"/>
  <c r="BC201" i="56"/>
  <c r="BD201" i="56" s="1"/>
  <c r="BC65" i="56"/>
  <c r="BD65" i="56" s="1"/>
  <c r="AW65" i="56"/>
  <c r="BC140" i="56"/>
  <c r="BD140" i="56" s="1"/>
  <c r="AW140" i="56"/>
  <c r="AW211" i="56"/>
  <c r="BC211" i="56"/>
  <c r="BD211" i="56" s="1"/>
  <c r="AW285" i="56"/>
  <c r="BC285" i="56"/>
  <c r="BD285" i="56" s="1"/>
  <c r="AW127" i="56"/>
  <c r="BC127" i="56"/>
  <c r="BD127" i="56" s="1"/>
  <c r="AW93" i="56"/>
  <c r="BC93" i="56"/>
  <c r="BD93" i="56" s="1"/>
  <c r="BC236" i="56"/>
  <c r="BD236" i="56" s="1"/>
  <c r="AW236" i="56"/>
  <c r="AW309" i="56"/>
  <c r="BC309" i="56"/>
  <c r="BD309" i="56" s="1"/>
  <c r="AW107" i="56"/>
  <c r="BC107" i="56"/>
  <c r="BD107" i="56" s="1"/>
  <c r="AW179" i="56"/>
  <c r="BC179" i="56"/>
  <c r="BD179" i="56" s="1"/>
  <c r="BC233" i="56"/>
  <c r="BD233" i="56" s="1"/>
  <c r="AW233" i="56"/>
  <c r="AW58" i="56"/>
  <c r="BC58" i="56"/>
  <c r="BD58" i="56" s="1"/>
  <c r="BC132" i="56"/>
  <c r="BD132" i="56" s="1"/>
  <c r="AW132" i="56"/>
  <c r="AW214" i="56"/>
  <c r="BC214" i="56"/>
  <c r="BD214" i="56" s="1"/>
  <c r="AW289" i="56"/>
  <c r="BC289" i="56"/>
  <c r="BD289" i="56" s="1"/>
  <c r="AW10" i="56"/>
  <c r="BC10" i="56"/>
  <c r="BD10" i="56" s="1"/>
  <c r="BC84" i="56"/>
  <c r="BD84" i="56" s="1"/>
  <c r="AW84" i="56"/>
  <c r="BC157" i="56"/>
  <c r="BD157" i="56" s="1"/>
  <c r="AW157" i="56"/>
  <c r="AW227" i="56"/>
  <c r="BC227" i="56"/>
  <c r="BD227" i="56" s="1"/>
  <c r="AW302" i="56"/>
  <c r="BC302" i="56"/>
  <c r="BD302" i="56" s="1"/>
  <c r="BC97" i="56"/>
  <c r="BD97" i="56" s="1"/>
  <c r="AW97" i="56"/>
  <c r="BC170" i="56"/>
  <c r="BD170" i="56" s="1"/>
  <c r="AW170" i="56"/>
  <c r="BC241" i="56"/>
  <c r="BD241" i="56" s="1"/>
  <c r="AW241" i="56"/>
  <c r="AW314" i="56"/>
  <c r="BC314" i="56"/>
  <c r="BD314" i="56" s="1"/>
  <c r="BC49" i="56"/>
  <c r="BD49" i="56" s="1"/>
  <c r="AW49" i="56"/>
  <c r="BC122" i="56"/>
  <c r="BD122" i="56" s="1"/>
  <c r="AW122" i="56"/>
  <c r="BC195" i="56"/>
  <c r="BD195" i="56" s="1"/>
  <c r="AW195" i="56"/>
  <c r="BC268" i="56"/>
  <c r="BD268" i="56" s="1"/>
  <c r="AW268" i="56"/>
  <c r="BC87" i="56"/>
  <c r="AW87" i="56"/>
  <c r="BK87" i="56" s="1"/>
  <c r="BC160" i="56"/>
  <c r="BD160" i="56" s="1"/>
  <c r="AW160" i="56"/>
  <c r="BC230" i="56"/>
  <c r="BD230" i="56" s="1"/>
  <c r="AW230" i="56"/>
  <c r="BC304" i="56"/>
  <c r="BD304" i="56" s="1"/>
  <c r="AW304" i="56"/>
  <c r="BC209" i="56"/>
  <c r="BD209" i="56" s="1"/>
  <c r="AW209" i="56"/>
  <c r="AW105" i="56"/>
  <c r="BC105" i="56"/>
  <c r="BD105" i="56" s="1"/>
  <c r="BC282" i="56"/>
  <c r="BD282" i="56" s="1"/>
  <c r="AW282" i="56"/>
  <c r="AW55" i="56"/>
  <c r="BC55" i="56"/>
  <c r="BD55" i="56" s="1"/>
  <c r="BC200" i="56"/>
  <c r="BD200" i="56" s="1"/>
  <c r="AW200" i="56"/>
  <c r="AW20" i="56"/>
  <c r="BC20" i="56"/>
  <c r="BD20" i="56" s="1"/>
  <c r="AW166" i="56"/>
  <c r="BC166" i="56"/>
  <c r="BD166" i="56" s="1"/>
  <c r="AW32" i="56"/>
  <c r="BC32" i="56"/>
  <c r="BD32" i="56" s="1"/>
  <c r="AW251" i="56"/>
  <c r="BC251" i="56"/>
  <c r="BD251" i="56" s="1"/>
  <c r="BC24" i="56"/>
  <c r="BD24" i="56" s="1"/>
  <c r="AW24" i="56"/>
  <c r="BC13" i="56"/>
  <c r="BD13" i="56" s="1"/>
  <c r="AW13" i="56"/>
  <c r="AW223" i="56"/>
  <c r="BC223" i="56"/>
  <c r="BD223" i="56" s="1"/>
  <c r="BC75" i="56"/>
  <c r="BD75" i="56" s="1"/>
  <c r="AW75" i="56"/>
  <c r="BC149" i="56"/>
  <c r="BD149" i="56" s="1"/>
  <c r="AW149" i="56"/>
  <c r="BC219" i="56"/>
  <c r="BD219" i="56" s="1"/>
  <c r="AW219" i="56"/>
  <c r="BC150" i="56"/>
  <c r="BD150" i="56" s="1"/>
  <c r="AW150" i="56"/>
  <c r="BC15" i="56"/>
  <c r="BD15" i="56" s="1"/>
  <c r="AW15" i="56"/>
  <c r="BC198" i="56"/>
  <c r="BD198" i="56" s="1"/>
  <c r="AW198" i="56"/>
  <c r="AW235" i="56"/>
  <c r="BC235" i="56"/>
  <c r="BD235" i="56" s="1"/>
  <c r="BC77" i="56"/>
  <c r="BD77" i="56" s="1"/>
  <c r="AW77" i="56"/>
  <c r="AW151" i="56"/>
  <c r="BC151" i="56"/>
  <c r="BD151" i="56" s="1"/>
  <c r="AW298" i="56"/>
  <c r="BC298" i="56"/>
  <c r="BD298" i="56" s="1"/>
  <c r="BC78" i="56"/>
  <c r="BD78" i="56" s="1"/>
  <c r="AW78" i="56"/>
  <c r="BC152" i="56"/>
  <c r="BD152" i="56" s="1"/>
  <c r="AW152" i="56"/>
  <c r="BC222" i="56"/>
  <c r="BD222" i="56" s="1"/>
  <c r="AW222" i="56"/>
  <c r="AW297" i="56"/>
  <c r="BC297" i="56"/>
  <c r="BD297" i="56" s="1"/>
  <c r="BC126" i="56"/>
  <c r="BD126" i="56" s="1"/>
  <c r="AW126" i="56"/>
  <c r="AW34" i="56"/>
  <c r="BC34" i="56"/>
  <c r="BD34" i="56" s="1"/>
  <c r="AW106" i="56"/>
  <c r="BC106" i="56"/>
  <c r="BD106" i="56" s="1"/>
  <c r="AW178" i="56"/>
  <c r="BC178" i="56"/>
  <c r="BD178" i="56" s="1"/>
  <c r="AW250" i="56"/>
  <c r="BC250" i="56"/>
  <c r="BD250" i="56" s="1"/>
  <c r="AW199" i="56"/>
  <c r="BC199" i="56"/>
  <c r="BD199" i="56" s="1"/>
  <c r="AW45" i="56"/>
  <c r="BC45" i="56"/>
  <c r="BD45" i="56" s="1"/>
  <c r="AW119" i="56"/>
  <c r="BC119" i="56"/>
  <c r="BD119" i="56" s="1"/>
  <c r="AW191" i="56"/>
  <c r="BC191" i="56"/>
  <c r="BD191" i="56" s="1"/>
  <c r="AW264" i="56"/>
  <c r="BC264" i="56"/>
  <c r="BD264" i="56" s="1"/>
  <c r="AW177" i="56"/>
  <c r="BC177" i="56"/>
  <c r="BD177" i="56" s="1"/>
  <c r="AW70" i="56"/>
  <c r="BK70" i="56" s="1"/>
  <c r="BS70" i="56" s="1"/>
  <c r="BC70" i="56"/>
  <c r="BD70" i="56" s="1"/>
  <c r="BC144" i="56"/>
  <c r="BD144" i="56" s="1"/>
  <c r="AW144" i="56"/>
  <c r="AW226" i="56"/>
  <c r="BC226" i="56"/>
  <c r="BD226" i="56" s="1"/>
  <c r="AW301" i="56"/>
  <c r="BC301" i="56"/>
  <c r="BD301" i="56" s="1"/>
  <c r="BC96" i="56"/>
  <c r="BD96" i="56" s="1"/>
  <c r="AW96" i="56"/>
  <c r="BC169" i="56"/>
  <c r="BD169" i="56" s="1"/>
  <c r="AW169" i="56"/>
  <c r="AW239" i="56"/>
  <c r="BC239" i="56"/>
  <c r="BD239" i="56" s="1"/>
  <c r="AW313" i="56"/>
  <c r="BC313" i="56"/>
  <c r="BD313" i="56" s="1"/>
  <c r="BC36" i="56"/>
  <c r="BD36" i="56" s="1"/>
  <c r="AW36" i="56"/>
  <c r="BC182" i="56"/>
  <c r="BD182" i="56" s="1"/>
  <c r="AW182" i="56"/>
  <c r="BC254" i="56"/>
  <c r="BD254" i="56" s="1"/>
  <c r="AW254" i="56"/>
  <c r="BC296" i="56"/>
  <c r="AW296" i="56"/>
  <c r="BK296" i="56" s="1"/>
  <c r="BS296" i="56" s="1"/>
  <c r="BC135" i="56"/>
  <c r="BD135" i="56" s="1"/>
  <c r="AW135" i="56"/>
  <c r="BC206" i="56"/>
  <c r="BD206" i="56" s="1"/>
  <c r="AW206" i="56"/>
  <c r="BC280" i="56"/>
  <c r="BD280" i="56" s="1"/>
  <c r="AW280" i="56"/>
  <c r="BC26" i="56"/>
  <c r="BD26" i="56" s="1"/>
  <c r="AW26" i="56"/>
  <c r="BC98" i="56"/>
  <c r="BD98" i="56" s="1"/>
  <c r="AW98" i="56"/>
  <c r="BC172" i="56"/>
  <c r="BD172" i="56" s="1"/>
  <c r="AW172" i="56"/>
  <c r="BC243" i="56"/>
  <c r="BD243" i="56" s="1"/>
  <c r="AW243" i="56"/>
  <c r="BC316" i="56"/>
  <c r="BD316" i="56" s="1"/>
  <c r="AW316" i="56"/>
  <c r="BC245" i="56"/>
  <c r="BD245" i="56" s="1"/>
  <c r="AW245" i="56"/>
  <c r="BC294" i="56"/>
  <c r="BD294" i="56" s="1"/>
  <c r="AW294" i="56"/>
  <c r="AW67" i="56"/>
  <c r="BC67" i="56"/>
  <c r="BD67" i="56" s="1"/>
  <c r="AP301" i="56"/>
  <c r="AP209" i="56"/>
  <c r="AP161" i="56"/>
  <c r="AP86" i="56"/>
  <c r="AP48" i="56"/>
  <c r="AP265" i="56"/>
  <c r="AP313" i="56"/>
  <c r="AP300" i="56"/>
  <c r="AP288" i="56"/>
  <c r="AP276" i="56"/>
  <c r="AP262" i="56"/>
  <c r="AP249" i="56"/>
  <c r="AP234" i="56"/>
  <c r="AP222" i="56"/>
  <c r="AP208" i="56"/>
  <c r="AP196" i="56"/>
  <c r="AP184" i="56"/>
  <c r="AP172" i="56"/>
  <c r="AP160" i="56"/>
  <c r="AP148" i="56"/>
  <c r="AP136" i="56"/>
  <c r="AP124" i="56"/>
  <c r="AP109" i="56"/>
  <c r="AR109" i="56" s="1"/>
  <c r="AP97" i="56"/>
  <c r="AP85" i="56"/>
  <c r="AP71" i="56"/>
  <c r="AP59" i="56"/>
  <c r="AP47" i="56"/>
  <c r="AP35" i="56"/>
  <c r="AP23" i="56"/>
  <c r="AP10" i="56"/>
  <c r="AP267" i="56"/>
  <c r="AP223" i="56"/>
  <c r="AP98" i="56"/>
  <c r="AP11" i="56"/>
  <c r="AP312" i="56"/>
  <c r="AP299" i="56"/>
  <c r="AP287" i="56"/>
  <c r="AP275" i="56"/>
  <c r="AP261" i="56"/>
  <c r="AP246" i="56"/>
  <c r="AP233" i="56"/>
  <c r="AP221" i="56"/>
  <c r="AP207" i="56"/>
  <c r="AP195" i="56"/>
  <c r="AP183" i="56"/>
  <c r="AP171" i="56"/>
  <c r="AP159" i="56"/>
  <c r="AP147" i="56"/>
  <c r="AP135" i="56"/>
  <c r="AP123" i="56"/>
  <c r="AP108" i="56"/>
  <c r="AR108" i="56" s="1"/>
  <c r="AP96" i="56"/>
  <c r="AP84" i="56"/>
  <c r="AP70" i="56"/>
  <c r="AP58" i="56"/>
  <c r="AP46" i="56"/>
  <c r="AP34" i="56"/>
  <c r="AP22" i="56"/>
  <c r="AP9" i="56"/>
  <c r="AP197" i="56"/>
  <c r="AP137" i="56"/>
  <c r="AP60" i="56"/>
  <c r="AP311" i="56"/>
  <c r="AP298" i="56"/>
  <c r="AP286" i="56"/>
  <c r="AP274" i="56"/>
  <c r="AP245" i="56"/>
  <c r="AP232" i="56"/>
  <c r="AP220" i="56"/>
  <c r="AP206" i="56"/>
  <c r="AP194" i="56"/>
  <c r="AP182" i="56"/>
  <c r="AP170" i="56"/>
  <c r="AP158" i="56"/>
  <c r="AP146" i="56"/>
  <c r="AP134" i="56"/>
  <c r="AP122" i="56"/>
  <c r="AP112" i="56"/>
  <c r="AP95" i="56"/>
  <c r="AP82" i="56"/>
  <c r="AP69" i="56"/>
  <c r="AP57" i="56"/>
  <c r="AP45" i="56"/>
  <c r="AP33" i="56"/>
  <c r="AR33" i="56" s="1"/>
  <c r="AP21" i="56"/>
  <c r="AP8" i="56"/>
  <c r="AP250" i="56"/>
  <c r="AP173" i="56"/>
  <c r="AP110" i="56"/>
  <c r="AR110" i="56" s="1"/>
  <c r="AP24" i="56"/>
  <c r="AP309" i="56"/>
  <c r="AP297" i="56"/>
  <c r="AP285" i="56"/>
  <c r="AP273" i="56"/>
  <c r="AP259" i="56"/>
  <c r="BD259" i="56"/>
  <c r="AP244" i="56"/>
  <c r="AP231" i="56"/>
  <c r="AP217" i="56"/>
  <c r="AP205" i="56"/>
  <c r="AP193" i="56"/>
  <c r="AP181" i="56"/>
  <c r="AP169" i="56"/>
  <c r="AP157" i="56"/>
  <c r="AP145" i="56"/>
  <c r="AP133" i="56"/>
  <c r="AP121" i="56"/>
  <c r="AP111" i="56"/>
  <c r="AP94" i="56"/>
  <c r="AP81" i="56"/>
  <c r="AP68" i="56"/>
  <c r="AP56" i="56"/>
  <c r="AP44" i="56"/>
  <c r="AP32" i="56"/>
  <c r="AP20" i="56"/>
  <c r="AP7" i="56"/>
  <c r="AP263" i="56"/>
  <c r="AP185" i="56"/>
  <c r="AP149" i="56"/>
  <c r="AP72" i="56"/>
  <c r="AP36" i="56"/>
  <c r="AP308" i="56"/>
  <c r="AP296" i="56"/>
  <c r="AP284" i="56"/>
  <c r="AP272" i="56"/>
  <c r="AP258" i="56"/>
  <c r="BD258" i="56"/>
  <c r="AP243" i="56"/>
  <c r="AP230" i="56"/>
  <c r="AP216" i="56"/>
  <c r="AP204" i="56"/>
  <c r="AP192" i="56"/>
  <c r="AP180" i="56"/>
  <c r="AP168" i="56"/>
  <c r="AP156" i="56"/>
  <c r="BD156" i="56"/>
  <c r="AP144" i="56"/>
  <c r="AP132" i="56"/>
  <c r="AP120" i="56"/>
  <c r="AP107" i="56"/>
  <c r="AP93" i="56"/>
  <c r="AP80" i="56"/>
  <c r="AP67" i="56"/>
  <c r="AP55" i="56"/>
  <c r="AP43" i="56"/>
  <c r="AP31" i="56"/>
  <c r="AP19" i="56"/>
  <c r="AP79" i="56"/>
  <c r="AP235" i="56"/>
  <c r="AP125" i="56"/>
  <c r="AP307" i="56"/>
  <c r="AP295" i="56"/>
  <c r="AP283" i="56"/>
  <c r="AP271" i="56"/>
  <c r="AP257" i="56"/>
  <c r="AP242" i="56"/>
  <c r="AP229" i="56"/>
  <c r="AP215" i="56"/>
  <c r="AP203" i="56"/>
  <c r="AP191" i="56"/>
  <c r="AP179" i="56"/>
  <c r="AP167" i="56"/>
  <c r="AP155" i="56"/>
  <c r="AP143" i="56"/>
  <c r="AP131" i="56"/>
  <c r="AP119" i="56"/>
  <c r="AP106" i="56"/>
  <c r="AP92" i="56"/>
  <c r="AP78" i="56"/>
  <c r="AP66" i="56"/>
  <c r="AP54" i="56"/>
  <c r="AP42" i="56"/>
  <c r="AP30" i="56"/>
  <c r="AP18" i="56"/>
  <c r="AP219" i="56"/>
  <c r="AP306" i="56"/>
  <c r="AP294" i="56"/>
  <c r="AP282" i="56"/>
  <c r="AP270" i="56"/>
  <c r="AP256" i="56"/>
  <c r="AP228" i="56"/>
  <c r="AP214" i="56"/>
  <c r="AP202" i="56"/>
  <c r="AP190" i="56"/>
  <c r="AP178" i="56"/>
  <c r="AP166" i="56"/>
  <c r="AP154" i="56"/>
  <c r="AP142" i="56"/>
  <c r="AP130" i="56"/>
  <c r="AP118" i="56"/>
  <c r="AP105" i="56"/>
  <c r="AP91" i="56"/>
  <c r="AP77" i="56"/>
  <c r="AP65" i="56"/>
  <c r="AP53" i="56"/>
  <c r="AP41" i="56"/>
  <c r="AP29" i="56"/>
  <c r="AP16" i="56"/>
  <c r="AP100" i="56"/>
  <c r="AP277" i="56"/>
  <c r="AP305" i="56"/>
  <c r="AP293" i="56"/>
  <c r="AP281" i="56"/>
  <c r="AP269" i="56"/>
  <c r="AP254" i="56"/>
  <c r="AP239" i="56"/>
  <c r="AR239" i="56" s="1"/>
  <c r="AP227" i="56"/>
  <c r="AP213" i="56"/>
  <c r="AP201" i="56"/>
  <c r="AP189" i="56"/>
  <c r="AP177" i="56"/>
  <c r="AP165" i="56"/>
  <c r="AP153" i="56"/>
  <c r="AP141" i="56"/>
  <c r="AP129" i="56"/>
  <c r="AP117" i="56"/>
  <c r="AP104" i="56"/>
  <c r="AP90" i="56"/>
  <c r="AP76" i="56"/>
  <c r="AP64" i="56"/>
  <c r="AP52" i="56"/>
  <c r="AP40" i="56"/>
  <c r="AP28" i="56"/>
  <c r="AP15" i="56"/>
  <c r="AP115" i="56"/>
  <c r="AP314" i="56"/>
  <c r="AP317" i="56"/>
  <c r="AP304" i="56"/>
  <c r="AP292" i="56"/>
  <c r="AP280" i="56"/>
  <c r="AP268" i="56"/>
  <c r="AP253" i="56"/>
  <c r="AP238" i="56"/>
  <c r="AP226" i="56"/>
  <c r="AP212" i="56"/>
  <c r="AP200" i="56"/>
  <c r="AP188" i="56"/>
  <c r="AP176" i="56"/>
  <c r="AP164" i="56"/>
  <c r="AP152" i="56"/>
  <c r="AP140" i="56"/>
  <c r="AP128" i="56"/>
  <c r="AP116" i="56"/>
  <c r="AP103" i="56"/>
  <c r="AP89" i="56"/>
  <c r="AP75" i="56"/>
  <c r="AP63" i="56"/>
  <c r="AP51" i="56"/>
  <c r="AP39" i="56"/>
  <c r="AP27" i="56"/>
  <c r="AP14" i="56"/>
  <c r="AP218" i="56"/>
  <c r="AP316" i="56"/>
  <c r="AP303" i="56"/>
  <c r="AP291" i="56"/>
  <c r="AP279" i="56"/>
  <c r="AP266" i="56"/>
  <c r="AP252" i="56"/>
  <c r="AP237" i="56"/>
  <c r="AP225" i="56"/>
  <c r="AP211" i="56"/>
  <c r="AP199" i="56"/>
  <c r="AP187" i="56"/>
  <c r="AP175" i="56"/>
  <c r="AP163" i="56"/>
  <c r="AP151" i="56"/>
  <c r="AP139" i="56"/>
  <c r="AP127" i="56"/>
  <c r="AP114" i="56"/>
  <c r="AP102" i="56"/>
  <c r="AP88" i="56"/>
  <c r="AP74" i="56"/>
  <c r="AP62" i="56"/>
  <c r="AP50" i="56"/>
  <c r="AP38" i="56"/>
  <c r="AP26" i="56"/>
  <c r="AP13" i="56"/>
  <c r="AP247" i="56"/>
  <c r="AP289" i="56"/>
  <c r="AP315" i="56"/>
  <c r="AP302" i="56"/>
  <c r="AP290" i="56"/>
  <c r="AP278" i="56"/>
  <c r="AP264" i="56"/>
  <c r="AP251" i="56"/>
  <c r="AP236" i="56"/>
  <c r="AP224" i="56"/>
  <c r="AP210" i="56"/>
  <c r="AP198" i="56"/>
  <c r="AP186" i="56"/>
  <c r="AP174" i="56"/>
  <c r="AP162" i="56"/>
  <c r="AP150" i="56"/>
  <c r="AP138" i="56"/>
  <c r="AR138" i="56" s="1"/>
  <c r="AP126" i="56"/>
  <c r="AP113" i="56"/>
  <c r="AP101" i="56"/>
  <c r="AP87" i="56"/>
  <c r="AP73" i="56"/>
  <c r="AP61" i="56"/>
  <c r="AP49" i="56"/>
  <c r="AP37" i="56"/>
  <c r="AP25" i="56"/>
  <c r="AP12" i="56"/>
  <c r="AP255" i="56"/>
  <c r="BA81" i="56"/>
  <c r="BA134" i="56"/>
  <c r="BA254" i="56"/>
  <c r="BA207" i="56"/>
  <c r="BA243" i="56"/>
  <c r="BA107" i="56"/>
  <c r="BA146" i="56"/>
  <c r="BA230" i="56"/>
  <c r="BA9" i="56"/>
  <c r="BA25" i="56"/>
  <c r="BA283" i="56"/>
  <c r="BA132" i="56"/>
  <c r="BA49" i="56"/>
  <c r="BA62" i="56"/>
  <c r="BA156" i="56"/>
  <c r="BA171" i="56"/>
  <c r="BA185" i="56"/>
  <c r="BA47" i="56"/>
  <c r="BA195" i="56"/>
  <c r="BA28" i="56"/>
  <c r="BA71" i="56"/>
  <c r="BA206" i="56"/>
  <c r="BA125" i="56"/>
  <c r="BA193" i="56"/>
  <c r="BA271" i="56"/>
  <c r="BA42" i="56"/>
  <c r="BA44" i="56"/>
  <c r="BA215" i="56"/>
  <c r="BA61" i="56"/>
  <c r="BA164" i="56"/>
  <c r="BA68" i="56"/>
  <c r="BA92" i="56"/>
  <c r="BA87" i="56"/>
  <c r="BA307" i="56"/>
  <c r="BA190" i="56"/>
  <c r="BA153" i="56"/>
  <c r="BA98" i="56"/>
  <c r="BA31" i="56"/>
  <c r="BA150" i="56"/>
  <c r="BA225" i="56"/>
  <c r="BA289" i="56"/>
  <c r="BA110" i="56"/>
  <c r="BA15" i="56"/>
  <c r="BA138" i="56"/>
  <c r="BA39" i="56"/>
  <c r="BA18" i="56"/>
  <c r="BA56" i="56"/>
  <c r="BA202" i="56"/>
  <c r="BA245" i="56"/>
  <c r="BA94" i="56"/>
  <c r="BA237" i="56"/>
  <c r="BA235" i="56"/>
  <c r="BA144" i="56"/>
  <c r="BA301" i="56"/>
  <c r="BA59" i="56"/>
  <c r="BA204" i="56"/>
  <c r="BA199" i="56"/>
  <c r="BA121" i="56"/>
  <c r="BA267" i="56"/>
  <c r="BA37" i="56"/>
  <c r="BA183" i="56"/>
  <c r="BA76" i="56"/>
  <c r="BA74" i="56"/>
  <c r="BA218" i="56"/>
  <c r="BA220" i="56"/>
  <c r="BA51" i="56"/>
  <c r="BA197" i="56"/>
  <c r="BA91" i="56"/>
  <c r="BA30" i="56"/>
  <c r="BA176" i="56"/>
  <c r="BA19" i="56"/>
  <c r="BA16" i="56"/>
  <c r="BA251" i="56"/>
  <c r="BA312" i="56"/>
  <c r="BA188" i="56"/>
  <c r="BA224" i="56"/>
  <c r="BA119" i="56"/>
  <c r="BA168" i="56"/>
  <c r="BA63" i="56"/>
  <c r="BA53" i="56"/>
  <c r="BA219" i="56"/>
  <c r="BA200" i="56"/>
  <c r="BA93" i="56"/>
  <c r="BA236" i="56"/>
  <c r="BA233" i="56"/>
  <c r="BA131" i="56"/>
  <c r="BA276" i="56"/>
  <c r="BA33" i="56"/>
  <c r="BA180" i="56"/>
  <c r="BA198" i="56"/>
  <c r="BA96" i="56"/>
  <c r="BA239" i="56"/>
  <c r="BA11" i="56"/>
  <c r="BA102" i="56"/>
  <c r="BA73" i="56"/>
  <c r="BA217" i="56"/>
  <c r="BA77" i="56"/>
  <c r="BA115" i="56"/>
  <c r="BA256" i="56"/>
  <c r="BA113" i="56"/>
  <c r="BA88" i="56"/>
  <c r="BA231" i="56"/>
  <c r="BA232" i="56"/>
  <c r="BA65" i="56"/>
  <c r="BA211" i="56"/>
  <c r="BA55" i="56"/>
  <c r="BA212" i="56"/>
  <c r="BA279" i="56"/>
  <c r="BA162" i="56"/>
  <c r="BA208" i="56"/>
  <c r="BA80" i="56"/>
  <c r="BA126" i="56"/>
  <c r="BA264" i="56"/>
  <c r="BA22" i="56"/>
  <c r="BA303" i="56"/>
  <c r="BA84" i="56"/>
  <c r="BA227" i="56"/>
  <c r="BA274" i="56"/>
  <c r="BA291" i="56"/>
  <c r="BA75" i="56"/>
  <c r="BA186" i="56"/>
  <c r="BA54" i="56"/>
  <c r="BA43" i="56"/>
  <c r="BA106" i="56"/>
  <c r="BA250" i="56"/>
  <c r="BA201" i="56"/>
  <c r="BA143" i="56"/>
  <c r="BA288" i="56"/>
  <c r="BA46" i="56"/>
  <c r="BA192" i="56"/>
  <c r="BA41" i="56"/>
  <c r="BA109" i="56"/>
  <c r="BA253" i="56"/>
  <c r="BA24" i="56"/>
  <c r="BA170" i="56"/>
  <c r="BA209" i="56"/>
  <c r="BA86" i="56"/>
  <c r="BA229" i="56"/>
  <c r="BA187" i="56"/>
  <c r="BA124" i="56"/>
  <c r="BA269" i="56"/>
  <c r="BA175" i="56"/>
  <c r="BA101" i="56"/>
  <c r="BA244" i="56"/>
  <c r="BA306" i="56"/>
  <c r="BA78" i="56"/>
  <c r="BA222" i="56"/>
  <c r="BA67" i="56"/>
  <c r="BA118" i="56"/>
  <c r="BA263" i="56"/>
  <c r="BA8" i="56"/>
  <c r="BA155" i="56"/>
  <c r="BA300" i="56"/>
  <c r="BA58" i="56"/>
  <c r="BA214" i="56"/>
  <c r="BA163" i="56"/>
  <c r="BA120" i="56"/>
  <c r="BA266" i="56"/>
  <c r="BA36" i="56"/>
  <c r="BA182" i="56"/>
  <c r="BA29" i="56"/>
  <c r="BA100" i="56"/>
  <c r="BA242" i="56"/>
  <c r="BA136" i="56"/>
  <c r="BA281" i="56"/>
  <c r="BA246" i="56"/>
  <c r="BA111" i="56"/>
  <c r="BA257" i="56"/>
  <c r="BA64" i="56"/>
  <c r="BA89" i="56"/>
  <c r="BA234" i="56"/>
  <c r="BA79" i="56"/>
  <c r="BA130" i="56"/>
  <c r="BA275" i="56"/>
  <c r="BA21" i="56"/>
  <c r="BA167" i="56"/>
  <c r="BA311" i="56"/>
  <c r="BA226" i="56"/>
  <c r="BA272" i="56"/>
  <c r="BA133" i="56"/>
  <c r="BA278" i="56"/>
  <c r="BA48" i="56"/>
  <c r="BA194" i="56"/>
  <c r="BA103" i="56"/>
  <c r="BA114" i="56"/>
  <c r="BA255" i="56"/>
  <c r="BA308" i="56"/>
  <c r="BA148" i="56"/>
  <c r="BA293" i="56"/>
  <c r="BA141" i="56"/>
  <c r="BA128" i="56"/>
  <c r="BA270" i="56"/>
  <c r="BA151" i="56"/>
  <c r="BA104" i="56"/>
  <c r="BA247" i="56"/>
  <c r="BA90" i="56"/>
  <c r="BA142" i="56"/>
  <c r="BA287" i="56"/>
  <c r="BA32" i="56"/>
  <c r="BA179" i="56"/>
  <c r="BA66" i="56"/>
  <c r="BA82" i="56"/>
  <c r="BA238" i="56"/>
  <c r="BA286" i="56"/>
  <c r="BA145" i="56"/>
  <c r="BA290" i="56"/>
  <c r="BA60" i="56"/>
  <c r="BA205" i="56"/>
  <c r="BA221" i="56"/>
  <c r="BA122" i="56"/>
  <c r="BA268" i="56"/>
  <c r="BA13" i="56"/>
  <c r="BA160" i="56"/>
  <c r="BA304" i="56"/>
  <c r="BA189" i="56"/>
  <c r="BA137" i="56"/>
  <c r="BA282" i="56"/>
  <c r="BA210" i="56"/>
  <c r="BA116" i="56"/>
  <c r="BA261" i="56"/>
  <c r="BA105" i="56"/>
  <c r="BA7" i="56"/>
  <c r="BA154" i="56"/>
  <c r="BA299" i="56"/>
  <c r="BA45" i="56"/>
  <c r="BA191" i="56"/>
  <c r="BA174" i="56"/>
  <c r="BA95" i="56"/>
  <c r="BA252" i="56"/>
  <c r="BA10" i="56"/>
  <c r="BA157" i="56"/>
  <c r="BA302" i="56"/>
  <c r="BA72" i="56"/>
  <c r="BA216" i="56"/>
  <c r="BA165" i="56"/>
  <c r="BA135" i="56"/>
  <c r="BA280" i="56"/>
  <c r="BA26" i="56"/>
  <c r="BA172" i="56"/>
  <c r="BA316" i="56"/>
  <c r="BA262" i="56"/>
  <c r="BA149" i="56"/>
  <c r="BA294" i="56"/>
  <c r="BA284" i="56"/>
  <c r="BA127" i="56"/>
  <c r="BA273" i="56"/>
  <c r="BA117" i="56"/>
  <c r="BA20" i="56"/>
  <c r="BA166" i="56"/>
  <c r="BA309" i="56"/>
  <c r="BA57" i="56"/>
  <c r="BA203" i="56"/>
  <c r="BA295" i="56"/>
  <c r="BA108" i="56"/>
  <c r="BA265" i="56"/>
  <c r="BA23" i="56"/>
  <c r="BA169" i="56"/>
  <c r="BA313" i="56"/>
  <c r="BA85" i="56"/>
  <c r="BA228" i="56"/>
  <c r="BA298" i="56"/>
  <c r="BA147" i="56"/>
  <c r="BA292" i="56"/>
  <c r="BA38" i="56"/>
  <c r="BA184" i="56"/>
  <c r="BA40" i="56"/>
  <c r="BA14" i="56"/>
  <c r="BA161" i="56"/>
  <c r="BA305" i="56"/>
  <c r="BA177" i="56"/>
  <c r="BA140" i="56"/>
  <c r="BA285" i="56"/>
  <c r="BA129" i="56"/>
  <c r="BA34" i="56"/>
  <c r="BA178" i="56"/>
  <c r="BA52" i="56"/>
  <c r="BA69" i="56"/>
  <c r="BA139" i="56"/>
  <c r="BA123" i="56"/>
  <c r="BA277" i="56"/>
  <c r="BA35" i="56"/>
  <c r="BA181" i="56"/>
  <c r="BA314" i="56"/>
  <c r="BA97" i="56"/>
  <c r="BA241" i="56"/>
  <c r="BA12" i="56"/>
  <c r="BA159" i="56"/>
  <c r="BA315" i="56"/>
  <c r="BA50" i="56"/>
  <c r="BA196" i="56"/>
  <c r="BA112" i="56"/>
  <c r="BA27" i="56"/>
  <c r="BA173" i="56"/>
  <c r="BA317" i="56"/>
  <c r="BA249" i="56"/>
  <c r="BA152" i="56"/>
  <c r="BA297" i="56"/>
  <c r="BA223" i="56"/>
  <c r="AM259" i="56"/>
  <c r="AP260" i="56"/>
  <c r="AP240" i="56"/>
  <c r="BA6" i="56"/>
  <c r="AG3" i="45"/>
  <c r="AG325" i="45"/>
  <c r="W3" i="45"/>
  <c r="V3" i="45"/>
  <c r="U3" i="45"/>
  <c r="T3" i="45"/>
  <c r="W325" i="45"/>
  <c r="V325" i="45"/>
  <c r="U325" i="45"/>
  <c r="T325" i="45"/>
  <c r="BF39" i="56" l="1"/>
  <c r="AX117" i="56"/>
  <c r="BK117" i="56"/>
  <c r="BS117" i="56" s="1"/>
  <c r="AX162" i="56"/>
  <c r="BF162" i="56" s="1"/>
  <c r="BK162" i="56"/>
  <c r="BS162" i="56" s="1"/>
  <c r="AX279" i="56"/>
  <c r="BK279" i="56"/>
  <c r="BS279" i="56" s="1"/>
  <c r="AX253" i="56"/>
  <c r="BF253" i="56" s="1"/>
  <c r="BK253" i="56"/>
  <c r="BS253" i="56" s="1"/>
  <c r="AX206" i="56"/>
  <c r="BF206" i="56" s="1"/>
  <c r="BK206" i="56"/>
  <c r="BS206" i="56" s="1"/>
  <c r="AX239" i="56"/>
  <c r="BF239" i="56" s="1"/>
  <c r="BK239" i="56"/>
  <c r="BS239" i="56" s="1"/>
  <c r="AX199" i="56"/>
  <c r="BF199" i="56" s="1"/>
  <c r="BK199" i="56"/>
  <c r="BS199" i="56" s="1"/>
  <c r="AX297" i="56"/>
  <c r="BF297" i="56" s="1"/>
  <c r="BK297" i="56"/>
  <c r="BS297" i="56" s="1"/>
  <c r="AX32" i="56"/>
  <c r="BF32" i="56" s="1"/>
  <c r="BK32" i="56"/>
  <c r="BS32" i="56" s="1"/>
  <c r="AX105" i="56"/>
  <c r="BF105" i="56" s="1"/>
  <c r="BK105" i="56"/>
  <c r="BS105" i="56" s="1"/>
  <c r="AX10" i="56"/>
  <c r="BF10" i="56" s="1"/>
  <c r="BK10" i="56"/>
  <c r="BS10" i="56" s="1"/>
  <c r="AX179" i="56"/>
  <c r="BK179" i="56"/>
  <c r="AX285" i="56"/>
  <c r="BK285" i="56"/>
  <c r="BS285" i="56" s="1"/>
  <c r="AX154" i="56"/>
  <c r="BF154" i="56" s="1"/>
  <c r="BK154" i="56"/>
  <c r="BS154" i="56" s="1"/>
  <c r="AX46" i="56"/>
  <c r="BF46" i="56" s="1"/>
  <c r="BK46" i="56"/>
  <c r="BS46" i="56" s="1"/>
  <c r="AX286" i="56"/>
  <c r="BF286" i="56" s="1"/>
  <c r="BK286" i="56"/>
  <c r="BS286" i="56" s="1"/>
  <c r="AX265" i="56"/>
  <c r="BF265" i="56" s="1"/>
  <c r="BK265" i="56"/>
  <c r="BS265" i="56" s="1"/>
  <c r="AX155" i="56"/>
  <c r="BF155" i="56" s="1"/>
  <c r="BK155" i="56"/>
  <c r="BS155" i="56" s="1"/>
  <c r="AX31" i="56"/>
  <c r="BF31" i="56" s="1"/>
  <c r="BK31" i="56"/>
  <c r="BS31" i="56" s="1"/>
  <c r="AX185" i="56"/>
  <c r="BF185" i="56" s="1"/>
  <c r="BK185" i="56"/>
  <c r="BS185" i="56" s="1"/>
  <c r="AX124" i="56"/>
  <c r="BF124" i="56" s="1"/>
  <c r="BK124" i="56"/>
  <c r="BS124" i="56" s="1"/>
  <c r="AX12" i="56"/>
  <c r="BF12" i="56" s="1"/>
  <c r="BK12" i="56"/>
  <c r="BS12" i="56" s="1"/>
  <c r="AX193" i="56"/>
  <c r="BF193" i="56" s="1"/>
  <c r="BK193" i="56"/>
  <c r="BS193" i="56" s="1"/>
  <c r="AX259" i="56"/>
  <c r="BK259" i="56"/>
  <c r="AX190" i="56"/>
  <c r="BF190" i="56" s="1"/>
  <c r="BK190" i="56"/>
  <c r="BS190" i="56" s="1"/>
  <c r="AX283" i="56"/>
  <c r="BF283" i="56" s="1"/>
  <c r="BK283" i="56"/>
  <c r="BS283" i="56" s="1"/>
  <c r="AX57" i="56"/>
  <c r="BF57" i="56" s="1"/>
  <c r="BK57" i="56"/>
  <c r="BS57" i="56" s="1"/>
  <c r="AX250" i="56"/>
  <c r="BF250" i="56" s="1"/>
  <c r="BK250" i="56"/>
  <c r="BS250" i="56" s="1"/>
  <c r="AX166" i="56"/>
  <c r="BF166" i="56" s="1"/>
  <c r="BK166" i="56"/>
  <c r="BS166" i="56" s="1"/>
  <c r="AX107" i="56"/>
  <c r="BF107" i="56" s="1"/>
  <c r="BK107" i="56"/>
  <c r="BS107" i="56" s="1"/>
  <c r="AX43" i="56"/>
  <c r="BF43" i="56" s="1"/>
  <c r="BK43" i="56"/>
  <c r="BS43" i="56" s="1"/>
  <c r="AX111" i="56"/>
  <c r="BF111" i="56" s="1"/>
  <c r="BK111" i="56"/>
  <c r="BS111" i="56" s="1"/>
  <c r="AX306" i="56"/>
  <c r="BF306" i="56" s="1"/>
  <c r="BK306" i="56"/>
  <c r="BS306" i="56" s="1"/>
  <c r="AX317" i="56"/>
  <c r="BF317" i="56" s="1"/>
  <c r="BK317" i="56"/>
  <c r="BS317" i="56" s="1"/>
  <c r="AX89" i="56"/>
  <c r="BF89" i="56" s="1"/>
  <c r="BK89" i="56"/>
  <c r="BS89" i="56" s="1"/>
  <c r="AX172" i="56"/>
  <c r="BF172" i="56" s="1"/>
  <c r="BK172" i="56"/>
  <c r="BS172" i="56" s="1"/>
  <c r="AX169" i="56"/>
  <c r="BF169" i="56" s="1"/>
  <c r="BK169" i="56"/>
  <c r="BS169" i="56" s="1"/>
  <c r="AX222" i="56"/>
  <c r="BF222" i="56" s="1"/>
  <c r="BK222" i="56"/>
  <c r="BS222" i="56" s="1"/>
  <c r="AX75" i="56"/>
  <c r="BF75" i="56" s="1"/>
  <c r="BK75" i="56"/>
  <c r="BS75" i="56" s="1"/>
  <c r="AX209" i="56"/>
  <c r="BF209" i="56" s="1"/>
  <c r="BK209" i="56"/>
  <c r="BS209" i="56" s="1"/>
  <c r="AX195" i="56"/>
  <c r="BF195" i="56" s="1"/>
  <c r="BK195" i="56"/>
  <c r="BS195" i="56" s="1"/>
  <c r="AX97" i="56"/>
  <c r="BF97" i="56" s="1"/>
  <c r="BK97" i="56"/>
  <c r="BS97" i="56" s="1"/>
  <c r="AX62" i="56"/>
  <c r="BF62" i="56" s="1"/>
  <c r="BK62" i="56"/>
  <c r="BS62" i="56" s="1"/>
  <c r="AX148" i="56"/>
  <c r="BF148" i="56" s="1"/>
  <c r="BK148" i="56"/>
  <c r="BS148" i="56" s="1"/>
  <c r="AX303" i="56"/>
  <c r="BF303" i="56" s="1"/>
  <c r="BK303" i="56"/>
  <c r="BS303" i="56" s="1"/>
  <c r="AX71" i="56"/>
  <c r="BF71" i="56" s="1"/>
  <c r="BK71" i="56"/>
  <c r="BS71" i="56" s="1"/>
  <c r="AX80" i="56"/>
  <c r="BF80" i="56" s="1"/>
  <c r="BK80" i="56"/>
  <c r="BS80" i="56" s="1"/>
  <c r="AX207" i="56"/>
  <c r="BF207" i="56" s="1"/>
  <c r="BK207" i="56"/>
  <c r="BS207" i="56" s="1"/>
  <c r="AX100" i="56"/>
  <c r="BK100" i="56"/>
  <c r="BS100" i="56" s="1"/>
  <c r="AX180" i="56"/>
  <c r="BF180" i="56" s="1"/>
  <c r="BK180" i="56"/>
  <c r="BS180" i="56" s="1"/>
  <c r="AX41" i="56"/>
  <c r="BF41" i="56" s="1"/>
  <c r="BK41" i="56"/>
  <c r="BS41" i="56" s="1"/>
  <c r="AX130" i="56"/>
  <c r="BF130" i="56" s="1"/>
  <c r="BK130" i="56"/>
  <c r="BS130" i="56" s="1"/>
  <c r="AX22" i="56"/>
  <c r="BF22" i="56" s="1"/>
  <c r="BK22" i="56"/>
  <c r="BS22" i="56" s="1"/>
  <c r="AX202" i="56"/>
  <c r="BF202" i="56" s="1"/>
  <c r="BK202" i="56"/>
  <c r="BS202" i="56" s="1"/>
  <c r="AX72" i="56"/>
  <c r="BF72" i="56" s="1"/>
  <c r="BK72" i="56"/>
  <c r="BS72" i="56" s="1"/>
  <c r="AX30" i="56"/>
  <c r="BF30" i="56" s="1"/>
  <c r="BK30" i="56"/>
  <c r="BS30" i="56" s="1"/>
  <c r="AX220" i="56"/>
  <c r="BF220" i="56" s="1"/>
  <c r="BK220" i="56"/>
  <c r="BS220" i="56" s="1"/>
  <c r="AX73" i="56"/>
  <c r="BF73" i="56" s="1"/>
  <c r="BK73" i="56"/>
  <c r="BS73" i="56" s="1"/>
  <c r="AX52" i="56"/>
  <c r="BF52" i="56" s="1"/>
  <c r="BK52" i="56"/>
  <c r="BS52" i="56" s="1"/>
  <c r="AX217" i="56"/>
  <c r="BF217" i="56" s="1"/>
  <c r="BK217" i="56"/>
  <c r="BS217" i="56" s="1"/>
  <c r="AX164" i="56"/>
  <c r="BF164" i="56" s="1"/>
  <c r="BK164" i="56"/>
  <c r="BS164" i="56" s="1"/>
  <c r="AX232" i="56"/>
  <c r="BF232" i="56" s="1"/>
  <c r="BK232" i="56"/>
  <c r="BS232" i="56" s="1"/>
  <c r="AX14" i="56"/>
  <c r="BF14" i="56" s="1"/>
  <c r="BK14" i="56"/>
  <c r="BS14" i="56" s="1"/>
  <c r="AX82" i="56"/>
  <c r="BF82" i="56" s="1"/>
  <c r="BK82" i="56"/>
  <c r="BS82" i="56" s="1"/>
  <c r="AX98" i="56"/>
  <c r="BK98" i="56"/>
  <c r="BS98" i="56" s="1"/>
  <c r="AX85" i="56"/>
  <c r="BF85" i="56" s="1"/>
  <c r="BK85" i="56"/>
  <c r="BS85" i="56" s="1"/>
  <c r="AX54" i="56"/>
  <c r="BF54" i="56" s="1"/>
  <c r="BK54" i="56"/>
  <c r="BS54" i="56" s="1"/>
  <c r="AX40" i="56"/>
  <c r="BF40" i="56" s="1"/>
  <c r="BK40" i="56"/>
  <c r="BS40" i="56" s="1"/>
  <c r="AX20" i="56"/>
  <c r="BF20" i="56" s="1"/>
  <c r="BK20" i="56"/>
  <c r="BS20" i="56" s="1"/>
  <c r="AX309" i="56"/>
  <c r="BF309" i="56" s="1"/>
  <c r="BK309" i="56"/>
  <c r="BS309" i="56" s="1"/>
  <c r="AX189" i="56"/>
  <c r="BF189" i="56" s="1"/>
  <c r="BK189" i="56"/>
  <c r="BS189" i="56" s="1"/>
  <c r="AX237" i="56"/>
  <c r="BF237" i="56" s="1"/>
  <c r="BK237" i="56"/>
  <c r="BS237" i="56" s="1"/>
  <c r="AX7" i="56"/>
  <c r="BF7" i="56" s="1"/>
  <c r="BK7" i="56"/>
  <c r="BS7" i="56" s="1"/>
  <c r="AX8" i="56"/>
  <c r="BF8" i="56" s="1"/>
  <c r="BK8" i="56"/>
  <c r="BS8" i="56" s="1"/>
  <c r="AX9" i="56"/>
  <c r="BF9" i="56" s="1"/>
  <c r="BK9" i="56"/>
  <c r="BS9" i="56" s="1"/>
  <c r="AX118" i="56"/>
  <c r="BF118" i="56" s="1"/>
  <c r="BK118" i="56"/>
  <c r="BS118" i="56" s="1"/>
  <c r="AX289" i="56"/>
  <c r="BF289" i="56" s="1"/>
  <c r="BK289" i="56"/>
  <c r="BS289" i="56" s="1"/>
  <c r="AX311" i="56"/>
  <c r="BF311" i="56" s="1"/>
  <c r="BK311" i="56"/>
  <c r="BS311" i="56" s="1"/>
  <c r="AX204" i="56"/>
  <c r="BF204" i="56" s="1"/>
  <c r="BK204" i="56"/>
  <c r="BS204" i="56" s="1"/>
  <c r="AX178" i="56"/>
  <c r="BF178" i="56" s="1"/>
  <c r="BK178" i="56"/>
  <c r="BS178" i="56" s="1"/>
  <c r="AX205" i="56"/>
  <c r="BF205" i="56" s="1"/>
  <c r="BK205" i="56"/>
  <c r="BS205" i="56" s="1"/>
  <c r="AX175" i="56"/>
  <c r="BF175" i="56" s="1"/>
  <c r="BK175" i="56"/>
  <c r="BS175" i="56" s="1"/>
  <c r="AX294" i="56"/>
  <c r="BK294" i="56"/>
  <c r="AX26" i="56"/>
  <c r="BF26" i="56" s="1"/>
  <c r="BK26" i="56"/>
  <c r="BS26" i="56" s="1"/>
  <c r="AX182" i="56"/>
  <c r="BF182" i="56" s="1"/>
  <c r="BK182" i="56"/>
  <c r="BS182" i="56" s="1"/>
  <c r="AX78" i="56"/>
  <c r="BF78" i="56" s="1"/>
  <c r="BK78" i="56"/>
  <c r="BS78" i="56" s="1"/>
  <c r="AX15" i="56"/>
  <c r="BF15" i="56" s="1"/>
  <c r="BK15" i="56"/>
  <c r="BS15" i="56" s="1"/>
  <c r="AX13" i="56"/>
  <c r="BF13" i="56" s="1"/>
  <c r="BK13" i="56"/>
  <c r="BS13" i="56" s="1"/>
  <c r="AX200" i="56"/>
  <c r="BF200" i="56" s="1"/>
  <c r="BK200" i="56"/>
  <c r="BS200" i="56" s="1"/>
  <c r="AX230" i="56"/>
  <c r="BF230" i="56" s="1"/>
  <c r="BK230" i="56"/>
  <c r="BS230" i="56" s="1"/>
  <c r="AX49" i="56"/>
  <c r="BF49" i="56" s="1"/>
  <c r="BK49" i="56"/>
  <c r="BS49" i="56" s="1"/>
  <c r="AX132" i="56"/>
  <c r="BF132" i="56" s="1"/>
  <c r="BK132" i="56"/>
  <c r="BS132" i="56" s="1"/>
  <c r="AX236" i="56"/>
  <c r="BF236" i="56" s="1"/>
  <c r="BK236" i="56"/>
  <c r="BS236" i="56" s="1"/>
  <c r="AX65" i="56"/>
  <c r="BF65" i="56" s="1"/>
  <c r="BK65" i="56"/>
  <c r="BS65" i="56" s="1"/>
  <c r="AX210" i="56"/>
  <c r="BF210" i="56" s="1"/>
  <c r="BK210" i="56"/>
  <c r="BS210" i="56" s="1"/>
  <c r="AX228" i="56"/>
  <c r="BF228" i="56" s="1"/>
  <c r="BK228" i="56"/>
  <c r="BS228" i="56" s="1"/>
  <c r="AX197" i="56"/>
  <c r="BF197" i="56" s="1"/>
  <c r="BK197" i="56"/>
  <c r="BS197" i="56" s="1"/>
  <c r="AX255" i="56"/>
  <c r="BF255" i="56" s="1"/>
  <c r="BK255" i="56"/>
  <c r="BS255" i="56" s="1"/>
  <c r="AX11" i="56"/>
  <c r="BF11" i="56" s="1"/>
  <c r="BK11" i="56"/>
  <c r="BS11" i="56" s="1"/>
  <c r="AX61" i="56"/>
  <c r="BF61" i="56" s="1"/>
  <c r="BK61" i="56"/>
  <c r="BS61" i="56" s="1"/>
  <c r="AX133" i="56"/>
  <c r="BF133" i="56" s="1"/>
  <c r="BK133" i="56"/>
  <c r="BS133" i="56" s="1"/>
  <c r="AX212" i="56"/>
  <c r="BF212" i="56" s="1"/>
  <c r="BK212" i="56"/>
  <c r="BS212" i="56" s="1"/>
  <c r="AX116" i="56"/>
  <c r="BF116" i="56" s="1"/>
  <c r="BK116" i="56"/>
  <c r="BS116" i="56" s="1"/>
  <c r="AX315" i="56"/>
  <c r="BF315" i="56" s="1"/>
  <c r="BK315" i="56"/>
  <c r="BS315" i="56" s="1"/>
  <c r="AX295" i="56"/>
  <c r="BF295" i="56" s="1"/>
  <c r="BK295" i="56"/>
  <c r="BS295" i="56" s="1"/>
  <c r="AX244" i="56"/>
  <c r="BF244" i="56" s="1"/>
  <c r="BK244" i="56"/>
  <c r="BS244" i="56" s="1"/>
  <c r="AX35" i="56"/>
  <c r="BF35" i="56" s="1"/>
  <c r="BK35" i="56"/>
  <c r="BS35" i="56" s="1"/>
  <c r="AX51" i="56"/>
  <c r="BF51" i="56" s="1"/>
  <c r="BK51" i="56"/>
  <c r="BS51" i="56" s="1"/>
  <c r="AX184" i="56"/>
  <c r="BF184" i="56" s="1"/>
  <c r="BK184" i="56"/>
  <c r="BS184" i="56" s="1"/>
  <c r="AX181" i="56"/>
  <c r="BF181" i="56" s="1"/>
  <c r="BK181" i="56"/>
  <c r="BS181" i="56" s="1"/>
  <c r="AX90" i="56"/>
  <c r="BF90" i="56" s="1"/>
  <c r="BK90" i="56"/>
  <c r="BS90" i="56" s="1"/>
  <c r="AX18" i="56"/>
  <c r="BF18" i="56" s="1"/>
  <c r="BK18" i="56"/>
  <c r="BS18" i="56" s="1"/>
  <c r="AX186" i="56"/>
  <c r="BF186" i="56" s="1"/>
  <c r="BK186" i="56"/>
  <c r="BS186" i="56" s="1"/>
  <c r="AX110" i="56"/>
  <c r="BF110" i="56" s="1"/>
  <c r="BK110" i="56"/>
  <c r="BS110" i="56" s="1"/>
  <c r="AX235" i="56"/>
  <c r="BF235" i="56" s="1"/>
  <c r="BK235" i="56"/>
  <c r="BS235" i="56" s="1"/>
  <c r="AX211" i="56"/>
  <c r="BF211" i="56" s="1"/>
  <c r="BK211" i="56"/>
  <c r="BS211" i="56" s="1"/>
  <c r="AX81" i="56"/>
  <c r="BF81" i="56" s="1"/>
  <c r="BK81" i="56"/>
  <c r="BS81" i="56" s="1"/>
  <c r="AX120" i="56"/>
  <c r="BF120" i="56" s="1"/>
  <c r="BK120" i="56"/>
  <c r="BS120" i="56" s="1"/>
  <c r="AX254" i="56"/>
  <c r="BF254" i="56" s="1"/>
  <c r="BK254" i="56"/>
  <c r="BS254" i="56" s="1"/>
  <c r="AX198" i="56"/>
  <c r="BF198" i="56" s="1"/>
  <c r="BK198" i="56"/>
  <c r="BS198" i="56" s="1"/>
  <c r="AX256" i="56"/>
  <c r="BF256" i="56" s="1"/>
  <c r="BK256" i="56"/>
  <c r="BS256" i="56" s="1"/>
  <c r="AX67" i="56"/>
  <c r="BF67" i="56" s="1"/>
  <c r="BK67" i="56"/>
  <c r="BS67" i="56" s="1"/>
  <c r="AX214" i="56"/>
  <c r="BF214" i="56" s="1"/>
  <c r="BK214" i="56"/>
  <c r="BS214" i="56" s="1"/>
  <c r="AX47" i="56"/>
  <c r="BF47" i="56" s="1"/>
  <c r="BK47" i="56"/>
  <c r="BS47" i="56" s="1"/>
  <c r="AX165" i="56"/>
  <c r="BF165" i="56" s="1"/>
  <c r="BK165" i="56"/>
  <c r="BS165" i="56" s="1"/>
  <c r="AX301" i="56"/>
  <c r="BF301" i="56" s="1"/>
  <c r="BK301" i="56"/>
  <c r="BS301" i="56" s="1"/>
  <c r="AX191" i="56"/>
  <c r="BF191" i="56" s="1"/>
  <c r="BK191" i="56"/>
  <c r="BS191" i="56" s="1"/>
  <c r="AX106" i="56"/>
  <c r="BF106" i="56" s="1"/>
  <c r="BK106" i="56"/>
  <c r="BS106" i="56" s="1"/>
  <c r="AX227" i="56"/>
  <c r="BF227" i="56" s="1"/>
  <c r="BK227" i="56"/>
  <c r="BS227" i="56" s="1"/>
  <c r="AX277" i="56"/>
  <c r="BF277" i="56" s="1"/>
  <c r="BK277" i="56"/>
  <c r="BS277" i="56" s="1"/>
  <c r="AX167" i="56"/>
  <c r="BF167" i="56" s="1"/>
  <c r="BK167" i="56"/>
  <c r="BS167" i="56" s="1"/>
  <c r="AX273" i="56"/>
  <c r="BF273" i="56" s="1"/>
  <c r="BK273" i="56"/>
  <c r="BS273" i="56" s="1"/>
  <c r="AX291" i="56"/>
  <c r="BF291" i="56" s="1"/>
  <c r="BK291" i="56"/>
  <c r="BS291" i="56" s="1"/>
  <c r="AX33" i="56"/>
  <c r="BF33" i="56" s="1"/>
  <c r="BK33" i="56"/>
  <c r="BS33" i="56" s="1"/>
  <c r="AX91" i="56"/>
  <c r="BF91" i="56" s="1"/>
  <c r="BK91" i="56"/>
  <c r="BS91" i="56" s="1"/>
  <c r="AX134" i="56"/>
  <c r="BF134" i="56" s="1"/>
  <c r="BK134" i="56"/>
  <c r="BS134" i="56" s="1"/>
  <c r="AX102" i="56"/>
  <c r="BF102" i="56" s="1"/>
  <c r="BK102" i="56"/>
  <c r="BS102" i="56" s="1"/>
  <c r="AX229" i="56"/>
  <c r="BF229" i="56" s="1"/>
  <c r="BK229" i="56"/>
  <c r="BS229" i="56" s="1"/>
  <c r="AX60" i="56"/>
  <c r="BF60" i="56" s="1"/>
  <c r="BK60" i="56"/>
  <c r="BS60" i="56" s="1"/>
  <c r="AX221" i="56"/>
  <c r="BF221" i="56" s="1"/>
  <c r="BK221" i="56"/>
  <c r="BS221" i="56" s="1"/>
  <c r="AX76" i="56"/>
  <c r="BF76" i="56" s="1"/>
  <c r="BK76" i="56"/>
  <c r="BS76" i="56" s="1"/>
  <c r="AX19" i="56"/>
  <c r="BF19" i="56" s="1"/>
  <c r="BK19" i="56"/>
  <c r="BS19" i="56" s="1"/>
  <c r="AX103" i="56"/>
  <c r="BF103" i="56" s="1"/>
  <c r="BK103" i="56"/>
  <c r="BS103" i="56" s="1"/>
  <c r="AX249" i="56"/>
  <c r="BF249" i="56" s="1"/>
  <c r="BK249" i="56"/>
  <c r="BS249" i="56" s="1"/>
  <c r="AX276" i="56"/>
  <c r="BF276" i="56" s="1"/>
  <c r="BK276" i="56"/>
  <c r="BS276" i="56" s="1"/>
  <c r="AX263" i="56"/>
  <c r="BF263" i="56" s="1"/>
  <c r="BK263" i="56"/>
  <c r="BS263" i="56" s="1"/>
  <c r="AX122" i="56"/>
  <c r="BF122" i="56" s="1"/>
  <c r="BK122" i="56"/>
  <c r="BS122" i="56" s="1"/>
  <c r="AX302" i="56"/>
  <c r="BF302" i="56" s="1"/>
  <c r="BK302" i="56"/>
  <c r="BS302" i="56" s="1"/>
  <c r="AX262" i="56"/>
  <c r="BK262" i="56"/>
  <c r="BS262" i="56" s="1"/>
  <c r="AX6" i="56"/>
  <c r="BF6" i="56" s="1"/>
  <c r="BK6" i="56"/>
  <c r="BS6" i="56" s="1"/>
  <c r="AX245" i="56"/>
  <c r="BF245" i="56" s="1"/>
  <c r="BK245" i="56"/>
  <c r="BS245" i="56" s="1"/>
  <c r="AX280" i="56"/>
  <c r="BF280" i="56" s="1"/>
  <c r="BK280" i="56"/>
  <c r="BS280" i="56" s="1"/>
  <c r="AX36" i="56"/>
  <c r="BF36" i="56" s="1"/>
  <c r="BK36" i="56"/>
  <c r="BS36" i="56" s="1"/>
  <c r="AX150" i="56"/>
  <c r="BF150" i="56" s="1"/>
  <c r="BK150" i="56"/>
  <c r="BS150" i="56" s="1"/>
  <c r="AX24" i="56"/>
  <c r="BF24" i="56" s="1"/>
  <c r="BK24" i="56"/>
  <c r="BS24" i="56" s="1"/>
  <c r="AX160" i="56"/>
  <c r="BF160" i="56" s="1"/>
  <c r="BK160" i="56"/>
  <c r="BS160" i="56" s="1"/>
  <c r="AX157" i="56"/>
  <c r="BF157" i="56" s="1"/>
  <c r="BK157" i="56"/>
  <c r="BS157" i="56" s="1"/>
  <c r="AX112" i="56"/>
  <c r="BF112" i="56" s="1"/>
  <c r="BK112" i="56"/>
  <c r="BS112" i="56" s="1"/>
  <c r="AX174" i="56"/>
  <c r="BF174" i="56" s="1"/>
  <c r="BK174" i="56"/>
  <c r="BS174" i="56" s="1"/>
  <c r="AX183" i="56"/>
  <c r="BF183" i="56" s="1"/>
  <c r="BK183" i="56"/>
  <c r="BS183" i="56" s="1"/>
  <c r="AX192" i="56"/>
  <c r="BF192" i="56" s="1"/>
  <c r="BK192" i="56"/>
  <c r="BS192" i="56" s="1"/>
  <c r="AX284" i="56"/>
  <c r="BF284" i="56" s="1"/>
  <c r="BK284" i="56"/>
  <c r="BS284" i="56" s="1"/>
  <c r="AX216" i="56"/>
  <c r="BF216" i="56" s="1"/>
  <c r="BK216" i="56"/>
  <c r="BS216" i="56" s="1"/>
  <c r="AX59" i="56"/>
  <c r="BF59" i="56" s="1"/>
  <c r="BK59" i="56"/>
  <c r="BS59" i="56" s="1"/>
  <c r="AX42" i="56"/>
  <c r="BF42" i="56" s="1"/>
  <c r="BK42" i="56"/>
  <c r="BS42" i="56" s="1"/>
  <c r="AX258" i="56"/>
  <c r="BK258" i="56"/>
  <c r="AX143" i="56"/>
  <c r="BF143" i="56" s="1"/>
  <c r="BK143" i="56"/>
  <c r="BS143" i="56" s="1"/>
  <c r="AX29" i="56"/>
  <c r="BF29" i="56" s="1"/>
  <c r="BK29" i="56"/>
  <c r="BS29" i="56" s="1"/>
  <c r="AX173" i="56"/>
  <c r="BF173" i="56" s="1"/>
  <c r="BK173" i="56"/>
  <c r="BS173" i="56" s="1"/>
  <c r="AX109" i="56"/>
  <c r="BF109" i="56" s="1"/>
  <c r="BK109" i="56"/>
  <c r="BS109" i="56" s="1"/>
  <c r="AX305" i="56"/>
  <c r="BF305" i="56" s="1"/>
  <c r="BK305" i="56"/>
  <c r="BS305" i="56" s="1"/>
  <c r="AX23" i="56"/>
  <c r="BF23" i="56" s="1"/>
  <c r="BK23" i="56"/>
  <c r="BS23" i="56" s="1"/>
  <c r="AX96" i="56"/>
  <c r="BF96" i="56" s="1"/>
  <c r="BK96" i="56"/>
  <c r="BS96" i="56" s="1"/>
  <c r="AX74" i="56"/>
  <c r="BF74" i="56" s="1"/>
  <c r="BK74" i="56"/>
  <c r="BS74" i="56" s="1"/>
  <c r="AX108" i="56"/>
  <c r="BF108" i="56" s="1"/>
  <c r="BK108" i="56"/>
  <c r="BS108" i="56" s="1"/>
  <c r="AX288" i="56"/>
  <c r="BF288" i="56" s="1"/>
  <c r="BK288" i="56"/>
  <c r="BS288" i="56" s="1"/>
  <c r="AX121" i="56"/>
  <c r="BF121" i="56" s="1"/>
  <c r="BK121" i="56"/>
  <c r="BS121" i="56" s="1"/>
  <c r="AX264" i="56"/>
  <c r="BF264" i="56" s="1"/>
  <c r="BK264" i="56"/>
  <c r="BS264" i="56" s="1"/>
  <c r="AX223" i="56"/>
  <c r="BF223" i="56" s="1"/>
  <c r="BK223" i="56"/>
  <c r="BS223" i="56" s="1"/>
  <c r="AX226" i="56"/>
  <c r="BF226" i="56" s="1"/>
  <c r="BK226" i="56"/>
  <c r="BS226" i="56" s="1"/>
  <c r="AX119" i="56"/>
  <c r="BF119" i="56" s="1"/>
  <c r="BK119" i="56"/>
  <c r="BS119" i="56" s="1"/>
  <c r="AX34" i="56"/>
  <c r="BF34" i="56" s="1"/>
  <c r="BK34" i="56"/>
  <c r="BS34" i="56" s="1"/>
  <c r="AX298" i="56"/>
  <c r="BF298" i="56" s="1"/>
  <c r="BK298" i="56"/>
  <c r="BS298" i="56" s="1"/>
  <c r="AX55" i="56"/>
  <c r="BF55" i="56" s="1"/>
  <c r="BK55" i="56"/>
  <c r="BS55" i="56" s="1"/>
  <c r="AX314" i="56"/>
  <c r="BF314" i="56" s="1"/>
  <c r="BK314" i="56"/>
  <c r="BS314" i="56" s="1"/>
  <c r="AX58" i="56"/>
  <c r="BF58" i="56" s="1"/>
  <c r="BK58" i="56"/>
  <c r="BS58" i="56" s="1"/>
  <c r="AX93" i="56"/>
  <c r="BF93" i="56" s="1"/>
  <c r="BK93" i="56"/>
  <c r="BS93" i="56" s="1"/>
  <c r="AX201" i="56"/>
  <c r="BF201" i="56" s="1"/>
  <c r="BK201" i="56"/>
  <c r="BS201" i="56" s="1"/>
  <c r="AX290" i="56"/>
  <c r="BF290" i="56" s="1"/>
  <c r="BK290" i="56"/>
  <c r="BS290" i="56" s="1"/>
  <c r="AX94" i="56"/>
  <c r="BF94" i="56" s="1"/>
  <c r="BK94" i="56"/>
  <c r="BS94" i="56" s="1"/>
  <c r="AX142" i="56"/>
  <c r="BF142" i="56" s="1"/>
  <c r="BK142" i="56"/>
  <c r="BS142" i="56" s="1"/>
  <c r="AX300" i="56"/>
  <c r="BF300" i="56" s="1"/>
  <c r="BK300" i="56"/>
  <c r="BS300" i="56" s="1"/>
  <c r="AX68" i="56"/>
  <c r="BF68" i="56" s="1"/>
  <c r="BK68" i="56"/>
  <c r="BS68" i="56" s="1"/>
  <c r="AX28" i="56"/>
  <c r="BF28" i="56" s="1"/>
  <c r="BK28" i="56"/>
  <c r="BS28" i="56" s="1"/>
  <c r="AX269" i="56"/>
  <c r="BF269" i="56" s="1"/>
  <c r="BK269" i="56"/>
  <c r="BS269" i="56" s="1"/>
  <c r="AX159" i="56"/>
  <c r="BF159" i="56" s="1"/>
  <c r="BK159" i="56"/>
  <c r="BS159" i="56" s="1"/>
  <c r="AX308" i="56"/>
  <c r="BF308" i="56" s="1"/>
  <c r="BK308" i="56"/>
  <c r="BS308" i="56" s="1"/>
  <c r="AX270" i="56"/>
  <c r="BF270" i="56" s="1"/>
  <c r="BK270" i="56"/>
  <c r="BS270" i="56" s="1"/>
  <c r="AX247" i="56"/>
  <c r="BF247" i="56" s="1"/>
  <c r="BK247" i="56"/>
  <c r="BS247" i="56" s="1"/>
  <c r="AX238" i="56"/>
  <c r="BF238" i="56" s="1"/>
  <c r="BK238" i="56"/>
  <c r="BS238" i="56" s="1"/>
  <c r="AX79" i="56"/>
  <c r="BF79" i="56" s="1"/>
  <c r="BK79" i="56"/>
  <c r="BS79" i="56" s="1"/>
  <c r="AX115" i="56"/>
  <c r="BF115" i="56" s="1"/>
  <c r="BK115" i="56"/>
  <c r="BS115" i="56" s="1"/>
  <c r="AX267" i="56"/>
  <c r="BF267" i="56" s="1"/>
  <c r="BK267" i="56"/>
  <c r="BS267" i="56" s="1"/>
  <c r="AX203" i="56"/>
  <c r="BF203" i="56" s="1"/>
  <c r="BK203" i="56"/>
  <c r="BS203" i="56" s="1"/>
  <c r="AX287" i="56"/>
  <c r="BF287" i="56" s="1"/>
  <c r="BK287" i="56"/>
  <c r="BS287" i="56" s="1"/>
  <c r="AX163" i="56"/>
  <c r="BF163" i="56" s="1"/>
  <c r="BK163" i="56"/>
  <c r="BS163" i="56" s="1"/>
  <c r="AX187" i="56"/>
  <c r="BF187" i="56" s="1"/>
  <c r="BK187" i="56"/>
  <c r="BS187" i="56" s="1"/>
  <c r="AX304" i="56"/>
  <c r="BF304" i="56" s="1"/>
  <c r="BK304" i="56"/>
  <c r="BS304" i="56" s="1"/>
  <c r="AX140" i="56"/>
  <c r="BF140" i="56" s="1"/>
  <c r="BK140" i="56"/>
  <c r="BS140" i="56" s="1"/>
  <c r="AX136" i="56"/>
  <c r="BF136" i="56" s="1"/>
  <c r="BK136" i="56"/>
  <c r="BS136" i="56" s="1"/>
  <c r="AX219" i="56"/>
  <c r="BF219" i="56" s="1"/>
  <c r="BK219" i="56"/>
  <c r="BS219" i="56" s="1"/>
  <c r="AX282" i="56"/>
  <c r="BF282" i="56" s="1"/>
  <c r="BK282" i="56"/>
  <c r="BS282" i="56" s="1"/>
  <c r="AX241" i="56"/>
  <c r="BF241" i="56" s="1"/>
  <c r="BK241" i="56"/>
  <c r="BS241" i="56" s="1"/>
  <c r="AX84" i="56"/>
  <c r="BF84" i="56" s="1"/>
  <c r="BK84" i="56"/>
  <c r="BS84" i="56" s="1"/>
  <c r="AX233" i="56"/>
  <c r="BF233" i="56" s="1"/>
  <c r="BK233" i="56"/>
  <c r="BS233" i="56" s="1"/>
  <c r="AX208" i="56"/>
  <c r="BF208" i="56" s="1"/>
  <c r="BK208" i="56"/>
  <c r="BS208" i="56" s="1"/>
  <c r="AX293" i="56"/>
  <c r="BF293" i="56" s="1"/>
  <c r="BK293" i="56"/>
  <c r="BS293" i="56" s="1"/>
  <c r="AX114" i="56"/>
  <c r="BF114" i="56" s="1"/>
  <c r="BK114" i="56"/>
  <c r="BS114" i="56" s="1"/>
  <c r="AX123" i="56"/>
  <c r="BF123" i="56" s="1"/>
  <c r="BK123" i="56"/>
  <c r="BS123" i="56" s="1"/>
  <c r="AX138" i="56"/>
  <c r="BF138" i="56" s="1"/>
  <c r="BK138" i="56"/>
  <c r="BS138" i="56" s="1"/>
  <c r="AX242" i="56"/>
  <c r="BF242" i="56" s="1"/>
  <c r="BK242" i="56"/>
  <c r="BS242" i="56" s="1"/>
  <c r="AX146" i="56"/>
  <c r="BF146" i="56" s="1"/>
  <c r="BK146" i="56"/>
  <c r="BS146" i="56" s="1"/>
  <c r="AX272" i="56"/>
  <c r="BF272" i="56" s="1"/>
  <c r="BK272" i="56"/>
  <c r="BS272" i="56" s="1"/>
  <c r="AX95" i="56"/>
  <c r="BF95" i="56" s="1"/>
  <c r="BK95" i="56"/>
  <c r="BS95" i="56" s="1"/>
  <c r="AX129" i="56"/>
  <c r="BF129" i="56" s="1"/>
  <c r="BK129" i="56"/>
  <c r="BS129" i="56" s="1"/>
  <c r="AX252" i="56"/>
  <c r="BF252" i="56" s="1"/>
  <c r="BK252" i="56"/>
  <c r="BS252" i="56" s="1"/>
  <c r="AX176" i="56"/>
  <c r="BF176" i="56" s="1"/>
  <c r="BK176" i="56"/>
  <c r="BS176" i="56" s="1"/>
  <c r="AX101" i="56"/>
  <c r="BF101" i="56" s="1"/>
  <c r="BK101" i="56"/>
  <c r="BS101" i="56" s="1"/>
  <c r="AX161" i="56"/>
  <c r="BF161" i="56" s="1"/>
  <c r="BK161" i="56"/>
  <c r="BS161" i="56" s="1"/>
  <c r="AX38" i="56"/>
  <c r="BF38" i="56" s="1"/>
  <c r="BK38" i="56"/>
  <c r="BS38" i="56" s="1"/>
  <c r="AX194" i="56"/>
  <c r="BF194" i="56" s="1"/>
  <c r="BK194" i="56"/>
  <c r="BS194" i="56" s="1"/>
  <c r="AX92" i="56"/>
  <c r="BF92" i="56" s="1"/>
  <c r="BK92" i="56"/>
  <c r="BS92" i="56" s="1"/>
  <c r="AX231" i="56"/>
  <c r="BF231" i="56" s="1"/>
  <c r="BK231" i="56"/>
  <c r="BS231" i="56" s="1"/>
  <c r="AX53" i="56"/>
  <c r="BF53" i="56" s="1"/>
  <c r="BK53" i="56"/>
  <c r="BS53" i="56" s="1"/>
  <c r="BS39" i="56"/>
  <c r="AX261" i="56"/>
  <c r="BF261" i="56" s="1"/>
  <c r="BK261" i="56"/>
  <c r="BS261" i="56" s="1"/>
  <c r="AX50" i="56"/>
  <c r="BF50" i="56" s="1"/>
  <c r="BK50" i="56"/>
  <c r="BS50" i="56" s="1"/>
  <c r="AX125" i="56"/>
  <c r="BF125" i="56" s="1"/>
  <c r="BK125" i="56"/>
  <c r="BS125" i="56" s="1"/>
  <c r="AX44" i="56"/>
  <c r="BF44" i="56" s="1"/>
  <c r="BK44" i="56"/>
  <c r="BS44" i="56" s="1"/>
  <c r="AX152" i="56"/>
  <c r="BF152" i="56" s="1"/>
  <c r="BK152" i="56"/>
  <c r="BS152" i="56" s="1"/>
  <c r="AX25" i="56"/>
  <c r="BF25" i="56" s="1"/>
  <c r="BK25" i="56"/>
  <c r="BS25" i="56" s="1"/>
  <c r="AX56" i="56"/>
  <c r="BF56" i="56" s="1"/>
  <c r="BK56" i="56"/>
  <c r="BS56" i="56" s="1"/>
  <c r="AX147" i="56"/>
  <c r="BF147" i="56" s="1"/>
  <c r="BK147" i="56"/>
  <c r="BS147" i="56" s="1"/>
  <c r="AX313" i="56"/>
  <c r="BF313" i="56" s="1"/>
  <c r="BK313" i="56"/>
  <c r="BS313" i="56" s="1"/>
  <c r="AX45" i="56"/>
  <c r="BF45" i="56" s="1"/>
  <c r="BK45" i="56"/>
  <c r="BS45" i="56" s="1"/>
  <c r="AX151" i="56"/>
  <c r="BF151" i="56" s="1"/>
  <c r="BK151" i="56"/>
  <c r="BS151" i="56" s="1"/>
  <c r="AX251" i="56"/>
  <c r="BF251" i="56" s="1"/>
  <c r="BK251" i="56"/>
  <c r="BS251" i="56" s="1"/>
  <c r="AX127" i="56"/>
  <c r="BF127" i="56" s="1"/>
  <c r="BK127" i="56"/>
  <c r="BS127" i="56" s="1"/>
  <c r="AX139" i="56"/>
  <c r="BF139" i="56" s="1"/>
  <c r="BK139" i="56"/>
  <c r="BS139" i="56" s="1"/>
  <c r="AX299" i="56"/>
  <c r="BF299" i="56" s="1"/>
  <c r="BK299" i="56"/>
  <c r="BS299" i="56" s="1"/>
  <c r="AX215" i="56"/>
  <c r="BF215" i="56" s="1"/>
  <c r="BK215" i="56"/>
  <c r="BS215" i="56" s="1"/>
  <c r="AX21" i="56"/>
  <c r="BF21" i="56" s="1"/>
  <c r="BK21" i="56"/>
  <c r="BS21" i="56" s="1"/>
  <c r="AX141" i="56"/>
  <c r="BF141" i="56" s="1"/>
  <c r="BK141" i="56"/>
  <c r="BS141" i="56" s="1"/>
  <c r="AX225" i="56"/>
  <c r="BF225" i="56" s="1"/>
  <c r="BK225" i="56"/>
  <c r="BS225" i="56" s="1"/>
  <c r="AX274" i="56"/>
  <c r="BF274" i="56" s="1"/>
  <c r="BK274" i="56"/>
  <c r="BS274" i="56" s="1"/>
  <c r="AX257" i="56"/>
  <c r="BF257" i="56" s="1"/>
  <c r="BK257" i="56"/>
  <c r="BS257" i="56" s="1"/>
  <c r="AX196" i="56"/>
  <c r="BF196" i="56" s="1"/>
  <c r="BK196" i="56"/>
  <c r="BS196" i="56" s="1"/>
  <c r="AX86" i="56"/>
  <c r="BF86" i="56" s="1"/>
  <c r="BK86" i="56"/>
  <c r="BS86" i="56" s="1"/>
  <c r="AX168" i="56"/>
  <c r="BF168" i="56" s="1"/>
  <c r="BK168" i="56"/>
  <c r="BS168" i="56" s="1"/>
  <c r="AX128" i="56"/>
  <c r="BF128" i="56" s="1"/>
  <c r="BK128" i="56"/>
  <c r="BS128" i="56" s="1"/>
  <c r="AX271" i="56"/>
  <c r="BF271" i="56" s="1"/>
  <c r="BK271" i="56"/>
  <c r="BS271" i="56" s="1"/>
  <c r="AX153" i="56"/>
  <c r="BF153" i="56" s="1"/>
  <c r="BK153" i="56"/>
  <c r="BS153" i="56" s="1"/>
  <c r="AX312" i="56"/>
  <c r="BF312" i="56" s="1"/>
  <c r="BK312" i="56"/>
  <c r="BS312" i="56" s="1"/>
  <c r="AX131" i="56"/>
  <c r="BF131" i="56" s="1"/>
  <c r="BK131" i="56"/>
  <c r="BS131" i="56" s="1"/>
  <c r="AX307" i="56"/>
  <c r="BF307" i="56" s="1"/>
  <c r="BK307" i="56"/>
  <c r="BS307" i="56" s="1"/>
  <c r="AX177" i="56"/>
  <c r="BF177" i="56" s="1"/>
  <c r="BK177" i="56"/>
  <c r="BS177" i="56" s="1"/>
  <c r="AX278" i="56"/>
  <c r="BF278" i="56" s="1"/>
  <c r="BK278" i="56"/>
  <c r="BS278" i="56" s="1"/>
  <c r="AX246" i="56"/>
  <c r="BF246" i="56" s="1"/>
  <c r="BK246" i="56"/>
  <c r="BS246" i="56" s="1"/>
  <c r="AX188" i="56"/>
  <c r="BF188" i="56" s="1"/>
  <c r="BK188" i="56"/>
  <c r="BS188" i="56" s="1"/>
  <c r="AX63" i="56"/>
  <c r="BF63" i="56" s="1"/>
  <c r="BK63" i="56"/>
  <c r="BS63" i="56" s="1"/>
  <c r="AX316" i="56"/>
  <c r="BF316" i="56" s="1"/>
  <c r="BK316" i="56"/>
  <c r="BS316" i="56" s="1"/>
  <c r="AX144" i="56"/>
  <c r="BF144" i="56" s="1"/>
  <c r="BK144" i="56"/>
  <c r="BS144" i="56" s="1"/>
  <c r="AX126" i="56"/>
  <c r="BF126" i="56" s="1"/>
  <c r="BK126" i="56"/>
  <c r="BS126" i="56" s="1"/>
  <c r="AX243" i="56"/>
  <c r="BF243" i="56" s="1"/>
  <c r="BK243" i="56"/>
  <c r="BS243" i="56" s="1"/>
  <c r="AX135" i="56"/>
  <c r="BF135" i="56" s="1"/>
  <c r="BK135" i="56"/>
  <c r="BS135" i="56" s="1"/>
  <c r="AX77" i="56"/>
  <c r="BF77" i="56" s="1"/>
  <c r="BK77" i="56"/>
  <c r="BS77" i="56" s="1"/>
  <c r="AX149" i="56"/>
  <c r="BF149" i="56" s="1"/>
  <c r="BK149" i="56"/>
  <c r="BS149" i="56" s="1"/>
  <c r="AX268" i="56"/>
  <c r="BF268" i="56" s="1"/>
  <c r="BK268" i="56"/>
  <c r="BS268" i="56" s="1"/>
  <c r="AX170" i="56"/>
  <c r="BF170" i="56" s="1"/>
  <c r="BK170" i="56"/>
  <c r="BS170" i="56" s="1"/>
  <c r="AX64" i="56"/>
  <c r="BF64" i="56" s="1"/>
  <c r="BK64" i="56"/>
  <c r="BS64" i="56" s="1"/>
  <c r="AX137" i="56"/>
  <c r="BF137" i="56" s="1"/>
  <c r="BK137" i="56"/>
  <c r="BS137" i="56" s="1"/>
  <c r="AX218" i="56"/>
  <c r="BF218" i="56" s="1"/>
  <c r="BK218" i="56"/>
  <c r="BS218" i="56" s="1"/>
  <c r="AX37" i="56"/>
  <c r="BF37" i="56" s="1"/>
  <c r="BK37" i="56"/>
  <c r="BS37" i="56" s="1"/>
  <c r="AX145" i="56"/>
  <c r="BF145" i="56" s="1"/>
  <c r="BK145" i="56"/>
  <c r="BS145" i="56" s="1"/>
  <c r="AX224" i="56"/>
  <c r="BF224" i="56" s="1"/>
  <c r="BK224" i="56"/>
  <c r="BS224" i="56" s="1"/>
  <c r="AX281" i="56"/>
  <c r="BF281" i="56" s="1"/>
  <c r="BK281" i="56"/>
  <c r="BS281" i="56" s="1"/>
  <c r="AX171" i="56"/>
  <c r="BF171" i="56" s="1"/>
  <c r="BK171" i="56"/>
  <c r="BS171" i="56" s="1"/>
  <c r="AX113" i="56"/>
  <c r="BF113" i="56" s="1"/>
  <c r="BK113" i="56"/>
  <c r="BS113" i="56" s="1"/>
  <c r="AX69" i="56"/>
  <c r="BF69" i="56" s="1"/>
  <c r="BK69" i="56"/>
  <c r="BS69" i="56" s="1"/>
  <c r="AX266" i="56"/>
  <c r="BF266" i="56" s="1"/>
  <c r="BK266" i="56"/>
  <c r="BS266" i="56" s="1"/>
  <c r="AX275" i="56"/>
  <c r="BF275" i="56" s="1"/>
  <c r="BK275" i="56"/>
  <c r="BS275" i="56" s="1"/>
  <c r="AX104" i="56"/>
  <c r="BF104" i="56" s="1"/>
  <c r="BK104" i="56"/>
  <c r="BS104" i="56" s="1"/>
  <c r="AX66" i="56"/>
  <c r="BF66" i="56" s="1"/>
  <c r="BK66" i="56"/>
  <c r="BS66" i="56" s="1"/>
  <c r="AX27" i="56"/>
  <c r="BF27" i="56" s="1"/>
  <c r="BK27" i="56"/>
  <c r="BS27" i="56" s="1"/>
  <c r="AX292" i="56"/>
  <c r="BF292" i="56" s="1"/>
  <c r="BK292" i="56"/>
  <c r="BS292" i="56" s="1"/>
  <c r="AX48" i="56"/>
  <c r="BF48" i="56" s="1"/>
  <c r="BK48" i="56"/>
  <c r="BS48" i="56" s="1"/>
  <c r="AX156" i="56"/>
  <c r="BF156" i="56" s="1"/>
  <c r="BK156" i="56"/>
  <c r="BS156" i="56" s="1"/>
  <c r="AX234" i="56"/>
  <c r="BF234" i="56" s="1"/>
  <c r="BK234" i="56"/>
  <c r="BS234" i="56" s="1"/>
  <c r="AX16" i="56"/>
  <c r="BF16" i="56" s="1"/>
  <c r="BK16" i="56"/>
  <c r="BS16" i="56" s="1"/>
  <c r="AX88" i="56"/>
  <c r="BF88" i="56" s="1"/>
  <c r="BK88" i="56"/>
  <c r="BS88" i="56" s="1"/>
  <c r="BS87" i="56"/>
  <c r="AW5" i="56"/>
  <c r="BC5" i="56"/>
  <c r="BF117" i="56"/>
  <c r="BF296" i="56"/>
  <c r="BF279" i="56"/>
  <c r="BF70" i="56"/>
  <c r="BF100" i="56"/>
  <c r="BF87" i="56"/>
  <c r="BF158" i="56"/>
  <c r="BF285" i="56"/>
  <c r="D5" i="55"/>
  <c r="G5" i="55" l="1"/>
  <c r="F5" i="55"/>
  <c r="AA3" i="45"/>
  <c r="AA325" i="45"/>
  <c r="L6" i="14"/>
  <c r="L7" i="14"/>
  <c r="L8" i="14"/>
  <c r="L9" i="14"/>
  <c r="L10" i="14"/>
  <c r="L11" i="14"/>
  <c r="L12" i="14"/>
  <c r="L13" i="14"/>
  <c r="L14" i="14"/>
  <c r="L15" i="14"/>
  <c r="L16" i="14"/>
  <c r="L17" i="14"/>
  <c r="L18" i="14"/>
  <c r="L22" i="14"/>
  <c r="L23" i="14"/>
  <c r="L24" i="14"/>
  <c r="L25" i="14"/>
  <c r="L26" i="14"/>
  <c r="L27" i="14"/>
  <c r="L28" i="14"/>
  <c r="L29" i="14"/>
  <c r="K5" i="14"/>
  <c r="S318" i="54"/>
  <c r="L5" i="9"/>
  <c r="L6" i="9"/>
  <c r="L7" i="9"/>
  <c r="L8" i="9"/>
  <c r="L9" i="9"/>
  <c r="L10" i="9"/>
  <c r="L11" i="9"/>
  <c r="L12" i="9"/>
  <c r="L13" i="9"/>
  <c r="L14" i="9"/>
  <c r="L15" i="9"/>
  <c r="L16" i="9"/>
  <c r="L17" i="9"/>
  <c r="L18" i="9"/>
  <c r="L22" i="9"/>
  <c r="L23" i="9"/>
  <c r="L24" i="9"/>
  <c r="L25" i="9"/>
  <c r="L26" i="9"/>
  <c r="L27" i="9"/>
  <c r="L28" i="9"/>
  <c r="L29" i="9"/>
  <c r="K5" i="9"/>
  <c r="P317" i="56"/>
  <c r="P316" i="56"/>
  <c r="P315" i="56"/>
  <c r="P314" i="56"/>
  <c r="P313" i="56"/>
  <c r="P312" i="56"/>
  <c r="P311" i="56"/>
  <c r="P309" i="56"/>
  <c r="P308" i="56"/>
  <c r="P307" i="56"/>
  <c r="P306" i="56"/>
  <c r="P305" i="56"/>
  <c r="P304" i="56"/>
  <c r="P303" i="56"/>
  <c r="P302" i="56"/>
  <c r="P301" i="56"/>
  <c r="P300" i="56"/>
  <c r="P299" i="56"/>
  <c r="P298" i="56"/>
  <c r="P297" i="56"/>
  <c r="P296" i="56"/>
  <c r="P295" i="56"/>
  <c r="P294" i="56"/>
  <c r="P293" i="56"/>
  <c r="P292" i="56"/>
  <c r="P291" i="56"/>
  <c r="P290" i="56"/>
  <c r="P289" i="56"/>
  <c r="P288" i="56"/>
  <c r="P287" i="56"/>
  <c r="AR286" i="56"/>
  <c r="P286" i="56"/>
  <c r="P285" i="56"/>
  <c r="P284" i="56"/>
  <c r="P283" i="56"/>
  <c r="P282" i="56"/>
  <c r="P281" i="56"/>
  <c r="P280" i="56"/>
  <c r="P279" i="56"/>
  <c r="P278" i="56"/>
  <c r="P277" i="56"/>
  <c r="P276" i="56"/>
  <c r="P275" i="56"/>
  <c r="P274" i="56"/>
  <c r="P273" i="56"/>
  <c r="P272" i="56"/>
  <c r="P271" i="56"/>
  <c r="P270" i="56"/>
  <c r="P269" i="56"/>
  <c r="P268" i="56"/>
  <c r="P267" i="56"/>
  <c r="P266" i="56"/>
  <c r="P265" i="56"/>
  <c r="P264" i="56"/>
  <c r="P263" i="56"/>
  <c r="P262" i="56"/>
  <c r="P261" i="56"/>
  <c r="P260" i="56"/>
  <c r="P259" i="56"/>
  <c r="P258" i="56"/>
  <c r="P257" i="56"/>
  <c r="P256" i="56"/>
  <c r="P255" i="56"/>
  <c r="P254" i="56"/>
  <c r="P253" i="56"/>
  <c r="P252" i="56"/>
  <c r="P251" i="56"/>
  <c r="AR250" i="56"/>
  <c r="P250" i="56"/>
  <c r="P249" i="56"/>
  <c r="P247" i="56"/>
  <c r="P246" i="56"/>
  <c r="P245" i="56"/>
  <c r="P244" i="56"/>
  <c r="P243" i="56"/>
  <c r="P242" i="56"/>
  <c r="P241" i="56"/>
  <c r="P240" i="56"/>
  <c r="P239" i="56"/>
  <c r="AR238" i="56"/>
  <c r="P238" i="56"/>
  <c r="P237" i="56"/>
  <c r="P236" i="56"/>
  <c r="P235" i="56"/>
  <c r="P234" i="56"/>
  <c r="P233" i="56"/>
  <c r="P232" i="56"/>
  <c r="P231" i="56"/>
  <c r="P230" i="56"/>
  <c r="AR229" i="56"/>
  <c r="P229" i="56"/>
  <c r="P228" i="56"/>
  <c r="P227" i="56"/>
  <c r="AR226" i="56"/>
  <c r="P226" i="56"/>
  <c r="P225" i="56"/>
  <c r="P224" i="56"/>
  <c r="P223" i="56"/>
  <c r="P222" i="56"/>
  <c r="P221" i="56"/>
  <c r="P220" i="56"/>
  <c r="P218" i="56"/>
  <c r="P217" i="56"/>
  <c r="P216" i="56"/>
  <c r="P215" i="56"/>
  <c r="P214" i="56"/>
  <c r="AR213" i="56"/>
  <c r="P213" i="56"/>
  <c r="P212" i="56"/>
  <c r="P211" i="56"/>
  <c r="P210" i="56"/>
  <c r="P209" i="56"/>
  <c r="P208" i="56"/>
  <c r="P207" i="56"/>
  <c r="P206" i="56"/>
  <c r="P205" i="56"/>
  <c r="P204" i="56"/>
  <c r="P203" i="56"/>
  <c r="P202" i="56"/>
  <c r="AR201" i="56"/>
  <c r="P201" i="56"/>
  <c r="P200" i="56"/>
  <c r="P199" i="56"/>
  <c r="P198" i="56"/>
  <c r="P197" i="56"/>
  <c r="P196" i="56"/>
  <c r="P195" i="56"/>
  <c r="P194" i="56"/>
  <c r="P193" i="56"/>
  <c r="P192" i="56"/>
  <c r="P191" i="56"/>
  <c r="P190" i="56"/>
  <c r="AR189" i="56"/>
  <c r="P189" i="56"/>
  <c r="P188" i="56"/>
  <c r="P187" i="56"/>
  <c r="P186" i="56"/>
  <c r="P185" i="56"/>
  <c r="P184" i="56"/>
  <c r="P183" i="56"/>
  <c r="P182" i="56"/>
  <c r="P181" i="56"/>
  <c r="P180" i="56"/>
  <c r="P179" i="56"/>
  <c r="P178" i="56"/>
  <c r="AR177" i="56"/>
  <c r="P177" i="56"/>
  <c r="P176" i="56"/>
  <c r="P175" i="56"/>
  <c r="P174" i="56"/>
  <c r="P173" i="56"/>
  <c r="P172" i="56"/>
  <c r="P171" i="56"/>
  <c r="P170" i="56"/>
  <c r="P169" i="56"/>
  <c r="P168" i="56"/>
  <c r="P167" i="56"/>
  <c r="P166" i="56"/>
  <c r="AR165" i="56"/>
  <c r="P165" i="56"/>
  <c r="P164" i="56"/>
  <c r="P163" i="56"/>
  <c r="P162" i="56"/>
  <c r="P161" i="56"/>
  <c r="P160" i="56"/>
  <c r="P159" i="56"/>
  <c r="P158" i="56"/>
  <c r="AR157" i="56"/>
  <c r="P157" i="56"/>
  <c r="P156" i="56"/>
  <c r="P155" i="56"/>
  <c r="P154" i="56"/>
  <c r="AR153" i="56"/>
  <c r="P153" i="56"/>
  <c r="P152" i="56"/>
  <c r="P151" i="56"/>
  <c r="P150" i="56"/>
  <c r="P149" i="56"/>
  <c r="P148" i="56"/>
  <c r="AR147" i="56"/>
  <c r="P147" i="56"/>
  <c r="P146" i="56"/>
  <c r="P145" i="56"/>
  <c r="P144" i="56"/>
  <c r="P143" i="56"/>
  <c r="P142" i="56"/>
  <c r="AR141" i="56"/>
  <c r="P141" i="56"/>
  <c r="P140" i="56"/>
  <c r="P139" i="56"/>
  <c r="P137" i="56"/>
  <c r="P136" i="56"/>
  <c r="P135" i="56"/>
  <c r="P134" i="56"/>
  <c r="P133" i="56"/>
  <c r="P132" i="56"/>
  <c r="AR131" i="56"/>
  <c r="P131" i="56"/>
  <c r="P130" i="56"/>
  <c r="P129" i="56"/>
  <c r="AR128" i="56"/>
  <c r="P127" i="56"/>
  <c r="P126" i="56"/>
  <c r="P125" i="56"/>
  <c r="P124" i="56"/>
  <c r="P122" i="56"/>
  <c r="P121" i="56"/>
  <c r="AR120" i="56"/>
  <c r="P120" i="56"/>
  <c r="P119" i="56"/>
  <c r="P118" i="56"/>
  <c r="P117" i="56"/>
  <c r="AR116" i="56"/>
  <c r="P116" i="56"/>
  <c r="P114" i="56"/>
  <c r="P113" i="56"/>
  <c r="P112" i="56"/>
  <c r="P111" i="56"/>
  <c r="P107" i="56"/>
  <c r="P106" i="56"/>
  <c r="P105" i="56"/>
  <c r="P104" i="56"/>
  <c r="AR103" i="56"/>
  <c r="P103" i="56"/>
  <c r="P102" i="56"/>
  <c r="P101" i="56"/>
  <c r="P100" i="56"/>
  <c r="P219" i="56"/>
  <c r="P98" i="56"/>
  <c r="P97" i="56"/>
  <c r="P96" i="56"/>
  <c r="P95" i="56"/>
  <c r="P94" i="56"/>
  <c r="P93" i="56"/>
  <c r="P92" i="56"/>
  <c r="P91" i="56"/>
  <c r="AR90" i="56"/>
  <c r="P90" i="56"/>
  <c r="P89" i="56"/>
  <c r="P88" i="56"/>
  <c r="P87" i="56"/>
  <c r="P86" i="56"/>
  <c r="P85" i="56"/>
  <c r="P84" i="56"/>
  <c r="AR82" i="56"/>
  <c r="P82" i="56"/>
  <c r="AR81" i="56"/>
  <c r="P81" i="56"/>
  <c r="P80" i="56"/>
  <c r="P79" i="56"/>
  <c r="AR78" i="56"/>
  <c r="P78" i="56"/>
  <c r="P77" i="56"/>
  <c r="P76" i="56"/>
  <c r="P75" i="56"/>
  <c r="P74" i="56"/>
  <c r="P73" i="56"/>
  <c r="P72" i="56"/>
  <c r="P71" i="56"/>
  <c r="P70" i="56"/>
  <c r="P69" i="56"/>
  <c r="P68" i="56"/>
  <c r="P67" i="56"/>
  <c r="AR66" i="56"/>
  <c r="P66" i="56"/>
  <c r="P65" i="56"/>
  <c r="P64" i="56"/>
  <c r="P63" i="56"/>
  <c r="P62" i="56"/>
  <c r="P61" i="56"/>
  <c r="P60" i="56"/>
  <c r="P59" i="56"/>
  <c r="AR58" i="56"/>
  <c r="P58" i="56"/>
  <c r="AR57" i="56"/>
  <c r="P57" i="56"/>
  <c r="P56" i="56"/>
  <c r="P55" i="56"/>
  <c r="AR54" i="56"/>
  <c r="P54" i="56"/>
  <c r="P53" i="56"/>
  <c r="P52" i="56"/>
  <c r="P51" i="56"/>
  <c r="P50" i="56"/>
  <c r="P49" i="56"/>
  <c r="P48" i="56"/>
  <c r="P47" i="56"/>
  <c r="P46" i="56"/>
  <c r="P45" i="56"/>
  <c r="P44" i="56"/>
  <c r="P43" i="56"/>
  <c r="AR42" i="56"/>
  <c r="P42" i="56"/>
  <c r="P41" i="56"/>
  <c r="P40" i="56"/>
  <c r="P39" i="56"/>
  <c r="P38" i="56"/>
  <c r="P37" i="56"/>
  <c r="P36" i="56"/>
  <c r="P35" i="56"/>
  <c r="AR34" i="56"/>
  <c r="P34" i="56"/>
  <c r="AR32" i="56"/>
  <c r="P32" i="56"/>
  <c r="P31" i="56"/>
  <c r="P30" i="56"/>
  <c r="AR29" i="56"/>
  <c r="P29" i="56"/>
  <c r="P28" i="56"/>
  <c r="P27" i="56"/>
  <c r="P26" i="56"/>
  <c r="P25" i="56"/>
  <c r="P24" i="56"/>
  <c r="P23" i="56"/>
  <c r="P22" i="56"/>
  <c r="AR21" i="56"/>
  <c r="P21" i="56"/>
  <c r="P20" i="56"/>
  <c r="P19" i="56"/>
  <c r="P18" i="56"/>
  <c r="P17" i="56"/>
  <c r="P16" i="56"/>
  <c r="P15" i="56"/>
  <c r="P14" i="56"/>
  <c r="P13" i="56"/>
  <c r="P12" i="56"/>
  <c r="P11" i="56"/>
  <c r="P10" i="56"/>
  <c r="AR9" i="56"/>
  <c r="P9" i="56"/>
  <c r="AR8" i="56"/>
  <c r="P8" i="56"/>
  <c r="AR7" i="56"/>
  <c r="P7" i="56"/>
  <c r="O325" i="45"/>
  <c r="AR309" i="56" l="1"/>
  <c r="AR237" i="56"/>
  <c r="AR200" i="56"/>
  <c r="AR140" i="56"/>
  <c r="AR89" i="56"/>
  <c r="AR28" i="56"/>
  <c r="AR284" i="56"/>
  <c r="AR224" i="56"/>
  <c r="AR163" i="56"/>
  <c r="AR139" i="56"/>
  <c r="AR52" i="56"/>
  <c r="AR15" i="56"/>
  <c r="AR247" i="56"/>
  <c r="AR210" i="56"/>
  <c r="AR150" i="56"/>
  <c r="AR39" i="56"/>
  <c r="AR14" i="56"/>
  <c r="AR246" i="56"/>
  <c r="AR197" i="56"/>
  <c r="AR149" i="56"/>
  <c r="AR86" i="56"/>
  <c r="AR50" i="56"/>
  <c r="AR25" i="56"/>
  <c r="AR305" i="56"/>
  <c r="AR257" i="56"/>
  <c r="AR172" i="56"/>
  <c r="AR160" i="56"/>
  <c r="AR135" i="56"/>
  <c r="AR85" i="56"/>
  <c r="AR73" i="56"/>
  <c r="AR49" i="56"/>
  <c r="AR37" i="56"/>
  <c r="AR24" i="56"/>
  <c r="AR12" i="56"/>
  <c r="AR317" i="56"/>
  <c r="AR304" i="56"/>
  <c r="AR292" i="56"/>
  <c r="AR280" i="56"/>
  <c r="AR268" i="56"/>
  <c r="AR256" i="56"/>
  <c r="AR244" i="56"/>
  <c r="AR232" i="56"/>
  <c r="AR220" i="56"/>
  <c r="AR207" i="56"/>
  <c r="AR195" i="56"/>
  <c r="AR183" i="56"/>
  <c r="AR171" i="56"/>
  <c r="AR159" i="56"/>
  <c r="AR134" i="56"/>
  <c r="AR122" i="56"/>
  <c r="AR107" i="56"/>
  <c r="AR96" i="56"/>
  <c r="AR84" i="56"/>
  <c r="AR72" i="56"/>
  <c r="AR60" i="56"/>
  <c r="AR48" i="56"/>
  <c r="AR36" i="56"/>
  <c r="AR23" i="56"/>
  <c r="AR11" i="56"/>
  <c r="AR225" i="56"/>
  <c r="AR115" i="56"/>
  <c r="AR236" i="56"/>
  <c r="AR114" i="56"/>
  <c r="AR271" i="56"/>
  <c r="AR125" i="56"/>
  <c r="AR161" i="56"/>
  <c r="AR293" i="56"/>
  <c r="AR208" i="56"/>
  <c r="AR123" i="56"/>
  <c r="AR316" i="56"/>
  <c r="AR303" i="56"/>
  <c r="AR291" i="56"/>
  <c r="AR279" i="56"/>
  <c r="AR267" i="56"/>
  <c r="AR255" i="56"/>
  <c r="AR243" i="56"/>
  <c r="AR231" i="56"/>
  <c r="AR218" i="56"/>
  <c r="AR206" i="56"/>
  <c r="AR194" i="56"/>
  <c r="AR182" i="56"/>
  <c r="AR170" i="56"/>
  <c r="AR158" i="56"/>
  <c r="AR146" i="56"/>
  <c r="AR133" i="56"/>
  <c r="AR121" i="56"/>
  <c r="AR106" i="56"/>
  <c r="AR95" i="56"/>
  <c r="AR71" i="56"/>
  <c r="AR59" i="56"/>
  <c r="AR47" i="56"/>
  <c r="AR35" i="56"/>
  <c r="AR22" i="56"/>
  <c r="AR10" i="56"/>
  <c r="AR261" i="56"/>
  <c r="AR212" i="56"/>
  <c r="AR127" i="56"/>
  <c r="AR41" i="56"/>
  <c r="AR16" i="56"/>
  <c r="AR199" i="56"/>
  <c r="AR151" i="56"/>
  <c r="AR76" i="56"/>
  <c r="AR40" i="56"/>
  <c r="AR27" i="56"/>
  <c r="AR259" i="56"/>
  <c r="AR223" i="56"/>
  <c r="AR162" i="56"/>
  <c r="AR113" i="56"/>
  <c r="AR51" i="56"/>
  <c r="AR26" i="56"/>
  <c r="AR306" i="56"/>
  <c r="AR234" i="56"/>
  <c r="AR173" i="56"/>
  <c r="AR124" i="56"/>
  <c r="AR62" i="56"/>
  <c r="AR38" i="56"/>
  <c r="AR13" i="56"/>
  <c r="AR269" i="56"/>
  <c r="AR184" i="56"/>
  <c r="AR148" i="56"/>
  <c r="AR97" i="56"/>
  <c r="AR61" i="56"/>
  <c r="AR315" i="56"/>
  <c r="AR302" i="56"/>
  <c r="AR290" i="56"/>
  <c r="AR278" i="56"/>
  <c r="AR266" i="56"/>
  <c r="AR254" i="56"/>
  <c r="AR242" i="56"/>
  <c r="AR230" i="56"/>
  <c r="AR217" i="56"/>
  <c r="AR205" i="56"/>
  <c r="AR193" i="56"/>
  <c r="AR181" i="56"/>
  <c r="AR169" i="56"/>
  <c r="AR145" i="56"/>
  <c r="AR132" i="56"/>
  <c r="AR105" i="56"/>
  <c r="AR94" i="56"/>
  <c r="AR70" i="56"/>
  <c r="AR46" i="56"/>
  <c r="AR285" i="56"/>
  <c r="AR188" i="56"/>
  <c r="AR100" i="56"/>
  <c r="AR126" i="56"/>
  <c r="AR235" i="56"/>
  <c r="AR137" i="56"/>
  <c r="AR270" i="56"/>
  <c r="AR136" i="56"/>
  <c r="AR281" i="56"/>
  <c r="AR196" i="56"/>
  <c r="AR111" i="56"/>
  <c r="AR314" i="56"/>
  <c r="AR301" i="56"/>
  <c r="AR289" i="56"/>
  <c r="AR277" i="56"/>
  <c r="AR265" i="56"/>
  <c r="AR253" i="56"/>
  <c r="AR241" i="56"/>
  <c r="AR216" i="56"/>
  <c r="AR204" i="56"/>
  <c r="AR192" i="56"/>
  <c r="AR180" i="56"/>
  <c r="AR168" i="56"/>
  <c r="AR156" i="56"/>
  <c r="AR144" i="56"/>
  <c r="AR119" i="56"/>
  <c r="AR104" i="56"/>
  <c r="AR93" i="56"/>
  <c r="AR69" i="56"/>
  <c r="AR45" i="56"/>
  <c r="AR20" i="56"/>
  <c r="AR297" i="56"/>
  <c r="AR176" i="56"/>
  <c r="AR77" i="56"/>
  <c r="AR308" i="56"/>
  <c r="AR211" i="56"/>
  <c r="AR219" i="56"/>
  <c r="AR295" i="56"/>
  <c r="AR186" i="56"/>
  <c r="AR87" i="56"/>
  <c r="AR282" i="56"/>
  <c r="AR185" i="56"/>
  <c r="AR74" i="56"/>
  <c r="AR233" i="56"/>
  <c r="AR313" i="56"/>
  <c r="AR300" i="56"/>
  <c r="AR288" i="56"/>
  <c r="AR276" i="56"/>
  <c r="AR264" i="56"/>
  <c r="AR252" i="56"/>
  <c r="AR228" i="56"/>
  <c r="AR215" i="56"/>
  <c r="AR203" i="56"/>
  <c r="AR191" i="56"/>
  <c r="AR179" i="56"/>
  <c r="AR167" i="56"/>
  <c r="AR155" i="56"/>
  <c r="AR143" i="56"/>
  <c r="AR130" i="56"/>
  <c r="AR118" i="56"/>
  <c r="AR92" i="56"/>
  <c r="AR80" i="56"/>
  <c r="AR68" i="56"/>
  <c r="AR56" i="56"/>
  <c r="AR44" i="56"/>
  <c r="AR31" i="56"/>
  <c r="AR19" i="56"/>
  <c r="AR249" i="56"/>
  <c r="AR152" i="56"/>
  <c r="AR53" i="56"/>
  <c r="AR296" i="56"/>
  <c r="AR187" i="56"/>
  <c r="AR88" i="56"/>
  <c r="AR307" i="56"/>
  <c r="AR198" i="56"/>
  <c r="AR63" i="56"/>
  <c r="AR294" i="56"/>
  <c r="AR222" i="56"/>
  <c r="AR112" i="56"/>
  <c r="AR245" i="56"/>
  <c r="AR312" i="56"/>
  <c r="AR299" i="56"/>
  <c r="AR287" i="56"/>
  <c r="AR275" i="56"/>
  <c r="AR263" i="56"/>
  <c r="AR251" i="56"/>
  <c r="AR227" i="56"/>
  <c r="AR214" i="56"/>
  <c r="AR202" i="56"/>
  <c r="AR190" i="56"/>
  <c r="AR178" i="56"/>
  <c r="AR166" i="56"/>
  <c r="AR154" i="56"/>
  <c r="AR142" i="56"/>
  <c r="AR129" i="56"/>
  <c r="AR117" i="56"/>
  <c r="AR102" i="56"/>
  <c r="AR91" i="56"/>
  <c r="AR79" i="56"/>
  <c r="AR67" i="56"/>
  <c r="AR55" i="56"/>
  <c r="AR43" i="56"/>
  <c r="AR30" i="56"/>
  <c r="AR18" i="56"/>
  <c r="AR273" i="56"/>
  <c r="AR164" i="56"/>
  <c r="AR65" i="56"/>
  <c r="AR272" i="56"/>
  <c r="AR175" i="56"/>
  <c r="AR64" i="56"/>
  <c r="AR283" i="56"/>
  <c r="AR174" i="56"/>
  <c r="AR75" i="56"/>
  <c r="AR209" i="56"/>
  <c r="AR98" i="56"/>
  <c r="AR221" i="56"/>
  <c r="AR311" i="56"/>
  <c r="AR298" i="56"/>
  <c r="AR274" i="56"/>
  <c r="AR262" i="56"/>
  <c r="AR101" i="56"/>
  <c r="AR17" i="56"/>
  <c r="AR6" i="56"/>
  <c r="AB3" i="45"/>
  <c r="AB325" i="45"/>
  <c r="Y3" i="45"/>
  <c r="Y325" i="45"/>
  <c r="L5" i="14"/>
  <c r="B19" i="1"/>
  <c r="C17" i="1"/>
  <c r="BF262" i="56" l="1"/>
  <c r="L21" i="17"/>
  <c r="L21" i="14"/>
  <c r="L21" i="9"/>
  <c r="C10" i="1"/>
  <c r="F325" i="45"/>
  <c r="G325" i="45"/>
  <c r="J325" i="45"/>
  <c r="K325" i="45"/>
  <c r="L325" i="45"/>
  <c r="P325" i="45"/>
  <c r="Q325" i="45"/>
  <c r="E325" i="45"/>
  <c r="D4" i="8" l="1"/>
  <c r="C18" i="1"/>
  <c r="B27" i="10"/>
  <c r="B28" i="44"/>
  <c r="C28" i="44"/>
  <c r="A27" i="44"/>
  <c r="A55" i="43"/>
  <c r="B63" i="43"/>
  <c r="C58" i="43"/>
  <c r="A56" i="43"/>
  <c r="A55" i="40"/>
  <c r="B39" i="41"/>
  <c r="C39" i="41"/>
  <c r="A38" i="41"/>
  <c r="I63" i="40"/>
  <c r="B63" i="40"/>
  <c r="J58" i="40"/>
  <c r="C58" i="40"/>
  <c r="H56" i="40"/>
  <c r="H55" i="40"/>
  <c r="A56" i="40"/>
  <c r="A55" i="37"/>
  <c r="B39" i="38"/>
  <c r="C39" i="38"/>
  <c r="A38" i="38"/>
  <c r="I63" i="37"/>
  <c r="E38" i="38" s="1"/>
  <c r="B63" i="37"/>
  <c r="C38" i="38" s="1"/>
  <c r="J58" i="37"/>
  <c r="C58" i="37"/>
  <c r="H56" i="37"/>
  <c r="H55" i="37"/>
  <c r="A56" i="37"/>
  <c r="A55" i="33"/>
  <c r="B39" i="35"/>
  <c r="C39" i="35"/>
  <c r="A38" i="35"/>
  <c r="I63" i="33"/>
  <c r="E38" i="35" s="1"/>
  <c r="B63" i="33"/>
  <c r="B38" i="35" s="1"/>
  <c r="J58" i="33"/>
  <c r="C58" i="33"/>
  <c r="H56" i="33"/>
  <c r="H55" i="33"/>
  <c r="A56" i="33"/>
  <c r="A55" i="30"/>
  <c r="C39" i="31"/>
  <c r="B39" i="31"/>
  <c r="A38" i="31"/>
  <c r="I63" i="30"/>
  <c r="E38" i="31" s="1"/>
  <c r="B63" i="30"/>
  <c r="C38" i="31" s="1"/>
  <c r="H56" i="30"/>
  <c r="H55" i="30"/>
  <c r="J58" i="30"/>
  <c r="C58" i="30"/>
  <c r="A56" i="30"/>
  <c r="A55" i="27"/>
  <c r="B39" i="28"/>
  <c r="C39" i="28"/>
  <c r="A38" i="28"/>
  <c r="I63" i="27"/>
  <c r="E38" i="28" s="1"/>
  <c r="B63" i="27"/>
  <c r="C38" i="28" s="1"/>
  <c r="J58" i="27"/>
  <c r="C58" i="27"/>
  <c r="H56" i="27"/>
  <c r="H55" i="27"/>
  <c r="A56" i="27"/>
  <c r="A55" i="24"/>
  <c r="B39" i="25"/>
  <c r="C39" i="25"/>
  <c r="A38" i="25"/>
  <c r="I63" i="24"/>
  <c r="E38" i="25" s="1"/>
  <c r="B63" i="24"/>
  <c r="C38" i="25" s="1"/>
  <c r="J58" i="24"/>
  <c r="C58" i="24"/>
  <c r="H56" i="24"/>
  <c r="H55" i="24"/>
  <c r="A56" i="24"/>
  <c r="A55" i="21"/>
  <c r="A38" i="22"/>
  <c r="I63" i="21"/>
  <c r="E38" i="22" s="1"/>
  <c r="B63" i="21"/>
  <c r="C38" i="22" s="1"/>
  <c r="J58" i="21"/>
  <c r="C58" i="21"/>
  <c r="H56" i="21"/>
  <c r="H55" i="21"/>
  <c r="A56" i="21"/>
  <c r="A38" i="19"/>
  <c r="A55" i="18"/>
  <c r="I63" i="18"/>
  <c r="E38" i="19" s="1"/>
  <c r="B63" i="18"/>
  <c r="B38" i="19" s="1"/>
  <c r="J58" i="18"/>
  <c r="C58" i="18"/>
  <c r="C58" i="15"/>
  <c r="H56" i="18"/>
  <c r="H55" i="18"/>
  <c r="A56" i="18"/>
  <c r="A56" i="15"/>
  <c r="A13" i="48"/>
  <c r="A12" i="48"/>
  <c r="A11" i="48"/>
  <c r="A10" i="48"/>
  <c r="A9" i="48"/>
  <c r="A8" i="48"/>
  <c r="A7" i="48"/>
  <c r="A6" i="48"/>
  <c r="A5" i="48"/>
  <c r="A4" i="48"/>
  <c r="A3" i="48"/>
  <c r="A55" i="15"/>
  <c r="J58" i="15"/>
  <c r="A3" i="15"/>
  <c r="A8" i="1"/>
  <c r="J58" i="10"/>
  <c r="C58" i="10"/>
  <c r="E13" i="1"/>
  <c r="E12" i="1"/>
  <c r="E11" i="1"/>
  <c r="E10" i="1"/>
  <c r="A38" i="16"/>
  <c r="I63" i="15"/>
  <c r="D38" i="16" s="1"/>
  <c r="H56" i="15"/>
  <c r="H55" i="15"/>
  <c r="B63" i="15"/>
  <c r="C38" i="16" s="1"/>
  <c r="H56" i="10"/>
  <c r="A56" i="10"/>
  <c r="B63" i="10"/>
  <c r="B38" i="6" s="1"/>
  <c r="A55" i="10"/>
  <c r="A38" i="6"/>
  <c r="I63" i="10"/>
  <c r="E38" i="6" s="1"/>
  <c r="H55" i="10"/>
  <c r="C39" i="22"/>
  <c r="B39" i="22"/>
  <c r="C39" i="19"/>
  <c r="B39" i="19"/>
  <c r="E39" i="16"/>
  <c r="D39" i="16"/>
  <c r="C39" i="16"/>
  <c r="B39" i="16"/>
  <c r="K23" i="2"/>
  <c r="J23" i="2"/>
  <c r="C26" i="44"/>
  <c r="B26" i="44"/>
  <c r="C25" i="44"/>
  <c r="B25" i="44"/>
  <c r="A20" i="44"/>
  <c r="A31" i="41"/>
  <c r="A31" i="38"/>
  <c r="A31" i="35"/>
  <c r="A31" i="31"/>
  <c r="A31" i="28"/>
  <c r="A31" i="25"/>
  <c r="A31" i="22"/>
  <c r="A31" i="19"/>
  <c r="A31" i="16"/>
  <c r="E39" i="6"/>
  <c r="D39" i="6"/>
  <c r="C39" i="6"/>
  <c r="B39" i="6"/>
  <c r="A31" i="6"/>
  <c r="D13" i="8"/>
  <c r="D12" i="8"/>
  <c r="D11" i="8"/>
  <c r="D10" i="8"/>
  <c r="D9" i="8"/>
  <c r="D8" i="8"/>
  <c r="D7" i="8"/>
  <c r="D6" i="8"/>
  <c r="D5" i="8"/>
  <c r="A3" i="8"/>
  <c r="L3" i="8"/>
  <c r="J3" i="8"/>
  <c r="H3" i="8"/>
  <c r="F3" i="8"/>
  <c r="E3" i="8"/>
  <c r="K22" i="2"/>
  <c r="K21" i="2"/>
  <c r="K20" i="2"/>
  <c r="K19" i="2"/>
  <c r="K18" i="2"/>
  <c r="K17" i="2"/>
  <c r="K16" i="2"/>
  <c r="K15" i="2"/>
  <c r="K14" i="2"/>
  <c r="K13" i="2"/>
  <c r="K12" i="2"/>
  <c r="K11" i="2"/>
  <c r="K10" i="2"/>
  <c r="K9" i="2"/>
  <c r="K8" i="2"/>
  <c r="K7" i="2"/>
  <c r="K6" i="2"/>
  <c r="K5" i="2"/>
  <c r="K4" i="2"/>
  <c r="I26" i="15"/>
  <c r="F5" i="5"/>
  <c r="F4" i="5"/>
  <c r="B14" i="6" s="1"/>
  <c r="A1" i="31"/>
  <c r="A1" i="19"/>
  <c r="F4" i="13"/>
  <c r="E14" i="6" s="1"/>
  <c r="B4" i="13"/>
  <c r="E6" i="16" s="1"/>
  <c r="F4" i="12"/>
  <c r="D14" i="6" s="1"/>
  <c r="B4" i="12"/>
  <c r="D6" i="16" s="1"/>
  <c r="B26" i="10"/>
  <c r="F4" i="11"/>
  <c r="C14" i="6" s="1"/>
  <c r="B4" i="11"/>
  <c r="C6" i="16" s="1"/>
  <c r="B5" i="5"/>
  <c r="B4" i="5"/>
  <c r="B6" i="16" s="1"/>
  <c r="D30" i="42"/>
  <c r="B93" i="5" s="1"/>
  <c r="B94" i="5" s="1"/>
  <c r="F29" i="42"/>
  <c r="F28" i="42"/>
  <c r="F27" i="42"/>
  <c r="F26" i="42"/>
  <c r="F25" i="42"/>
  <c r="F24" i="42"/>
  <c r="F23" i="42"/>
  <c r="F22" i="42"/>
  <c r="F21" i="42"/>
  <c r="F20" i="42"/>
  <c r="F19" i="42"/>
  <c r="F18" i="42"/>
  <c r="F17" i="42"/>
  <c r="F16" i="42"/>
  <c r="F15" i="42"/>
  <c r="F14" i="42"/>
  <c r="F13" i="42"/>
  <c r="F12" i="42"/>
  <c r="F11" i="42"/>
  <c r="F10" i="42"/>
  <c r="F9" i="42"/>
  <c r="F8" i="42"/>
  <c r="F7" i="42"/>
  <c r="F6" i="42"/>
  <c r="F5" i="42"/>
  <c r="K30" i="39"/>
  <c r="K31" i="39" s="1"/>
  <c r="D16" i="41" s="1"/>
  <c r="D17" i="41" s="1"/>
  <c r="M29" i="39"/>
  <c r="M28" i="39"/>
  <c r="M27" i="39"/>
  <c r="M26" i="39"/>
  <c r="M25" i="39"/>
  <c r="M24" i="39"/>
  <c r="M23" i="39"/>
  <c r="M22" i="39"/>
  <c r="M21" i="39"/>
  <c r="M20" i="39"/>
  <c r="M19" i="39"/>
  <c r="M18" i="39"/>
  <c r="M17" i="39"/>
  <c r="M16" i="39"/>
  <c r="M15" i="39"/>
  <c r="M14" i="39"/>
  <c r="M13" i="39"/>
  <c r="M12" i="39"/>
  <c r="M11" i="39"/>
  <c r="M10" i="39"/>
  <c r="M9" i="39"/>
  <c r="M8" i="39"/>
  <c r="M7" i="39"/>
  <c r="M6" i="39"/>
  <c r="M5" i="39"/>
  <c r="D30" i="39"/>
  <c r="E13" i="8" s="1"/>
  <c r="F29" i="39"/>
  <c r="F28" i="39"/>
  <c r="F27" i="39"/>
  <c r="F26" i="39"/>
  <c r="F25" i="39"/>
  <c r="F24" i="39"/>
  <c r="F23" i="39"/>
  <c r="F22" i="39"/>
  <c r="F21" i="39"/>
  <c r="F20" i="39"/>
  <c r="F19" i="39"/>
  <c r="F18" i="39"/>
  <c r="F17" i="39"/>
  <c r="F16" i="39"/>
  <c r="F15" i="39"/>
  <c r="F14" i="39"/>
  <c r="F13" i="39"/>
  <c r="F12" i="39"/>
  <c r="F11" i="39"/>
  <c r="F10" i="39"/>
  <c r="F9" i="39"/>
  <c r="F8" i="39"/>
  <c r="F7" i="39"/>
  <c r="F6" i="39"/>
  <c r="F5" i="39"/>
  <c r="K30" i="36"/>
  <c r="B16" i="38" s="1"/>
  <c r="B17" i="38" s="1"/>
  <c r="M29" i="36"/>
  <c r="M28" i="36"/>
  <c r="M27" i="36"/>
  <c r="M26" i="36"/>
  <c r="M25" i="36"/>
  <c r="M24" i="36"/>
  <c r="M23" i="36"/>
  <c r="M22" i="36"/>
  <c r="M21" i="36"/>
  <c r="M20" i="36"/>
  <c r="M19" i="36"/>
  <c r="M18" i="36"/>
  <c r="M17" i="36"/>
  <c r="M16" i="36"/>
  <c r="M15" i="36"/>
  <c r="M14" i="36"/>
  <c r="M13" i="36"/>
  <c r="M12" i="36"/>
  <c r="M11" i="36"/>
  <c r="M10" i="36"/>
  <c r="M9" i="36"/>
  <c r="M8" i="36"/>
  <c r="M7" i="36"/>
  <c r="M6" i="36"/>
  <c r="M5" i="36"/>
  <c r="D30" i="36"/>
  <c r="B77" i="5" s="1"/>
  <c r="B78" i="5" s="1"/>
  <c r="F29" i="36"/>
  <c r="F28" i="36"/>
  <c r="F27" i="36"/>
  <c r="F26" i="36"/>
  <c r="F25" i="36"/>
  <c r="F24" i="36"/>
  <c r="F23" i="36"/>
  <c r="F22" i="36"/>
  <c r="F21" i="36"/>
  <c r="F20" i="36"/>
  <c r="F19" i="36"/>
  <c r="F18" i="36"/>
  <c r="F17" i="36"/>
  <c r="F16" i="36"/>
  <c r="F15" i="36"/>
  <c r="F14" i="36"/>
  <c r="F13" i="36"/>
  <c r="F12" i="36"/>
  <c r="F11" i="36"/>
  <c r="F10" i="36"/>
  <c r="F9" i="36"/>
  <c r="F8" i="36"/>
  <c r="F7" i="36"/>
  <c r="F6" i="36"/>
  <c r="F5" i="36"/>
  <c r="K30" i="32"/>
  <c r="M29" i="32"/>
  <c r="M28" i="32"/>
  <c r="M27" i="32"/>
  <c r="M26" i="32"/>
  <c r="M25" i="32"/>
  <c r="M24" i="32"/>
  <c r="M23" i="32"/>
  <c r="M22" i="32"/>
  <c r="M21" i="32"/>
  <c r="M20" i="32"/>
  <c r="M19" i="32"/>
  <c r="M18" i="32"/>
  <c r="M17" i="32"/>
  <c r="M16" i="32"/>
  <c r="M15" i="32"/>
  <c r="M14" i="32"/>
  <c r="M13" i="32"/>
  <c r="M12" i="32"/>
  <c r="M11" i="32"/>
  <c r="M10" i="32"/>
  <c r="M9" i="32"/>
  <c r="M8" i="32"/>
  <c r="M7" i="32"/>
  <c r="M6" i="32"/>
  <c r="M5" i="32"/>
  <c r="D30" i="32"/>
  <c r="B8" i="35" s="1"/>
  <c r="B9" i="35" s="1"/>
  <c r="B10" i="35" s="1"/>
  <c r="F29" i="32"/>
  <c r="F28" i="32"/>
  <c r="F27" i="32"/>
  <c r="F26" i="32"/>
  <c r="F25" i="32"/>
  <c r="F24" i="32"/>
  <c r="F23" i="32"/>
  <c r="F22" i="32"/>
  <c r="F21" i="32"/>
  <c r="F20" i="32"/>
  <c r="F19" i="32"/>
  <c r="F18" i="32"/>
  <c r="F17" i="32"/>
  <c r="F16" i="32"/>
  <c r="F15" i="32"/>
  <c r="F14" i="32"/>
  <c r="F13" i="32"/>
  <c r="F12" i="32"/>
  <c r="F11" i="32"/>
  <c r="F10" i="32"/>
  <c r="F9" i="32"/>
  <c r="F8" i="32"/>
  <c r="F7" i="32"/>
  <c r="F6" i="32"/>
  <c r="F5" i="32"/>
  <c r="K30" i="29"/>
  <c r="K31" i="29" s="1"/>
  <c r="F62" i="12" s="1"/>
  <c r="F63" i="12" s="1"/>
  <c r="M29" i="29"/>
  <c r="M28" i="29"/>
  <c r="M27" i="29"/>
  <c r="M26" i="29"/>
  <c r="M25" i="29"/>
  <c r="M24" i="29"/>
  <c r="M23" i="29"/>
  <c r="M22" i="29"/>
  <c r="M21" i="29"/>
  <c r="M20" i="29"/>
  <c r="M19" i="29"/>
  <c r="M18" i="29"/>
  <c r="M17" i="29"/>
  <c r="M16" i="29"/>
  <c r="M15" i="29"/>
  <c r="M14" i="29"/>
  <c r="M13" i="29"/>
  <c r="M12" i="29"/>
  <c r="M11" i="29"/>
  <c r="M10" i="29"/>
  <c r="M9" i="29"/>
  <c r="M8" i="29"/>
  <c r="M7" i="29"/>
  <c r="M6" i="29"/>
  <c r="M5" i="29"/>
  <c r="D30" i="29"/>
  <c r="B8" i="31" s="1"/>
  <c r="B9" i="31" s="1"/>
  <c r="B10" i="31" s="1"/>
  <c r="F29" i="29"/>
  <c r="F28" i="29"/>
  <c r="F27" i="29"/>
  <c r="F26" i="29"/>
  <c r="F25" i="29"/>
  <c r="F24" i="29"/>
  <c r="F23" i="29"/>
  <c r="F22" i="29"/>
  <c r="F21" i="29"/>
  <c r="F20" i="29"/>
  <c r="F19" i="29"/>
  <c r="F18" i="29"/>
  <c r="F17" i="29"/>
  <c r="F16" i="29"/>
  <c r="F15" i="29"/>
  <c r="F14" i="29"/>
  <c r="F13" i="29"/>
  <c r="F12" i="29"/>
  <c r="F11" i="29"/>
  <c r="F10" i="29"/>
  <c r="F9" i="29"/>
  <c r="F8" i="29"/>
  <c r="F7" i="29"/>
  <c r="F6" i="29"/>
  <c r="F5" i="29"/>
  <c r="K30" i="26"/>
  <c r="K31" i="26" s="1"/>
  <c r="F54" i="12" s="1"/>
  <c r="F55" i="12" s="1"/>
  <c r="M29" i="26"/>
  <c r="M28" i="26"/>
  <c r="M27" i="26"/>
  <c r="M26" i="26"/>
  <c r="M25" i="26"/>
  <c r="M24" i="26"/>
  <c r="M23" i="26"/>
  <c r="M22" i="26"/>
  <c r="M21" i="26"/>
  <c r="M20" i="26"/>
  <c r="M19" i="26"/>
  <c r="M18" i="26"/>
  <c r="M17" i="26"/>
  <c r="M16" i="26"/>
  <c r="M15" i="26"/>
  <c r="M14" i="26"/>
  <c r="M13" i="26"/>
  <c r="M12" i="26"/>
  <c r="M11" i="26"/>
  <c r="M10" i="26"/>
  <c r="M9" i="26"/>
  <c r="M8" i="26"/>
  <c r="M7" i="26"/>
  <c r="M6" i="26"/>
  <c r="M5" i="26"/>
  <c r="D30" i="26"/>
  <c r="B8" i="28" s="1"/>
  <c r="B9" i="28" s="1"/>
  <c r="B10" i="28" s="1"/>
  <c r="F29" i="26"/>
  <c r="F28" i="26"/>
  <c r="F27" i="26"/>
  <c r="F26" i="26"/>
  <c r="F25" i="26"/>
  <c r="F24" i="26"/>
  <c r="F23" i="26"/>
  <c r="F22" i="26"/>
  <c r="F21" i="26"/>
  <c r="F20" i="26"/>
  <c r="F19" i="26"/>
  <c r="F18" i="26"/>
  <c r="F17" i="26"/>
  <c r="F16" i="26"/>
  <c r="F15" i="26"/>
  <c r="F14" i="26"/>
  <c r="F13" i="26"/>
  <c r="F12" i="26"/>
  <c r="F11" i="26"/>
  <c r="F10" i="26"/>
  <c r="F9" i="26"/>
  <c r="F8" i="26"/>
  <c r="F7" i="26"/>
  <c r="F6" i="26"/>
  <c r="F5" i="26"/>
  <c r="K30" i="23"/>
  <c r="I31" i="27" s="1"/>
  <c r="M29" i="23"/>
  <c r="M28" i="23"/>
  <c r="M27" i="23"/>
  <c r="M26" i="23"/>
  <c r="M25" i="23"/>
  <c r="M24" i="23"/>
  <c r="M23" i="23"/>
  <c r="M22" i="23"/>
  <c r="M21" i="23"/>
  <c r="M20" i="23"/>
  <c r="M19" i="23"/>
  <c r="M18" i="23"/>
  <c r="M17" i="23"/>
  <c r="M16" i="23"/>
  <c r="M15" i="23"/>
  <c r="M14" i="23"/>
  <c r="M13" i="23"/>
  <c r="M12" i="23"/>
  <c r="M11" i="23"/>
  <c r="M10" i="23"/>
  <c r="M9" i="23"/>
  <c r="M8" i="23"/>
  <c r="M7" i="23"/>
  <c r="M6" i="23"/>
  <c r="M5" i="23"/>
  <c r="D30" i="23"/>
  <c r="E8" i="8" s="1"/>
  <c r="F29" i="23"/>
  <c r="F28" i="23"/>
  <c r="F27" i="23"/>
  <c r="F26" i="23"/>
  <c r="F25" i="23"/>
  <c r="F24" i="23"/>
  <c r="F23" i="23"/>
  <c r="F22" i="23"/>
  <c r="F21" i="23"/>
  <c r="F20" i="23"/>
  <c r="F19" i="23"/>
  <c r="F18" i="23"/>
  <c r="F17" i="23"/>
  <c r="F16" i="23"/>
  <c r="F15" i="23"/>
  <c r="F14" i="23"/>
  <c r="F13" i="23"/>
  <c r="F12" i="23"/>
  <c r="F11" i="23"/>
  <c r="F10" i="23"/>
  <c r="F9" i="23"/>
  <c r="F8" i="23"/>
  <c r="F7" i="23"/>
  <c r="F6" i="23"/>
  <c r="F5" i="23"/>
  <c r="K30" i="20"/>
  <c r="I31" i="24" s="1"/>
  <c r="M29" i="20"/>
  <c r="M28" i="20"/>
  <c r="M27" i="20"/>
  <c r="M26" i="20"/>
  <c r="M25" i="20"/>
  <c r="M24" i="20"/>
  <c r="M23" i="20"/>
  <c r="M22" i="20"/>
  <c r="M21" i="20"/>
  <c r="M20" i="20"/>
  <c r="M19" i="20"/>
  <c r="M18" i="20"/>
  <c r="M17" i="20"/>
  <c r="M16" i="20"/>
  <c r="M15" i="20"/>
  <c r="M14" i="20"/>
  <c r="M13" i="20"/>
  <c r="M12" i="20"/>
  <c r="M11" i="20"/>
  <c r="M10" i="20"/>
  <c r="M9" i="20"/>
  <c r="M8" i="20"/>
  <c r="M7" i="20"/>
  <c r="M6" i="20"/>
  <c r="M5" i="20"/>
  <c r="D30" i="20"/>
  <c r="B8" i="22" s="1"/>
  <c r="B9" i="22" s="1"/>
  <c r="B10" i="22" s="1"/>
  <c r="F29" i="20"/>
  <c r="F28" i="20"/>
  <c r="F27" i="20"/>
  <c r="F26" i="20"/>
  <c r="F25" i="20"/>
  <c r="F24" i="20"/>
  <c r="F23" i="20"/>
  <c r="F22" i="20"/>
  <c r="F21" i="20"/>
  <c r="F20" i="20"/>
  <c r="F19" i="20"/>
  <c r="F18" i="20"/>
  <c r="F17" i="20"/>
  <c r="F16" i="20"/>
  <c r="F15" i="20"/>
  <c r="F14" i="20"/>
  <c r="F13" i="20"/>
  <c r="F12" i="20"/>
  <c r="F11" i="20"/>
  <c r="F10" i="20"/>
  <c r="F9" i="20"/>
  <c r="F8" i="20"/>
  <c r="F7" i="20"/>
  <c r="F6" i="20"/>
  <c r="F5" i="20"/>
  <c r="K30" i="17"/>
  <c r="I31" i="21" s="1"/>
  <c r="M29" i="17"/>
  <c r="M28" i="17"/>
  <c r="M27" i="17"/>
  <c r="M26" i="17"/>
  <c r="M25" i="17"/>
  <c r="M24" i="17"/>
  <c r="M23" i="17"/>
  <c r="M22" i="17"/>
  <c r="M21" i="17"/>
  <c r="M18" i="17"/>
  <c r="M17" i="17"/>
  <c r="M16" i="17"/>
  <c r="M15" i="17"/>
  <c r="M14" i="17"/>
  <c r="M13" i="17"/>
  <c r="M12" i="17"/>
  <c r="M11" i="17"/>
  <c r="M10" i="17"/>
  <c r="M9" i="17"/>
  <c r="M8" i="17"/>
  <c r="M7" i="17"/>
  <c r="M6" i="17"/>
  <c r="M5" i="17"/>
  <c r="D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K30" i="14"/>
  <c r="K31" i="14" s="1"/>
  <c r="D16" i="16" s="1"/>
  <c r="M29" i="14"/>
  <c r="M28" i="14"/>
  <c r="M27" i="14"/>
  <c r="M26" i="14"/>
  <c r="M25" i="14"/>
  <c r="M24" i="14"/>
  <c r="M23" i="14"/>
  <c r="M22" i="14"/>
  <c r="M21" i="14"/>
  <c r="M18" i="14"/>
  <c r="M17" i="14"/>
  <c r="M16" i="14"/>
  <c r="M15" i="14"/>
  <c r="M14" i="14"/>
  <c r="M13" i="14"/>
  <c r="M12" i="14"/>
  <c r="M11" i="14"/>
  <c r="M10" i="14"/>
  <c r="M9" i="14"/>
  <c r="M8" i="14"/>
  <c r="M7" i="14"/>
  <c r="M6" i="14"/>
  <c r="M5" i="14"/>
  <c r="D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M29" i="9"/>
  <c r="M28" i="9"/>
  <c r="M27" i="9"/>
  <c r="M26" i="9"/>
  <c r="M25" i="9"/>
  <c r="M24" i="9"/>
  <c r="M23" i="9"/>
  <c r="M22" i="9"/>
  <c r="M21" i="9"/>
  <c r="M18" i="9"/>
  <c r="M17" i="9"/>
  <c r="M16" i="9"/>
  <c r="M15" i="9"/>
  <c r="M14" i="9"/>
  <c r="M13" i="9"/>
  <c r="M12" i="9"/>
  <c r="M11" i="9"/>
  <c r="M10" i="9"/>
  <c r="M9" i="9"/>
  <c r="M8" i="9"/>
  <c r="M7" i="9"/>
  <c r="M6" i="9"/>
  <c r="M5" i="9"/>
  <c r="F29" i="9"/>
  <c r="F28" i="9"/>
  <c r="F27" i="9"/>
  <c r="F26" i="9"/>
  <c r="F25" i="9"/>
  <c r="F24" i="9"/>
  <c r="F23" i="9"/>
  <c r="F22" i="9"/>
  <c r="F21" i="9"/>
  <c r="F20" i="9"/>
  <c r="F19" i="9"/>
  <c r="F18" i="9"/>
  <c r="F17" i="9"/>
  <c r="F16" i="9"/>
  <c r="F15" i="9"/>
  <c r="F14" i="9"/>
  <c r="F13" i="9"/>
  <c r="F12" i="9"/>
  <c r="F11" i="9"/>
  <c r="F10" i="9"/>
  <c r="F9" i="9"/>
  <c r="F8" i="9"/>
  <c r="F7" i="9"/>
  <c r="F6" i="9"/>
  <c r="F5" i="9"/>
  <c r="K30" i="9"/>
  <c r="D30" i="9"/>
  <c r="A2" i="44"/>
  <c r="A1" i="44"/>
  <c r="B91" i="11"/>
  <c r="B91" i="5"/>
  <c r="A31" i="43"/>
  <c r="B27" i="43"/>
  <c r="A27" i="43"/>
  <c r="B26" i="43"/>
  <c r="B28" i="43" s="1"/>
  <c r="C28" i="43" s="1"/>
  <c r="A26" i="43"/>
  <c r="A3" i="43"/>
  <c r="B53" i="43"/>
  <c r="B27" i="44" s="1"/>
  <c r="C43" i="43"/>
  <c r="E21" i="43"/>
  <c r="D21" i="43"/>
  <c r="F20" i="43"/>
  <c r="F19" i="43"/>
  <c r="F18" i="43"/>
  <c r="F17" i="43"/>
  <c r="F16" i="43"/>
  <c r="E13" i="43"/>
  <c r="D13" i="43"/>
  <c r="F12" i="43"/>
  <c r="C23" i="44" s="1"/>
  <c r="F11" i="43"/>
  <c r="F10" i="43"/>
  <c r="F9" i="43"/>
  <c r="F8" i="43"/>
  <c r="D3" i="42"/>
  <c r="H2" i="42"/>
  <c r="A2" i="42"/>
  <c r="A2" i="41"/>
  <c r="A1" i="41"/>
  <c r="B24" i="41"/>
  <c r="B83" i="11"/>
  <c r="B83" i="5"/>
  <c r="H31" i="40"/>
  <c r="I27" i="40"/>
  <c r="I26" i="40"/>
  <c r="I28" i="40" s="1"/>
  <c r="H27" i="40"/>
  <c r="H26" i="40"/>
  <c r="H3" i="40"/>
  <c r="A31" i="40"/>
  <c r="B27" i="40"/>
  <c r="A27" i="40"/>
  <c r="B26" i="40"/>
  <c r="B28" i="40" s="1"/>
  <c r="A26" i="40"/>
  <c r="A3" i="40"/>
  <c r="I53" i="40"/>
  <c r="D37" i="41" s="1"/>
  <c r="B53" i="40"/>
  <c r="J43" i="40"/>
  <c r="D36" i="41" s="1"/>
  <c r="C43" i="40"/>
  <c r="C36" i="41" s="1"/>
  <c r="L21" i="40"/>
  <c r="K21" i="40"/>
  <c r="E21" i="40"/>
  <c r="D21" i="40"/>
  <c r="M20" i="40"/>
  <c r="F20" i="40"/>
  <c r="M19" i="40"/>
  <c r="F19" i="40"/>
  <c r="M18" i="40"/>
  <c r="F18" i="40"/>
  <c r="M17" i="40"/>
  <c r="F17" i="40"/>
  <c r="M16" i="40"/>
  <c r="F16" i="40"/>
  <c r="L13" i="40"/>
  <c r="K13" i="40"/>
  <c r="E13" i="40"/>
  <c r="D13" i="40"/>
  <c r="M12" i="40"/>
  <c r="F12" i="40"/>
  <c r="M11" i="40"/>
  <c r="F11" i="40"/>
  <c r="M10" i="40"/>
  <c r="F10" i="40"/>
  <c r="M9" i="40"/>
  <c r="F9" i="40"/>
  <c r="M8" i="40"/>
  <c r="F8" i="40"/>
  <c r="K3" i="39"/>
  <c r="H2" i="39"/>
  <c r="D3" i="39"/>
  <c r="A2" i="39"/>
  <c r="A2" i="38"/>
  <c r="A1" i="38"/>
  <c r="B24" i="38"/>
  <c r="B75" i="11"/>
  <c r="B75" i="5"/>
  <c r="H31" i="37"/>
  <c r="A31" i="37"/>
  <c r="I27" i="37"/>
  <c r="H27" i="37"/>
  <c r="B27" i="37"/>
  <c r="A27" i="37"/>
  <c r="I26" i="37"/>
  <c r="I29" i="37" s="1"/>
  <c r="B26" i="37"/>
  <c r="B29" i="37" s="1"/>
  <c r="I27" i="33"/>
  <c r="I26" i="33"/>
  <c r="B27" i="33"/>
  <c r="B26" i="33"/>
  <c r="B29" i="33" s="1"/>
  <c r="H26" i="37"/>
  <c r="A26" i="37"/>
  <c r="H3" i="37"/>
  <c r="A3" i="37"/>
  <c r="I53" i="37"/>
  <c r="B53" i="37"/>
  <c r="B37" i="38" s="1"/>
  <c r="J43" i="37"/>
  <c r="E36" i="38" s="1"/>
  <c r="C43" i="37"/>
  <c r="B36" i="38" s="1"/>
  <c r="L21" i="37"/>
  <c r="K21" i="37"/>
  <c r="E21" i="37"/>
  <c r="D21" i="37"/>
  <c r="M20" i="37"/>
  <c r="F20" i="37"/>
  <c r="M19" i="37"/>
  <c r="F19" i="37"/>
  <c r="M18" i="37"/>
  <c r="F18" i="37"/>
  <c r="M17" i="37"/>
  <c r="F17" i="37"/>
  <c r="M16" i="37"/>
  <c r="F16" i="37"/>
  <c r="L13" i="37"/>
  <c r="K13" i="37"/>
  <c r="E13" i="37"/>
  <c r="D13" i="37"/>
  <c r="M12" i="37"/>
  <c r="F12" i="37"/>
  <c r="M11" i="37"/>
  <c r="F11" i="37"/>
  <c r="M10" i="37"/>
  <c r="F10" i="37"/>
  <c r="M9" i="37"/>
  <c r="F9" i="37"/>
  <c r="M8" i="37"/>
  <c r="F8" i="37"/>
  <c r="K3" i="36"/>
  <c r="H2" i="36"/>
  <c r="D3" i="36"/>
  <c r="A2" i="36"/>
  <c r="A2" i="35"/>
  <c r="A1" i="35"/>
  <c r="B24" i="35"/>
  <c r="B67" i="11"/>
  <c r="B67" i="5"/>
  <c r="H3" i="33"/>
  <c r="A3" i="33"/>
  <c r="H31" i="33"/>
  <c r="A31" i="33"/>
  <c r="A27" i="33"/>
  <c r="H27" i="33"/>
  <c r="H26" i="33"/>
  <c r="A26" i="33"/>
  <c r="I53" i="33"/>
  <c r="D37" i="35" s="1"/>
  <c r="B53" i="33"/>
  <c r="C37" i="35" s="1"/>
  <c r="J43" i="33"/>
  <c r="D36" i="35" s="1"/>
  <c r="C43" i="33"/>
  <c r="B36" i="35" s="1"/>
  <c r="L21" i="33"/>
  <c r="K21" i="33"/>
  <c r="E21" i="33"/>
  <c r="D21" i="33"/>
  <c r="M20" i="33"/>
  <c r="F20" i="33"/>
  <c r="M19" i="33"/>
  <c r="F19" i="33"/>
  <c r="M18" i="33"/>
  <c r="F18" i="33"/>
  <c r="M17" i="33"/>
  <c r="F17" i="33"/>
  <c r="M16" i="33"/>
  <c r="F16" i="33"/>
  <c r="L13" i="33"/>
  <c r="K13" i="33"/>
  <c r="E13" i="33"/>
  <c r="D13" i="33"/>
  <c r="M12" i="33"/>
  <c r="F12" i="33"/>
  <c r="M11" i="33"/>
  <c r="F11" i="33"/>
  <c r="M10" i="33"/>
  <c r="F10" i="33"/>
  <c r="M9" i="33"/>
  <c r="F9" i="33"/>
  <c r="M8" i="33"/>
  <c r="F8" i="33"/>
  <c r="K3" i="32"/>
  <c r="H2" i="32"/>
  <c r="D3" i="32"/>
  <c r="A2" i="32"/>
  <c r="A2" i="31"/>
  <c r="B24" i="31"/>
  <c r="B59" i="11"/>
  <c r="B59" i="5"/>
  <c r="A31" i="30"/>
  <c r="B27" i="30"/>
  <c r="B26" i="30"/>
  <c r="B29" i="30" s="1"/>
  <c r="A27" i="30"/>
  <c r="A26" i="30"/>
  <c r="A3" i="30"/>
  <c r="H31" i="30"/>
  <c r="I27" i="30"/>
  <c r="I26" i="30"/>
  <c r="I28" i="30" s="1"/>
  <c r="H27" i="30"/>
  <c r="H26" i="30"/>
  <c r="H3" i="30"/>
  <c r="I53" i="30"/>
  <c r="E37" i="31" s="1"/>
  <c r="B53" i="30"/>
  <c r="B37" i="31" s="1"/>
  <c r="J43" i="30"/>
  <c r="C43" i="30"/>
  <c r="B36" i="31" s="1"/>
  <c r="L21" i="30"/>
  <c r="K21" i="30"/>
  <c r="E21" i="30"/>
  <c r="D21" i="30"/>
  <c r="M20" i="30"/>
  <c r="F20" i="30"/>
  <c r="M19" i="30"/>
  <c r="F19" i="30"/>
  <c r="M18" i="30"/>
  <c r="F18" i="30"/>
  <c r="M17" i="30"/>
  <c r="F17" i="30"/>
  <c r="M16" i="30"/>
  <c r="F16" i="30"/>
  <c r="L13" i="30"/>
  <c r="K13" i="30"/>
  <c r="E13" i="30"/>
  <c r="D13" i="30"/>
  <c r="M12" i="30"/>
  <c r="F12" i="30"/>
  <c r="M11" i="30"/>
  <c r="F11" i="30"/>
  <c r="M10" i="30"/>
  <c r="F10" i="30"/>
  <c r="M9" i="30"/>
  <c r="F9" i="30"/>
  <c r="M8" i="30"/>
  <c r="F8" i="30"/>
  <c r="K3" i="29"/>
  <c r="H2" i="29"/>
  <c r="D3" i="29"/>
  <c r="A2" i="29"/>
  <c r="A2" i="28"/>
  <c r="A2" i="25"/>
  <c r="A2" i="22"/>
  <c r="A2" i="19"/>
  <c r="A2" i="16"/>
  <c r="A2" i="6"/>
  <c r="C6" i="1"/>
  <c r="C36" i="31"/>
  <c r="A1" i="28"/>
  <c r="B24" i="28"/>
  <c r="B51" i="11"/>
  <c r="B51" i="5"/>
  <c r="H31" i="27"/>
  <c r="I27" i="27"/>
  <c r="I26" i="27"/>
  <c r="I28" i="27" s="1"/>
  <c r="H27" i="27"/>
  <c r="H26" i="27"/>
  <c r="H3" i="27"/>
  <c r="A31" i="27"/>
  <c r="A31" i="24"/>
  <c r="B27" i="27"/>
  <c r="B26" i="27"/>
  <c r="A27" i="27"/>
  <c r="A26" i="27"/>
  <c r="A3" i="27"/>
  <c r="I53" i="27"/>
  <c r="D37" i="28" s="1"/>
  <c r="B53" i="27"/>
  <c r="B37" i="28" s="1"/>
  <c r="J43" i="27"/>
  <c r="C43" i="27"/>
  <c r="B36" i="28" s="1"/>
  <c r="L21" i="27"/>
  <c r="K21" i="27"/>
  <c r="E21" i="27"/>
  <c r="D21" i="27"/>
  <c r="M20" i="27"/>
  <c r="F20" i="27"/>
  <c r="M19" i="27"/>
  <c r="F19" i="27"/>
  <c r="M18" i="27"/>
  <c r="F18" i="27"/>
  <c r="M17" i="27"/>
  <c r="F17" i="27"/>
  <c r="M16" i="27"/>
  <c r="F16" i="27"/>
  <c r="L13" i="27"/>
  <c r="K13" i="27"/>
  <c r="E13" i="27"/>
  <c r="D13" i="27"/>
  <c r="M12" i="27"/>
  <c r="F12" i="27"/>
  <c r="M11" i="27"/>
  <c r="F11" i="27"/>
  <c r="M10" i="27"/>
  <c r="F10" i="27"/>
  <c r="M9" i="27"/>
  <c r="F9" i="27"/>
  <c r="M8" i="27"/>
  <c r="F8" i="27"/>
  <c r="K3" i="26"/>
  <c r="H2" i="26"/>
  <c r="D3" i="26"/>
  <c r="A2" i="26"/>
  <c r="A1" i="25"/>
  <c r="B24" i="25"/>
  <c r="B43" i="5"/>
  <c r="B43" i="11"/>
  <c r="H31" i="24"/>
  <c r="I27" i="24"/>
  <c r="H27" i="24"/>
  <c r="I26" i="24"/>
  <c r="I28" i="24" s="1"/>
  <c r="H26" i="24"/>
  <c r="H3" i="24"/>
  <c r="B27" i="24"/>
  <c r="B26" i="24"/>
  <c r="A27" i="24"/>
  <c r="A26" i="24"/>
  <c r="A3" i="24"/>
  <c r="K3" i="23"/>
  <c r="H2" i="23"/>
  <c r="D3" i="23"/>
  <c r="A2" i="23"/>
  <c r="I53" i="24"/>
  <c r="D37" i="25" s="1"/>
  <c r="B53" i="24"/>
  <c r="J43" i="24"/>
  <c r="C43" i="24"/>
  <c r="C36" i="25" s="1"/>
  <c r="L21" i="24"/>
  <c r="K21" i="24"/>
  <c r="E21" i="24"/>
  <c r="D21" i="24"/>
  <c r="M20" i="24"/>
  <c r="F20" i="24"/>
  <c r="M19" i="24"/>
  <c r="F19" i="24"/>
  <c r="M18" i="24"/>
  <c r="F18" i="24"/>
  <c r="M17" i="24"/>
  <c r="F17" i="24"/>
  <c r="M16" i="24"/>
  <c r="F16" i="24"/>
  <c r="L13" i="24"/>
  <c r="K13" i="24"/>
  <c r="E13" i="24"/>
  <c r="D13" i="24"/>
  <c r="M12" i="24"/>
  <c r="F12" i="24"/>
  <c r="M11" i="24"/>
  <c r="F11" i="24"/>
  <c r="M10" i="24"/>
  <c r="F10" i="24"/>
  <c r="M9" i="24"/>
  <c r="F9" i="24"/>
  <c r="M8" i="24"/>
  <c r="F8" i="24"/>
  <c r="I31" i="30"/>
  <c r="B16" i="28"/>
  <c r="B17" i="28" s="1"/>
  <c r="B18" i="28" s="1"/>
  <c r="A1" i="22"/>
  <c r="B24" i="22"/>
  <c r="B35" i="11"/>
  <c r="B35" i="5"/>
  <c r="H27" i="21"/>
  <c r="H31" i="21"/>
  <c r="I27" i="21"/>
  <c r="I26" i="21"/>
  <c r="H26" i="21"/>
  <c r="H3" i="21"/>
  <c r="A31" i="21"/>
  <c r="B27" i="21"/>
  <c r="A27" i="21"/>
  <c r="B26" i="21"/>
  <c r="A26" i="21"/>
  <c r="A3" i="21"/>
  <c r="I53" i="21"/>
  <c r="D37" i="22" s="1"/>
  <c r="B53" i="21"/>
  <c r="C37" i="22" s="1"/>
  <c r="J43" i="21"/>
  <c r="D36" i="22" s="1"/>
  <c r="C43" i="21"/>
  <c r="L21" i="21"/>
  <c r="K21" i="21"/>
  <c r="E21" i="21"/>
  <c r="D21" i="21"/>
  <c r="M20" i="21"/>
  <c r="F20" i="21"/>
  <c r="M19" i="21"/>
  <c r="F19" i="21"/>
  <c r="M18" i="21"/>
  <c r="F18" i="21"/>
  <c r="M17" i="21"/>
  <c r="F17" i="21"/>
  <c r="M16" i="21"/>
  <c r="F16" i="21"/>
  <c r="L13" i="21"/>
  <c r="K13" i="21"/>
  <c r="E13" i="21"/>
  <c r="D13" i="21"/>
  <c r="M12" i="21"/>
  <c r="F12" i="21"/>
  <c r="M11" i="21"/>
  <c r="F11" i="21"/>
  <c r="M10" i="21"/>
  <c r="F10" i="21"/>
  <c r="M9" i="21"/>
  <c r="F9" i="21"/>
  <c r="M8" i="21"/>
  <c r="F8" i="21"/>
  <c r="K3" i="20"/>
  <c r="H2" i="20"/>
  <c r="D3" i="20"/>
  <c r="A2" i="20"/>
  <c r="B24" i="19"/>
  <c r="B27" i="11"/>
  <c r="B27" i="5"/>
  <c r="I27" i="18"/>
  <c r="I26" i="18"/>
  <c r="H31" i="18"/>
  <c r="H27" i="18"/>
  <c r="H26" i="18"/>
  <c r="B27" i="18"/>
  <c r="B26" i="18"/>
  <c r="A31" i="18"/>
  <c r="A27" i="18"/>
  <c r="A26" i="18"/>
  <c r="H3" i="18"/>
  <c r="A3" i="18"/>
  <c r="I53" i="18"/>
  <c r="D37" i="19" s="1"/>
  <c r="B53" i="18"/>
  <c r="C37" i="19" s="1"/>
  <c r="J43" i="18"/>
  <c r="E36" i="19" s="1"/>
  <c r="C43" i="18"/>
  <c r="C36" i="19" s="1"/>
  <c r="L21" i="18"/>
  <c r="K21" i="18"/>
  <c r="E21" i="18"/>
  <c r="D21" i="18"/>
  <c r="M20" i="18"/>
  <c r="F20" i="18"/>
  <c r="M19" i="18"/>
  <c r="F19" i="18"/>
  <c r="M18" i="18"/>
  <c r="F18" i="18"/>
  <c r="M17" i="18"/>
  <c r="F17" i="18"/>
  <c r="M16" i="18"/>
  <c r="F16" i="18"/>
  <c r="L13" i="18"/>
  <c r="K13" i="18"/>
  <c r="E13" i="18"/>
  <c r="D13" i="18"/>
  <c r="M12" i="18"/>
  <c r="F12" i="18"/>
  <c r="M11" i="18"/>
  <c r="F11" i="18"/>
  <c r="M10" i="18"/>
  <c r="F10" i="18"/>
  <c r="M9" i="18"/>
  <c r="F9" i="18"/>
  <c r="M8" i="18"/>
  <c r="F8" i="18"/>
  <c r="H2" i="17"/>
  <c r="K3" i="17"/>
  <c r="D3" i="17"/>
  <c r="A2" i="17"/>
  <c r="F19" i="11"/>
  <c r="B19" i="11"/>
  <c r="F19" i="5"/>
  <c r="B19" i="5"/>
  <c r="A1" i="16"/>
  <c r="B24" i="16"/>
  <c r="B27" i="15"/>
  <c r="B26" i="15"/>
  <c r="A31" i="15"/>
  <c r="H31" i="15"/>
  <c r="H27" i="15"/>
  <c r="H26" i="15"/>
  <c r="H3" i="15"/>
  <c r="A27" i="15"/>
  <c r="A26" i="15"/>
  <c r="I53" i="15"/>
  <c r="E37" i="16" s="1"/>
  <c r="B53" i="15"/>
  <c r="B37" i="16" s="1"/>
  <c r="J43" i="15"/>
  <c r="E36" i="16" s="1"/>
  <c r="C43" i="15"/>
  <c r="C36" i="16" s="1"/>
  <c r="L21" i="15"/>
  <c r="K21" i="15"/>
  <c r="E21" i="15"/>
  <c r="D21" i="15"/>
  <c r="M20" i="15"/>
  <c r="F20" i="15"/>
  <c r="M19" i="15"/>
  <c r="F19" i="15"/>
  <c r="M18" i="15"/>
  <c r="F18" i="15"/>
  <c r="M17" i="15"/>
  <c r="F17" i="15"/>
  <c r="M16" i="15"/>
  <c r="F16" i="15"/>
  <c r="L13" i="15"/>
  <c r="K13" i="15"/>
  <c r="E13" i="15"/>
  <c r="D13" i="15"/>
  <c r="M12" i="15"/>
  <c r="F12" i="15"/>
  <c r="M11" i="15"/>
  <c r="F11" i="15"/>
  <c r="M10" i="15"/>
  <c r="F10" i="15"/>
  <c r="M9" i="15"/>
  <c r="F9" i="15"/>
  <c r="M8" i="15"/>
  <c r="F8" i="15"/>
  <c r="K3" i="14"/>
  <c r="H2" i="14"/>
  <c r="D3" i="14"/>
  <c r="A2" i="14"/>
  <c r="I4" i="13"/>
  <c r="E4" i="13"/>
  <c r="A4" i="13"/>
  <c r="A95" i="13"/>
  <c r="A94" i="13"/>
  <c r="A93" i="13"/>
  <c r="A92" i="13"/>
  <c r="A91" i="13"/>
  <c r="A90" i="13"/>
  <c r="E89" i="13"/>
  <c r="A89" i="13"/>
  <c r="E87" i="13"/>
  <c r="A87" i="13"/>
  <c r="E86" i="13"/>
  <c r="A86" i="13"/>
  <c r="E85" i="13"/>
  <c r="A85" i="13"/>
  <c r="E84" i="13"/>
  <c r="A84" i="13"/>
  <c r="E83" i="13"/>
  <c r="A83" i="13"/>
  <c r="E82" i="13"/>
  <c r="A82" i="13"/>
  <c r="E81" i="13"/>
  <c r="A81" i="13"/>
  <c r="E79" i="13"/>
  <c r="A79" i="13"/>
  <c r="E78" i="13"/>
  <c r="A78" i="13"/>
  <c r="E77" i="13"/>
  <c r="A77" i="13"/>
  <c r="E76" i="13"/>
  <c r="A76" i="13"/>
  <c r="E75" i="13"/>
  <c r="A75" i="13"/>
  <c r="E74" i="13"/>
  <c r="A74" i="13"/>
  <c r="E73" i="13"/>
  <c r="A73" i="13"/>
  <c r="E71" i="13"/>
  <c r="A71" i="13"/>
  <c r="E70" i="13"/>
  <c r="A70" i="13"/>
  <c r="E69" i="13"/>
  <c r="A69" i="13"/>
  <c r="E68" i="13"/>
  <c r="A68" i="13"/>
  <c r="E67" i="13"/>
  <c r="A67" i="13"/>
  <c r="E66" i="13"/>
  <c r="A66" i="13"/>
  <c r="E65" i="13"/>
  <c r="A65" i="13"/>
  <c r="E63" i="13"/>
  <c r="A63" i="13"/>
  <c r="E62" i="13"/>
  <c r="A62" i="13"/>
  <c r="E61" i="13"/>
  <c r="A61" i="13"/>
  <c r="E60" i="13"/>
  <c r="A60" i="13"/>
  <c r="E59" i="13"/>
  <c r="A59" i="13"/>
  <c r="E58" i="13"/>
  <c r="A58" i="13"/>
  <c r="E57" i="13"/>
  <c r="A57" i="13"/>
  <c r="E55" i="13"/>
  <c r="A55" i="13"/>
  <c r="E54" i="13"/>
  <c r="A54" i="13"/>
  <c r="E53" i="13"/>
  <c r="A53" i="13"/>
  <c r="E52" i="13"/>
  <c r="A52" i="13"/>
  <c r="E51" i="13"/>
  <c r="A51" i="13"/>
  <c r="E50" i="13"/>
  <c r="A50" i="13"/>
  <c r="E49" i="13"/>
  <c r="A49" i="13"/>
  <c r="E47" i="13"/>
  <c r="A47" i="13"/>
  <c r="E46" i="13"/>
  <c r="A46" i="13"/>
  <c r="E45" i="13"/>
  <c r="A45" i="13"/>
  <c r="E44" i="13"/>
  <c r="A44" i="13"/>
  <c r="E43" i="13"/>
  <c r="A43" i="13"/>
  <c r="E42" i="13"/>
  <c r="A42" i="13"/>
  <c r="E41" i="13"/>
  <c r="A41" i="13"/>
  <c r="E39" i="13"/>
  <c r="A39" i="13"/>
  <c r="E38" i="13"/>
  <c r="A38" i="13"/>
  <c r="E37" i="13"/>
  <c r="A37" i="13"/>
  <c r="E36" i="13"/>
  <c r="A36" i="13"/>
  <c r="E35" i="13"/>
  <c r="A35" i="13"/>
  <c r="E34" i="13"/>
  <c r="A34" i="13"/>
  <c r="E33" i="13"/>
  <c r="A33" i="13"/>
  <c r="E31" i="13"/>
  <c r="A31" i="13"/>
  <c r="E30" i="13"/>
  <c r="A30" i="13"/>
  <c r="E29" i="13"/>
  <c r="A29" i="13"/>
  <c r="E28" i="13"/>
  <c r="A28" i="13"/>
  <c r="E27" i="13"/>
  <c r="A27" i="13"/>
  <c r="E26" i="13"/>
  <c r="A26" i="13"/>
  <c r="E25" i="13"/>
  <c r="A25" i="13"/>
  <c r="E23" i="13"/>
  <c r="A23" i="13"/>
  <c r="E22" i="13"/>
  <c r="A22" i="13"/>
  <c r="E21" i="13"/>
  <c r="A21" i="13"/>
  <c r="E20" i="13"/>
  <c r="A20" i="13"/>
  <c r="E19" i="13"/>
  <c r="A19" i="13"/>
  <c r="E18" i="13"/>
  <c r="A18" i="13"/>
  <c r="E17" i="13"/>
  <c r="A17" i="13"/>
  <c r="E15" i="13"/>
  <c r="E14" i="13"/>
  <c r="E13" i="13"/>
  <c r="E12" i="13"/>
  <c r="E11" i="13"/>
  <c r="E10" i="13"/>
  <c r="E9" i="13"/>
  <c r="A9" i="13"/>
  <c r="E3" i="13"/>
  <c r="A3" i="13"/>
  <c r="I4" i="12"/>
  <c r="E4" i="12"/>
  <c r="A4" i="12"/>
  <c r="A95" i="12"/>
  <c r="A94" i="12"/>
  <c r="A93" i="12"/>
  <c r="A92" i="12"/>
  <c r="A91" i="12"/>
  <c r="A90" i="12"/>
  <c r="E89" i="12"/>
  <c r="A89" i="12"/>
  <c r="E87" i="12"/>
  <c r="A87" i="12"/>
  <c r="E86" i="12"/>
  <c r="A86" i="12"/>
  <c r="E85" i="12"/>
  <c r="A85" i="12"/>
  <c r="E84" i="12"/>
  <c r="A84" i="12"/>
  <c r="E83" i="12"/>
  <c r="A83" i="12"/>
  <c r="E82" i="12"/>
  <c r="A82" i="12"/>
  <c r="E81" i="12"/>
  <c r="A81" i="12"/>
  <c r="E79" i="12"/>
  <c r="A79" i="12"/>
  <c r="E78" i="12"/>
  <c r="A78" i="12"/>
  <c r="E77" i="12"/>
  <c r="A77" i="12"/>
  <c r="E76" i="12"/>
  <c r="A76" i="12"/>
  <c r="E75" i="12"/>
  <c r="A75" i="12"/>
  <c r="E74" i="12"/>
  <c r="A74" i="12"/>
  <c r="E73" i="12"/>
  <c r="A73" i="12"/>
  <c r="E71" i="12"/>
  <c r="A71" i="12"/>
  <c r="E70" i="12"/>
  <c r="A70" i="12"/>
  <c r="E69" i="12"/>
  <c r="A69" i="12"/>
  <c r="E68" i="12"/>
  <c r="A68" i="12"/>
  <c r="E67" i="12"/>
  <c r="A67" i="12"/>
  <c r="E66" i="12"/>
  <c r="A66" i="12"/>
  <c r="E65" i="12"/>
  <c r="A65" i="12"/>
  <c r="E63" i="12"/>
  <c r="A63" i="12"/>
  <c r="E62" i="12"/>
  <c r="A62" i="12"/>
  <c r="E61" i="12"/>
  <c r="A61" i="12"/>
  <c r="E60" i="12"/>
  <c r="A60" i="12"/>
  <c r="E59" i="12"/>
  <c r="A59" i="12"/>
  <c r="E58" i="12"/>
  <c r="A58" i="12"/>
  <c r="E57" i="12"/>
  <c r="A57" i="12"/>
  <c r="E55" i="12"/>
  <c r="A55" i="12"/>
  <c r="E54" i="12"/>
  <c r="A54" i="12"/>
  <c r="E53" i="12"/>
  <c r="A53" i="12"/>
  <c r="E52" i="12"/>
  <c r="A52" i="12"/>
  <c r="E51" i="12"/>
  <c r="A51" i="12"/>
  <c r="E50" i="12"/>
  <c r="A50" i="12"/>
  <c r="E49" i="12"/>
  <c r="A49" i="12"/>
  <c r="E47" i="12"/>
  <c r="A47" i="12"/>
  <c r="E46" i="12"/>
  <c r="A46" i="12"/>
  <c r="E45" i="12"/>
  <c r="A45" i="12"/>
  <c r="E44" i="12"/>
  <c r="A44" i="12"/>
  <c r="E43" i="12"/>
  <c r="A43" i="12"/>
  <c r="E42" i="12"/>
  <c r="A42" i="12"/>
  <c r="E41" i="12"/>
  <c r="A41" i="12"/>
  <c r="E39" i="12"/>
  <c r="A39" i="12"/>
  <c r="E38" i="12"/>
  <c r="A38" i="12"/>
  <c r="E37" i="12"/>
  <c r="A37" i="12"/>
  <c r="E36" i="12"/>
  <c r="A36" i="12"/>
  <c r="E35" i="12"/>
  <c r="A35" i="12"/>
  <c r="E34" i="12"/>
  <c r="A34" i="12"/>
  <c r="E33" i="12"/>
  <c r="A33" i="12"/>
  <c r="E31" i="12"/>
  <c r="A31" i="12"/>
  <c r="E30" i="12"/>
  <c r="A30" i="12"/>
  <c r="E29" i="12"/>
  <c r="A29" i="12"/>
  <c r="E28" i="12"/>
  <c r="A28" i="12"/>
  <c r="E27" i="12"/>
  <c r="A27" i="12"/>
  <c r="E26" i="12"/>
  <c r="A26" i="12"/>
  <c r="E25" i="12"/>
  <c r="A25" i="12"/>
  <c r="E23" i="12"/>
  <c r="A23" i="12"/>
  <c r="E22" i="12"/>
  <c r="A22" i="12"/>
  <c r="E21" i="12"/>
  <c r="A21" i="12"/>
  <c r="E20" i="12"/>
  <c r="A20" i="12"/>
  <c r="E19" i="12"/>
  <c r="A19" i="12"/>
  <c r="E18" i="12"/>
  <c r="A18" i="12"/>
  <c r="E17" i="12"/>
  <c r="A17" i="12"/>
  <c r="E15" i="12"/>
  <c r="E14" i="12"/>
  <c r="E13" i="12"/>
  <c r="E12" i="12"/>
  <c r="E11" i="12"/>
  <c r="E10" i="12"/>
  <c r="E9" i="12"/>
  <c r="A9" i="12"/>
  <c r="E3" i="12"/>
  <c r="A3" i="12"/>
  <c r="I4" i="11"/>
  <c r="E4" i="11"/>
  <c r="A4" i="11"/>
  <c r="A94" i="11"/>
  <c r="A93" i="11"/>
  <c r="A92" i="11"/>
  <c r="A91" i="11"/>
  <c r="A90" i="11"/>
  <c r="A89" i="11"/>
  <c r="E88" i="11"/>
  <c r="A88" i="11"/>
  <c r="E86" i="11"/>
  <c r="A86" i="11"/>
  <c r="E85" i="11"/>
  <c r="A85" i="11"/>
  <c r="E84" i="11"/>
  <c r="A84" i="11"/>
  <c r="E83" i="11"/>
  <c r="A83" i="11"/>
  <c r="E82" i="11"/>
  <c r="A82" i="11"/>
  <c r="E81" i="11"/>
  <c r="A81" i="11"/>
  <c r="E80" i="11"/>
  <c r="A80" i="11"/>
  <c r="E78" i="11"/>
  <c r="A78" i="11"/>
  <c r="E77" i="11"/>
  <c r="A77" i="11"/>
  <c r="E76" i="11"/>
  <c r="A76" i="11"/>
  <c r="E75" i="11"/>
  <c r="A75" i="11"/>
  <c r="E74" i="11"/>
  <c r="A74" i="11"/>
  <c r="E73" i="11"/>
  <c r="A73" i="11"/>
  <c r="E72" i="11"/>
  <c r="A72" i="11"/>
  <c r="E70" i="11"/>
  <c r="A70" i="11"/>
  <c r="E69" i="11"/>
  <c r="A69" i="11"/>
  <c r="E68" i="11"/>
  <c r="A68" i="11"/>
  <c r="E67" i="11"/>
  <c r="A67" i="11"/>
  <c r="E66" i="11"/>
  <c r="A66" i="11"/>
  <c r="E65" i="11"/>
  <c r="A65" i="11"/>
  <c r="E64" i="11"/>
  <c r="A64" i="11"/>
  <c r="E62" i="11"/>
  <c r="A62" i="11"/>
  <c r="E61" i="11"/>
  <c r="A61" i="11"/>
  <c r="E60" i="11"/>
  <c r="A60" i="11"/>
  <c r="E59" i="11"/>
  <c r="A59" i="11"/>
  <c r="E58" i="11"/>
  <c r="A58" i="11"/>
  <c r="E57" i="11"/>
  <c r="A57" i="11"/>
  <c r="E56" i="11"/>
  <c r="A56" i="11"/>
  <c r="E54" i="11"/>
  <c r="A54" i="11"/>
  <c r="E53" i="11"/>
  <c r="A53" i="11"/>
  <c r="E52" i="11"/>
  <c r="A52" i="11"/>
  <c r="E51" i="11"/>
  <c r="A51" i="11"/>
  <c r="E50" i="11"/>
  <c r="A50" i="11"/>
  <c r="E49" i="11"/>
  <c r="A49" i="11"/>
  <c r="E48" i="11"/>
  <c r="A48" i="11"/>
  <c r="E46" i="11"/>
  <c r="A46" i="11"/>
  <c r="E45" i="11"/>
  <c r="A45" i="11"/>
  <c r="E44" i="11"/>
  <c r="A44" i="11"/>
  <c r="E43" i="11"/>
  <c r="A43" i="11"/>
  <c r="E42" i="11"/>
  <c r="A42" i="11"/>
  <c r="E41" i="11"/>
  <c r="A41" i="11"/>
  <c r="E40" i="11"/>
  <c r="A40" i="11"/>
  <c r="E38" i="11"/>
  <c r="A38" i="11"/>
  <c r="E37" i="11"/>
  <c r="A37" i="11"/>
  <c r="E36" i="11"/>
  <c r="A36" i="11"/>
  <c r="E35" i="11"/>
  <c r="A35" i="11"/>
  <c r="E34" i="11"/>
  <c r="A34" i="11"/>
  <c r="E33" i="11"/>
  <c r="A33" i="11"/>
  <c r="E32" i="11"/>
  <c r="A32" i="11"/>
  <c r="E30" i="11"/>
  <c r="A30" i="11"/>
  <c r="E29" i="11"/>
  <c r="A29" i="11"/>
  <c r="E28" i="11"/>
  <c r="A28" i="11"/>
  <c r="E27" i="11"/>
  <c r="A27" i="11"/>
  <c r="E26" i="11"/>
  <c r="A26" i="11"/>
  <c r="E25" i="11"/>
  <c r="A25" i="11"/>
  <c r="E24" i="11"/>
  <c r="A24" i="11"/>
  <c r="E22" i="11"/>
  <c r="A22" i="11"/>
  <c r="E21" i="11"/>
  <c r="A21" i="11"/>
  <c r="E20" i="11"/>
  <c r="A20" i="11"/>
  <c r="E19" i="11"/>
  <c r="A19" i="11"/>
  <c r="E18" i="11"/>
  <c r="A18" i="11"/>
  <c r="E17" i="11"/>
  <c r="A17" i="11"/>
  <c r="E16" i="11"/>
  <c r="A16" i="11"/>
  <c r="E14" i="11"/>
  <c r="E13" i="11"/>
  <c r="E12" i="11"/>
  <c r="F11" i="11"/>
  <c r="E11" i="11"/>
  <c r="E10" i="11"/>
  <c r="E9" i="11"/>
  <c r="E8" i="11"/>
  <c r="A8" i="11"/>
  <c r="E3" i="11"/>
  <c r="A3" i="11"/>
  <c r="A1" i="6"/>
  <c r="B24" i="6"/>
  <c r="F11" i="5"/>
  <c r="H31" i="10"/>
  <c r="A31" i="10"/>
  <c r="H27" i="10"/>
  <c r="H26" i="10"/>
  <c r="A27" i="10"/>
  <c r="A26" i="10"/>
  <c r="A15" i="1"/>
  <c r="H3" i="10"/>
  <c r="A3" i="10"/>
  <c r="H2" i="9"/>
  <c r="A2" i="9"/>
  <c r="K3" i="9"/>
  <c r="D3" i="9"/>
  <c r="I53" i="10"/>
  <c r="D37" i="6" s="1"/>
  <c r="B53" i="10"/>
  <c r="C37" i="6" s="1"/>
  <c r="J43" i="10"/>
  <c r="E36" i="6" s="1"/>
  <c r="C43" i="10"/>
  <c r="C36" i="6" s="1"/>
  <c r="L21" i="10"/>
  <c r="K21" i="10"/>
  <c r="E21" i="10"/>
  <c r="D21" i="10"/>
  <c r="M20" i="10"/>
  <c r="F20" i="10"/>
  <c r="M19" i="10"/>
  <c r="F19" i="10"/>
  <c r="M18" i="10"/>
  <c r="F18" i="10"/>
  <c r="M17" i="10"/>
  <c r="F17" i="10"/>
  <c r="M16" i="10"/>
  <c r="F16" i="10"/>
  <c r="L13" i="10"/>
  <c r="K13" i="10"/>
  <c r="E13" i="10"/>
  <c r="D13" i="10"/>
  <c r="M12" i="10"/>
  <c r="F12" i="10"/>
  <c r="M11" i="10"/>
  <c r="F11" i="10"/>
  <c r="M10" i="10"/>
  <c r="F10" i="10"/>
  <c r="M9" i="10"/>
  <c r="F9" i="10"/>
  <c r="M8" i="10"/>
  <c r="F8" i="10"/>
  <c r="A91" i="5"/>
  <c r="A90" i="5"/>
  <c r="A94" i="5"/>
  <c r="A93" i="5"/>
  <c r="A92" i="5"/>
  <c r="A89" i="5"/>
  <c r="A88" i="5"/>
  <c r="A80" i="5"/>
  <c r="A83" i="5"/>
  <c r="A82" i="5"/>
  <c r="A86" i="5"/>
  <c r="A85" i="5"/>
  <c r="A84" i="5"/>
  <c r="A81" i="5"/>
  <c r="A75" i="5"/>
  <c r="A74" i="5"/>
  <c r="A78" i="5"/>
  <c r="A77" i="5"/>
  <c r="A76" i="5"/>
  <c r="A73" i="5"/>
  <c r="A72" i="5"/>
  <c r="A67" i="5"/>
  <c r="A66" i="5"/>
  <c r="A70" i="5"/>
  <c r="A69" i="5"/>
  <c r="A68" i="5"/>
  <c r="A65" i="5"/>
  <c r="A64" i="5"/>
  <c r="A59" i="5"/>
  <c r="A58" i="5"/>
  <c r="A62" i="5"/>
  <c r="A61" i="5"/>
  <c r="A60" i="5"/>
  <c r="A57" i="5"/>
  <c r="A56" i="5"/>
  <c r="E88" i="5"/>
  <c r="E48" i="5"/>
  <c r="A48" i="5"/>
  <c r="A51" i="5"/>
  <c r="A50" i="5"/>
  <c r="A54" i="5"/>
  <c r="A53" i="5"/>
  <c r="A52" i="5"/>
  <c r="A49" i="5"/>
  <c r="A40" i="5"/>
  <c r="A43" i="5"/>
  <c r="A42" i="5"/>
  <c r="A46" i="5"/>
  <c r="A45" i="5"/>
  <c r="A44" i="5"/>
  <c r="A41" i="5"/>
  <c r="A32" i="5"/>
  <c r="A24" i="5"/>
  <c r="A35" i="5"/>
  <c r="A34" i="5"/>
  <c r="A38" i="5"/>
  <c r="A37" i="5"/>
  <c r="A36" i="5"/>
  <c r="A33" i="5"/>
  <c r="A29" i="5"/>
  <c r="A21" i="5"/>
  <c r="E85" i="5"/>
  <c r="E77" i="5"/>
  <c r="E69" i="5"/>
  <c r="E61" i="5"/>
  <c r="E53" i="5"/>
  <c r="E45" i="5"/>
  <c r="E37" i="5"/>
  <c r="E29" i="5"/>
  <c r="E21" i="5"/>
  <c r="E13" i="5"/>
  <c r="A27" i="5"/>
  <c r="A19" i="5"/>
  <c r="A26" i="5"/>
  <c r="A30" i="5"/>
  <c r="A28" i="5"/>
  <c r="A25" i="5"/>
  <c r="A4" i="5"/>
  <c r="A3" i="5"/>
  <c r="A18" i="5"/>
  <c r="A17" i="5"/>
  <c r="E84" i="5"/>
  <c r="E76" i="5"/>
  <c r="E68" i="5"/>
  <c r="E60" i="5"/>
  <c r="E52" i="5"/>
  <c r="E44" i="5"/>
  <c r="E36" i="5"/>
  <c r="E28" i="5"/>
  <c r="A20" i="5"/>
  <c r="E20" i="5"/>
  <c r="E12" i="5"/>
  <c r="A22" i="5"/>
  <c r="A16" i="5"/>
  <c r="E16" i="5"/>
  <c r="A8" i="5"/>
  <c r="E86" i="5"/>
  <c r="E83" i="5"/>
  <c r="E82" i="5"/>
  <c r="E81" i="5"/>
  <c r="E80" i="5"/>
  <c r="E78" i="5"/>
  <c r="E75" i="5"/>
  <c r="E74" i="5"/>
  <c r="E73" i="5"/>
  <c r="E72" i="5"/>
  <c r="E70" i="5"/>
  <c r="E67" i="5"/>
  <c r="E66" i="5"/>
  <c r="E65" i="5"/>
  <c r="E64" i="5"/>
  <c r="J22" i="2"/>
  <c r="J21" i="2"/>
  <c r="J20" i="2"/>
  <c r="J19" i="2"/>
  <c r="J18" i="2"/>
  <c r="J17" i="2"/>
  <c r="J16" i="2"/>
  <c r="J15" i="2"/>
  <c r="J14" i="2"/>
  <c r="J13" i="2"/>
  <c r="J12" i="2"/>
  <c r="J11" i="2"/>
  <c r="J10" i="2"/>
  <c r="J9" i="2"/>
  <c r="J8" i="2"/>
  <c r="J7" i="2"/>
  <c r="J6" i="2"/>
  <c r="J5" i="2"/>
  <c r="J4" i="2"/>
  <c r="E56" i="5"/>
  <c r="E62" i="5"/>
  <c r="E59" i="5"/>
  <c r="E58" i="5"/>
  <c r="E57" i="5"/>
  <c r="E54" i="5"/>
  <c r="E51" i="5"/>
  <c r="E50" i="5"/>
  <c r="E49" i="5"/>
  <c r="E46" i="5"/>
  <c r="E43" i="5"/>
  <c r="E42" i="5"/>
  <c r="E41" i="5"/>
  <c r="E40" i="5"/>
  <c r="E38" i="5"/>
  <c r="E35" i="5"/>
  <c r="E34" i="5"/>
  <c r="E33" i="5"/>
  <c r="E32" i="5"/>
  <c r="E24" i="5"/>
  <c r="E30" i="5"/>
  <c r="E27" i="5"/>
  <c r="E26" i="5"/>
  <c r="E25" i="5"/>
  <c r="E22" i="5"/>
  <c r="E19" i="5"/>
  <c r="E18" i="5"/>
  <c r="E14" i="5"/>
  <c r="E11" i="5"/>
  <c r="E10" i="5"/>
  <c r="E9" i="5"/>
  <c r="E8" i="5"/>
  <c r="E17" i="5"/>
  <c r="E3" i="5"/>
  <c r="E4" i="5"/>
  <c r="B13" i="8"/>
  <c r="B12" i="8"/>
  <c r="B11" i="8"/>
  <c r="B10" i="8"/>
  <c r="B9" i="8"/>
  <c r="B8" i="8"/>
  <c r="B7" i="8"/>
  <c r="B6" i="8"/>
  <c r="B5" i="8"/>
  <c r="B4" i="8"/>
  <c r="A23" i="2"/>
  <c r="A22" i="2"/>
  <c r="A21" i="2"/>
  <c r="A20" i="2"/>
  <c r="A19" i="2"/>
  <c r="A18" i="2"/>
  <c r="A17" i="2"/>
  <c r="A16" i="2"/>
  <c r="A15" i="2"/>
  <c r="A14" i="2"/>
  <c r="A13" i="2"/>
  <c r="I4" i="5"/>
  <c r="A12" i="2"/>
  <c r="A11" i="2"/>
  <c r="A10" i="2"/>
  <c r="A9" i="2"/>
  <c r="A8" i="2"/>
  <c r="A7" i="2"/>
  <c r="A6" i="2"/>
  <c r="A5" i="2"/>
  <c r="A4" i="2"/>
  <c r="J28" i="30" l="1"/>
  <c r="J28" i="40"/>
  <c r="J28" i="27"/>
  <c r="B28" i="21"/>
  <c r="B29" i="21" s="1"/>
  <c r="B31" i="40"/>
  <c r="D38" i="22"/>
  <c r="D31" i="26"/>
  <c r="B54" i="12" s="1"/>
  <c r="B55" i="12" s="1"/>
  <c r="B38" i="25"/>
  <c r="B31" i="43"/>
  <c r="D31" i="39"/>
  <c r="D8" i="41" s="1"/>
  <c r="D9" i="41" s="1"/>
  <c r="D10" i="41" s="1"/>
  <c r="B86" i="12"/>
  <c r="B87" i="12" s="1"/>
  <c r="B8" i="41"/>
  <c r="B9" i="41" s="1"/>
  <c r="B10" i="41" s="1"/>
  <c r="B69" i="5"/>
  <c r="B70" i="5" s="1"/>
  <c r="B85" i="5"/>
  <c r="B86" i="5" s="1"/>
  <c r="D31" i="32"/>
  <c r="B70" i="12" s="1"/>
  <c r="B71" i="12" s="1"/>
  <c r="D38" i="6"/>
  <c r="F37" i="5"/>
  <c r="K31" i="20"/>
  <c r="D16" i="22" s="1"/>
  <c r="B16" i="22"/>
  <c r="F53" i="5"/>
  <c r="F54" i="5" s="1"/>
  <c r="E36" i="41"/>
  <c r="D31" i="36"/>
  <c r="B78" i="12" s="1"/>
  <c r="B79" i="12" s="1"/>
  <c r="F29" i="5"/>
  <c r="F61" i="5"/>
  <c r="F62" i="5" s="1"/>
  <c r="B38" i="31"/>
  <c r="B16" i="31"/>
  <c r="B17" i="31" s="1"/>
  <c r="B18" i="31" s="1"/>
  <c r="I31" i="33"/>
  <c r="D36" i="16"/>
  <c r="E37" i="22"/>
  <c r="B28" i="33"/>
  <c r="C28" i="33" s="1"/>
  <c r="E37" i="35"/>
  <c r="C36" i="38"/>
  <c r="B28" i="37"/>
  <c r="C28" i="37" s="1"/>
  <c r="I29" i="40"/>
  <c r="B28" i="27"/>
  <c r="C28" i="27" s="1"/>
  <c r="E37" i="19"/>
  <c r="D36" i="6"/>
  <c r="C36" i="35"/>
  <c r="B8" i="38"/>
  <c r="B9" i="38" s="1"/>
  <c r="B10" i="38" s="1"/>
  <c r="F85" i="5"/>
  <c r="F86" i="5" s="1"/>
  <c r="B8" i="25"/>
  <c r="B9" i="25" s="1"/>
  <c r="B10" i="25" s="1"/>
  <c r="C37" i="38"/>
  <c r="C36" i="28"/>
  <c r="B36" i="19"/>
  <c r="B45" i="5"/>
  <c r="B46" i="5" s="1"/>
  <c r="D31" i="23"/>
  <c r="D8" i="25" s="1"/>
  <c r="D9" i="25" s="1"/>
  <c r="D10" i="25" s="1"/>
  <c r="M21" i="33"/>
  <c r="B8" i="44"/>
  <c r="B9" i="44" s="1"/>
  <c r="B10" i="44" s="1"/>
  <c r="B36" i="6"/>
  <c r="B16" i="41"/>
  <c r="B17" i="41" s="1"/>
  <c r="B18" i="41" s="1"/>
  <c r="D31" i="42"/>
  <c r="D8" i="44" s="1"/>
  <c r="D9" i="44" s="1"/>
  <c r="D10" i="44" s="1"/>
  <c r="D38" i="28"/>
  <c r="C37" i="16"/>
  <c r="B31" i="27"/>
  <c r="B23" i="44"/>
  <c r="B38" i="38"/>
  <c r="D38" i="35"/>
  <c r="B28" i="24"/>
  <c r="C28" i="24" s="1"/>
  <c r="D38" i="25"/>
  <c r="F30" i="36"/>
  <c r="F31" i="36" s="1"/>
  <c r="F21" i="5"/>
  <c r="B16" i="16"/>
  <c r="I31" i="18"/>
  <c r="B16" i="19"/>
  <c r="K31" i="17"/>
  <c r="D16" i="19" s="1"/>
  <c r="C11" i="1"/>
  <c r="I27" i="15"/>
  <c r="I28" i="15" s="1"/>
  <c r="J28" i="15" s="1"/>
  <c r="I26" i="10"/>
  <c r="D13" i="1"/>
  <c r="D12" i="1"/>
  <c r="D11" i="1"/>
  <c r="D10" i="1"/>
  <c r="C12" i="1" s="1"/>
  <c r="C19" i="1"/>
  <c r="I27" i="10" s="1"/>
  <c r="E5" i="8"/>
  <c r="B17" i="1"/>
  <c r="F13" i="10"/>
  <c r="M21" i="15"/>
  <c r="F13" i="18"/>
  <c r="I28" i="18"/>
  <c r="D37" i="31"/>
  <c r="I28" i="37"/>
  <c r="M13" i="10"/>
  <c r="M13" i="18"/>
  <c r="M21" i="18"/>
  <c r="M13" i="27"/>
  <c r="M13" i="30"/>
  <c r="B37" i="35"/>
  <c r="F13" i="33"/>
  <c r="E10" i="8"/>
  <c r="B38" i="28"/>
  <c r="F13" i="27"/>
  <c r="M13" i="33"/>
  <c r="F30" i="32"/>
  <c r="F31" i="32" s="1"/>
  <c r="D38" i="31"/>
  <c r="E37" i="28"/>
  <c r="M21" i="27"/>
  <c r="B36" i="41"/>
  <c r="M13" i="15"/>
  <c r="F21" i="18"/>
  <c r="B28" i="18"/>
  <c r="C28" i="18" s="1"/>
  <c r="C37" i="28"/>
  <c r="F13" i="37"/>
  <c r="B37" i="6"/>
  <c r="F13" i="21"/>
  <c r="F21" i="33"/>
  <c r="B38" i="22"/>
  <c r="M21" i="10"/>
  <c r="B31" i="30"/>
  <c r="B32" i="30" s="1"/>
  <c r="B35" i="31" s="1"/>
  <c r="E37" i="25"/>
  <c r="C37" i="31"/>
  <c r="M21" i="30"/>
  <c r="B31" i="37"/>
  <c r="B32" i="37" s="1"/>
  <c r="B35" i="38" s="1"/>
  <c r="I31" i="40"/>
  <c r="F30" i="20"/>
  <c r="F31" i="20" s="1"/>
  <c r="E8" i="22" s="1"/>
  <c r="E9" i="22" s="1"/>
  <c r="E10" i="22" s="1"/>
  <c r="M30" i="20"/>
  <c r="C16" i="22" s="1"/>
  <c r="E12" i="8"/>
  <c r="C38" i="35"/>
  <c r="D38" i="38"/>
  <c r="E37" i="6"/>
  <c r="D37" i="16"/>
  <c r="B37" i="22"/>
  <c r="I29" i="24"/>
  <c r="I32" i="24" s="1"/>
  <c r="D35" i="25" s="1"/>
  <c r="M21" i="24"/>
  <c r="F21" i="27"/>
  <c r="F77" i="5"/>
  <c r="F78" i="5" s="1"/>
  <c r="D36" i="38"/>
  <c r="E7" i="8"/>
  <c r="C27" i="44"/>
  <c r="F21" i="37"/>
  <c r="M13" i="21"/>
  <c r="M21" i="21"/>
  <c r="B53" i="5"/>
  <c r="B54" i="5" s="1"/>
  <c r="F13" i="24"/>
  <c r="F21" i="24"/>
  <c r="B29" i="43"/>
  <c r="E9" i="8"/>
  <c r="M30" i="36"/>
  <c r="F77" i="11" s="1"/>
  <c r="F78" i="11" s="1"/>
  <c r="F30" i="39"/>
  <c r="C8" i="41" s="1"/>
  <c r="C9" i="41" s="1"/>
  <c r="C10" i="41" s="1"/>
  <c r="B38" i="16"/>
  <c r="F21" i="21"/>
  <c r="B36" i="25"/>
  <c r="I29" i="30"/>
  <c r="I32" i="30" s="1"/>
  <c r="D35" i="31" s="1"/>
  <c r="F13" i="30"/>
  <c r="F21" i="30"/>
  <c r="F30" i="17"/>
  <c r="C38" i="19"/>
  <c r="M21" i="37"/>
  <c r="F13" i="15"/>
  <c r="B37" i="19"/>
  <c r="I29" i="27"/>
  <c r="I32" i="27" s="1"/>
  <c r="D35" i="28" s="1"/>
  <c r="B29" i="40"/>
  <c r="B32" i="40" s="1"/>
  <c r="B35" i="41" s="1"/>
  <c r="E36" i="35"/>
  <c r="K31" i="36"/>
  <c r="D16" i="38" s="1"/>
  <c r="D17" i="38" s="1"/>
  <c r="J12" i="8" s="1"/>
  <c r="F13" i="40"/>
  <c r="F21" i="40"/>
  <c r="F30" i="29"/>
  <c r="C31" i="33" s="1"/>
  <c r="C32" i="33" s="1"/>
  <c r="C35" i="35" s="1"/>
  <c r="D38" i="19"/>
  <c r="F21" i="10"/>
  <c r="M13" i="24"/>
  <c r="B28" i="30"/>
  <c r="C28" i="30" s="1"/>
  <c r="M21" i="40"/>
  <c r="F13" i="43"/>
  <c r="F21" i="43"/>
  <c r="F30" i="23"/>
  <c r="G8" i="8" s="1"/>
  <c r="M30" i="23"/>
  <c r="C16" i="25" s="1"/>
  <c r="C17" i="25" s="1"/>
  <c r="C18" i="25" s="1"/>
  <c r="F30" i="26"/>
  <c r="B53" i="11" s="1"/>
  <c r="M30" i="26"/>
  <c r="F53" i="11" s="1"/>
  <c r="F54" i="11" s="1"/>
  <c r="M30" i="29"/>
  <c r="M31" i="29" s="1"/>
  <c r="E1" i="44"/>
  <c r="F1" i="13"/>
  <c r="F1" i="12"/>
  <c r="F1" i="11"/>
  <c r="F1" i="5"/>
  <c r="M325" i="45"/>
  <c r="R325" i="45"/>
  <c r="H325" i="45"/>
  <c r="F10" i="8"/>
  <c r="D31" i="17"/>
  <c r="B8" i="19"/>
  <c r="E6" i="8"/>
  <c r="B29" i="5"/>
  <c r="B31" i="21"/>
  <c r="B8" i="16"/>
  <c r="B31" i="18"/>
  <c r="D31" i="14"/>
  <c r="B22" i="12" s="1"/>
  <c r="B21" i="5"/>
  <c r="F22" i="12"/>
  <c r="B28" i="10"/>
  <c r="B29" i="10" s="1"/>
  <c r="I31" i="10"/>
  <c r="E4" i="8"/>
  <c r="B31" i="15"/>
  <c r="D31" i="9"/>
  <c r="B28" i="15"/>
  <c r="C28" i="15" s="1"/>
  <c r="I31" i="15"/>
  <c r="B16" i="6"/>
  <c r="K31" i="9"/>
  <c r="I4" i="8" s="1"/>
  <c r="C37" i="41"/>
  <c r="B37" i="41"/>
  <c r="B36" i="16"/>
  <c r="F12" i="8"/>
  <c r="B18" i="38"/>
  <c r="E37" i="41"/>
  <c r="K31" i="32"/>
  <c r="I31" i="37"/>
  <c r="I32" i="37" s="1"/>
  <c r="D35" i="38" s="1"/>
  <c r="F69" i="5"/>
  <c r="F70" i="5" s="1"/>
  <c r="E11" i="8"/>
  <c r="B16" i="35"/>
  <c r="B17" i="35" s="1"/>
  <c r="F11" i="8" s="1"/>
  <c r="M30" i="39"/>
  <c r="F30" i="42"/>
  <c r="M30" i="32"/>
  <c r="J28" i="24"/>
  <c r="B36" i="22"/>
  <c r="C36" i="22"/>
  <c r="B31" i="33"/>
  <c r="B32" i="33" s="1"/>
  <c r="B35" i="35" s="1"/>
  <c r="I28" i="33"/>
  <c r="I29" i="33"/>
  <c r="B16" i="25"/>
  <c r="B17" i="25" s="1"/>
  <c r="K31" i="23"/>
  <c r="F45" i="5"/>
  <c r="F46" i="5" s="1"/>
  <c r="D16" i="28"/>
  <c r="D17" i="28" s="1"/>
  <c r="D31" i="29"/>
  <c r="I10" i="8" s="1"/>
  <c r="E37" i="38"/>
  <c r="D37" i="38"/>
  <c r="M13" i="40"/>
  <c r="F30" i="14"/>
  <c r="B31" i="24"/>
  <c r="D31" i="20"/>
  <c r="B37" i="5"/>
  <c r="B38" i="5" s="1"/>
  <c r="B38" i="41"/>
  <c r="C38" i="41"/>
  <c r="F21" i="15"/>
  <c r="E36" i="25"/>
  <c r="D36" i="25"/>
  <c r="B61" i="5"/>
  <c r="B62" i="5" s="1"/>
  <c r="C28" i="40"/>
  <c r="C38" i="6"/>
  <c r="E38" i="16"/>
  <c r="E38" i="41"/>
  <c r="D38" i="41"/>
  <c r="C37" i="25"/>
  <c r="B37" i="25"/>
  <c r="E36" i="28"/>
  <c r="D36" i="28"/>
  <c r="D36" i="31"/>
  <c r="E36" i="31"/>
  <c r="M13" i="37"/>
  <c r="D36" i="19"/>
  <c r="E36" i="22"/>
  <c r="F86" i="12"/>
  <c r="F87" i="12" s="1"/>
  <c r="B6" i="5"/>
  <c r="B17" i="5" s="1"/>
  <c r="F6" i="5"/>
  <c r="F9" i="5" s="1"/>
  <c r="F13" i="5"/>
  <c r="I28" i="21"/>
  <c r="D16" i="31"/>
  <c r="D17" i="31" s="1"/>
  <c r="D18" i="31" s="1"/>
  <c r="F30" i="9"/>
  <c r="B7" i="16"/>
  <c r="B15" i="6"/>
  <c r="D18" i="41"/>
  <c r="F9" i="8"/>
  <c r="E1" i="18"/>
  <c r="E1" i="21"/>
  <c r="L1" i="24"/>
  <c r="E1" i="33"/>
  <c r="E1" i="17"/>
  <c r="L1" i="18"/>
  <c r="L1" i="21"/>
  <c r="L1" i="33"/>
  <c r="E1" i="16"/>
  <c r="L1" i="17"/>
  <c r="E1" i="32"/>
  <c r="E1" i="40"/>
  <c r="E1" i="9"/>
  <c r="E1" i="23"/>
  <c r="L1" i="32"/>
  <c r="E1" i="36"/>
  <c r="L1" i="40"/>
  <c r="E1" i="19"/>
  <c r="L1" i="9"/>
  <c r="E1" i="15"/>
  <c r="L1" i="23"/>
  <c r="E1" i="27"/>
  <c r="L1" i="36"/>
  <c r="E1" i="22"/>
  <c r="C1" i="8"/>
  <c r="E1" i="10"/>
  <c r="L1" i="15"/>
  <c r="E1" i="20"/>
  <c r="L1" i="27"/>
  <c r="E1" i="29"/>
  <c r="E1" i="37"/>
  <c r="E1" i="25"/>
  <c r="L1" i="10"/>
  <c r="E1" i="14"/>
  <c r="L1" i="20"/>
  <c r="E1" i="26"/>
  <c r="L1" i="29"/>
  <c r="E1" i="30"/>
  <c r="L1" i="37"/>
  <c r="E1" i="39"/>
  <c r="L1" i="14"/>
  <c r="E1" i="24"/>
  <c r="L1" i="26"/>
  <c r="L1" i="30"/>
  <c r="L1" i="39"/>
  <c r="E1" i="42"/>
  <c r="E1" i="43"/>
  <c r="E1" i="35"/>
  <c r="E1" i="28"/>
  <c r="E1" i="31"/>
  <c r="E1" i="6"/>
  <c r="E1" i="38"/>
  <c r="E1" i="41"/>
  <c r="B29" i="27" l="1"/>
  <c r="B32" i="27" s="1"/>
  <c r="B35" i="28" s="1"/>
  <c r="B29" i="24"/>
  <c r="B32" i="24" s="1"/>
  <c r="B35" i="25" s="1"/>
  <c r="I7" i="8"/>
  <c r="C28" i="21"/>
  <c r="J28" i="37"/>
  <c r="I29" i="21"/>
  <c r="I32" i="21" s="1"/>
  <c r="D35" i="22" s="1"/>
  <c r="J28" i="18"/>
  <c r="B31" i="10"/>
  <c r="L19" i="17"/>
  <c r="M19" i="17" s="1"/>
  <c r="B32" i="43"/>
  <c r="B24" i="44" s="1"/>
  <c r="D8" i="28"/>
  <c r="D9" i="28" s="1"/>
  <c r="D10" i="28" s="1"/>
  <c r="I9" i="8"/>
  <c r="B32" i="21"/>
  <c r="B35" i="22" s="1"/>
  <c r="B29" i="18"/>
  <c r="B32" i="18" s="1"/>
  <c r="B35" i="19" s="1"/>
  <c r="I13" i="8"/>
  <c r="F8" i="8"/>
  <c r="J13" i="8"/>
  <c r="I32" i="33"/>
  <c r="D35" i="35" s="1"/>
  <c r="D8" i="35"/>
  <c r="D9" i="35" s="1"/>
  <c r="D10" i="35" s="1"/>
  <c r="C8" i="38"/>
  <c r="C9" i="38" s="1"/>
  <c r="C10" i="38" s="1"/>
  <c r="F13" i="8"/>
  <c r="B77" i="11"/>
  <c r="B78" i="11" s="1"/>
  <c r="F22" i="10"/>
  <c r="C34" i="6" s="1"/>
  <c r="C31" i="43"/>
  <c r="C32" i="43" s="1"/>
  <c r="C24" i="44" s="1"/>
  <c r="C29" i="44" s="1"/>
  <c r="F38" i="12"/>
  <c r="I32" i="40"/>
  <c r="D35" i="41" s="1"/>
  <c r="B94" i="12"/>
  <c r="B95" i="12" s="1"/>
  <c r="C31" i="40"/>
  <c r="C32" i="40" s="1"/>
  <c r="C35" i="41" s="1"/>
  <c r="D8" i="38"/>
  <c r="D9" i="38" s="1"/>
  <c r="D10" i="38" s="1"/>
  <c r="F22" i="27"/>
  <c r="F31" i="29"/>
  <c r="E8" i="31" s="1"/>
  <c r="E9" i="31" s="1"/>
  <c r="E10" i="31" s="1"/>
  <c r="M22" i="37"/>
  <c r="I68" i="37" s="1"/>
  <c r="F74" i="11" s="1"/>
  <c r="M22" i="18"/>
  <c r="E34" i="19" s="1"/>
  <c r="F22" i="18"/>
  <c r="G7" i="8"/>
  <c r="B69" i="11"/>
  <c r="B70" i="11" s="1"/>
  <c r="B29" i="44"/>
  <c r="C31" i="24"/>
  <c r="C32" i="24" s="1"/>
  <c r="C35" i="25" s="1"/>
  <c r="C8" i="35"/>
  <c r="C9" i="35" s="1"/>
  <c r="C10" i="35" s="1"/>
  <c r="B46" i="12"/>
  <c r="B47" i="12" s="1"/>
  <c r="C8" i="31"/>
  <c r="C9" i="31" s="1"/>
  <c r="C10" i="31" s="1"/>
  <c r="B61" i="11"/>
  <c r="B62" i="11" s="1"/>
  <c r="M22" i="40"/>
  <c r="M22" i="24"/>
  <c r="M22" i="33"/>
  <c r="E34" i="35" s="1"/>
  <c r="C8" i="28"/>
  <c r="C31" i="27"/>
  <c r="B38" i="13"/>
  <c r="B39" i="13" s="1"/>
  <c r="C31" i="37"/>
  <c r="C32" i="37" s="1"/>
  <c r="C35" i="38" s="1"/>
  <c r="F22" i="21"/>
  <c r="G10" i="8"/>
  <c r="C8" i="22"/>
  <c r="C9" i="22" s="1"/>
  <c r="C10" i="22" s="1"/>
  <c r="B45" i="11"/>
  <c r="J31" i="33"/>
  <c r="J32" i="33" s="1"/>
  <c r="E35" i="35" s="1"/>
  <c r="M22" i="27"/>
  <c r="M22" i="15"/>
  <c r="D34" i="16" s="1"/>
  <c r="L19" i="14"/>
  <c r="M19" i="14" s="1"/>
  <c r="L19" i="9"/>
  <c r="M19" i="9" s="1"/>
  <c r="F31" i="39"/>
  <c r="B86" i="13" s="1"/>
  <c r="B87" i="13" s="1"/>
  <c r="F22" i="33"/>
  <c r="B34" i="35" s="1"/>
  <c r="B40" i="35" s="1"/>
  <c r="B85" i="11"/>
  <c r="B86" i="11" s="1"/>
  <c r="F30" i="12"/>
  <c r="C13" i="1"/>
  <c r="B5" i="13" s="1"/>
  <c r="E7" i="16" s="1"/>
  <c r="I29" i="18"/>
  <c r="I32" i="18" s="1"/>
  <c r="D35" i="19" s="1"/>
  <c r="I29" i="15"/>
  <c r="I32" i="15" s="1"/>
  <c r="I28" i="10"/>
  <c r="J28" i="10" s="1"/>
  <c r="I3" i="8"/>
  <c r="B5" i="12"/>
  <c r="D7" i="16" s="1"/>
  <c r="F5" i="12"/>
  <c r="D15" i="6" s="1"/>
  <c r="F6" i="12"/>
  <c r="B6" i="12"/>
  <c r="B6" i="13"/>
  <c r="F6" i="13"/>
  <c r="B18" i="1"/>
  <c r="L20" i="17" s="1"/>
  <c r="M20" i="17" s="1"/>
  <c r="M22" i="30"/>
  <c r="C31" i="30"/>
  <c r="C32" i="30" s="1"/>
  <c r="C35" i="31" s="1"/>
  <c r="G9" i="8"/>
  <c r="F22" i="40"/>
  <c r="C34" i="41" s="1"/>
  <c r="F22" i="15"/>
  <c r="B34" i="16" s="1"/>
  <c r="F22" i="37"/>
  <c r="B67" i="37" s="1"/>
  <c r="F31" i="26"/>
  <c r="B54" i="13" s="1"/>
  <c r="J31" i="30"/>
  <c r="J32" i="30" s="1"/>
  <c r="E35" i="31" s="1"/>
  <c r="M22" i="10"/>
  <c r="E34" i="6" s="1"/>
  <c r="C34" i="28"/>
  <c r="C8" i="25"/>
  <c r="C16" i="31"/>
  <c r="C17" i="31" s="1"/>
  <c r="C18" i="31" s="1"/>
  <c r="C8" i="19"/>
  <c r="M22" i="21"/>
  <c r="B37" i="11"/>
  <c r="B38" i="11" s="1"/>
  <c r="F31" i="23"/>
  <c r="E8" i="25" s="1"/>
  <c r="M31" i="26"/>
  <c r="E16" i="28" s="1"/>
  <c r="E17" i="28" s="1"/>
  <c r="C31" i="21"/>
  <c r="C32" i="21" s="1"/>
  <c r="C35" i="22" s="1"/>
  <c r="F22" i="30"/>
  <c r="B67" i="30" s="1"/>
  <c r="J31" i="24"/>
  <c r="J32" i="24" s="1"/>
  <c r="E35" i="25" s="1"/>
  <c r="F37" i="11"/>
  <c r="J31" i="27"/>
  <c r="J32" i="27" s="1"/>
  <c r="E35" i="28" s="1"/>
  <c r="C16" i="38"/>
  <c r="C17" i="38" s="1"/>
  <c r="H12" i="8" s="1"/>
  <c r="F61" i="11"/>
  <c r="F62" i="11" s="1"/>
  <c r="C16" i="28"/>
  <c r="C17" i="28" s="1"/>
  <c r="C18" i="28" s="1"/>
  <c r="B29" i="11"/>
  <c r="F22" i="43"/>
  <c r="M31" i="36"/>
  <c r="F78" i="13" s="1"/>
  <c r="F79" i="13" s="1"/>
  <c r="F31" i="17"/>
  <c r="E8" i="19" s="1"/>
  <c r="F22" i="24"/>
  <c r="M31" i="20"/>
  <c r="F38" i="13" s="1"/>
  <c r="M31" i="23"/>
  <c r="E16" i="25" s="1"/>
  <c r="E17" i="25" s="1"/>
  <c r="G12" i="8"/>
  <c r="F45" i="11"/>
  <c r="F46" i="11" s="1"/>
  <c r="J31" i="40"/>
  <c r="J32" i="40" s="1"/>
  <c r="E35" i="41" s="1"/>
  <c r="I12" i="8"/>
  <c r="F78" i="12"/>
  <c r="F79" i="12" s="1"/>
  <c r="B5" i="11"/>
  <c r="F5" i="11"/>
  <c r="G3" i="8"/>
  <c r="B30" i="12"/>
  <c r="I6" i="8"/>
  <c r="D8" i="19"/>
  <c r="D8" i="16"/>
  <c r="I5" i="8"/>
  <c r="B32" i="10"/>
  <c r="B35" i="6" s="1"/>
  <c r="C28" i="10"/>
  <c r="J31" i="10"/>
  <c r="B29" i="15"/>
  <c r="B32" i="15" s="1"/>
  <c r="B35" i="16" s="1"/>
  <c r="F14" i="12"/>
  <c r="F31" i="9"/>
  <c r="C31" i="15"/>
  <c r="D16" i="6"/>
  <c r="B18" i="25"/>
  <c r="B18" i="35"/>
  <c r="D18" i="38"/>
  <c r="D18" i="28"/>
  <c r="B62" i="12"/>
  <c r="B63" i="12" s="1"/>
  <c r="D8" i="31"/>
  <c r="D9" i="31" s="1"/>
  <c r="D10" i="31" s="1"/>
  <c r="E8" i="38"/>
  <c r="E9" i="38" s="1"/>
  <c r="E10" i="38" s="1"/>
  <c r="B78" i="13"/>
  <c r="B79" i="13" s="1"/>
  <c r="M31" i="39"/>
  <c r="G13" i="8"/>
  <c r="C16" i="41"/>
  <c r="C17" i="41" s="1"/>
  <c r="F85" i="11"/>
  <c r="F86" i="11" s="1"/>
  <c r="E16" i="31"/>
  <c r="E17" i="31" s="1"/>
  <c r="F62" i="13"/>
  <c r="F63" i="13" s="1"/>
  <c r="D8" i="22"/>
  <c r="D9" i="22" s="1"/>
  <c r="B38" i="12"/>
  <c r="B39" i="12" s="1"/>
  <c r="B70" i="13"/>
  <c r="B71" i="13" s="1"/>
  <c r="E8" i="35"/>
  <c r="E9" i="35" s="1"/>
  <c r="E10" i="35" s="1"/>
  <c r="F46" i="12"/>
  <c r="F47" i="12" s="1"/>
  <c r="D16" i="25"/>
  <c r="D17" i="25" s="1"/>
  <c r="I8" i="8"/>
  <c r="C8" i="16"/>
  <c r="F31" i="14"/>
  <c r="C31" i="18"/>
  <c r="B21" i="11"/>
  <c r="J28" i="33"/>
  <c r="J31" i="37"/>
  <c r="J32" i="37" s="1"/>
  <c r="E35" i="38" s="1"/>
  <c r="F69" i="11"/>
  <c r="F70" i="11" s="1"/>
  <c r="M31" i="32"/>
  <c r="G11" i="8"/>
  <c r="C16" i="35"/>
  <c r="C17" i="35" s="1"/>
  <c r="I11" i="8"/>
  <c r="F70" i="12"/>
  <c r="F71" i="12" s="1"/>
  <c r="D16" i="35"/>
  <c r="D17" i="35" s="1"/>
  <c r="C8" i="44"/>
  <c r="C9" i="44" s="1"/>
  <c r="C10" i="44" s="1"/>
  <c r="F31" i="42"/>
  <c r="B93" i="11"/>
  <c r="B94" i="11" s="1"/>
  <c r="J28" i="21"/>
  <c r="C32" i="27" l="1"/>
  <c r="C35" i="28" s="1"/>
  <c r="B67" i="27"/>
  <c r="B58" i="5" s="1"/>
  <c r="K7" i="8"/>
  <c r="I68" i="24"/>
  <c r="F42" i="11" s="1"/>
  <c r="I72" i="24"/>
  <c r="E34" i="28"/>
  <c r="I72" i="27"/>
  <c r="I67" i="40"/>
  <c r="F82" i="5" s="1"/>
  <c r="I72" i="40"/>
  <c r="I72" i="37"/>
  <c r="D34" i="31"/>
  <c r="I72" i="30"/>
  <c r="I72" i="33"/>
  <c r="B67" i="21"/>
  <c r="B67" i="18"/>
  <c r="M30" i="17"/>
  <c r="J9" i="8"/>
  <c r="C32" i="18"/>
  <c r="C35" i="19" s="1"/>
  <c r="D34" i="38"/>
  <c r="E34" i="38"/>
  <c r="B34" i="6"/>
  <c r="B40" i="6" s="1"/>
  <c r="B68" i="27"/>
  <c r="B34" i="28"/>
  <c r="B40" i="28" s="1"/>
  <c r="C40" i="28"/>
  <c r="E8" i="28"/>
  <c r="B62" i="13"/>
  <c r="B63" i="13" s="1"/>
  <c r="I67" i="27"/>
  <c r="F50" i="5" s="1"/>
  <c r="I68" i="27"/>
  <c r="F50" i="11" s="1"/>
  <c r="D34" i="28"/>
  <c r="I67" i="37"/>
  <c r="F74" i="5" s="1"/>
  <c r="K10" i="8"/>
  <c r="D34" i="19"/>
  <c r="I67" i="18"/>
  <c r="F26" i="5" s="1"/>
  <c r="I68" i="40"/>
  <c r="F82" i="11" s="1"/>
  <c r="B34" i="22"/>
  <c r="B40" i="22" s="1"/>
  <c r="D34" i="41"/>
  <c r="E34" i="41"/>
  <c r="I68" i="33"/>
  <c r="F66" i="11" s="1"/>
  <c r="I67" i="33"/>
  <c r="F66" i="5" s="1"/>
  <c r="C34" i="19"/>
  <c r="B34" i="19"/>
  <c r="B40" i="19" s="1"/>
  <c r="F46" i="13"/>
  <c r="F47" i="13" s="1"/>
  <c r="H10" i="8"/>
  <c r="B68" i="21"/>
  <c r="D34" i="35"/>
  <c r="E34" i="25"/>
  <c r="I67" i="24"/>
  <c r="F42" i="5" s="1"/>
  <c r="D34" i="25"/>
  <c r="C34" i="22"/>
  <c r="C40" i="22" s="1"/>
  <c r="C34" i="16"/>
  <c r="I67" i="21"/>
  <c r="F34" i="5" s="1"/>
  <c r="D34" i="6"/>
  <c r="B46" i="13"/>
  <c r="I67" i="30"/>
  <c r="F58" i="5" s="1"/>
  <c r="E8" i="41"/>
  <c r="E9" i="41" s="1"/>
  <c r="E10" i="41" s="1"/>
  <c r="I68" i="30"/>
  <c r="F58" i="11" s="1"/>
  <c r="E34" i="31"/>
  <c r="E16" i="22"/>
  <c r="F54" i="13"/>
  <c r="F55" i="13" s="1"/>
  <c r="K8" i="8"/>
  <c r="E16" i="38"/>
  <c r="E17" i="38" s="1"/>
  <c r="E18" i="38" s="1"/>
  <c r="K12" i="8"/>
  <c r="C34" i="35"/>
  <c r="C40" i="35" s="1"/>
  <c r="B68" i="33"/>
  <c r="E34" i="16"/>
  <c r="B67" i="33"/>
  <c r="B66" i="5" s="1"/>
  <c r="C31" i="10"/>
  <c r="C32" i="10" s="1"/>
  <c r="C35" i="6" s="1"/>
  <c r="C40" i="6" s="1"/>
  <c r="L20" i="14"/>
  <c r="M20" i="14" s="1"/>
  <c r="M30" i="14" s="1"/>
  <c r="L20" i="9"/>
  <c r="M20" i="9" s="1"/>
  <c r="M30" i="9" s="1"/>
  <c r="C34" i="38"/>
  <c r="C40" i="38" s="1"/>
  <c r="F5" i="13"/>
  <c r="E15" i="6" s="1"/>
  <c r="K3" i="8"/>
  <c r="I29" i="10"/>
  <c r="I32" i="10" s="1"/>
  <c r="F12" i="13"/>
  <c r="F7" i="13"/>
  <c r="B20" i="13"/>
  <c r="B7" i="13"/>
  <c r="B18" i="13" s="1"/>
  <c r="B20" i="12"/>
  <c r="B7" i="12"/>
  <c r="B18" i="12" s="1"/>
  <c r="F12" i="12"/>
  <c r="F7" i="12"/>
  <c r="F10" i="12" s="1"/>
  <c r="B67" i="10"/>
  <c r="A20" i="28"/>
  <c r="B30" i="13"/>
  <c r="B68" i="37"/>
  <c r="K9" i="8"/>
  <c r="B68" i="30"/>
  <c r="B34" i="38"/>
  <c r="B40" i="38" s="1"/>
  <c r="B67" i="40"/>
  <c r="B82" i="5" s="1"/>
  <c r="B34" i="41"/>
  <c r="B40" i="41" s="1"/>
  <c r="B68" i="40"/>
  <c r="C40" i="41"/>
  <c r="B68" i="24"/>
  <c r="B34" i="25"/>
  <c r="B40" i="25" s="1"/>
  <c r="C34" i="25"/>
  <c r="C40" i="25" s="1"/>
  <c r="B67" i="24"/>
  <c r="B68" i="43"/>
  <c r="B67" i="43"/>
  <c r="C18" i="38"/>
  <c r="C34" i="31"/>
  <c r="C40" i="31" s="1"/>
  <c r="B34" i="31"/>
  <c r="B40" i="31" s="1"/>
  <c r="D34" i="22"/>
  <c r="E34" i="22"/>
  <c r="C15" i="6"/>
  <c r="F6" i="11"/>
  <c r="F9" i="11" s="1"/>
  <c r="C7" i="16"/>
  <c r="B6" i="11"/>
  <c r="B17" i="11" s="1"/>
  <c r="D35" i="16"/>
  <c r="D40" i="16" s="1"/>
  <c r="I67" i="15"/>
  <c r="F18" i="5" s="1"/>
  <c r="J10" i="8"/>
  <c r="B67" i="15"/>
  <c r="C32" i="15"/>
  <c r="C35" i="16" s="1"/>
  <c r="B40" i="16"/>
  <c r="D10" i="22"/>
  <c r="E18" i="28"/>
  <c r="B25" i="28" s="1"/>
  <c r="E18" i="25"/>
  <c r="L10" i="8"/>
  <c r="E18" i="31"/>
  <c r="B25" i="31" s="1"/>
  <c r="A20" i="31"/>
  <c r="E8" i="16"/>
  <c r="B22" i="13"/>
  <c r="C18" i="35"/>
  <c r="H11" i="8"/>
  <c r="D18" i="25"/>
  <c r="J8" i="8"/>
  <c r="A20" i="25"/>
  <c r="E8" i="44"/>
  <c r="E9" i="44" s="1"/>
  <c r="E10" i="44" s="1"/>
  <c r="B94" i="13"/>
  <c r="B95" i="13" s="1"/>
  <c r="D18" i="35"/>
  <c r="J11" i="8"/>
  <c r="K11" i="8"/>
  <c r="F70" i="13"/>
  <c r="F71" i="13" s="1"/>
  <c r="E16" i="35"/>
  <c r="E17" i="35" s="1"/>
  <c r="A20" i="35" s="1"/>
  <c r="H13" i="8"/>
  <c r="C18" i="41"/>
  <c r="E16" i="41"/>
  <c r="E17" i="41" s="1"/>
  <c r="K13" i="8"/>
  <c r="F86" i="13"/>
  <c r="F87" i="13" s="1"/>
  <c r="D39" i="35" l="1"/>
  <c r="E39" i="35"/>
  <c r="E40" i="35" s="1"/>
  <c r="F67" i="11"/>
  <c r="F67" i="5"/>
  <c r="E39" i="31"/>
  <c r="E40" i="31" s="1"/>
  <c r="D39" i="31"/>
  <c r="D40" i="31" s="1"/>
  <c r="F59" i="11"/>
  <c r="F59" i="5"/>
  <c r="D40" i="35"/>
  <c r="D39" i="38"/>
  <c r="D40" i="38" s="1"/>
  <c r="E39" i="38"/>
  <c r="E40" i="38" s="1"/>
  <c r="F75" i="11"/>
  <c r="F75" i="5"/>
  <c r="D40" i="28"/>
  <c r="D39" i="41"/>
  <c r="D40" i="41" s="1"/>
  <c r="E39" i="41"/>
  <c r="E40" i="41" s="1"/>
  <c r="F83" i="5"/>
  <c r="F83" i="11"/>
  <c r="F51" i="11"/>
  <c r="D39" i="28"/>
  <c r="E39" i="28"/>
  <c r="E40" i="28" s="1"/>
  <c r="F51" i="5"/>
  <c r="B50" i="11"/>
  <c r="F43" i="11"/>
  <c r="D39" i="25"/>
  <c r="D40" i="25" s="1"/>
  <c r="F43" i="5"/>
  <c r="E39" i="25"/>
  <c r="E40" i="25" s="1"/>
  <c r="B26" i="5"/>
  <c r="B34" i="5"/>
  <c r="B68" i="18"/>
  <c r="B34" i="11" s="1"/>
  <c r="F29" i="11"/>
  <c r="J31" i="21"/>
  <c r="J32" i="21" s="1"/>
  <c r="I72" i="21" s="1"/>
  <c r="G6" i="8"/>
  <c r="C16" i="19"/>
  <c r="M31" i="17"/>
  <c r="B68" i="10"/>
  <c r="A20" i="38"/>
  <c r="C40" i="19"/>
  <c r="L12" i="8"/>
  <c r="C40" i="16"/>
  <c r="B66" i="11"/>
  <c r="B74" i="5"/>
  <c r="B42" i="11"/>
  <c r="F13" i="11"/>
  <c r="J31" i="15"/>
  <c r="J32" i="15" s="1"/>
  <c r="I68" i="15" s="1"/>
  <c r="F18" i="11" s="1"/>
  <c r="C16" i="6"/>
  <c r="G4" i="8"/>
  <c r="M31" i="9"/>
  <c r="M31" i="14"/>
  <c r="J31" i="18"/>
  <c r="J32" i="18" s="1"/>
  <c r="C16" i="16"/>
  <c r="F21" i="11"/>
  <c r="G5" i="8"/>
  <c r="B90" i="5"/>
  <c r="F10" i="13"/>
  <c r="J32" i="10"/>
  <c r="E35" i="6" s="1"/>
  <c r="E40" i="6" s="1"/>
  <c r="B82" i="11"/>
  <c r="B74" i="11"/>
  <c r="B90" i="11"/>
  <c r="B58" i="11"/>
  <c r="B25" i="38"/>
  <c r="B50" i="5"/>
  <c r="B42" i="5"/>
  <c r="D35" i="6"/>
  <c r="D40" i="6" s="1"/>
  <c r="I67" i="10"/>
  <c r="B18" i="5"/>
  <c r="B20" i="5" s="1"/>
  <c r="B22" i="5" s="1"/>
  <c r="B9" i="16" s="1"/>
  <c r="B68" i="15"/>
  <c r="B19" i="12"/>
  <c r="B21" i="12" s="1"/>
  <c r="B23" i="12" s="1"/>
  <c r="D9" i="16" s="1"/>
  <c r="B25" i="25"/>
  <c r="E18" i="41"/>
  <c r="B25" i="41" s="1"/>
  <c r="L13" i="8"/>
  <c r="E18" i="35"/>
  <c r="B25" i="35" s="1"/>
  <c r="L11" i="8"/>
  <c r="A20" i="41"/>
  <c r="F35" i="5" l="1"/>
  <c r="E39" i="22"/>
  <c r="D39" i="22"/>
  <c r="D40" i="22" s="1"/>
  <c r="F35" i="11"/>
  <c r="E35" i="19"/>
  <c r="I72" i="18"/>
  <c r="B26" i="11"/>
  <c r="E35" i="22"/>
  <c r="I68" i="21"/>
  <c r="F34" i="11" s="1"/>
  <c r="E16" i="19"/>
  <c r="F30" i="13"/>
  <c r="K6" i="8"/>
  <c r="I68" i="18"/>
  <c r="F26" i="11" s="1"/>
  <c r="E35" i="16"/>
  <c r="E40" i="16" s="1"/>
  <c r="F22" i="13"/>
  <c r="E16" i="16"/>
  <c r="K5" i="8"/>
  <c r="F14" i="13"/>
  <c r="E16" i="6"/>
  <c r="K4" i="8"/>
  <c r="I68" i="10"/>
  <c r="F11" i="13" s="1"/>
  <c r="F13" i="13" s="1"/>
  <c r="D10" i="16"/>
  <c r="B10" i="16"/>
  <c r="F10" i="5"/>
  <c r="F12" i="5" s="1"/>
  <c r="F14" i="5" s="1"/>
  <c r="F11" i="12"/>
  <c r="F13" i="12" s="1"/>
  <c r="F15" i="12" s="1"/>
  <c r="D17" i="6" s="1"/>
  <c r="J4" i="8" s="1"/>
  <c r="B18" i="11"/>
  <c r="B20" i="11" s="1"/>
  <c r="B22" i="11" s="1"/>
  <c r="C9" i="16" s="1"/>
  <c r="C10" i="16" s="1"/>
  <c r="B19" i="13"/>
  <c r="B21" i="13" s="1"/>
  <c r="B23" i="13" s="1"/>
  <c r="E9" i="16" s="1"/>
  <c r="E40" i="22" l="1"/>
  <c r="E39" i="19"/>
  <c r="E40" i="19" s="1"/>
  <c r="D39" i="19"/>
  <c r="D40" i="19" s="1"/>
  <c r="F27" i="11"/>
  <c r="F27" i="5"/>
  <c r="F15" i="13"/>
  <c r="E17" i="6" s="1"/>
  <c r="E18" i="6" s="1"/>
  <c r="F10" i="11"/>
  <c r="F12" i="11" s="1"/>
  <c r="F14" i="11" s="1"/>
  <c r="C17" i="6" s="1"/>
  <c r="H4" i="8" s="1"/>
  <c r="D18" i="6"/>
  <c r="D14" i="16"/>
  <c r="D15" i="16" s="1"/>
  <c r="B26" i="12"/>
  <c r="D6" i="19"/>
  <c r="D7" i="19" s="1"/>
  <c r="D9" i="19" s="1"/>
  <c r="D10" i="19" s="1"/>
  <c r="I19" i="12"/>
  <c r="F18" i="12"/>
  <c r="B17" i="6"/>
  <c r="B14" i="16"/>
  <c r="B15" i="16" s="1"/>
  <c r="B6" i="19"/>
  <c r="B7" i="19" s="1"/>
  <c r="B25" i="5"/>
  <c r="B28" i="5" s="1"/>
  <c r="B30" i="5" s="1"/>
  <c r="F17" i="5"/>
  <c r="F20" i="5" s="1"/>
  <c r="F22" i="5" s="1"/>
  <c r="E10" i="16"/>
  <c r="E6" i="19" l="1"/>
  <c r="E7" i="19" s="1"/>
  <c r="B26" i="13"/>
  <c r="E14" i="16"/>
  <c r="E15" i="16" s="1"/>
  <c r="F18" i="13"/>
  <c r="L4" i="8"/>
  <c r="I19" i="13"/>
  <c r="B27" i="13" s="1"/>
  <c r="F17" i="11"/>
  <c r="F20" i="11" s="1"/>
  <c r="F22" i="11" s="1"/>
  <c r="C6" i="19"/>
  <c r="C7" i="19" s="1"/>
  <c r="B25" i="11"/>
  <c r="B28" i="11" s="1"/>
  <c r="B30" i="11" s="1"/>
  <c r="C14" i="16"/>
  <c r="C15" i="16" s="1"/>
  <c r="C18" i="6"/>
  <c r="B9" i="19"/>
  <c r="B14" i="19"/>
  <c r="B15" i="19" s="1"/>
  <c r="B6" i="22"/>
  <c r="B7" i="22" s="1"/>
  <c r="B17" i="16"/>
  <c r="F25" i="5"/>
  <c r="F28" i="5" s="1"/>
  <c r="F30" i="5" s="1"/>
  <c r="B33" i="5"/>
  <c r="B36" i="5" s="1"/>
  <c r="F4" i="8"/>
  <c r="B18" i="6"/>
  <c r="A20" i="6"/>
  <c r="F20" i="12"/>
  <c r="B28" i="12"/>
  <c r="B27" i="12"/>
  <c r="F19" i="12"/>
  <c r="F28" i="12"/>
  <c r="B28" i="13" l="1"/>
  <c r="B29" i="13" s="1"/>
  <c r="B31" i="13" s="1"/>
  <c r="E9" i="19" s="1"/>
  <c r="F19" i="13"/>
  <c r="F20" i="13"/>
  <c r="B18" i="16"/>
  <c r="F5" i="8"/>
  <c r="B25" i="6"/>
  <c r="C9" i="19"/>
  <c r="B14" i="22"/>
  <c r="B15" i="22" s="1"/>
  <c r="B17" i="19"/>
  <c r="F6" i="8" s="1"/>
  <c r="B6" i="25"/>
  <c r="B7" i="25" s="1"/>
  <c r="B10" i="19"/>
  <c r="B29" i="12"/>
  <c r="B31" i="12" s="1"/>
  <c r="F21" i="12"/>
  <c r="F23" i="12" s="1"/>
  <c r="F25" i="11"/>
  <c r="F28" i="11" s="1"/>
  <c r="F30" i="11" s="1"/>
  <c r="C17" i="16"/>
  <c r="H5" i="8" s="1"/>
  <c r="C6" i="22"/>
  <c r="C7" i="22" s="1"/>
  <c r="C14" i="19"/>
  <c r="C15" i="19" s="1"/>
  <c r="B33" i="11"/>
  <c r="B36" i="11" s="1"/>
  <c r="B41" i="5"/>
  <c r="B44" i="5" s="1"/>
  <c r="F33" i="5"/>
  <c r="F36" i="5" s="1"/>
  <c r="F38" i="5" s="1"/>
  <c r="B14" i="38" s="1"/>
  <c r="B15" i="38" s="1"/>
  <c r="F26" i="12" l="1"/>
  <c r="D17" i="16"/>
  <c r="B14" i="25"/>
  <c r="B15" i="25" s="1"/>
  <c r="B6" i="38"/>
  <c r="B7" i="38" s="1"/>
  <c r="B14" i="35"/>
  <c r="B15" i="35" s="1"/>
  <c r="B6" i="35"/>
  <c r="B7" i="35" s="1"/>
  <c r="B6" i="31"/>
  <c r="B7" i="31" s="1"/>
  <c r="B6" i="28"/>
  <c r="B7" i="28" s="1"/>
  <c r="B6" i="44"/>
  <c r="B7" i="44" s="1"/>
  <c r="B17" i="22"/>
  <c r="B14" i="28"/>
  <c r="B15" i="28" s="1"/>
  <c r="B14" i="31"/>
  <c r="B15" i="31" s="1"/>
  <c r="B14" i="41"/>
  <c r="B15" i="41" s="1"/>
  <c r="B6" i="41"/>
  <c r="B7" i="41" s="1"/>
  <c r="F21" i="13"/>
  <c r="F23" i="13" s="1"/>
  <c r="I27" i="13" s="1"/>
  <c r="C10" i="19"/>
  <c r="E10" i="19"/>
  <c r="I27" i="12"/>
  <c r="D6" i="22"/>
  <c r="D7" i="22" s="1"/>
  <c r="D14" i="19"/>
  <c r="D15" i="19" s="1"/>
  <c r="B34" i="12"/>
  <c r="C14" i="22"/>
  <c r="C15" i="22" s="1"/>
  <c r="C17" i="19"/>
  <c r="C18" i="19" s="1"/>
  <c r="C6" i="25"/>
  <c r="C7" i="25" s="1"/>
  <c r="B18" i="19"/>
  <c r="C18" i="16"/>
  <c r="F33" i="11"/>
  <c r="F36" i="11" s="1"/>
  <c r="F38" i="11" s="1"/>
  <c r="B41" i="11"/>
  <c r="B44" i="11" s="1"/>
  <c r="B46" i="11" s="1"/>
  <c r="F41" i="5"/>
  <c r="F44" i="5" s="1"/>
  <c r="B49" i="5"/>
  <c r="B52" i="5" s="1"/>
  <c r="C9" i="25" l="1"/>
  <c r="C10" i="25" s="1"/>
  <c r="B18" i="22"/>
  <c r="F7" i="8"/>
  <c r="J5" i="8"/>
  <c r="D18" i="16"/>
  <c r="C17" i="22"/>
  <c r="C14" i="38"/>
  <c r="C15" i="38" s="1"/>
  <c r="C6" i="35"/>
  <c r="C7" i="35" s="1"/>
  <c r="C6" i="38"/>
  <c r="C7" i="38" s="1"/>
  <c r="C6" i="31"/>
  <c r="C7" i="31" s="1"/>
  <c r="C6" i="44"/>
  <c r="C7" i="44" s="1"/>
  <c r="C14" i="28"/>
  <c r="C15" i="28" s="1"/>
  <c r="C6" i="28"/>
  <c r="C7" i="28" s="1"/>
  <c r="C9" i="28" s="1"/>
  <c r="C14" i="35"/>
  <c r="C15" i="35" s="1"/>
  <c r="C14" i="31"/>
  <c r="C15" i="31" s="1"/>
  <c r="C14" i="25"/>
  <c r="C15" i="25" s="1"/>
  <c r="C14" i="41"/>
  <c r="C15" i="41" s="1"/>
  <c r="C6" i="41"/>
  <c r="C7" i="41" s="1"/>
  <c r="F26" i="13"/>
  <c r="E17" i="16"/>
  <c r="A20" i="16" s="1"/>
  <c r="B34" i="13"/>
  <c r="E6" i="22"/>
  <c r="E7" i="22" s="1"/>
  <c r="E14" i="19"/>
  <c r="E15" i="19" s="1"/>
  <c r="H6" i="8"/>
  <c r="B36" i="12"/>
  <c r="B35" i="12"/>
  <c r="F27" i="12"/>
  <c r="F29" i="12" s="1"/>
  <c r="F31" i="12" s="1"/>
  <c r="D17" i="19" s="1"/>
  <c r="B35" i="13"/>
  <c r="F28" i="13"/>
  <c r="F27" i="13"/>
  <c r="B36" i="13"/>
  <c r="F41" i="11"/>
  <c r="F44" i="11" s="1"/>
  <c r="B49" i="11"/>
  <c r="B52" i="11" s="1"/>
  <c r="B54" i="11" s="1"/>
  <c r="F49" i="5"/>
  <c r="F52" i="5" s="1"/>
  <c r="B57" i="5"/>
  <c r="B60" i="5" s="1"/>
  <c r="C10" i="28" l="1"/>
  <c r="H9" i="8"/>
  <c r="H8" i="8"/>
  <c r="C18" i="22"/>
  <c r="H7" i="8"/>
  <c r="D18" i="19"/>
  <c r="J6" i="8"/>
  <c r="L5" i="8"/>
  <c r="E18" i="16"/>
  <c r="B25" i="16" s="1"/>
  <c r="F29" i="13"/>
  <c r="F31" i="13" s="1"/>
  <c r="B37" i="13"/>
  <c r="B37" i="12"/>
  <c r="D14" i="22"/>
  <c r="D15" i="22" s="1"/>
  <c r="D6" i="25"/>
  <c r="D7" i="25" s="1"/>
  <c r="I35" i="12"/>
  <c r="F34" i="12"/>
  <c r="B42" i="12"/>
  <c r="B57" i="11"/>
  <c r="B60" i="11" s="1"/>
  <c r="F49" i="11"/>
  <c r="F52" i="11" s="1"/>
  <c r="F57" i="5"/>
  <c r="F60" i="5" s="1"/>
  <c r="B65" i="5"/>
  <c r="B68" i="5" s="1"/>
  <c r="B44" i="12" l="1"/>
  <c r="F36" i="12"/>
  <c r="F35" i="12"/>
  <c r="B43" i="12"/>
  <c r="E14" i="22"/>
  <c r="E15" i="22" s="1"/>
  <c r="I35" i="13"/>
  <c r="E6" i="25"/>
  <c r="E7" i="25" s="1"/>
  <c r="E9" i="25" s="1"/>
  <c r="B42" i="13"/>
  <c r="E17" i="19"/>
  <c r="L6" i="8" s="1"/>
  <c r="F34" i="13"/>
  <c r="B65" i="11"/>
  <c r="B68" i="11" s="1"/>
  <c r="F57" i="11"/>
  <c r="F60" i="11" s="1"/>
  <c r="F65" i="5"/>
  <c r="F68" i="5" s="1"/>
  <c r="B73" i="5"/>
  <c r="B76" i="5" s="1"/>
  <c r="E10" i="25" l="1"/>
  <c r="L8" i="8"/>
  <c r="B45" i="12"/>
  <c r="F37" i="12"/>
  <c r="B43" i="13"/>
  <c r="B44" i="13"/>
  <c r="F36" i="13"/>
  <c r="F35" i="13"/>
  <c r="E18" i="19"/>
  <c r="B25" i="19" s="1"/>
  <c r="A20" i="19"/>
  <c r="F65" i="11"/>
  <c r="F68" i="11" s="1"/>
  <c r="B73" i="11"/>
  <c r="B76" i="11" s="1"/>
  <c r="F73" i="5"/>
  <c r="F76" i="5" s="1"/>
  <c r="B81" i="5"/>
  <c r="B84" i="5" s="1"/>
  <c r="F39" i="12" l="1"/>
  <c r="B50" i="12" s="1"/>
  <c r="F37" i="13"/>
  <c r="B45" i="13"/>
  <c r="B47" i="13" s="1"/>
  <c r="B81" i="11"/>
  <c r="B84" i="11" s="1"/>
  <c r="F73" i="11"/>
  <c r="F76" i="11" s="1"/>
  <c r="B89" i="5"/>
  <c r="B92" i="5" s="1"/>
  <c r="F81" i="5"/>
  <c r="F84" i="5" s="1"/>
  <c r="F39" i="13" l="1"/>
  <c r="F42" i="13" s="1"/>
  <c r="D6" i="44"/>
  <c r="D7" i="44" s="1"/>
  <c r="I59" i="12"/>
  <c r="D6" i="28"/>
  <c r="D7" i="28" s="1"/>
  <c r="D14" i="25"/>
  <c r="D15" i="25" s="1"/>
  <c r="D14" i="41"/>
  <c r="D15" i="41" s="1"/>
  <c r="D6" i="35"/>
  <c r="D7" i="35" s="1"/>
  <c r="I43" i="12"/>
  <c r="D6" i="38"/>
  <c r="D7" i="38" s="1"/>
  <c r="D6" i="31"/>
  <c r="D7" i="31" s="1"/>
  <c r="I51" i="12"/>
  <c r="D14" i="28"/>
  <c r="D15" i="28" s="1"/>
  <c r="D14" i="38"/>
  <c r="D15" i="38" s="1"/>
  <c r="D14" i="35"/>
  <c r="D15" i="35" s="1"/>
  <c r="I67" i="12"/>
  <c r="I75" i="12"/>
  <c r="I83" i="12"/>
  <c r="D14" i="31"/>
  <c r="D15" i="31" s="1"/>
  <c r="D6" i="41"/>
  <c r="D7" i="41" s="1"/>
  <c r="D17" i="22"/>
  <c r="F42" i="12"/>
  <c r="F81" i="11"/>
  <c r="F84" i="11" s="1"/>
  <c r="B89" i="11"/>
  <c r="B92" i="11" s="1"/>
  <c r="D18" i="22" l="1"/>
  <c r="J7" i="8"/>
  <c r="B51" i="12"/>
  <c r="F44" i="12"/>
  <c r="B52" i="12"/>
  <c r="F43" i="12"/>
  <c r="F84" i="12"/>
  <c r="F83" i="12"/>
  <c r="B92" i="12"/>
  <c r="B91" i="12"/>
  <c r="B83" i="12"/>
  <c r="F75" i="12"/>
  <c r="B84" i="12"/>
  <c r="F76" i="12"/>
  <c r="B75" i="12"/>
  <c r="F68" i="12"/>
  <c r="B76" i="12"/>
  <c r="F67" i="12"/>
  <c r="F59" i="12"/>
  <c r="B67" i="12"/>
  <c r="F60" i="12"/>
  <c r="B68" i="12"/>
  <c r="E6" i="38"/>
  <c r="E7" i="38" s="1"/>
  <c r="E14" i="35"/>
  <c r="E15" i="35" s="1"/>
  <c r="I51" i="13"/>
  <c r="I43" i="13"/>
  <c r="E6" i="44"/>
  <c r="E7" i="44" s="1"/>
  <c r="I75" i="13"/>
  <c r="I59" i="13"/>
  <c r="I83" i="13"/>
  <c r="E14" i="28"/>
  <c r="E15" i="28" s="1"/>
  <c r="E6" i="35"/>
  <c r="E7" i="35" s="1"/>
  <c r="E14" i="38"/>
  <c r="E15" i="38" s="1"/>
  <c r="E6" i="28"/>
  <c r="E7" i="28" s="1"/>
  <c r="E14" i="41"/>
  <c r="E15" i="41" s="1"/>
  <c r="E14" i="25"/>
  <c r="E15" i="25" s="1"/>
  <c r="E6" i="41"/>
  <c r="E7" i="41" s="1"/>
  <c r="I67" i="13"/>
  <c r="E6" i="31"/>
  <c r="E7" i="31" s="1"/>
  <c r="E14" i="31"/>
  <c r="E15" i="31" s="1"/>
  <c r="E17" i="22"/>
  <c r="L7" i="8" s="1"/>
  <c r="B50" i="13"/>
  <c r="B59" i="12"/>
  <c r="F51" i="12"/>
  <c r="F52" i="12"/>
  <c r="B60" i="12"/>
  <c r="F45" i="12" l="1"/>
  <c r="B58" i="12" s="1"/>
  <c r="B61" i="12" s="1"/>
  <c r="B91" i="13"/>
  <c r="F84" i="13"/>
  <c r="F83" i="13"/>
  <c r="B92" i="13"/>
  <c r="F52" i="13"/>
  <c r="B60" i="13"/>
  <c r="F51" i="13"/>
  <c r="B59" i="13"/>
  <c r="A20" i="22"/>
  <c r="E18" i="22"/>
  <c r="B25" i="22" s="1"/>
  <c r="B68" i="13"/>
  <c r="F60" i="13"/>
  <c r="B67" i="13"/>
  <c r="F59" i="13"/>
  <c r="B83" i="13"/>
  <c r="F75" i="13"/>
  <c r="B84" i="13"/>
  <c r="F76" i="13"/>
  <c r="F68" i="13"/>
  <c r="B75" i="13"/>
  <c r="B76" i="13"/>
  <c r="F67" i="13"/>
  <c r="F44" i="13"/>
  <c r="B52" i="13"/>
  <c r="F43" i="13"/>
  <c r="B51" i="13"/>
  <c r="B53" i="12"/>
  <c r="F50" i="12" l="1"/>
  <c r="F53" i="12" s="1"/>
  <c r="F58" i="12" s="1"/>
  <c r="F61" i="12" s="1"/>
  <c r="B53" i="13"/>
  <c r="B55" i="13" s="1"/>
  <c r="E9" i="28" s="1"/>
  <c r="F45" i="13"/>
  <c r="E10" i="28" l="1"/>
  <c r="L9" i="8"/>
  <c r="B66" i="12"/>
  <c r="B69" i="12" s="1"/>
  <c r="F66" i="12"/>
  <c r="F69" i="12" s="1"/>
  <c r="B74" i="12"/>
  <c r="B77" i="12" s="1"/>
  <c r="B58" i="13"/>
  <c r="B61" i="13" s="1"/>
  <c r="F50" i="13"/>
  <c r="F53" i="13" s="1"/>
  <c r="F58" i="13" l="1"/>
  <c r="F61" i="13" s="1"/>
  <c r="B66" i="13"/>
  <c r="B69" i="13" s="1"/>
  <c r="B82" i="12"/>
  <c r="B85" i="12" s="1"/>
  <c r="F74" i="12"/>
  <c r="F77" i="12" s="1"/>
  <c r="F82" i="12" l="1"/>
  <c r="F85" i="12" s="1"/>
  <c r="B90" i="12"/>
  <c r="B93" i="12" s="1"/>
  <c r="F66" i="13"/>
  <c r="F69" i="13" s="1"/>
  <c r="B74" i="13"/>
  <c r="B77" i="13" s="1"/>
  <c r="B82" i="13" l="1"/>
  <c r="B85" i="13" s="1"/>
  <c r="F74" i="13"/>
  <c r="F77" i="13" s="1"/>
  <c r="B90" i="13" l="1"/>
  <c r="B93" i="13" s="1"/>
  <c r="F82" i="13"/>
  <c r="F8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Cynthia Hargrave</author>
  </authors>
  <commentList>
    <comment ref="B4" authorId="0" shapeId="0" xr:uid="{00000000-0006-0000-0500-000001000000}">
      <text>
        <r>
          <rPr>
            <sz val="9"/>
            <color indexed="81"/>
            <rFont val="Tahoma"/>
            <family val="2"/>
          </rPr>
          <t>2020-21 school year</t>
        </r>
      </text>
    </comment>
    <comment ref="B5" authorId="0" shapeId="0" xr:uid="{00000000-0006-0000-0500-000002000000}">
      <text>
        <r>
          <rPr>
            <sz val="9"/>
            <color indexed="81"/>
            <rFont val="Tahoma"/>
            <family val="2"/>
          </rPr>
          <t>2021-22 school year</t>
        </r>
      </text>
    </comment>
    <comment ref="B6" authorId="0" shapeId="0" xr:uid="{00000000-0006-0000-0500-000003000000}">
      <text>
        <r>
          <rPr>
            <sz val="9"/>
            <color indexed="81"/>
            <rFont val="Tahoma"/>
            <family val="2"/>
          </rPr>
          <t>2022-23 school year</t>
        </r>
      </text>
    </comment>
    <comment ref="B7" authorId="0" shapeId="0" xr:uid="{00000000-0006-0000-0500-000004000000}">
      <text>
        <r>
          <rPr>
            <sz val="9"/>
            <color indexed="81"/>
            <rFont val="Tahoma"/>
            <family val="2"/>
          </rPr>
          <t>2023-24 school year</t>
        </r>
      </text>
    </comment>
    <comment ref="B8" authorId="0" shapeId="0" xr:uid="{00000000-0006-0000-0500-000005000000}">
      <text>
        <r>
          <rPr>
            <sz val="9"/>
            <color indexed="81"/>
            <rFont val="Tahoma"/>
            <family val="2"/>
          </rPr>
          <t>2024-25 school year</t>
        </r>
      </text>
    </comment>
    <comment ref="B9" authorId="0" shapeId="0" xr:uid="{00000000-0006-0000-0500-000006000000}">
      <text>
        <r>
          <rPr>
            <sz val="9"/>
            <color indexed="81"/>
            <rFont val="Tahoma"/>
            <family val="2"/>
          </rPr>
          <t>2025-26 school year</t>
        </r>
      </text>
    </comment>
    <comment ref="B10" authorId="0" shapeId="0" xr:uid="{00000000-0006-0000-0500-000007000000}">
      <text>
        <r>
          <rPr>
            <sz val="9"/>
            <color indexed="81"/>
            <rFont val="Tahoma"/>
            <family val="2"/>
          </rPr>
          <t>2026-27 school year</t>
        </r>
      </text>
    </comment>
    <comment ref="B11" authorId="0" shapeId="0" xr:uid="{00000000-0006-0000-0500-000008000000}">
      <text>
        <r>
          <rPr>
            <sz val="9"/>
            <color indexed="81"/>
            <rFont val="Tahoma"/>
            <family val="2"/>
          </rPr>
          <t>2027-28 school year</t>
        </r>
      </text>
    </comment>
    <comment ref="B12" authorId="0" shapeId="0" xr:uid="{00000000-0006-0000-0500-000009000000}">
      <text>
        <r>
          <rPr>
            <sz val="9"/>
            <color indexed="81"/>
            <rFont val="Tahoma"/>
            <family val="2"/>
          </rPr>
          <t>2028-29 school year</t>
        </r>
      </text>
    </comment>
    <comment ref="B13" authorId="0" shapeId="0" xr:uid="{00000000-0006-0000-0500-00000A000000}">
      <text>
        <r>
          <rPr>
            <sz val="9"/>
            <color indexed="81"/>
            <rFont val="Tahoma"/>
            <family val="2"/>
          </rPr>
          <t>2029-30 school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Cynthia Hargrave</author>
    <author>tc={A330F67A-1D4D-46D3-8D5D-8F927FA02CDC}</author>
    <author>tc={0AF13551-19EE-42C1-A454-557B273138AA}</author>
    <author>tc={78157007-69D8-47F6-881B-13F3A8C7DE95}</author>
  </authors>
  <commentList>
    <comment ref="E2" authorId="0" shapeId="0" xr:uid="{00000000-0006-0000-2B00-000001000000}">
      <text>
        <r>
          <rPr>
            <b/>
            <sz val="9"/>
            <color indexed="81"/>
            <rFont val="Tahoma"/>
            <family val="2"/>
          </rPr>
          <t>Cynthia Hargrave:</t>
        </r>
        <r>
          <rPr>
            <sz val="9"/>
            <color indexed="81"/>
            <rFont val="Tahoma"/>
            <family val="2"/>
          </rPr>
          <t xml:space="preserve">
Source:  3121Percentage for 2018-19; November 2017 1077 Data; Total All column</t>
        </r>
      </text>
    </comment>
    <comment ref="F2" authorId="0" shapeId="0" xr:uid="{00000000-0006-0000-2B00-000002000000}">
      <text>
        <r>
          <rPr>
            <b/>
            <sz val="9"/>
            <color indexed="81"/>
            <rFont val="Tahoma"/>
            <family val="2"/>
          </rPr>
          <t>Cynthia Hargrave:</t>
        </r>
        <r>
          <rPr>
            <sz val="9"/>
            <color indexed="81"/>
            <rFont val="Tahoma"/>
            <family val="2"/>
          </rPr>
          <t xml:space="preserve">
Source:  17-18 Prgm 21 Resource to Prgm Exp; Other Resources column</t>
        </r>
      </text>
    </comment>
    <comment ref="G2" authorId="0" shapeId="0" xr:uid="{00000000-0006-0000-2B00-000003000000}">
      <text>
        <r>
          <rPr>
            <b/>
            <sz val="9"/>
            <color indexed="81"/>
            <rFont val="Tahoma"/>
            <family val="2"/>
          </rPr>
          <t>Cynthia Hargrave:</t>
        </r>
        <r>
          <rPr>
            <sz val="9"/>
            <color indexed="81"/>
            <rFont val="Tahoma"/>
            <family val="2"/>
          </rPr>
          <t xml:space="preserve">
Source: 17-18 Prgm 21 Resource to Prgm Exp; Revised Program Expenditures column (highlighted in yellow)</t>
        </r>
      </text>
    </comment>
    <comment ref="K2" authorId="0" shapeId="0" xr:uid="{00000000-0006-0000-2B00-000004000000}">
      <text>
        <r>
          <rPr>
            <b/>
            <sz val="9"/>
            <color indexed="81"/>
            <rFont val="Tahoma"/>
            <family val="2"/>
          </rPr>
          <t>Cynthia Hargrave:</t>
        </r>
        <r>
          <rPr>
            <sz val="9"/>
            <color indexed="81"/>
            <rFont val="Tahoma"/>
            <family val="2"/>
          </rPr>
          <t xml:space="preserve">
Source: 2018-19 Progr 21 Resource to Progm Expenditure - Other Resources Column</t>
        </r>
      </text>
    </comment>
    <comment ref="L2" authorId="0" shapeId="0" xr:uid="{00000000-0006-0000-2B00-000005000000}">
      <text>
        <r>
          <rPr>
            <b/>
            <sz val="9"/>
            <color indexed="81"/>
            <rFont val="Tahoma"/>
            <family val="2"/>
          </rPr>
          <t>Cynthia Hargrave:</t>
        </r>
        <r>
          <rPr>
            <sz val="9"/>
            <color indexed="81"/>
            <rFont val="Tahoma"/>
            <family val="2"/>
          </rPr>
          <t xml:space="preserve">
Source: 2018-19 Prgm 21 Resource to Prgm Expenditures</t>
        </r>
      </text>
    </comment>
    <comment ref="M2" authorId="0" shapeId="0" xr:uid="{00000000-0006-0000-2B00-000006000000}">
      <text>
        <r>
          <rPr>
            <b/>
            <sz val="9"/>
            <color indexed="81"/>
            <rFont val="Tahoma"/>
            <family val="2"/>
          </rPr>
          <t>Cynthia Hargrave:</t>
        </r>
        <r>
          <rPr>
            <sz val="9"/>
            <color indexed="81"/>
            <rFont val="Tahoma"/>
            <family val="2"/>
          </rPr>
          <t xml:space="preserve">
Source: 2018-19 Prgm 21 Resource to Prgm Expenditures</t>
        </r>
      </text>
    </comment>
    <comment ref="AE15" authorId="0" shapeId="0" xr:uid="{30F2FDB7-DF6E-4BA0-8FCF-8A6F829860E0}">
      <text>
        <r>
          <rPr>
            <b/>
            <sz val="9"/>
            <color indexed="81"/>
            <rFont val="Tahoma"/>
            <family val="2"/>
          </rPr>
          <t>Cynthia Hargrave:</t>
        </r>
        <r>
          <rPr>
            <sz val="9"/>
            <color indexed="81"/>
            <rFont val="Tahoma"/>
            <family val="2"/>
          </rPr>
          <t xml:space="preserve">
LEA did not apply for 2022-23 IDEA B funds
</t>
        </r>
      </text>
    </comment>
    <comment ref="AJ15" authorId="1" shapeId="0" xr:uid="{A330F67A-1D4D-46D3-8D5D-8F927FA02CDC}">
      <text>
        <t>[Threaded comment]
Your version of Excel allows you to read this threaded comment; however, any edits to it will get removed if the file is opened in a newer version of Excel. Learn more: https://go.microsoft.com/fwlink/?linkid=870924
Comment:
    Check in EGMS to see if they applied.</t>
      </text>
    </comment>
    <comment ref="Q59" authorId="0" shapeId="0" xr:uid="{5C2CD801-0BB8-4B90-9B3B-72EA22117863}">
      <text>
        <r>
          <rPr>
            <b/>
            <sz val="9"/>
            <color indexed="81"/>
            <rFont val="Tahoma"/>
            <family val="2"/>
          </rPr>
          <t>Cynthia Hargrave:</t>
        </r>
        <r>
          <rPr>
            <sz val="9"/>
            <color indexed="81"/>
            <rFont val="Tahoma"/>
            <family val="2"/>
          </rPr>
          <t xml:space="preserve">
met with exceptions</t>
        </r>
      </text>
    </comment>
    <comment ref="Q168" authorId="0" shapeId="0" xr:uid="{EBFC3ABC-80C0-4FD0-81AB-3F3F7AD2548F}">
      <text>
        <r>
          <rPr>
            <b/>
            <sz val="9"/>
            <color indexed="81"/>
            <rFont val="Tahoma"/>
            <family val="2"/>
          </rPr>
          <t>Cynthia Hargrave:</t>
        </r>
        <r>
          <rPr>
            <sz val="9"/>
            <color indexed="81"/>
            <rFont val="Tahoma"/>
            <family val="2"/>
          </rPr>
          <t xml:space="preserve">
met with exceptions</t>
        </r>
      </text>
    </comment>
    <comment ref="AF215" authorId="0" shapeId="0" xr:uid="{EA1DC4D5-7717-4BE2-B412-E0496476BCB7}">
      <text>
        <r>
          <rPr>
            <b/>
            <sz val="9"/>
            <color indexed="81"/>
            <rFont val="Tahoma"/>
            <family val="2"/>
          </rPr>
          <t>Cynthia Hargrave:</t>
        </r>
        <r>
          <rPr>
            <sz val="9"/>
            <color indexed="81"/>
            <rFont val="Tahoma"/>
            <family val="2"/>
          </rPr>
          <t xml:space="preserve">
See 2022-23 F-196
</t>
        </r>
      </text>
    </comment>
    <comment ref="AE243" authorId="0" shapeId="0" xr:uid="{7FC17091-06E4-442D-BCF9-CD12BBD783B5}">
      <text>
        <r>
          <rPr>
            <b/>
            <sz val="9"/>
            <color indexed="81"/>
            <rFont val="Tahoma"/>
            <family val="2"/>
          </rPr>
          <t>Cynthia Hargrave:</t>
        </r>
        <r>
          <rPr>
            <sz val="9"/>
            <color indexed="81"/>
            <rFont val="Tahoma"/>
            <family val="2"/>
          </rPr>
          <t xml:space="preserve">
LEA did not apply for 2022-23 IDEA B funds</t>
        </r>
      </text>
    </comment>
    <comment ref="C251" authorId="2" shapeId="0" xr:uid="{0AF13551-19EE-42C1-A454-557B273138AA}">
      <text>
        <t>[Threaded comment]
Your version of Excel allows you to read this threaded comment; however, any edits to it will get removed if the file is opened in a newer version of Excel. Learn more: https://go.microsoft.com/fwlink/?linkid=870924
Comment:
    Closed</t>
      </text>
    </comment>
    <comment ref="AE263" authorId="0" shapeId="0" xr:uid="{6A7793FE-B224-492E-AD6E-A2B148C0F860}">
      <text>
        <r>
          <rPr>
            <b/>
            <sz val="9"/>
            <color indexed="81"/>
            <rFont val="Tahoma"/>
            <family val="2"/>
          </rPr>
          <t>Cynthia Hargrave:</t>
        </r>
        <r>
          <rPr>
            <sz val="9"/>
            <color indexed="81"/>
            <rFont val="Tahoma"/>
            <family val="2"/>
          </rPr>
          <t xml:space="preserve">
LEA has never applied for IDEA B funds</t>
        </r>
      </text>
    </comment>
    <comment ref="L301" authorId="0" shapeId="0" xr:uid="{75165A64-6A4A-47B1-AC7B-109BA7DFFA3F}">
      <text>
        <r>
          <rPr>
            <b/>
            <sz val="9"/>
            <color indexed="81"/>
            <rFont val="Tahoma"/>
            <family val="2"/>
          </rPr>
          <t>Cynthia Hargrave:</t>
        </r>
        <r>
          <rPr>
            <sz val="9"/>
            <color indexed="81"/>
            <rFont val="Tahoma"/>
            <family val="2"/>
          </rPr>
          <t xml:space="preserve">
met with exceptions</t>
        </r>
      </text>
    </comment>
    <comment ref="AJ319" authorId="3" shapeId="0" xr:uid="{78157007-69D8-47F6-881B-13F3A8C7DE95}">
      <text>
        <t>[Threaded comment]
Your version of Excel allows you to read this threaded comment; however, any edits to it will get removed if the file is opened in a newer version of Excel. Learn more: https://go.microsoft.com/fwlink/?linkid=870924
Comment:
    Only Part B</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Cynthia Hargrave</author>
  </authors>
  <commentList>
    <comment ref="BF179" authorId="0" shapeId="0" xr:uid="{0C37D24E-8C6A-45BE-9CD8-58E50C398A88}">
      <text>
        <r>
          <rPr>
            <b/>
            <sz val="9"/>
            <color indexed="81"/>
            <rFont val="Tahoma"/>
            <family val="2"/>
          </rPr>
          <t>Cynthia Hargrave:</t>
        </r>
        <r>
          <rPr>
            <sz val="9"/>
            <color indexed="81"/>
            <rFont val="Tahoma"/>
            <family val="2"/>
          </rPr>
          <t xml:space="preserve">
met with 50% reduction</t>
        </r>
      </text>
    </comment>
    <comment ref="BS179" authorId="0" shapeId="0" xr:uid="{56DE5518-C077-4283-B08C-DCE7774633CA}">
      <text>
        <r>
          <rPr>
            <b/>
            <sz val="9"/>
            <color indexed="81"/>
            <rFont val="Tahoma"/>
            <family val="2"/>
          </rPr>
          <t>Cynthia Hargrave:</t>
        </r>
        <r>
          <rPr>
            <sz val="9"/>
            <color indexed="81"/>
            <rFont val="Tahoma"/>
            <family val="2"/>
          </rPr>
          <t xml:space="preserve">
met with 50% reduction</t>
        </r>
      </text>
    </comment>
    <comment ref="M189" authorId="0" shapeId="0" xr:uid="{6F8B9A3C-B48A-4B73-94C9-26FFAD8B8B9D}">
      <text>
        <r>
          <rPr>
            <b/>
            <sz val="9"/>
            <color indexed="81"/>
            <rFont val="Tahoma"/>
            <family val="2"/>
          </rPr>
          <t>Cynthia Hargrave:</t>
        </r>
        <r>
          <rPr>
            <sz val="9"/>
            <color indexed="81"/>
            <rFont val="Tahoma"/>
            <family val="2"/>
          </rPr>
          <t xml:space="preserve">
applied exceptions</t>
        </r>
      </text>
    </comment>
    <comment ref="G226" authorId="0" shapeId="0" xr:uid="{F18F0F15-6622-4040-AB15-E524B1D24139}">
      <text>
        <r>
          <rPr>
            <b/>
            <sz val="9"/>
            <color indexed="81"/>
            <rFont val="Tahoma"/>
            <family val="2"/>
          </rPr>
          <t>Cynthia Hargrave:</t>
        </r>
        <r>
          <rPr>
            <sz val="9"/>
            <color indexed="81"/>
            <rFont val="Tahoma"/>
            <family val="2"/>
          </rPr>
          <t xml:space="preserve">
applied exceptions
</t>
        </r>
      </text>
    </comment>
    <comment ref="M226" authorId="0" shapeId="0" xr:uid="{774A5708-5A9E-4F4D-BD56-EA2ECD6BA01B}">
      <text>
        <r>
          <rPr>
            <b/>
            <sz val="9"/>
            <color indexed="81"/>
            <rFont val="Tahoma"/>
            <family val="2"/>
          </rPr>
          <t>Cynthia Hargrave:</t>
        </r>
        <r>
          <rPr>
            <sz val="9"/>
            <color indexed="81"/>
            <rFont val="Tahoma"/>
            <family val="2"/>
          </rPr>
          <t xml:space="preserve">
applied exceptions</t>
        </r>
      </text>
    </comment>
    <comment ref="BF294" authorId="0" shapeId="0" xr:uid="{164B6A1B-DFD0-4AC5-B227-E78F09F92058}">
      <text>
        <r>
          <rPr>
            <b/>
            <sz val="9"/>
            <color indexed="81"/>
            <rFont val="Tahoma"/>
            <family val="2"/>
          </rPr>
          <t>Cynthia Hargrave:</t>
        </r>
        <r>
          <rPr>
            <sz val="9"/>
            <color indexed="81"/>
            <rFont val="Tahoma"/>
            <family val="2"/>
          </rPr>
          <t xml:space="preserve">
met with 50% reduction</t>
        </r>
      </text>
    </comment>
  </commentList>
</comments>
</file>

<file path=xl/sharedStrings.xml><?xml version="1.0" encoding="utf-8"?>
<sst xmlns="http://schemas.openxmlformats.org/spreadsheetml/2006/main" count="29955" uniqueCount="1507">
  <si>
    <t>Total Local Funds</t>
  </si>
  <si>
    <t>Expenditures last year met</t>
  </si>
  <si>
    <t>Total State and Local Funds</t>
  </si>
  <si>
    <t>Local Funds Per Capita</t>
  </si>
  <si>
    <t>State and Local Funds Per Capita</t>
  </si>
  <si>
    <t>Any intervening exceptions since last year met</t>
  </si>
  <si>
    <t>Compliance Standard</t>
  </si>
  <si>
    <t>Eligibility Standard (based on budget)</t>
  </si>
  <si>
    <t>State and Local</t>
  </si>
  <si>
    <t>Budgeted amount</t>
  </si>
  <si>
    <t>Compliance Standard (final expenditures)</t>
  </si>
  <si>
    <t>Final Expenditures</t>
  </si>
  <si>
    <t>HIDDEN</t>
  </si>
  <si>
    <t>Eligibility Standard</t>
  </si>
  <si>
    <t>LEA Name</t>
  </si>
  <si>
    <t>LEA ID</t>
  </si>
  <si>
    <t>Start of state fiscal year (month and day)</t>
  </si>
  <si>
    <t>End of state fiscal year (month and day)</t>
  </si>
  <si>
    <t>July 1</t>
  </si>
  <si>
    <t>June 30</t>
  </si>
  <si>
    <t>Enter the requested information below</t>
  </si>
  <si>
    <t>Number of years since MOE last met</t>
  </si>
  <si>
    <t>This cell intentionally left blank.</t>
  </si>
  <si>
    <t>Fiscal Year</t>
  </si>
  <si>
    <t>End of worksheet</t>
  </si>
  <si>
    <t>Year in Calculator</t>
  </si>
  <si>
    <t>Year 1</t>
  </si>
  <si>
    <t>Year 2</t>
  </si>
  <si>
    <t>Year 3</t>
  </si>
  <si>
    <t>Year 4</t>
  </si>
  <si>
    <t>Year 5</t>
  </si>
  <si>
    <t>Year 6</t>
  </si>
  <si>
    <t>Year 7</t>
  </si>
  <si>
    <t>Year 8</t>
  </si>
  <si>
    <t>Year 9</t>
  </si>
  <si>
    <t>Year 10</t>
  </si>
  <si>
    <t>Total Local Funds MOE Result</t>
  </si>
  <si>
    <t>Total State and Local Funds Amount</t>
  </si>
  <si>
    <t>Total State and Local Funds MOE Result</t>
  </si>
  <si>
    <t>Local Funds Per Capita Amount</t>
  </si>
  <si>
    <t>Local Funds Per Capita MOE Result</t>
  </si>
  <si>
    <t>State and Local Funds Per Capita Amount</t>
  </si>
  <si>
    <t>State and Local Funds Per Capita MOE Result</t>
  </si>
  <si>
    <t>years since MOE last met</t>
  </si>
  <si>
    <t>Comparison Year</t>
  </si>
  <si>
    <t>Comparison Year Amount</t>
  </si>
  <si>
    <t>MOE Failure Amount</t>
  </si>
  <si>
    <t>Compliance Standard is not calculated for Year 11. Please start a new file, using this year as year 1.</t>
  </si>
  <si>
    <t>Projected Child Count</t>
  </si>
  <si>
    <t>Child Count</t>
  </si>
  <si>
    <t>Object Description</t>
  </si>
  <si>
    <t>Code 1</t>
  </si>
  <si>
    <t>Code 2</t>
  </si>
  <si>
    <t>Local</t>
  </si>
  <si>
    <t>State</t>
  </si>
  <si>
    <t>Code</t>
  </si>
  <si>
    <t>Grand Totals</t>
  </si>
  <si>
    <t>Per Capita Amounts</t>
  </si>
  <si>
    <t xml:space="preserve">NOTE: SCROLL TO THE RIGHT TO ENTER DATA FOR EXPENDITURES </t>
  </si>
  <si>
    <t>Exception (a) The voluntary departure, by retirement or otherwise, or departure for just cause, of special education</t>
  </si>
  <si>
    <t>or related services personnel. (Only include salary and benefits paid from state and/or local funds)</t>
  </si>
  <si>
    <t>Departing Personnel</t>
  </si>
  <si>
    <t>Position Title</t>
  </si>
  <si>
    <t>Employee Name</t>
  </si>
  <si>
    <t>Reason for Leaving</t>
  </si>
  <si>
    <t>Salary</t>
  </si>
  <si>
    <t>Benefits</t>
  </si>
  <si>
    <t>Total Budget</t>
  </si>
  <si>
    <t>Total Expenditures</t>
  </si>
  <si>
    <t>Departing Total</t>
  </si>
  <si>
    <t>Replacement Personnel</t>
  </si>
  <si>
    <t>Column1</t>
  </si>
  <si>
    <t>Replacement Total</t>
  </si>
  <si>
    <t>Net Projected Reduction (Departing - Replacement)</t>
  </si>
  <si>
    <t>Net Allowed Reduction (Departing - Replacement)</t>
  </si>
  <si>
    <t>Local Total</t>
  </si>
  <si>
    <t>State and Local Total</t>
  </si>
  <si>
    <t>Column2</t>
  </si>
  <si>
    <t>Difference (must be (-) to apply exception)</t>
  </si>
  <si>
    <t>Percent Difference</t>
  </si>
  <si>
    <t>Projected Reduction</t>
  </si>
  <si>
    <t>Allowed Reduction</t>
  </si>
  <si>
    <t>Exception (c) The termination of the obligation of the agency to provide special education to a particular</t>
  </si>
  <si>
    <t>student with a disability that is an exceptionally costly program due to any of the following reasons: left</t>
  </si>
  <si>
    <t>the jurisdiction, aged out, or no longer needs the program of special education.</t>
  </si>
  <si>
    <t>Student Identifier</t>
  </si>
  <si>
    <t>Reason</t>
  </si>
  <si>
    <t>Budgeted Cost</t>
  </si>
  <si>
    <t>Expenditures</t>
  </si>
  <si>
    <t>Total (Net Projected Reduction)</t>
  </si>
  <si>
    <t>Total (Net Allowed Reduction)</t>
  </si>
  <si>
    <t xml:space="preserve">Exception (d) Termination of costly expenditures for long-term purchases, </t>
  </si>
  <si>
    <t>such as the acquisition of equipment or construction of school facilities.</t>
  </si>
  <si>
    <t>Description</t>
  </si>
  <si>
    <t>Budgeted Cost in Final Year</t>
  </si>
  <si>
    <t>Cost in Final Year of Expenditure</t>
  </si>
  <si>
    <t>Budgeted Cost Assumed by SEA</t>
  </si>
  <si>
    <t>Cost Assumed by SEA</t>
  </si>
  <si>
    <t>Adjustment to Maintenance of Effort as Permitted by 34 CFR §300.205</t>
  </si>
  <si>
    <t>Projected Adjustment</t>
  </si>
  <si>
    <t xml:space="preserve">To calculate your adjustment, use </t>
  </si>
  <si>
    <t xml:space="preserve">Adjustment </t>
  </si>
  <si>
    <t xml:space="preserve">Projected Adjustment </t>
  </si>
  <si>
    <t>IDC's MOE Reduction Eligibility Decision Tree and Worksheet.</t>
  </si>
  <si>
    <t>Adjustment Taken</t>
  </si>
  <si>
    <t>Exception (b) A decrease in the enrollment of children with disabilities.</t>
  </si>
  <si>
    <t>Total Exceptions</t>
  </si>
  <si>
    <t>Total Projected Exceptions</t>
  </si>
  <si>
    <t>HIDDEN COLUMNS</t>
  </si>
  <si>
    <t>Not calculated for Year 1.</t>
  </si>
  <si>
    <t>611 Subgrant</t>
  </si>
  <si>
    <t>619 Subgrant</t>
  </si>
  <si>
    <t>Total Subgrant</t>
  </si>
  <si>
    <t>Repayment amount</t>
  </si>
  <si>
    <t>Date SEA made repayment</t>
  </si>
  <si>
    <t>Date LEA repaid SEA (if applicable)</t>
  </si>
  <si>
    <t>Child count last year met</t>
  </si>
  <si>
    <t>MOE Result</t>
  </si>
  <si>
    <t>Comparison year Child Count</t>
  </si>
  <si>
    <t>Not calculated for Year 11. Use this year as Year 1 in a new copy of the Calculator.</t>
  </si>
  <si>
    <t>Information</t>
  </si>
  <si>
    <t>Method</t>
  </si>
  <si>
    <t>Year</t>
  </si>
  <si>
    <t>Source</t>
  </si>
  <si>
    <t>Total</t>
  </si>
  <si>
    <t>MOE Information</t>
  </si>
  <si>
    <t>Repayment data</t>
  </si>
  <si>
    <t>Data for Year 1</t>
  </si>
  <si>
    <t>Data for Year 2</t>
  </si>
  <si>
    <t>Data for Year 3</t>
  </si>
  <si>
    <t>Data for Year 4</t>
  </si>
  <si>
    <t>Data for Year 5</t>
  </si>
  <si>
    <t>Data for Year 6</t>
  </si>
  <si>
    <t>Data for Year 7</t>
  </si>
  <si>
    <t>Data for Year 8</t>
  </si>
  <si>
    <t>Data for Year 9</t>
  </si>
  <si>
    <t>The Center for IDEA Fiscal Reporting makes the Local Educational Agency (LEA) Maintenance of Effort (MOE) Calculator available to state educational agencies (SEAs) for independent use, general guidance, and estimates only.  The LEA MOE Calculator is not intended to replace professional guidance, or any other decision-making method or tool.  SEAs and any other end users are responsible for determining their own legal, regulatory, contractual or other responsibilities, and ensuring that their calculations and reporting are correct.  </t>
  </si>
  <si>
    <t>Local Only</t>
  </si>
  <si>
    <t xml:space="preserve">Does your state have a high cost fund operated by the SEA under §300.704(c)? </t>
  </si>
  <si>
    <t>Exception (a)</t>
  </si>
  <si>
    <t>Exception (b)</t>
  </si>
  <si>
    <t xml:space="preserve">Exception (c) </t>
  </si>
  <si>
    <t>Exception (d)</t>
  </si>
  <si>
    <t>Adjustment</t>
  </si>
  <si>
    <r>
      <t xml:space="preserve">What state fiscal year do you want to use as Year 1 (the first year for which LEA MOE compliance will be calculated)? </t>
    </r>
    <r>
      <rPr>
        <b/>
        <sz val="11"/>
        <color theme="1"/>
        <rFont val="Calibri"/>
        <family val="2"/>
        <scheme val="minor"/>
      </rPr>
      <t>Enter as a four-digit fiscal year, e.g. 2021.</t>
    </r>
  </si>
  <si>
    <t>Standard</t>
  </si>
  <si>
    <t>Compliance Standard (Expenditures)</t>
  </si>
  <si>
    <t>Eligibility Standard (Budget)</t>
  </si>
  <si>
    <t>Go to the Multi-Year MOE Summary</t>
  </si>
  <si>
    <t>Multi-Year MOE Summary</t>
  </si>
  <si>
    <t>Exception or Adjustment</t>
  </si>
  <si>
    <t>Compliance Standard (Final Expenditures)</t>
  </si>
  <si>
    <t>Local Funds</t>
  </si>
  <si>
    <t>State and Local Funds</t>
  </si>
  <si>
    <t>Projected Local Funds</t>
  </si>
  <si>
    <t>Projected State and Local Funds</t>
  </si>
  <si>
    <t>Last year met (four-digit year)</t>
  </si>
  <si>
    <t>Data for Year 10</t>
  </si>
  <si>
    <t>Total taken Exceptions &amp; Adjustment: Local Funds Only</t>
  </si>
  <si>
    <t>Total taken Exceptions &amp; Adjustment: State and Local Funds</t>
  </si>
  <si>
    <t>Exceptions for the per capita methods will be calculated automatically.</t>
  </si>
  <si>
    <t>For each state fiscal year listed below, enter the total amount of exceptions and adjustments taken.</t>
  </si>
  <si>
    <t>Projected (for eligibility standard)</t>
  </si>
  <si>
    <t>Final (for compliance standard)</t>
  </si>
  <si>
    <t>Exception c</t>
  </si>
  <si>
    <t>Moved</t>
  </si>
  <si>
    <t>Aged out</t>
  </si>
  <si>
    <t>Graduated with a regular diploma</t>
  </si>
  <si>
    <t>No longer needs the program of special education</t>
  </si>
  <si>
    <t>This workbook may contain Personally Identifiable Information (PII). SEAs and LEAs should follow appropriate procedures for protecting PII.</t>
  </si>
  <si>
    <t>Note: This worksheet may contain Personally Identifiable Information (PII), such as staff salary and benefits and student IDs. LEAs should follow appropriate procedures for protecting PII.</t>
  </si>
  <si>
    <t>CALCULATION: TOTAL LOCAL FUNDS</t>
  </si>
  <si>
    <t>The Center for IDEA Fiscal Reporting (CIFR) is a partnership among WestEd, AEM Corporation, American Institutes for Research (AIR), Emerald Consulting, the Frank Porter Graham Child Development Institute at the University of North Carolina at Chapel Hill, the Center for Technical Assistance for Excellence in Special Education (TAESE) at Utah State University, and Westat. The Improve Group is CIFR's external evaluator. 
The contents of this document were developed under a grant from the U.S. Department of Education, #H373F200001. However, those contents do not necessarily represent the policy of the U.S. Department of Education, and you should not assume endorsement by the Federal Government. Project Officers: Jennifer Finch and Charles Kniseley.</t>
  </si>
  <si>
    <t>For each fiscal year, use the dropdown to indicate whether your SEA has a high cost fund.</t>
  </si>
  <si>
    <t>This cell intentionally left blank</t>
  </si>
  <si>
    <t>This column intentionally left blank</t>
  </si>
  <si>
    <t>Cell intentionally left blank</t>
  </si>
  <si>
    <t>CALCULATION: TOTAL STATE AND LOCAL FUNDS</t>
  </si>
  <si>
    <t>CALCULATION: LOCAL FUNDS PER CAPITA</t>
  </si>
  <si>
    <t>CALCULATION: STATE AND LOCAL FUNDS PER CAPITA</t>
  </si>
  <si>
    <t>Eligibility Standard is not calculated for Year 1. Please enter eligibility data on the Year 1 Amounts and Exc &amp; Adj tabs to allow for calculation of  certain elements for subsequent years.</t>
  </si>
  <si>
    <r>
      <t xml:space="preserve">Local Educational Agency Maintenance of Effort Calculator
</t>
    </r>
    <r>
      <rPr>
        <sz val="16"/>
        <color rgb="FF000000"/>
        <rFont val="Calibri"/>
        <family val="2"/>
        <scheme val="minor"/>
      </rPr>
      <t>v2.0, published June 2021</t>
    </r>
    <r>
      <rPr>
        <sz val="36"/>
        <color rgb="FF000000"/>
        <rFont val="Calibri"/>
        <family val="2"/>
        <scheme val="minor"/>
      </rPr>
      <t xml:space="preserve">
</t>
    </r>
  </si>
  <si>
    <r>
      <t xml:space="preserve">Acknowledgments
</t>
    </r>
    <r>
      <rPr>
        <sz val="12"/>
        <color theme="1"/>
        <rFont val="Calibri"/>
        <family val="2"/>
        <scheme val="minor"/>
      </rPr>
      <t xml:space="preserve">Many CIFR staff contributed to this work. Laura Johnson led the development, with contributions from Allison Davey, Fred Edora, Elena Lincoln, and Amanda Pierce. Tom Munk was lead reviewer and Joseph Moseley was production coordinator. CIFR Director Dave Phillips and Deputy Director Jenifer Harr-Robins guided its development.
Suggested citation: Center for IDEA Fiscal Reporting. (2021). </t>
    </r>
    <r>
      <rPr>
        <i/>
        <sz val="12"/>
        <color theme="1"/>
        <rFont val="Calibri"/>
        <family val="2"/>
        <scheme val="minor"/>
      </rPr>
      <t>Local educational agency maintenance of effort calculator v2.0</t>
    </r>
    <r>
      <rPr>
        <sz val="12"/>
        <color theme="1"/>
        <rFont val="Calibri"/>
        <family val="2"/>
        <scheme val="minor"/>
      </rPr>
      <t>. San Francisco, CA: WestEd.</t>
    </r>
  </si>
  <si>
    <t>https://cifr.wested.org/resource/lea-moe-calculator/</t>
  </si>
  <si>
    <t xml:space="preserve">Version 2.0, June 2021. Please ensure that you are using the most recent version of the Calculator by going to: </t>
  </si>
  <si>
    <t>CCDDD</t>
  </si>
  <si>
    <t>ESD</t>
  </si>
  <si>
    <t>District Name</t>
  </si>
  <si>
    <t>14005</t>
  </si>
  <si>
    <t>113</t>
  </si>
  <si>
    <t>ABERDEEN</t>
  </si>
  <si>
    <t>21226</t>
  </si>
  <si>
    <t>ADNA</t>
  </si>
  <si>
    <t>22017</t>
  </si>
  <si>
    <t>101</t>
  </si>
  <si>
    <t>ALMIRA</t>
  </si>
  <si>
    <t>29103</t>
  </si>
  <si>
    <t>189</t>
  </si>
  <si>
    <t>ANACORTES</t>
  </si>
  <si>
    <t>31016</t>
  </si>
  <si>
    <t>ARLINGTON</t>
  </si>
  <si>
    <t>02420</t>
  </si>
  <si>
    <t>123</t>
  </si>
  <si>
    <t>ASOTIN-ANATONE</t>
  </si>
  <si>
    <t>17408</t>
  </si>
  <si>
    <t>121</t>
  </si>
  <si>
    <t>AUBURN</t>
  </si>
  <si>
    <t>18303</t>
  </si>
  <si>
    <t>BAINBRIDGE</t>
  </si>
  <si>
    <t>06119</t>
  </si>
  <si>
    <t>112</t>
  </si>
  <si>
    <t>BATTLE GROUND</t>
  </si>
  <si>
    <t>17405</t>
  </si>
  <si>
    <t>BELLEVUE</t>
  </si>
  <si>
    <t>37501</t>
  </si>
  <si>
    <t>BELLINGHAM</t>
  </si>
  <si>
    <t>01122</t>
  </si>
  <si>
    <t>BENGE</t>
  </si>
  <si>
    <t>27403</t>
  </si>
  <si>
    <t>BETHEL</t>
  </si>
  <si>
    <t>20203</t>
  </si>
  <si>
    <t>105</t>
  </si>
  <si>
    <t>BICKLETON</t>
  </si>
  <si>
    <t>37503</t>
  </si>
  <si>
    <t>BLAINE</t>
  </si>
  <si>
    <t>21234</t>
  </si>
  <si>
    <t>BOISTFORT</t>
  </si>
  <si>
    <t>18100</t>
  </si>
  <si>
    <t>114</t>
  </si>
  <si>
    <t>BREMERTON</t>
  </si>
  <si>
    <t>24111</t>
  </si>
  <si>
    <t>171</t>
  </si>
  <si>
    <t>BREWSTER</t>
  </si>
  <si>
    <t>09075</t>
  </si>
  <si>
    <t>BRIDGEPORT</t>
  </si>
  <si>
    <t>16046</t>
  </si>
  <si>
    <t>BRINNON</t>
  </si>
  <si>
    <t>29100</t>
  </si>
  <si>
    <t>BURLINGTON EDISON</t>
  </si>
  <si>
    <t>06117</t>
  </si>
  <si>
    <t>CAMAS</t>
  </si>
  <si>
    <t>05401</t>
  </si>
  <si>
    <t>CAPE FLATTERY</t>
  </si>
  <si>
    <t>27019</t>
  </si>
  <si>
    <t>CARBONADO</t>
  </si>
  <si>
    <t>04228</t>
  </si>
  <si>
    <t>CASCADE</t>
  </si>
  <si>
    <t>17917</t>
  </si>
  <si>
    <t>04222</t>
  </si>
  <si>
    <t>CASHMERE</t>
  </si>
  <si>
    <t>08401</t>
  </si>
  <si>
    <t>CASTLE ROCK</t>
  </si>
  <si>
    <t>18901</t>
  </si>
  <si>
    <t>CATALYST PUBLIC SCHOOLS</t>
  </si>
  <si>
    <t>20215</t>
  </si>
  <si>
    <t>CENTERVILLE</t>
  </si>
  <si>
    <t>18401</t>
  </si>
  <si>
    <t>CENTRAL KITSAP</t>
  </si>
  <si>
    <t>32356</t>
  </si>
  <si>
    <t>CENTRAL VALLEY</t>
  </si>
  <si>
    <t>21401</t>
  </si>
  <si>
    <t>CENTRALIA</t>
  </si>
  <si>
    <t>21302</t>
  </si>
  <si>
    <t>CHEHALIS</t>
  </si>
  <si>
    <t>32360</t>
  </si>
  <si>
    <t>CHENEY</t>
  </si>
  <si>
    <t>33036</t>
  </si>
  <si>
    <t>CHEWELAH</t>
  </si>
  <si>
    <t>16049</t>
  </si>
  <si>
    <t>CHIMACUM</t>
  </si>
  <si>
    <t>02250</t>
  </si>
  <si>
    <t>CLARKSTON</t>
  </si>
  <si>
    <t>19404</t>
  </si>
  <si>
    <t>CLE ELUM-ROSLYN</t>
  </si>
  <si>
    <t>27400</t>
  </si>
  <si>
    <t>CLOVER PARK</t>
  </si>
  <si>
    <t>38300</t>
  </si>
  <si>
    <t>COLFAX</t>
  </si>
  <si>
    <t>36250</t>
  </si>
  <si>
    <t>COLLEGE PLACE</t>
  </si>
  <si>
    <t>38306</t>
  </si>
  <si>
    <t>COLTON</t>
  </si>
  <si>
    <t>33206</t>
  </si>
  <si>
    <t>COLUMBIA 206 (Stevens)</t>
  </si>
  <si>
    <t>36400</t>
  </si>
  <si>
    <t>COLUMBIA 400 (Walla Walla)</t>
  </si>
  <si>
    <t>33115</t>
  </si>
  <si>
    <t>COLVILLE</t>
  </si>
  <si>
    <t>29011</t>
  </si>
  <si>
    <t>CONCRETE</t>
  </si>
  <si>
    <t>29317</t>
  </si>
  <si>
    <t>CONWAY</t>
  </si>
  <si>
    <t>14099</t>
  </si>
  <si>
    <t>COSMOPOLIS</t>
  </si>
  <si>
    <t>13151</t>
  </si>
  <si>
    <t>COULEE-HARTLINE</t>
  </si>
  <si>
    <t>15204</t>
  </si>
  <si>
    <t>COUPEVILLE</t>
  </si>
  <si>
    <t>05313</t>
  </si>
  <si>
    <t>CRESCENT</t>
  </si>
  <si>
    <t>22073</t>
  </si>
  <si>
    <t>CRESTON</t>
  </si>
  <si>
    <t>10050</t>
  </si>
  <si>
    <t>CURLEW</t>
  </si>
  <si>
    <t>26059</t>
  </si>
  <si>
    <t>CUSICK</t>
  </si>
  <si>
    <t>19007</t>
  </si>
  <si>
    <t>DAMMAN</t>
  </si>
  <si>
    <t>31330</t>
  </si>
  <si>
    <t>DARRINGTON</t>
  </si>
  <si>
    <t>22207</t>
  </si>
  <si>
    <t>DAVENPORT</t>
  </si>
  <si>
    <t>07002</t>
  </si>
  <si>
    <t>DAYTON</t>
  </si>
  <si>
    <t>32414</t>
  </si>
  <si>
    <t>DEER PARK</t>
  </si>
  <si>
    <t>27343</t>
  </si>
  <si>
    <t>DIERINGER</t>
  </si>
  <si>
    <t>36101</t>
  </si>
  <si>
    <t>DIXIE</t>
  </si>
  <si>
    <t>32361</t>
  </si>
  <si>
    <t>EAST VALLEY 361 (Spokane)</t>
  </si>
  <si>
    <t>39090</t>
  </si>
  <si>
    <t>EAST VALLEY 90 (Yakima)</t>
  </si>
  <si>
    <t>09206</t>
  </si>
  <si>
    <t>EASTMONT</t>
  </si>
  <si>
    <t>19028</t>
  </si>
  <si>
    <t>EASTON</t>
  </si>
  <si>
    <t>27404</t>
  </si>
  <si>
    <t>EATONVILLE</t>
  </si>
  <si>
    <t>31015</t>
  </si>
  <si>
    <t>EDMONDS</t>
  </si>
  <si>
    <t>19401</t>
  </si>
  <si>
    <t>ELLENSBURG</t>
  </si>
  <si>
    <t>14068</t>
  </si>
  <si>
    <t>ELMA</t>
  </si>
  <si>
    <t>38308</t>
  </si>
  <si>
    <t>ENDICOTT</t>
  </si>
  <si>
    <t>04127</t>
  </si>
  <si>
    <t>ENTIAT</t>
  </si>
  <si>
    <t>17216</t>
  </si>
  <si>
    <t>ENUMCLAW</t>
  </si>
  <si>
    <t>13165</t>
  </si>
  <si>
    <t>EPHRATA</t>
  </si>
  <si>
    <t>21036</t>
  </si>
  <si>
    <t>EVALINE</t>
  </si>
  <si>
    <t>31002</t>
  </si>
  <si>
    <t>EVERETT</t>
  </si>
  <si>
    <t>06114</t>
  </si>
  <si>
    <t>EVERGREEN 114 (Clark)</t>
  </si>
  <si>
    <t>33205</t>
  </si>
  <si>
    <t>EVERGREEN 205 (Stevens)</t>
  </si>
  <si>
    <t>17210</t>
  </si>
  <si>
    <t>FEDERAL WAY</t>
  </si>
  <si>
    <t>37502</t>
  </si>
  <si>
    <t>FERNDALE</t>
  </si>
  <si>
    <t>27417</t>
  </si>
  <si>
    <t>FIFE</t>
  </si>
  <si>
    <t>03053</t>
  </si>
  <si>
    <t>FINLEY</t>
  </si>
  <si>
    <t>27402</t>
  </si>
  <si>
    <t>FRANKLIN PIERCE</t>
  </si>
  <si>
    <t>32358</t>
  </si>
  <si>
    <t>FREEMAN</t>
  </si>
  <si>
    <t>38302</t>
  </si>
  <si>
    <t>GARFIELD</t>
  </si>
  <si>
    <t>20401</t>
  </si>
  <si>
    <t>GLENWOOD</t>
  </si>
  <si>
    <t>20404</t>
  </si>
  <si>
    <t>GOLDENDALE</t>
  </si>
  <si>
    <t>13301</t>
  </si>
  <si>
    <t>GRAND COULEE DAM</t>
  </si>
  <si>
    <t>39200</t>
  </si>
  <si>
    <t>GRANDVIEW</t>
  </si>
  <si>
    <t>39204</t>
  </si>
  <si>
    <t>GRANGER</t>
  </si>
  <si>
    <t>31332</t>
  </si>
  <si>
    <t>GRANITE FALLS</t>
  </si>
  <si>
    <t>23054</t>
  </si>
  <si>
    <t>GRAPEVIEW</t>
  </si>
  <si>
    <t>32312</t>
  </si>
  <si>
    <t>GREAT NORTHERN</t>
  </si>
  <si>
    <t>27904</t>
  </si>
  <si>
    <t>17906</t>
  </si>
  <si>
    <t>06103</t>
  </si>
  <si>
    <t>GREEN MOUNTAIN</t>
  </si>
  <si>
    <t>34324</t>
  </si>
  <si>
    <t>GRIFFIN</t>
  </si>
  <si>
    <t>22204</t>
  </si>
  <si>
    <t>HARRINGTON</t>
  </si>
  <si>
    <t>39203</t>
  </si>
  <si>
    <t>HIGHLAND</t>
  </si>
  <si>
    <t>17401</t>
  </si>
  <si>
    <t>HIGHLINE</t>
  </si>
  <si>
    <t>06098</t>
  </si>
  <si>
    <t>HOCKINSON</t>
  </si>
  <si>
    <t>23404</t>
  </si>
  <si>
    <t>HOOD CANAL</t>
  </si>
  <si>
    <t>14028</t>
  </si>
  <si>
    <t>HOQUIAM</t>
  </si>
  <si>
    <t>17911</t>
  </si>
  <si>
    <t>17916</t>
  </si>
  <si>
    <t>IMPACT SALISH SEA ELEMENTARY</t>
  </si>
  <si>
    <t>10070</t>
  </si>
  <si>
    <t>INCHELIUM</t>
  </si>
  <si>
    <t>31063</t>
  </si>
  <si>
    <t>INDEX</t>
  </si>
  <si>
    <t>17411</t>
  </si>
  <si>
    <t>ISSAQUAH</t>
  </si>
  <si>
    <t>11056</t>
  </si>
  <si>
    <t>KAHLOTUS</t>
  </si>
  <si>
    <t>08402</t>
  </si>
  <si>
    <t>KALAMA</t>
  </si>
  <si>
    <t>10003</t>
  </si>
  <si>
    <t>KELLER</t>
  </si>
  <si>
    <t>08458</t>
  </si>
  <si>
    <t>KELSO</t>
  </si>
  <si>
    <t>03017</t>
  </si>
  <si>
    <t>KENNEWICK</t>
  </si>
  <si>
    <t>17415</t>
  </si>
  <si>
    <t>KENT</t>
  </si>
  <si>
    <t>33212</t>
  </si>
  <si>
    <t>KETTLE FALLS</t>
  </si>
  <si>
    <t>03052</t>
  </si>
  <si>
    <t>KIONA BENTON</t>
  </si>
  <si>
    <t>19403</t>
  </si>
  <si>
    <t>KITTITAS</t>
  </si>
  <si>
    <t>20402</t>
  </si>
  <si>
    <t>KLICKITAT</t>
  </si>
  <si>
    <t>06101</t>
  </si>
  <si>
    <t>LA CENTER</t>
  </si>
  <si>
    <t>29311</t>
  </si>
  <si>
    <t>LA CONNER</t>
  </si>
  <si>
    <t>38126</t>
  </si>
  <si>
    <t>LACROSSE JOINT</t>
  </si>
  <si>
    <t>04129</t>
  </si>
  <si>
    <t>LAKE CHELAN</t>
  </si>
  <si>
    <t>14097</t>
  </si>
  <si>
    <t>LAKE QUINAULT</t>
  </si>
  <si>
    <t>31004</t>
  </si>
  <si>
    <t>LAKE STEVENS</t>
  </si>
  <si>
    <t>17414</t>
  </si>
  <si>
    <t>LAKE WASHINGTON</t>
  </si>
  <si>
    <t>31306</t>
  </si>
  <si>
    <t>LAKEWOOD</t>
  </si>
  <si>
    <t>38264</t>
  </si>
  <si>
    <t>LAMONT</t>
  </si>
  <si>
    <t>32362</t>
  </si>
  <si>
    <t>LIBERTY</t>
  </si>
  <si>
    <t>01158</t>
  </si>
  <si>
    <t>LIND</t>
  </si>
  <si>
    <t>08122</t>
  </si>
  <si>
    <t>LONGVIEW</t>
  </si>
  <si>
    <t>33183</t>
  </si>
  <si>
    <t>LOON LAKE</t>
  </si>
  <si>
    <t>28144</t>
  </si>
  <si>
    <t>LOPEZ ISLAND</t>
  </si>
  <si>
    <t>32903</t>
  </si>
  <si>
    <t>20406</t>
  </si>
  <si>
    <t>LYLE</t>
  </si>
  <si>
    <t>37504</t>
  </si>
  <si>
    <t>LYNDEN</t>
  </si>
  <si>
    <t>39120</t>
  </si>
  <si>
    <t>MABTON</t>
  </si>
  <si>
    <t>09207</t>
  </si>
  <si>
    <t>MANSFIELD</t>
  </si>
  <si>
    <t>04019</t>
  </si>
  <si>
    <t>MANSON</t>
  </si>
  <si>
    <t>23311</t>
  </si>
  <si>
    <t>MARY M KNIGHT</t>
  </si>
  <si>
    <t>33207</t>
  </si>
  <si>
    <t>MARY WALKER</t>
  </si>
  <si>
    <t>31025</t>
  </si>
  <si>
    <t>MARYSVILLE</t>
  </si>
  <si>
    <t>14065</t>
  </si>
  <si>
    <t>MC CLEARY</t>
  </si>
  <si>
    <t>32354</t>
  </si>
  <si>
    <t>MEAD</t>
  </si>
  <si>
    <t>32326</t>
  </si>
  <si>
    <t>MEDICAL LAKE</t>
  </si>
  <si>
    <t>17400</t>
  </si>
  <si>
    <t>MERCER ISLAND</t>
  </si>
  <si>
    <t>37505</t>
  </si>
  <si>
    <t>MERIDIAN</t>
  </si>
  <si>
    <t>24350</t>
  </si>
  <si>
    <t>METHOW VALLEY</t>
  </si>
  <si>
    <t>30031</t>
  </si>
  <si>
    <t>MILL A</t>
  </si>
  <si>
    <t>31103</t>
  </si>
  <si>
    <t>MONROE</t>
  </si>
  <si>
    <t>14066</t>
  </si>
  <si>
    <t>MONTESANO</t>
  </si>
  <si>
    <t>21214</t>
  </si>
  <si>
    <t>MORTON</t>
  </si>
  <si>
    <t>13161</t>
  </si>
  <si>
    <t>MOSES LAKE</t>
  </si>
  <si>
    <t>21206</t>
  </si>
  <si>
    <t>MOSSYROCK</t>
  </si>
  <si>
    <t>39209</t>
  </si>
  <si>
    <t>MOUNT ADAMS</t>
  </si>
  <si>
    <t>37507</t>
  </si>
  <si>
    <t>MOUNT BAKER</t>
  </si>
  <si>
    <t>30029</t>
  </si>
  <si>
    <t>MOUNT PLEASANT</t>
  </si>
  <si>
    <t>29320</t>
  </si>
  <si>
    <t>MT VERNON</t>
  </si>
  <si>
    <t>31006</t>
  </si>
  <si>
    <t>MUKILTEO</t>
  </si>
  <si>
    <t>39003</t>
  </si>
  <si>
    <t>NACHES VALLEY</t>
  </si>
  <si>
    <t>21014</t>
  </si>
  <si>
    <t>NAPAVINE</t>
  </si>
  <si>
    <t>25155</t>
  </si>
  <si>
    <t>NASELLE GRAYS RIVER</t>
  </si>
  <si>
    <t>24014</t>
  </si>
  <si>
    <t>NESPELEM</t>
  </si>
  <si>
    <t>26056</t>
  </si>
  <si>
    <t>NEWPORT</t>
  </si>
  <si>
    <t>32325</t>
  </si>
  <si>
    <t>NINE MILE FALLS</t>
  </si>
  <si>
    <t>37506</t>
  </si>
  <si>
    <t>NOOKSACK VALLEY</t>
  </si>
  <si>
    <t>14064</t>
  </si>
  <si>
    <t>NORTH BEACH</t>
  </si>
  <si>
    <t>11051</t>
  </si>
  <si>
    <t>NORTH FRANKLIN</t>
  </si>
  <si>
    <t>18400</t>
  </si>
  <si>
    <t>NORTH KITSAP</t>
  </si>
  <si>
    <t>23403</t>
  </si>
  <si>
    <t>NORTH MASON</t>
  </si>
  <si>
    <t>25200</t>
  </si>
  <si>
    <t>NORTH RIVER</t>
  </si>
  <si>
    <t>34003</t>
  </si>
  <si>
    <t>NORTH THURSTON</t>
  </si>
  <si>
    <t>33211</t>
  </si>
  <si>
    <t>NORTHPORT</t>
  </si>
  <si>
    <t>17417</t>
  </si>
  <si>
    <t>NORTHSHORE</t>
  </si>
  <si>
    <t>15201</t>
  </si>
  <si>
    <t>OAK HARBOR</t>
  </si>
  <si>
    <t>38324</t>
  </si>
  <si>
    <t>OAKESDALE</t>
  </si>
  <si>
    <t>14400</t>
  </si>
  <si>
    <t>OAKVILLE</t>
  </si>
  <si>
    <t>25101</t>
  </si>
  <si>
    <t>OCEAN BEACH</t>
  </si>
  <si>
    <t>14172</t>
  </si>
  <si>
    <t>OCOSTA</t>
  </si>
  <si>
    <t>22105</t>
  </si>
  <si>
    <t>ODESSA</t>
  </si>
  <si>
    <t>24105</t>
  </si>
  <si>
    <t>OKANOGAN</t>
  </si>
  <si>
    <t>34111</t>
  </si>
  <si>
    <t>OLYMPIA</t>
  </si>
  <si>
    <t>24019</t>
  </si>
  <si>
    <t>OMAK</t>
  </si>
  <si>
    <t>21300</t>
  </si>
  <si>
    <t>ONALASKA</t>
  </si>
  <si>
    <t>33030</t>
  </si>
  <si>
    <t>ONION CREEK</t>
  </si>
  <si>
    <t>28137</t>
  </si>
  <si>
    <t>ORCAS</t>
  </si>
  <si>
    <t>32123</t>
  </si>
  <si>
    <t>ORCHARD PRAIRIE</t>
  </si>
  <si>
    <t>10065</t>
  </si>
  <si>
    <t>ORIENT</t>
  </si>
  <si>
    <t>09013</t>
  </si>
  <si>
    <t>ORONDO</t>
  </si>
  <si>
    <t>24410</t>
  </si>
  <si>
    <t>OROVILLE</t>
  </si>
  <si>
    <t>27344</t>
  </si>
  <si>
    <t>ORTING</t>
  </si>
  <si>
    <t>01147</t>
  </si>
  <si>
    <t>OTHELLO</t>
  </si>
  <si>
    <t>09102</t>
  </si>
  <si>
    <t>PALISADES</t>
  </si>
  <si>
    <t>38301</t>
  </si>
  <si>
    <t>PALOUSE</t>
  </si>
  <si>
    <t>11001</t>
  </si>
  <si>
    <t>PASCO</t>
  </si>
  <si>
    <t>24122</t>
  </si>
  <si>
    <t>PATEROS</t>
  </si>
  <si>
    <t>03050</t>
  </si>
  <si>
    <t>PATERSON</t>
  </si>
  <si>
    <t>21301</t>
  </si>
  <si>
    <t>PE ELL</t>
  </si>
  <si>
    <t>27401</t>
  </si>
  <si>
    <t>PENINSULA</t>
  </si>
  <si>
    <t>23402</t>
  </si>
  <si>
    <t>PIONEER</t>
  </si>
  <si>
    <t>12110</t>
  </si>
  <si>
    <t>POMEROY</t>
  </si>
  <si>
    <t>05121</t>
  </si>
  <si>
    <t>PORT ANGELES</t>
  </si>
  <si>
    <t>16050</t>
  </si>
  <si>
    <t>PORT TOWNSEND</t>
  </si>
  <si>
    <t>36402</t>
  </si>
  <si>
    <t>PRESCOTT</t>
  </si>
  <si>
    <t>32907</t>
  </si>
  <si>
    <t>PRIDE PREP CHARTER</t>
  </si>
  <si>
    <t>03116</t>
  </si>
  <si>
    <t>PROSSER</t>
  </si>
  <si>
    <t>38267</t>
  </si>
  <si>
    <t>PULLMAN</t>
  </si>
  <si>
    <t>27003</t>
  </si>
  <si>
    <t>PUYALLUP</t>
  </si>
  <si>
    <t>16020</t>
  </si>
  <si>
    <t>QUEETS-CLEARWATER</t>
  </si>
  <si>
    <t>16048</t>
  </si>
  <si>
    <t>QUILCENE</t>
  </si>
  <si>
    <t>05903</t>
  </si>
  <si>
    <t>QUILLEUTE TRIBAL</t>
  </si>
  <si>
    <t>05402</t>
  </si>
  <si>
    <t>QUILLAYUTE VALLEY</t>
  </si>
  <si>
    <t>13144</t>
  </si>
  <si>
    <t>QUINCY</t>
  </si>
  <si>
    <t>34307</t>
  </si>
  <si>
    <t>RAINIER</t>
  </si>
  <si>
    <t>17908</t>
  </si>
  <si>
    <t>RAINIER PREP CHARTER</t>
  </si>
  <si>
    <t>17910</t>
  </si>
  <si>
    <t>25116</t>
  </si>
  <si>
    <t>RAYMOND</t>
  </si>
  <si>
    <t>22009</t>
  </si>
  <si>
    <t>REARDAN-EDWALL</t>
  </si>
  <si>
    <t>17403</t>
  </si>
  <si>
    <t>RENTON</t>
  </si>
  <si>
    <t>10309</t>
  </si>
  <si>
    <t>REPUBLIC</t>
  </si>
  <si>
    <t>03400</t>
  </si>
  <si>
    <t>RICHLAND</t>
  </si>
  <si>
    <t>06122</t>
  </si>
  <si>
    <t>RIDGEFIELD</t>
  </si>
  <si>
    <t>01160</t>
  </si>
  <si>
    <t>RITZVILLE</t>
  </si>
  <si>
    <t>32416</t>
  </si>
  <si>
    <t>RIVERSIDE</t>
  </si>
  <si>
    <t>17407</t>
  </si>
  <si>
    <t>RIVERVIEW</t>
  </si>
  <si>
    <t>34401</t>
  </si>
  <si>
    <t>ROCHESTER</t>
  </si>
  <si>
    <t>20403</t>
  </si>
  <si>
    <t>ROOSEVELT</t>
  </si>
  <si>
    <t>38320</t>
  </si>
  <si>
    <t>ROSALIA</t>
  </si>
  <si>
    <t>13160</t>
  </si>
  <si>
    <t>ROYAL</t>
  </si>
  <si>
    <t>28149</t>
  </si>
  <si>
    <t>SAN JUAN</t>
  </si>
  <si>
    <t>14104</t>
  </si>
  <si>
    <t>SATSOP</t>
  </si>
  <si>
    <t>34974</t>
  </si>
  <si>
    <t>SCHOOL FOR THE BLIND</t>
  </si>
  <si>
    <t>34975</t>
  </si>
  <si>
    <t>SCHOOL FOR THE DEAF</t>
  </si>
  <si>
    <t>17001</t>
  </si>
  <si>
    <t>SEATTLE</t>
  </si>
  <si>
    <t>29101</t>
  </si>
  <si>
    <t>SEDRO WOOLLEY</t>
  </si>
  <si>
    <t>39119</t>
  </si>
  <si>
    <t>SELAH</t>
  </si>
  <si>
    <t>26070</t>
  </si>
  <si>
    <t>SELKIRK</t>
  </si>
  <si>
    <t>05323</t>
  </si>
  <si>
    <t>SEQUIM</t>
  </si>
  <si>
    <t>28010</t>
  </si>
  <si>
    <t>SHAW ISLAND</t>
  </si>
  <si>
    <t>23309</t>
  </si>
  <si>
    <t>SHELTON</t>
  </si>
  <si>
    <t>17412</t>
  </si>
  <si>
    <t>SHORELINE</t>
  </si>
  <si>
    <t>30002</t>
  </si>
  <si>
    <t>SKAMANIA</t>
  </si>
  <si>
    <t>17404</t>
  </si>
  <si>
    <t>SKYKOMISH</t>
  </si>
  <si>
    <t>31201</t>
  </si>
  <si>
    <t>SNOHOMISH</t>
  </si>
  <si>
    <t>17410</t>
  </si>
  <si>
    <t>SNOQUALMIE VALLEY</t>
  </si>
  <si>
    <t>13156</t>
  </si>
  <si>
    <t>SOAP LAKE</t>
  </si>
  <si>
    <t>27909</t>
  </si>
  <si>
    <t>25118</t>
  </si>
  <si>
    <t>SOUTH BEND</t>
  </si>
  <si>
    <t>18402</t>
  </si>
  <si>
    <t>SOUTH KITSAP</t>
  </si>
  <si>
    <t>15206</t>
  </si>
  <si>
    <t>SOUTH WHIDBEY</t>
  </si>
  <si>
    <t>23042</t>
  </si>
  <si>
    <t>SOUTHSIDE</t>
  </si>
  <si>
    <t>32081</t>
  </si>
  <si>
    <t>SPOKANE</t>
  </si>
  <si>
    <t>32901</t>
  </si>
  <si>
    <t>SPOKANE INTL ACADEMY</t>
  </si>
  <si>
    <t>22008</t>
  </si>
  <si>
    <t>SPRAGUE</t>
  </si>
  <si>
    <t>38322</t>
  </si>
  <si>
    <t>ST JOHN</t>
  </si>
  <si>
    <t>31401</t>
  </si>
  <si>
    <t>STANWOOD-CAMANO</t>
  </si>
  <si>
    <t>11054</t>
  </si>
  <si>
    <t>STAR</t>
  </si>
  <si>
    <t>07035</t>
  </si>
  <si>
    <t>STARBUCK</t>
  </si>
  <si>
    <t>04069</t>
  </si>
  <si>
    <t>STEHEKIN</t>
  </si>
  <si>
    <t>27001</t>
  </si>
  <si>
    <t>STEILACOOM HIST.</t>
  </si>
  <si>
    <t>38304</t>
  </si>
  <si>
    <t>STEPTOE</t>
  </si>
  <si>
    <t>30303</t>
  </si>
  <si>
    <t>STEVENSON-CARSON</t>
  </si>
  <si>
    <t>31311</t>
  </si>
  <si>
    <t>SULTAN</t>
  </si>
  <si>
    <t>17905</t>
  </si>
  <si>
    <t>SUMMIT ATLAS CHARTER</t>
  </si>
  <si>
    <t>27905</t>
  </si>
  <si>
    <t>SUMMIT OLYMPUS CHARTER</t>
  </si>
  <si>
    <t>17902</t>
  </si>
  <si>
    <t>SUMMIT SIERRA CHARTER</t>
  </si>
  <si>
    <t>33202</t>
  </si>
  <si>
    <t>SUMMIT VALLEY</t>
  </si>
  <si>
    <t>27320</t>
  </si>
  <si>
    <t>SUMNER</t>
  </si>
  <si>
    <t>39201</t>
  </si>
  <si>
    <t>SUNNYSIDE</t>
  </si>
  <si>
    <t>18902</t>
  </si>
  <si>
    <t>SUQUAMISH TRIBAL</t>
  </si>
  <si>
    <t>27010</t>
  </si>
  <si>
    <t>TACOMA</t>
  </si>
  <si>
    <t>14077</t>
  </si>
  <si>
    <t>TAHOLAH</t>
  </si>
  <si>
    <t>17409</t>
  </si>
  <si>
    <t>TAHOMA</t>
  </si>
  <si>
    <t>38265</t>
  </si>
  <si>
    <t>TEKOA</t>
  </si>
  <si>
    <t>34402</t>
  </si>
  <si>
    <t>TENINO</t>
  </si>
  <si>
    <t>19400</t>
  </si>
  <si>
    <t>THORP</t>
  </si>
  <si>
    <t>21237</t>
  </si>
  <si>
    <t>TOLEDO</t>
  </si>
  <si>
    <t>24404</t>
  </si>
  <si>
    <t>TONASKET</t>
  </si>
  <si>
    <t>39202</t>
  </si>
  <si>
    <t>TOPPENISH</t>
  </si>
  <si>
    <t>36300</t>
  </si>
  <si>
    <t>TOUCHET</t>
  </si>
  <si>
    <t>08130</t>
  </si>
  <si>
    <t>TOUTLE LAKE</t>
  </si>
  <si>
    <t>20400</t>
  </si>
  <si>
    <t>TROUT LAKE</t>
  </si>
  <si>
    <t>17406</t>
  </si>
  <si>
    <t>TUKWILA</t>
  </si>
  <si>
    <t>34033</t>
  </si>
  <si>
    <t>TUMWATER</t>
  </si>
  <si>
    <t>39002</t>
  </si>
  <si>
    <t>UNION GAP</t>
  </si>
  <si>
    <t>27083</t>
  </si>
  <si>
    <t>UNIVERSITY PLACE</t>
  </si>
  <si>
    <t>33070</t>
  </si>
  <si>
    <t>VALLEY</t>
  </si>
  <si>
    <t>06037</t>
  </si>
  <si>
    <t>VANCOUVER</t>
  </si>
  <si>
    <t>17402</t>
  </si>
  <si>
    <t>VASHON ISLAND</t>
  </si>
  <si>
    <t>35200</t>
  </si>
  <si>
    <t>WAHKIAKUM</t>
  </si>
  <si>
    <t>13073</t>
  </si>
  <si>
    <t>WAHLUKE</t>
  </si>
  <si>
    <t>36401</t>
  </si>
  <si>
    <t>WAITSBURG</t>
  </si>
  <si>
    <t>36140</t>
  </si>
  <si>
    <t>WALLA WALLA</t>
  </si>
  <si>
    <t>39207</t>
  </si>
  <si>
    <t>WAPATO</t>
  </si>
  <si>
    <t>13146</t>
  </si>
  <si>
    <t>WARDEN</t>
  </si>
  <si>
    <t>06112</t>
  </si>
  <si>
    <t>WASHOUGAL</t>
  </si>
  <si>
    <t>01109</t>
  </si>
  <si>
    <t>WASHTUCNA</t>
  </si>
  <si>
    <t>09209</t>
  </si>
  <si>
    <t>WATERVILLE</t>
  </si>
  <si>
    <t>33049</t>
  </si>
  <si>
    <t>WELLPINIT</t>
  </si>
  <si>
    <t>04246</t>
  </si>
  <si>
    <t>WENATCHEE</t>
  </si>
  <si>
    <t>39208</t>
  </si>
  <si>
    <t>WEST VALLEY 208 (Yakima)</t>
  </si>
  <si>
    <t>32363</t>
  </si>
  <si>
    <t>WEST VALLEY 363 (Spokane)</t>
  </si>
  <si>
    <t>21303</t>
  </si>
  <si>
    <t>WHITE PASS</t>
  </si>
  <si>
    <t>27416</t>
  </si>
  <si>
    <t>WHITE RIVER</t>
  </si>
  <si>
    <t>20405</t>
  </si>
  <si>
    <t>WHITE SALMON</t>
  </si>
  <si>
    <t>22200</t>
  </si>
  <si>
    <t>WILBUR</t>
  </si>
  <si>
    <t>25160</t>
  </si>
  <si>
    <t>WILLAPA VALLEY</t>
  </si>
  <si>
    <t>13167</t>
  </si>
  <si>
    <t>WILSON CREEK</t>
  </si>
  <si>
    <t>21232</t>
  </si>
  <si>
    <t>WINLOCK</t>
  </si>
  <si>
    <t>14117</t>
  </si>
  <si>
    <t>WISHKAH VALLEY</t>
  </si>
  <si>
    <t>20094</t>
  </si>
  <si>
    <t>WISHRAM</t>
  </si>
  <si>
    <t>08404</t>
  </si>
  <si>
    <t>WOODLAND</t>
  </si>
  <si>
    <t>39007</t>
  </si>
  <si>
    <t>YAKIMA</t>
  </si>
  <si>
    <t>34002</t>
  </si>
  <si>
    <t>YELM</t>
  </si>
  <si>
    <t>39205</t>
  </si>
  <si>
    <t>ZILLAH</t>
  </si>
  <si>
    <t>06801</t>
  </si>
  <si>
    <t>ESA 112</t>
  </si>
  <si>
    <t>17-18 Final Child Count 3-21</t>
  </si>
  <si>
    <t>17-18 Final Local Expenditures</t>
  </si>
  <si>
    <t>17-18 Final State/Local Expenditures</t>
  </si>
  <si>
    <t>18-19 Final Child Count 3-21</t>
  </si>
  <si>
    <t>18-19 Final Local Expenditures</t>
  </si>
  <si>
    <t>18-19 Final State/Local Expenditures</t>
  </si>
  <si>
    <t>19-20 Final Child Count 3-21</t>
  </si>
  <si>
    <t>19-20 Final Local Expenditures</t>
  </si>
  <si>
    <t>19-20 Final State/Local Expenditures</t>
  </si>
  <si>
    <t>20-21 Final Local Expenditures</t>
  </si>
  <si>
    <t>20-21 Final State/Local Expenditures</t>
  </si>
  <si>
    <t>Aberdeen</t>
  </si>
  <si>
    <t>Adna</t>
  </si>
  <si>
    <t>19-20</t>
  </si>
  <si>
    <t xml:space="preserve">Local Total Amount </t>
  </si>
  <si>
    <t>Met</t>
  </si>
  <si>
    <t>State and Local Amount</t>
  </si>
  <si>
    <t>Local per Capita Amount</t>
  </si>
  <si>
    <t>State and Local per Capita Amount</t>
  </si>
  <si>
    <t>Met/Did Not Meet</t>
  </si>
  <si>
    <t>Anacortes</t>
  </si>
  <si>
    <t>Arlington</t>
  </si>
  <si>
    <t>Asotin-Anatone</t>
  </si>
  <si>
    <t>Auburn</t>
  </si>
  <si>
    <t>Bainbridge Island</t>
  </si>
  <si>
    <t>Battle Ground</t>
  </si>
  <si>
    <t>Bellevue</t>
  </si>
  <si>
    <t>Bellingham</t>
  </si>
  <si>
    <t>Benge</t>
  </si>
  <si>
    <t>Bethel</t>
  </si>
  <si>
    <t>Bickleton</t>
  </si>
  <si>
    <t>Blaine</t>
  </si>
  <si>
    <t>Boistfort</t>
  </si>
  <si>
    <t>Bremerton</t>
  </si>
  <si>
    <t>Brewster</t>
  </si>
  <si>
    <t>Bridgeport</t>
  </si>
  <si>
    <t>Did not Meet</t>
  </si>
  <si>
    <t>Burlington-Edison</t>
  </si>
  <si>
    <t>Camas</t>
  </si>
  <si>
    <t>Cape Flattery</t>
  </si>
  <si>
    <t>Carbonado</t>
  </si>
  <si>
    <t>Cascade</t>
  </si>
  <si>
    <t>Cashmere</t>
  </si>
  <si>
    <t>Castle Rock</t>
  </si>
  <si>
    <t>Centerville</t>
  </si>
  <si>
    <t>Central Kitsap</t>
  </si>
  <si>
    <t>Central Valley</t>
  </si>
  <si>
    <t>Centralia</t>
  </si>
  <si>
    <t>Chehalis</t>
  </si>
  <si>
    <t>Cheney</t>
  </si>
  <si>
    <t>Chewelah</t>
  </si>
  <si>
    <t>Chimacum</t>
  </si>
  <si>
    <t>Clarkston</t>
  </si>
  <si>
    <t>Cle Elum-Roslyn</t>
  </si>
  <si>
    <t>Clover Park</t>
  </si>
  <si>
    <t>Colfax</t>
  </si>
  <si>
    <t>College Place</t>
  </si>
  <si>
    <t>Colton</t>
  </si>
  <si>
    <t>Columbia 206</t>
  </si>
  <si>
    <t>Columbia 400</t>
  </si>
  <si>
    <t>DId not Meet</t>
  </si>
  <si>
    <t>Concrete</t>
  </si>
  <si>
    <t>Conway</t>
  </si>
  <si>
    <t>Cosmopolis</t>
  </si>
  <si>
    <t>Coulee/Hartline</t>
  </si>
  <si>
    <t>Coupeville</t>
  </si>
  <si>
    <t>Crescent</t>
  </si>
  <si>
    <t>Creston</t>
  </si>
  <si>
    <t>Curlew</t>
  </si>
  <si>
    <t>Cusick</t>
  </si>
  <si>
    <t>met w/exceptions</t>
  </si>
  <si>
    <t>met with exceptions</t>
  </si>
  <si>
    <t>Darrington</t>
  </si>
  <si>
    <t>Davenport</t>
  </si>
  <si>
    <t>Dayton</t>
  </si>
  <si>
    <t>Deer Park</t>
  </si>
  <si>
    <t>Dieringer</t>
  </si>
  <si>
    <t>Dixie</t>
  </si>
  <si>
    <t>East Valley 361</t>
  </si>
  <si>
    <t>East Valley 90</t>
  </si>
  <si>
    <t>Eastmont</t>
  </si>
  <si>
    <t>Easton</t>
  </si>
  <si>
    <t>Eatonville</t>
  </si>
  <si>
    <t>Edmonds</t>
  </si>
  <si>
    <t>Ellensburg</t>
  </si>
  <si>
    <t>Elma</t>
  </si>
  <si>
    <t>Endicott</t>
  </si>
  <si>
    <t>Entiat</t>
  </si>
  <si>
    <t>Enumclaw</t>
  </si>
  <si>
    <t>Ephrata</t>
  </si>
  <si>
    <t>Everett</t>
  </si>
  <si>
    <t>Evergreen 114</t>
  </si>
  <si>
    <t>Evergreen 205</t>
  </si>
  <si>
    <t>Federal Way</t>
  </si>
  <si>
    <t>Ferndale</t>
  </si>
  <si>
    <t>Fife</t>
  </si>
  <si>
    <t>Finley</t>
  </si>
  <si>
    <t>Franklin Pierce</t>
  </si>
  <si>
    <t>Freeman</t>
  </si>
  <si>
    <t>Garfield</t>
  </si>
  <si>
    <t>Glenwood</t>
  </si>
  <si>
    <t>Goldendale</t>
  </si>
  <si>
    <t>Grand Coulee Dam</t>
  </si>
  <si>
    <t>Grandview</t>
  </si>
  <si>
    <t>Granger</t>
  </si>
  <si>
    <t>Granite Falls</t>
  </si>
  <si>
    <t>Great Northern</t>
  </si>
  <si>
    <t>Green Mountain</t>
  </si>
  <si>
    <t>Griffin</t>
  </si>
  <si>
    <t>Harrington</t>
  </si>
  <si>
    <t>Highland</t>
  </si>
  <si>
    <t>Highline</t>
  </si>
  <si>
    <t>Hockinson</t>
  </si>
  <si>
    <t>Hood Canal</t>
  </si>
  <si>
    <t>Hoquiam</t>
  </si>
  <si>
    <t>Inchelium</t>
  </si>
  <si>
    <t>Index</t>
  </si>
  <si>
    <t>Issaquah</t>
  </si>
  <si>
    <t>Kahlotus</t>
  </si>
  <si>
    <t>Keller</t>
  </si>
  <si>
    <t>Kelso</t>
  </si>
  <si>
    <t>Kennewick</t>
  </si>
  <si>
    <t>Kent</t>
  </si>
  <si>
    <t>Kettle Falls</t>
  </si>
  <si>
    <t>Kiona Benton</t>
  </si>
  <si>
    <t>Kittitas</t>
  </si>
  <si>
    <t>La Center</t>
  </si>
  <si>
    <t>La Conner</t>
  </si>
  <si>
    <t>Lake Chelan</t>
  </si>
  <si>
    <t>Lake Stevens</t>
  </si>
  <si>
    <t>Lake Washington</t>
  </si>
  <si>
    <t>Lakewood</t>
  </si>
  <si>
    <t>Lamont</t>
  </si>
  <si>
    <t>Liberty</t>
  </si>
  <si>
    <t>Lind</t>
  </si>
  <si>
    <t>Longview</t>
  </si>
  <si>
    <t>Loon Lake</t>
  </si>
  <si>
    <t>Lopez</t>
  </si>
  <si>
    <t>Lyle</t>
  </si>
  <si>
    <t>Lynden</t>
  </si>
  <si>
    <t>Mabton</t>
  </si>
  <si>
    <t>Mansfield</t>
  </si>
  <si>
    <t>Manson</t>
  </si>
  <si>
    <t>Mary M Knight</t>
  </si>
  <si>
    <t>Mary Walker</t>
  </si>
  <si>
    <t>Marysville</t>
  </si>
  <si>
    <t>Mccleary</t>
  </si>
  <si>
    <t>Mead</t>
  </si>
  <si>
    <t>Medical Lake</t>
  </si>
  <si>
    <t>Mercer Island</t>
  </si>
  <si>
    <t>Meridian</t>
  </si>
  <si>
    <t>Methow Valley</t>
  </si>
  <si>
    <t>Mill A</t>
  </si>
  <si>
    <t>Monroe</t>
  </si>
  <si>
    <t>Montesano</t>
  </si>
  <si>
    <t>Morton</t>
  </si>
  <si>
    <t>Moses Lake</t>
  </si>
  <si>
    <t>Mossyrock</t>
  </si>
  <si>
    <t>Mount Adams</t>
  </si>
  <si>
    <t>Mount Baker</t>
  </si>
  <si>
    <t>Mount Pleasant</t>
  </si>
  <si>
    <t>Mount Vernon</t>
  </si>
  <si>
    <t>Mukilteo</t>
  </si>
  <si>
    <t>Naches Valley</t>
  </si>
  <si>
    <t>Napavine</t>
  </si>
  <si>
    <t>Naselle-Grays River</t>
  </si>
  <si>
    <t>Nespelem</t>
  </si>
  <si>
    <t>Newport</t>
  </si>
  <si>
    <t>Nine Mile Falls</t>
  </si>
  <si>
    <t>Nooksack Valley</t>
  </si>
  <si>
    <t>North Beach</t>
  </si>
  <si>
    <t>North Franklin</t>
  </si>
  <si>
    <t>North Kitsap</t>
  </si>
  <si>
    <t>North Mason</t>
  </si>
  <si>
    <t>North River</t>
  </si>
  <si>
    <t>North Thurston</t>
  </si>
  <si>
    <t>Northport</t>
  </si>
  <si>
    <t>Northshore</t>
  </si>
  <si>
    <t>Oak Harbor</t>
  </si>
  <si>
    <t>Oakesdale</t>
  </si>
  <si>
    <t>Oakville</t>
  </si>
  <si>
    <t>Ocean Beach</t>
  </si>
  <si>
    <t>Ocosta</t>
  </si>
  <si>
    <t>Odessa</t>
  </si>
  <si>
    <t>Okanogan</t>
  </si>
  <si>
    <t>Olympia</t>
  </si>
  <si>
    <t>Omak</t>
  </si>
  <si>
    <t>Onalaska</t>
  </si>
  <si>
    <t>Onion Creek</t>
  </si>
  <si>
    <t>Orcas Island</t>
  </si>
  <si>
    <t>Orchard Prairie</t>
  </si>
  <si>
    <t>Orient</t>
  </si>
  <si>
    <t>Orondo</t>
  </si>
  <si>
    <t>Oroville</t>
  </si>
  <si>
    <t>Orting</t>
  </si>
  <si>
    <t>Othello</t>
  </si>
  <si>
    <t>Palisades</t>
  </si>
  <si>
    <t>Palouse</t>
  </si>
  <si>
    <t>Pasco</t>
  </si>
  <si>
    <t>Pateros</t>
  </si>
  <si>
    <t>Pe Ell</t>
  </si>
  <si>
    <t>Peninsula</t>
  </si>
  <si>
    <t>Pioneer</t>
  </si>
  <si>
    <t>Pomeroy</t>
  </si>
  <si>
    <t>Port Angeles</t>
  </si>
  <si>
    <t>Port Townsend</t>
  </si>
  <si>
    <t>Prescott</t>
  </si>
  <si>
    <t>Pride Prep</t>
  </si>
  <si>
    <t>Prosser</t>
  </si>
  <si>
    <t>Pullman</t>
  </si>
  <si>
    <t>Puyallup</t>
  </si>
  <si>
    <t>Queets-Clearwater</t>
  </si>
  <si>
    <t>Quilcene</t>
  </si>
  <si>
    <t>Quillayute Valley</t>
  </si>
  <si>
    <t>Quincy</t>
  </si>
  <si>
    <t>Rainier</t>
  </si>
  <si>
    <t>Rainier Prep</t>
  </si>
  <si>
    <t>Reardan-Edwall</t>
  </si>
  <si>
    <t>Renton</t>
  </si>
  <si>
    <t>Republic</t>
  </si>
  <si>
    <t>Richland</t>
  </si>
  <si>
    <t>Ridgefield</t>
  </si>
  <si>
    <t>Ritzville</t>
  </si>
  <si>
    <t>Riverside</t>
  </si>
  <si>
    <t>Riverview</t>
  </si>
  <si>
    <t>Rochester</t>
  </si>
  <si>
    <t>Roosevelt</t>
  </si>
  <si>
    <t>Rosalia</t>
  </si>
  <si>
    <t>Royal</t>
  </si>
  <si>
    <t>San Juan</t>
  </si>
  <si>
    <t>Satsop</t>
  </si>
  <si>
    <t>Seattle</t>
  </si>
  <si>
    <t>Sedro-Woolley</t>
  </si>
  <si>
    <t>Selah</t>
  </si>
  <si>
    <t>Selkirk</t>
  </si>
  <si>
    <t>Sequim</t>
  </si>
  <si>
    <t>Shelton</t>
  </si>
  <si>
    <t>Shoreline</t>
  </si>
  <si>
    <t>Skamania</t>
  </si>
  <si>
    <t>Skykomish</t>
  </si>
  <si>
    <t>Snohomish</t>
  </si>
  <si>
    <t>Snoqualmie Valley</t>
  </si>
  <si>
    <t>Soap Lake</t>
  </si>
  <si>
    <t>South Bend</t>
  </si>
  <si>
    <t>South Kitsap</t>
  </si>
  <si>
    <t>South Whidbey</t>
  </si>
  <si>
    <t>Southside</t>
  </si>
  <si>
    <t>Spokane</t>
  </si>
  <si>
    <t>Spokane Intl Academy</t>
  </si>
  <si>
    <t>Sprague</t>
  </si>
  <si>
    <t>St John</t>
  </si>
  <si>
    <t>Stanwood-Camano</t>
  </si>
  <si>
    <t>Starbuck</t>
  </si>
  <si>
    <t>Steilacoom Hist.</t>
  </si>
  <si>
    <t>Steptoe</t>
  </si>
  <si>
    <t>Stevenson-Carson</t>
  </si>
  <si>
    <t>Sultan</t>
  </si>
  <si>
    <t>Summit Atlas</t>
  </si>
  <si>
    <t>Summit Olympus</t>
  </si>
  <si>
    <t>Summit Sierra</t>
  </si>
  <si>
    <t>Summit Valley</t>
  </si>
  <si>
    <t>Sumner</t>
  </si>
  <si>
    <t>Sunnyside</t>
  </si>
  <si>
    <t>Suquamish</t>
  </si>
  <si>
    <t>Tacoma</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</si>
  <si>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</si>
  <si>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</si>
  <si>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</si>
  <si>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</si>
  <si>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</si>
  <si>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</si>
  <si>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</si>
  <si>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</si>
  <si>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</si>
  <si>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</si>
  <si>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</si>
  <si>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</si>
  <si>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</si>
  <si>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</si>
  <si>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</si>
  <si>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</si>
  <si>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</si>
  <si>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Wahkiakum</t>
  </si>
  <si>
    <t>Wahluke</t>
  </si>
  <si>
    <t>Waitsburg</t>
  </si>
  <si>
    <t>Walla Walla</t>
  </si>
  <si>
    <t>Wapato</t>
  </si>
  <si>
    <t>Warden</t>
  </si>
  <si>
    <t>Washougal</t>
  </si>
  <si>
    <t>Washtucna</t>
  </si>
  <si>
    <t>Waterville</t>
  </si>
  <si>
    <t>Wellpinit</t>
  </si>
  <si>
    <t>Wenatchee</t>
  </si>
  <si>
    <t>West Valley 208</t>
  </si>
  <si>
    <t>West Valley 363</t>
  </si>
  <si>
    <t>White Pass</t>
  </si>
  <si>
    <t>White River</t>
  </si>
  <si>
    <t>White Salmon</t>
  </si>
  <si>
    <t>Wilbur</t>
  </si>
  <si>
    <t>Willapa Valley</t>
  </si>
  <si>
    <t>Winlock</t>
  </si>
  <si>
    <t>Wishkah Valley</t>
  </si>
  <si>
    <t>Wishram</t>
  </si>
  <si>
    <t>Woodland</t>
  </si>
  <si>
    <t>Yakima</t>
  </si>
  <si>
    <t>Yelm</t>
  </si>
  <si>
    <t>Zillah</t>
  </si>
  <si>
    <t>117</t>
  </si>
  <si>
    <t>18-19 Final State Expenditures</t>
  </si>
  <si>
    <t>19-20 Final State Expenditures</t>
  </si>
  <si>
    <t>20-21 Final Child Count 3-21</t>
  </si>
  <si>
    <t>20-21 Final State Expenditures</t>
  </si>
  <si>
    <t>17-18 Final State Expenditures</t>
  </si>
  <si>
    <t>Yes</t>
  </si>
  <si>
    <t>MOE Compliance Testing Results</t>
  </si>
  <si>
    <t>Almira</t>
  </si>
  <si>
    <t>Brinnon</t>
  </si>
  <si>
    <t>Colville</t>
  </si>
  <si>
    <t>Damman</t>
  </si>
  <si>
    <t>Evaline</t>
  </si>
  <si>
    <t>Grapeview</t>
  </si>
  <si>
    <t>Klickitat</t>
  </si>
  <si>
    <t>Lacrosse</t>
  </si>
  <si>
    <t>Lake Quinault</t>
  </si>
  <si>
    <t>Paterson</t>
  </si>
  <si>
    <t>Shaw Island</t>
  </si>
  <si>
    <t>Star</t>
  </si>
  <si>
    <t>Stehekin</t>
  </si>
  <si>
    <t>Taholah</t>
  </si>
  <si>
    <t>Wilson Creek</t>
  </si>
  <si>
    <t>met</t>
  </si>
  <si>
    <t>N/A</t>
  </si>
  <si>
    <t>Closed</t>
  </si>
  <si>
    <t>20-21</t>
  </si>
  <si>
    <t>2019-20 Compliance</t>
  </si>
  <si>
    <t>2020-21 Compliance</t>
  </si>
  <si>
    <t>Kalama (ESA 112)</t>
  </si>
  <si>
    <t>Charter</t>
  </si>
  <si>
    <t>WHY NOT YOU ACADEMY</t>
  </si>
  <si>
    <t>ESD 112</t>
  </si>
  <si>
    <t>Rainier Valley Leadership</t>
  </si>
  <si>
    <t>27902</t>
  </si>
  <si>
    <t>Impact Commencement Bay Tacoma</t>
  </si>
  <si>
    <t>Impact Public Charter</t>
  </si>
  <si>
    <t>Impact Salish Sea Elementary</t>
  </si>
  <si>
    <t>04901</t>
  </si>
  <si>
    <t>PINNACLES PREP</t>
  </si>
  <si>
    <t>38901</t>
  </si>
  <si>
    <t>PULLMAN COMMUNITY</t>
  </si>
  <si>
    <t>37902</t>
  </si>
  <si>
    <t>WHATCOM INTERNGENERATIONAL HS</t>
  </si>
  <si>
    <t>Tribal</t>
  </si>
  <si>
    <t>LUMENS HIGH SCHOOL</t>
  </si>
  <si>
    <t>Start in Tab 2. Getting Started</t>
  </si>
  <si>
    <t xml:space="preserve">     Cell L5:  enter total state (program 21) expenditures</t>
  </si>
  <si>
    <t>Submit LEA's MOE Calculator along with supporting documentation to speced.fiscal@k12.wa.us</t>
  </si>
  <si>
    <t xml:space="preserve">     Cell B3:  Enter district's CCDDD#  (see Tab CCDDD#)</t>
  </si>
  <si>
    <t>Go to Tab 4. Multi-Year MOE Summary</t>
  </si>
  <si>
    <t xml:space="preserve">     If LEA "Did Not Meet" in any of the methods, review allowable exceptions and enter data in Tab 6. Year 1 Exc &amp; Adj in the Compliance Area.</t>
  </si>
  <si>
    <t xml:space="preserve">          https://www.k12.wa.us/policy-funding/special-education-funding-and-finance/special-education-funding-washington-state</t>
  </si>
  <si>
    <t xml:space="preserve">     Review Allowable Exceptions and Adjustments to MOE located:</t>
  </si>
  <si>
    <t xml:space="preserve">                     scroll down to Maintenance of Effort heading</t>
  </si>
  <si>
    <t>WHY NOT YOU ACADEMY (Cascade Midway)</t>
  </si>
  <si>
    <t>Enter CCDDD # in Cell B3</t>
  </si>
  <si>
    <t>BAINBRIDGE ISLAND</t>
  </si>
  <si>
    <t>BURLINGTON-EDISON</t>
  </si>
  <si>
    <t>CARBONADO HISTORICAL</t>
  </si>
  <si>
    <t>COLUMBIA NO. 206</t>
  </si>
  <si>
    <t>COLUMBIA NO. 400</t>
  </si>
  <si>
    <t>EAST VALLEY NO. 361</t>
  </si>
  <si>
    <t>EAST VALLEY NO. 90</t>
  </si>
  <si>
    <t>EVERGREEN NO. 114</t>
  </si>
  <si>
    <t>EVERGREEN NO. 205</t>
  </si>
  <si>
    <t>IMPACT PUBLIC SCHOOLS</t>
  </si>
  <si>
    <t>KIONA-BENTON CITY</t>
  </si>
  <si>
    <t>LACROSSE</t>
  </si>
  <si>
    <t>MARY M. KNIGHT</t>
  </si>
  <si>
    <t>MCCLEARY</t>
  </si>
  <si>
    <t>MOUNT VERNON</t>
  </si>
  <si>
    <t>NASELLE-GRAYS RIVER</t>
  </si>
  <si>
    <t>ORCAS ISLAND</t>
  </si>
  <si>
    <t>RAINIER PREP</t>
  </si>
  <si>
    <t>SAN JUAN ISLAND</t>
  </si>
  <si>
    <t>SEDRO-WOOLLEY</t>
  </si>
  <si>
    <t>ST. JOHN</t>
  </si>
  <si>
    <t>STEILACOOM HISTORICAL</t>
  </si>
  <si>
    <t>SUMNER-BONNEY LAKE</t>
  </si>
  <si>
    <t>VALLEY NO. 70</t>
  </si>
  <si>
    <t>WEST VALLEY NO. 208</t>
  </si>
  <si>
    <t>WEST VALLEY NO. 363</t>
  </si>
  <si>
    <t xml:space="preserve">     Cell K5: enter total local expenditures related to students with disabilities</t>
  </si>
  <si>
    <t>PK</t>
  </si>
  <si>
    <t>K</t>
  </si>
  <si>
    <t>1</t>
  </si>
  <si>
    <t>2</t>
  </si>
  <si>
    <t>3</t>
  </si>
  <si>
    <t>4</t>
  </si>
  <si>
    <t>5</t>
  </si>
  <si>
    <t>6</t>
  </si>
  <si>
    <t>7</t>
  </si>
  <si>
    <t>8</t>
  </si>
  <si>
    <t>9</t>
  </si>
  <si>
    <t>10</t>
  </si>
  <si>
    <t>11</t>
  </si>
  <si>
    <t>12</t>
  </si>
  <si>
    <t>Grand Total</t>
  </si>
  <si>
    <t>Kiona-Benton City</t>
  </si>
  <si>
    <t>Evergreen No. 114</t>
  </si>
  <si>
    <t>Coulee-Hartline</t>
  </si>
  <si>
    <t>McCleary</t>
  </si>
  <si>
    <t>Summit Public Schools: Sierra</t>
  </si>
  <si>
    <t>Summit Public Schools: Atlas</t>
  </si>
  <si>
    <t>Rainier Valley Leadership Academy</t>
  </si>
  <si>
    <t>Catalyst Public Schools</t>
  </si>
  <si>
    <t>Suquamish Tribal Education Department</t>
  </si>
  <si>
    <t>Mary M. Knight</t>
  </si>
  <si>
    <t>Steilacoom Historical</t>
  </si>
  <si>
    <t>Carbonado Historical</t>
  </si>
  <si>
    <t>Sumner-Bonney Lake</t>
  </si>
  <si>
    <t>Summit Public School: Olympus</t>
  </si>
  <si>
    <t>Lopez Island</t>
  </si>
  <si>
    <t>San Juan Island</t>
  </si>
  <si>
    <t>East Valley No. 361</t>
  </si>
  <si>
    <t>West Valley No. 363</t>
  </si>
  <si>
    <t>Spokane International Academy</t>
  </si>
  <si>
    <t>PRIDE Prep</t>
  </si>
  <si>
    <t>Valley No. 70</t>
  </si>
  <si>
    <t>Evergreen No. 205</t>
  </si>
  <si>
    <t>Columbia No. 206</t>
  </si>
  <si>
    <t>School for the Blind</t>
  </si>
  <si>
    <t>900</t>
  </si>
  <si>
    <t>Washington Center for Deaf and Hard of Hearing Youth</t>
  </si>
  <si>
    <t>Columbia No. 400</t>
  </si>
  <si>
    <t>St. John</t>
  </si>
  <si>
    <t>East Valley No. 90</t>
  </si>
  <si>
    <t>West Valley No. 208</t>
  </si>
  <si>
    <t>x</t>
  </si>
  <si>
    <t>LUMEN PUBLIC SCHOOL</t>
  </si>
  <si>
    <t>RAINIER VALLEY LEADERSHIP ACADEMY</t>
  </si>
  <si>
    <t>SPOKANE INTERNATIONAL ACADEMY</t>
  </si>
  <si>
    <t>totals</t>
  </si>
  <si>
    <t>21-22</t>
  </si>
  <si>
    <t>2021-22 Compliance</t>
  </si>
  <si>
    <t>Raymond</t>
  </si>
  <si>
    <t>Serving District Code Institution</t>
  </si>
  <si>
    <t>Serv District - Institution</t>
  </si>
  <si>
    <t>Coop</t>
  </si>
  <si>
    <t>21302-I</t>
  </si>
  <si>
    <t>Chehalis-Green Hill</t>
  </si>
  <si>
    <t>Impact - Commencement Bay Elementary</t>
  </si>
  <si>
    <t>Impact - Puget Sound Elementary</t>
  </si>
  <si>
    <t>Impact - Salish Sea Elementary</t>
  </si>
  <si>
    <t>17411-I</t>
  </si>
  <si>
    <t>Issaquah-Echo Glen</t>
  </si>
  <si>
    <t>Kalama</t>
  </si>
  <si>
    <t>Lumen Charter</t>
  </si>
  <si>
    <t>25155-I</t>
  </si>
  <si>
    <t>Naselle-Grays River-Youth Camp</t>
  </si>
  <si>
    <t>18801</t>
  </si>
  <si>
    <t>Olympic ESD</t>
  </si>
  <si>
    <t>Pinnacles Prep</t>
  </si>
  <si>
    <t>Pullman Community Montessori</t>
  </si>
  <si>
    <t>34979</t>
  </si>
  <si>
    <t>Washington Military Department</t>
  </si>
  <si>
    <t>Whatcom Intergenerational</t>
  </si>
  <si>
    <t>Why Not You</t>
  </si>
  <si>
    <t>21-22 Final Child Count 3-21</t>
  </si>
  <si>
    <t>21-22 Final Local Expenditures</t>
  </si>
  <si>
    <t>21-22 Final State Expenditures</t>
  </si>
  <si>
    <t>21-22 Final State/Local Expenditures</t>
  </si>
  <si>
    <t>111</t>
  </si>
  <si>
    <t>205</t>
  </si>
  <si>
    <t>250</t>
  </si>
  <si>
    <t>County District Code</t>
  </si>
  <si>
    <t>Special Education-Supplemental, State (from Federal Sources)</t>
  </si>
  <si>
    <t>Special Education-Supplemental, State (from State Resources)</t>
  </si>
  <si>
    <t>Program 21 Special Education-Supplemental, State</t>
  </si>
  <si>
    <t>Statewide</t>
  </si>
  <si>
    <t>Bainbridge</t>
  </si>
  <si>
    <t>Burlington Edison</t>
  </si>
  <si>
    <t>Catalyst Charter</t>
  </si>
  <si>
    <t>27901</t>
  </si>
  <si>
    <t>Chief Leschi Tribal</t>
  </si>
  <si>
    <t>Columbia (Stevenson)</t>
  </si>
  <si>
    <t>Columbia (Walla)</t>
  </si>
  <si>
    <t>East Valley (Spokane)</t>
  </si>
  <si>
    <t>East Valley (Yakima)</t>
  </si>
  <si>
    <t>Evergreen (Clark)</t>
  </si>
  <si>
    <t>Evergreen (Stevevenson)</t>
  </si>
  <si>
    <t>Impact Comm Bay Charter</t>
  </si>
  <si>
    <t>Impact Puget Sound Charter</t>
  </si>
  <si>
    <t>Impact Salish Sea Charter</t>
  </si>
  <si>
    <t>Lacenter</t>
  </si>
  <si>
    <t>Lacrosse Joint</t>
  </si>
  <si>
    <t>37903</t>
  </si>
  <si>
    <t>Lummi Tribal</t>
  </si>
  <si>
    <t>Mc Cleary</t>
  </si>
  <si>
    <t>Mt Vernon</t>
  </si>
  <si>
    <t>Naselle Grays Riv</t>
  </si>
  <si>
    <t>Orcas</t>
  </si>
  <si>
    <t>Pinnacle Prep Charter</t>
  </si>
  <si>
    <t>Pride Prep Charter</t>
  </si>
  <si>
    <t>Pullman Mont Charter</t>
  </si>
  <si>
    <t>Quileute Tribal</t>
  </si>
  <si>
    <t>Rainier Prep Charter</t>
  </si>
  <si>
    <t>Reardan</t>
  </si>
  <si>
    <t>RVLA Charter</t>
  </si>
  <si>
    <t>Sedro Woolley</t>
  </si>
  <si>
    <t>Spokane Int'l Charter</t>
  </si>
  <si>
    <t>Stanwood</t>
  </si>
  <si>
    <t>Summit Atlas Charter</t>
  </si>
  <si>
    <t>Summit Olympus Charter</t>
  </si>
  <si>
    <t>Summit Sierra Charter</t>
  </si>
  <si>
    <t>Suquamish (Chief Kitsap) Tribal</t>
  </si>
  <si>
    <t>34901</t>
  </si>
  <si>
    <t>Wa He Lut Tribal</t>
  </si>
  <si>
    <t>West Valley (Spokane)</t>
  </si>
  <si>
    <t>West Valley (Yakima)</t>
  </si>
  <si>
    <t>Whatcom Int'g Charter</t>
  </si>
  <si>
    <t>Why Not You Charter</t>
  </si>
  <si>
    <t>2021-22 Program to Resource - Source Mike Sando</t>
  </si>
  <si>
    <t>Source is November 2021 child count</t>
  </si>
  <si>
    <t>CATALYST CHARTER</t>
  </si>
  <si>
    <t>Special Education-Supplemental, State (from Other Resources)</t>
  </si>
  <si>
    <t>IMPACT COMMENCEMENT BAY TACOMA</t>
  </si>
  <si>
    <t>Impact Commencement Bay</t>
  </si>
  <si>
    <t>Impact Puget Sound</t>
  </si>
  <si>
    <t>Impact Salish Sea</t>
  </si>
  <si>
    <t>22-23</t>
  </si>
  <si>
    <t>22-23 Final Child Count 3-21</t>
  </si>
  <si>
    <t>22-23 Final Local Expenditures</t>
  </si>
  <si>
    <t>22-23 Final State/Local Expenditures</t>
  </si>
  <si>
    <t>School Age (Age 5 and Grade K through Ages 21) Novembe 2022 Federal Child Count</t>
  </si>
  <si>
    <t>Why Not You Academy</t>
  </si>
  <si>
    <t>Institution Dist Name</t>
  </si>
  <si>
    <t>Districts::ESD</t>
  </si>
  <si>
    <t>PK-12</t>
  </si>
  <si>
    <t>Total 3-21 CC</t>
  </si>
  <si>
    <t>Excel Public Charter-closed August 2019</t>
  </si>
  <si>
    <t>Green Dot Destiny-closed August 2019</t>
  </si>
  <si>
    <t>Soar Academy-closed August 2019</t>
  </si>
  <si>
    <t>closed August 2019</t>
  </si>
  <si>
    <t>2022-23 Resource to Program</t>
  </si>
  <si>
    <t>205 - Local</t>
  </si>
  <si>
    <t>250 - Program 21</t>
  </si>
  <si>
    <t>Special Education-Supplemental, State (Federal Resources)</t>
  </si>
  <si>
    <t>Special Education-Supplemental, State (Other Resources)</t>
  </si>
  <si>
    <t>Special Education-Supplemental, State (State Resources)</t>
  </si>
  <si>
    <t>OSPI</t>
  </si>
  <si>
    <t>Quinault</t>
  </si>
  <si>
    <t>17903</t>
  </si>
  <si>
    <t>Muckleshoot Tribal</t>
  </si>
  <si>
    <t>charter</t>
  </si>
  <si>
    <t>Reported 0 SWDs</t>
  </si>
  <si>
    <t xml:space="preserve"> </t>
  </si>
  <si>
    <t>2022-23 Compliance</t>
  </si>
  <si>
    <t>Did not apply</t>
  </si>
  <si>
    <t>Total Local &amp; Program 21</t>
  </si>
  <si>
    <t>901 - Total C+D+E</t>
  </si>
  <si>
    <t>901 (C+D+E)</t>
  </si>
  <si>
    <t>Total State &amp; Local Resources (D+E))</t>
  </si>
  <si>
    <t>closed</t>
  </si>
  <si>
    <t>Reports 0 SWDs</t>
  </si>
  <si>
    <t>Resources to Program Expenditures</t>
  </si>
  <si>
    <t>Program 21</t>
  </si>
  <si>
    <t>2017-2018</t>
  </si>
  <si>
    <t>Program Expenditures</t>
  </si>
  <si>
    <t>State Resources</t>
  </si>
  <si>
    <t>Federal Resources</t>
  </si>
  <si>
    <t>Other Resources</t>
  </si>
  <si>
    <t>Total Resources</t>
  </si>
  <si>
    <t>District</t>
  </si>
  <si>
    <t>COLUMBIA (Stevens)</t>
  </si>
  <si>
    <t>COLUMBIA (Walla Walla)</t>
  </si>
  <si>
    <t>EAST VALLEY (Spokane)</t>
  </si>
  <si>
    <t>EAST VALLEY (Yakima)</t>
  </si>
  <si>
    <t>EVERGREEN</t>
  </si>
  <si>
    <t>EXCEL PUBLIC SCHOOL</t>
  </si>
  <si>
    <t>GREEN DOT-DESTINY</t>
  </si>
  <si>
    <t>KIONA-BENTON</t>
  </si>
  <si>
    <t>LUMMI TRIBAL AGENCY</t>
  </si>
  <si>
    <t>MUCKLESHOOT INDIAN TRIBE</t>
  </si>
  <si>
    <t>QUILLAYUTE TRIBAL SCHOOL</t>
  </si>
  <si>
    <t>SHAW</t>
  </si>
  <si>
    <t>SOAR ACADEMY</t>
  </si>
  <si>
    <t>STANWOOD</t>
  </si>
  <si>
    <t>SUMMIT OLYMPUS</t>
  </si>
  <si>
    <t>SUMMIT  SIERRA</t>
  </si>
  <si>
    <t>SUMMIT ATLAS</t>
  </si>
  <si>
    <t xml:space="preserve">SUQUAMISH TRIBAL EDUCATION </t>
  </si>
  <si>
    <t>WA HE LUT Indian School Agency</t>
  </si>
  <si>
    <t>WEST VALLEY (Spokane)</t>
  </si>
  <si>
    <t>WEST VALLEY (Yakima)</t>
  </si>
  <si>
    <t>YELM COMMUNITY SCHS.</t>
  </si>
  <si>
    <t>RLV (GREEN DOT-RAINIER VALLEY)</t>
  </si>
  <si>
    <t>Green Dot Destiny (closed August 2019)</t>
  </si>
  <si>
    <t>Excell (Green Dot Public Schools) (closed 8/2019)</t>
  </si>
  <si>
    <t>2018-2019</t>
  </si>
  <si>
    <t>QUINAULT</t>
  </si>
  <si>
    <t>SUMMIT: SIERRA</t>
  </si>
  <si>
    <t>SUMMIT:ATLAS</t>
  </si>
  <si>
    <t>GREEN DOT-EXCEL</t>
  </si>
  <si>
    <t>GREEN DOT-RAINIER VALLEY</t>
  </si>
  <si>
    <t>CHIEF LESCHI TRIBAL</t>
  </si>
  <si>
    <t>SUMMIT: OLYMPUS</t>
  </si>
  <si>
    <t>WA HE LUT Tribal School</t>
  </si>
  <si>
    <t>36901</t>
  </si>
  <si>
    <t>WILLOW (INOVATION ACADEMY)</t>
  </si>
  <si>
    <t xml:space="preserve">Willow (Inovation Academy) (closed fall 2019) </t>
  </si>
  <si>
    <t>2019–2020</t>
  </si>
  <si>
    <t>39901</t>
  </si>
  <si>
    <t>YAKAMA NATION TRIBAL SCHOOL</t>
  </si>
  <si>
    <t>Total State &amp; Other Resources</t>
  </si>
  <si>
    <t>Willow (Innovation) (closed fall 2020)</t>
  </si>
  <si>
    <t>2020-21</t>
  </si>
  <si>
    <t>Total State and Other Resources</t>
  </si>
  <si>
    <t>IMPACT SALISH SEA</t>
  </si>
  <si>
    <t>Serving District Code</t>
  </si>
  <si>
    <t>Serving LEA</t>
  </si>
  <si>
    <t>Impact Public Schools</t>
  </si>
  <si>
    <t>Lumen Public School</t>
  </si>
  <si>
    <t>Salish Sea Elementary</t>
  </si>
  <si>
    <t>Willow Public Charter</t>
  </si>
  <si>
    <t>Has not Reported Child Cound</t>
  </si>
  <si>
    <t>Shaw Island-did not apply for FP 267 in 2021/22, 2022/23</t>
  </si>
  <si>
    <t>Did not Apply</t>
  </si>
  <si>
    <t>901</t>
  </si>
  <si>
    <t>Total State &amp; Local Resources</t>
  </si>
  <si>
    <t>22-23 Final State Expenditures</t>
  </si>
  <si>
    <t>23-24 Final Child Count 3-21</t>
  </si>
  <si>
    <t>23-24 Final Local Expenditures</t>
  </si>
  <si>
    <t>23-24 Final State Expenditures</t>
  </si>
  <si>
    <t>23-24 Final State/Local Expenditures</t>
  </si>
  <si>
    <t>Met with Exceptions</t>
  </si>
  <si>
    <t>Age</t>
  </si>
  <si>
    <t>Secondary IEP Pilot</t>
  </si>
  <si>
    <t>Serving ESD</t>
  </si>
  <si>
    <t>(blank)</t>
  </si>
  <si>
    <t>Columbia No. 206 (Stevens)</t>
  </si>
  <si>
    <t>Columbia No. 400 (Walla Walla)</t>
  </si>
  <si>
    <t>East Valley No. 361 (Spokane)</t>
  </si>
  <si>
    <t>East Valley No. 90 (Yakima)</t>
  </si>
  <si>
    <t>Evergreen No. 114 (Clark)</t>
  </si>
  <si>
    <t>Evergreen No. 205 (Stevens)</t>
  </si>
  <si>
    <t>Impact | Black River Elementary</t>
  </si>
  <si>
    <t>17919</t>
  </si>
  <si>
    <t>Impact | Commencement</t>
  </si>
  <si>
    <t>Impact | Puget Sound Elementary</t>
  </si>
  <si>
    <t>Impact | Salish Sea Elementary</t>
  </si>
  <si>
    <t>LaCrosse</t>
  </si>
  <si>
    <t>yes</t>
  </si>
  <si>
    <t>Olympic ESD (Det Ctr)</t>
  </si>
  <si>
    <t>Rainier Valley Leadership Academy (formely Green Dot)</t>
  </si>
  <si>
    <t>Rooted School Vancouver</t>
  </si>
  <si>
    <t>06901</t>
  </si>
  <si>
    <t xml:space="preserve">St. John </t>
  </si>
  <si>
    <t>Summit Public School: Atlas</t>
  </si>
  <si>
    <t>Summit Public School: Sierra</t>
  </si>
  <si>
    <t>Suquamish Tribal Ed Dept</t>
  </si>
  <si>
    <t>WA Military Dept</t>
  </si>
  <si>
    <t>WA State CDHHY</t>
  </si>
  <si>
    <t>WA State School for the Blind</t>
  </si>
  <si>
    <t>West Valley No. 208 (Yakima)</t>
  </si>
  <si>
    <t>West Valley No. 363 (Spokane)</t>
  </si>
  <si>
    <t>Whatcom Integenerational</t>
  </si>
  <si>
    <t>Why Not You Academy (formerly Cascade: Midway charter)</t>
  </si>
  <si>
    <t>Grand Total 3-21</t>
  </si>
  <si>
    <t>Impact Black River Elementary</t>
  </si>
  <si>
    <t>Rooter School WA</t>
  </si>
  <si>
    <t>ROOTED</t>
  </si>
  <si>
    <t>IMPACT BLACK RIVER</t>
  </si>
  <si>
    <t>Innovation Spokane (Pride) Charter</t>
  </si>
  <si>
    <t>2023-24 Compliance</t>
  </si>
  <si>
    <t>23-24</t>
  </si>
  <si>
    <t>2023-24 Resource to Program</t>
  </si>
  <si>
    <t>205 Local</t>
  </si>
  <si>
    <t>250 Prg 21 (State SpEd)</t>
  </si>
  <si>
    <t>901 - total of (E+F)</t>
  </si>
  <si>
    <t>Rooted Schools Charter</t>
  </si>
  <si>
    <t>Impact Black River Charter</t>
  </si>
  <si>
    <t>Shaw</t>
  </si>
  <si>
    <t>SOAR ACADEMY (closed August 2019)</t>
  </si>
  <si>
    <t>STEHEKIN (has never applied for IDEA B funds)</t>
  </si>
  <si>
    <t>Stehekin (has never applied)</t>
  </si>
  <si>
    <t xml:space="preserve">     Cell I1:  Enter LEA's November Federal Child Count (consult Special Education/ESD Special Education November Federal Child Count)</t>
  </si>
  <si>
    <t>Tab 17. Year 5 Amounts</t>
  </si>
  <si>
    <t xml:space="preserve">     Review Line 7 (Year 5).  If LEA "Met" at least one method (F4,H4, J4, L4) the LEA has Met MOE Compliance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</si>
</sst>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quot;$&quot;#,##0.00"/>
    <numFmt numFmtId="166" formatCode="_(* #,##0.0_);_(* \(#,##0.0\);_(* &quot;-&quot;??_);_(@_)"/>
    <numFmt numFmtId="167" formatCode="#,##0.00;\(#,##0.00\)"/>
  </numFmts>
  <fonts count="66"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11"/>
      <color theme="1"/>
      <name val="Calibri"/>
      <family val="2"/>
      <scheme val="minor"/>
    </font>
    <font>
      <sz val="12"/>
      <name val="Calibri"/>
      <family val="2"/>
      <scheme val="minor"/>
    </font>
    <font>
      <b/>
      <sz val="12"/>
      <name val="Calibri"/>
      <family val="2"/>
      <scheme val="minor"/>
    </font>
    <font>
      <sz val="12"/>
      <color theme="1"/>
      <name val="Calibri"/>
      <family val="2"/>
      <scheme val="minor"/>
    </font>
    <font>
      <sz val="14"/>
      <color theme="1"/>
      <name val="Calibri"/>
      <family val="2"/>
      <scheme val="minor"/>
    </font>
    <font>
      <sz val="12"/>
      <color theme="0"/>
      <name val="Calibri"/>
      <family val="2"/>
      <scheme val="minor"/>
    </font>
    <font>
      <b/>
      <sz val="14"/>
      <name val="Calibri"/>
      <family val="2"/>
      <scheme val="minor"/>
    </font>
    <font>
      <sz val="9"/>
      <color theme="0"/>
      <name val="Calibri"/>
      <family val="2"/>
      <scheme val="minor"/>
    </font>
    <font>
      <sz val="9"/>
      <color theme="1"/>
      <name val="Calibri"/>
      <family val="2"/>
      <scheme val="minor"/>
    </font>
    <font>
      <i/>
      <sz val="9"/>
      <color rgb="FF000000"/>
      <name val="Calibri"/>
      <family val="2"/>
      <scheme val="minor"/>
    </font>
    <font>
      <b/>
      <sz val="14"/>
      <color theme="0"/>
      <name val="Calibri"/>
      <family val="2"/>
      <scheme val="minor"/>
    </font>
    <font>
      <u/>
      <sz val="12"/>
      <color theme="10"/>
      <name val="Calibri"/>
      <family val="2"/>
      <scheme val="minor"/>
    </font>
    <font>
      <b/>
      <sz val="9"/>
      <color theme="0"/>
      <name val="Calibri"/>
      <family val="2"/>
      <scheme val="minor"/>
    </font>
    <font>
      <b/>
      <sz val="9"/>
      <color theme="1"/>
      <name val="Calibri"/>
      <family val="2"/>
      <scheme val="minor"/>
    </font>
    <font>
      <sz val="14"/>
      <color rgb="FFFF0000"/>
      <name val="Calibri"/>
      <family val="2"/>
      <scheme val="minor"/>
    </font>
    <font>
      <b/>
      <sz val="12"/>
      <color rgb="FF000000"/>
      <name val="Calibri"/>
      <family val="2"/>
      <scheme val="minor"/>
    </font>
    <font>
      <sz val="12"/>
      <color rgb="FF000000"/>
      <name val="Calibri"/>
      <family val="2"/>
      <scheme val="minor"/>
    </font>
    <font>
      <b/>
      <sz val="12"/>
      <color theme="0"/>
      <name val="Calibri"/>
      <family val="2"/>
      <scheme val="minor"/>
    </font>
    <font>
      <sz val="14"/>
      <name val="Calibri"/>
      <family val="2"/>
      <scheme val="minor"/>
    </font>
    <font>
      <b/>
      <sz val="14"/>
      <color rgb="FFFF0000"/>
      <name val="Calibri"/>
      <family val="2"/>
      <scheme val="minor"/>
    </font>
    <font>
      <b/>
      <sz val="16"/>
      <color theme="1"/>
      <name val="Calibri"/>
      <family val="2"/>
      <scheme val="minor"/>
    </font>
    <font>
      <sz val="16"/>
      <color theme="1"/>
      <name val="Calibri"/>
      <family val="2"/>
      <scheme val="minor"/>
    </font>
    <font>
      <sz val="36"/>
      <color rgb="FF000000"/>
      <name val="Calibri"/>
      <family val="2"/>
      <scheme val="minor"/>
    </font>
    <font>
      <sz val="16"/>
      <color rgb="FF000000"/>
      <name val="Calibri"/>
      <family val="2"/>
      <scheme val="minor"/>
    </font>
    <font>
      <b/>
      <sz val="11"/>
      <color rgb="FF000000"/>
      <name val="Calibri"/>
      <family val="2"/>
      <scheme val="minor"/>
    </font>
    <font>
      <sz val="11"/>
      <name val="Calibri"/>
      <family val="2"/>
      <scheme val="minor"/>
    </font>
    <font>
      <sz val="8"/>
      <name val="Calibri"/>
      <family val="2"/>
      <scheme val="minor"/>
    </font>
    <font>
      <sz val="12"/>
      <color rgb="FF006100"/>
      <name val="Calibri"/>
      <family val="2"/>
      <scheme val="minor"/>
    </font>
    <font>
      <b/>
      <u/>
      <sz val="14"/>
      <color theme="10"/>
      <name val="Calibri"/>
      <family val="2"/>
      <scheme val="minor"/>
    </font>
    <font>
      <b/>
      <sz val="12"/>
      <color rgb="FFFF0000"/>
      <name val="Calibri"/>
      <family val="2"/>
      <scheme val="minor"/>
    </font>
    <font>
      <sz val="13"/>
      <color rgb="FFFF0000"/>
      <name val="Calibri"/>
      <family val="2"/>
      <scheme val="minor"/>
    </font>
    <font>
      <sz val="11"/>
      <color theme="0"/>
      <name val="Calibri"/>
      <family val="2"/>
      <scheme val="minor"/>
    </font>
    <font>
      <b/>
      <sz val="11"/>
      <name val="Calibri"/>
      <family val="2"/>
      <scheme val="minor"/>
    </font>
    <font>
      <sz val="16"/>
      <color theme="0"/>
      <name val="Calibri"/>
      <family val="2"/>
      <scheme val="minor"/>
    </font>
    <font>
      <i/>
      <sz val="12"/>
      <color theme="1"/>
      <name val="Calibri"/>
      <family val="2"/>
      <scheme val="minor"/>
    </font>
    <font>
      <b/>
      <sz val="9"/>
      <color indexed="81"/>
      <name val="Tahoma"/>
      <family val="2"/>
    </font>
    <font>
      <sz val="9"/>
      <color indexed="81"/>
      <name val="Tahoma"/>
      <family val="2"/>
    </font>
    <font>
      <b/>
      <sz val="9"/>
      <color theme="1"/>
      <name val="Arial"/>
      <family val="2"/>
    </font>
    <font>
      <sz val="12"/>
      <color rgb="FFC00000"/>
      <name val="Calibri"/>
      <family val="2"/>
      <scheme val="minor"/>
    </font>
    <font>
      <sz val="9"/>
      <color rgb="FF333333"/>
      <name val="Arial"/>
      <family val="2"/>
    </font>
    <font>
      <sz val="9"/>
      <color rgb="FF666666"/>
      <name val="Arial"/>
      <family val="2"/>
    </font>
    <font>
      <b/>
      <sz val="9"/>
      <color rgb="FF666666"/>
      <name val="Arial"/>
      <family val="2"/>
    </font>
    <font>
      <b/>
      <sz val="9"/>
      <color rgb="FF333333"/>
      <name val="Arial"/>
      <family val="2"/>
    </font>
    <font>
      <b/>
      <sz val="14"/>
      <color rgb="FF333333"/>
      <name val="Arial"/>
      <family val="2"/>
    </font>
    <font>
      <sz val="9"/>
      <name val="Arial"/>
      <family val="2"/>
    </font>
    <font>
      <b/>
      <sz val="9"/>
      <color rgb="FFFF0000"/>
      <name val="Calibri"/>
      <family val="2"/>
      <scheme val="minor"/>
    </font>
    <font>
      <b/>
      <sz val="11"/>
      <color rgb="FFFF0000"/>
      <name val="Calibri"/>
      <family val="2"/>
      <scheme val="minor"/>
    </font>
    <font>
      <b/>
      <sz val="16"/>
      <color theme="1"/>
      <name val="Arial"/>
      <family val="2"/>
    </font>
    <font>
      <b/>
      <sz val="12"/>
      <color theme="1"/>
      <name val="Arial"/>
      <family val="2"/>
    </font>
    <font>
      <b/>
      <sz val="11"/>
      <color theme="1"/>
      <name val="Arial"/>
      <family val="2"/>
    </font>
    <font>
      <sz val="11"/>
      <color theme="1"/>
      <name val="Arial"/>
      <family val="2"/>
    </font>
    <font>
      <sz val="12"/>
      <name val="Arial"/>
      <family val="2"/>
    </font>
    <font>
      <sz val="12"/>
      <color theme="1"/>
      <name val="Arial"/>
      <family val="2"/>
    </font>
    <font>
      <sz val="10"/>
      <name val="Arial"/>
      <family val="2"/>
    </font>
    <font>
      <sz val="11"/>
      <name val="Arial"/>
      <family val="2"/>
    </font>
    <font>
      <b/>
      <sz val="9"/>
      <name val="Arial"/>
      <family val="2"/>
    </font>
    <font>
      <b/>
      <sz val="12"/>
      <color rgb="FF666666"/>
      <name val="Arial"/>
      <family val="2"/>
    </font>
    <font>
      <b/>
      <sz val="12"/>
      <color rgb="FF333333"/>
      <name val="Arial"/>
      <family val="2"/>
    </font>
    <font>
      <sz val="9"/>
      <name val="Calibri"/>
      <family val="2"/>
      <scheme val="minor"/>
    </font>
    <font>
      <b/>
      <sz val="9"/>
      <color theme="5"/>
      <name val="Calibri"/>
      <family val="2"/>
      <scheme val="minor"/>
    </font>
    <font>
      <b/>
      <sz val="11"/>
      <color theme="5"/>
      <name val="Calibri"/>
      <family val="2"/>
      <scheme val="minor"/>
    </font>
    <font>
      <b/>
      <sz val="11"/>
      <color rgb="FF00B050"/>
      <name val="Calibri"/>
      <family val="2"/>
      <scheme val="minor"/>
    </font>
  </fonts>
  <fills count="13">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1"/>
        <bgColor indexed="64"/>
      </patternFill>
    </fill>
    <fill>
      <patternFill patternType="solid">
        <fgColor rgb="FFC6EFCE"/>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4.9989318521683403E-2"/>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thin">
        <color indexed="64"/>
      </bottom>
      <diagonal/>
    </border>
    <border>
      <left style="thin">
        <color auto="1"/>
      </left>
      <right style="thick">
        <color auto="1"/>
      </right>
      <top/>
      <bottom style="thick">
        <color auto="1"/>
      </bottom>
      <diagonal/>
    </border>
    <border>
      <left style="thick">
        <color auto="1"/>
      </left>
      <right style="thin">
        <color auto="1"/>
      </right>
      <top/>
      <bottom style="thick">
        <color auto="1"/>
      </bottom>
      <diagonal/>
    </border>
    <border>
      <left style="thin">
        <color auto="1"/>
      </left>
      <right style="thick">
        <color auto="1"/>
      </right>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ck">
        <color auto="1"/>
      </left>
      <right style="thin">
        <color auto="1"/>
      </right>
      <top style="thick">
        <color auto="1"/>
      </top>
      <bottom style="thick">
        <color auto="1"/>
      </bottom>
      <diagonal/>
    </border>
    <border>
      <left style="thick">
        <color auto="1"/>
      </left>
      <right style="thin">
        <color auto="1"/>
      </right>
      <top style="thin">
        <color auto="1"/>
      </top>
      <bottom style="thick">
        <color auto="1"/>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thin">
        <color auto="1"/>
      </bottom>
      <diagonal/>
    </border>
    <border>
      <left style="medium">
        <color auto="1"/>
      </left>
      <right/>
      <top style="thin">
        <color auto="1"/>
      </top>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style="medium">
        <color auto="1"/>
      </bottom>
      <diagonal/>
    </border>
    <border>
      <left/>
      <right/>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thin">
        <color theme="0"/>
      </left>
      <right/>
      <top style="thin">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bottom style="medium">
        <color auto="1"/>
      </bottom>
      <diagonal/>
    </border>
    <border>
      <left style="thin">
        <color auto="1"/>
      </left>
      <right style="thin">
        <color theme="0"/>
      </right>
      <top style="thin">
        <color auto="1"/>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theme="0"/>
      </left>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theme="0"/>
      </right>
      <top style="thin">
        <color theme="0"/>
      </top>
      <bottom/>
      <diagonal/>
    </border>
    <border>
      <left style="thin">
        <color theme="0"/>
      </left>
      <right/>
      <top style="thin">
        <color theme="0"/>
      </top>
      <bottom/>
      <diagonal/>
    </border>
    <border>
      <left style="thick">
        <color auto="1"/>
      </left>
      <right style="thin">
        <color auto="1"/>
      </right>
      <top/>
      <bottom/>
      <diagonal/>
    </border>
    <border>
      <left style="thick">
        <color auto="1"/>
      </left>
      <right style="thin">
        <color auto="1"/>
      </right>
      <top style="thick">
        <color auto="1"/>
      </top>
      <bottom style="thin">
        <color auto="1"/>
      </bottom>
      <diagonal/>
    </border>
    <border>
      <left/>
      <right style="thick">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top style="thick">
        <color auto="1"/>
      </top>
      <bottom style="thin">
        <color auto="1"/>
      </bottom>
      <diagonal/>
    </border>
    <border>
      <left/>
      <right/>
      <top style="thick">
        <color auto="1"/>
      </top>
      <bottom/>
      <diagonal/>
    </border>
    <border>
      <left/>
      <right/>
      <top/>
      <bottom style="thick">
        <color auto="1"/>
      </bottom>
      <diagonal/>
    </border>
    <border>
      <left/>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top/>
      <bottom style="thick">
        <color auto="1"/>
      </bottom>
      <diagonal/>
    </border>
    <border>
      <left style="thick">
        <color auto="1"/>
      </left>
      <right style="thin">
        <color auto="1"/>
      </right>
      <top style="thin">
        <color auto="1"/>
      </top>
      <bottom/>
      <diagonal/>
    </border>
    <border>
      <left style="thick">
        <color auto="1"/>
      </left>
      <right/>
      <top style="thin">
        <color auto="1"/>
      </top>
      <bottom style="thin">
        <color auto="1"/>
      </bottom>
      <diagonal/>
    </border>
    <border>
      <left/>
      <right style="medium">
        <color indexed="64"/>
      </right>
      <top style="medium">
        <color indexed="64"/>
      </top>
      <bottom style="thin">
        <color indexed="64"/>
      </bottom>
      <diagonal/>
    </border>
    <border>
      <left/>
      <right/>
      <top/>
      <bottom style="double">
        <color indexed="64"/>
      </bottom>
      <diagonal/>
    </border>
    <border>
      <left/>
      <right style="medium">
        <color auto="1"/>
      </right>
      <top/>
      <bottom style="double">
        <color indexed="64"/>
      </bottom>
      <diagonal/>
    </border>
    <border>
      <left/>
      <right style="thick">
        <color auto="1"/>
      </right>
      <top/>
      <bottom/>
      <diagonal/>
    </border>
    <border>
      <left/>
      <right style="thick">
        <color auto="1"/>
      </right>
      <top/>
      <bottom style="thick">
        <color auto="1"/>
      </bottom>
      <diagonal/>
    </border>
    <border>
      <left/>
      <right style="thick">
        <color auto="1"/>
      </right>
      <top/>
      <bottom style="double">
        <color indexed="64"/>
      </bottom>
      <diagonal/>
    </border>
    <border>
      <left/>
      <right/>
      <top style="double">
        <color indexed="64"/>
      </top>
      <bottom/>
      <diagonal/>
    </border>
  </borders>
  <cellStyleXfs count="8">
    <xf numFmtId="0" fontId="0" fillId="0" borderId="0"/>
    <xf numFmtId="43" fontId="4" fillId="0" borderId="0" applyFont="0" applyFill="0" applyBorder="0" applyAlignment="0" applyProtection="0"/>
    <xf numFmtId="44" fontId="4" fillId="0" borderId="0" applyFont="0" applyFill="0" applyBorder="0" applyAlignment="0" applyProtection="0"/>
    <xf numFmtId="0" fontId="7" fillId="0" borderId="0"/>
    <xf numFmtId="44" fontId="7" fillId="0" borderId="0" applyFont="0" applyFill="0" applyBorder="0" applyAlignment="0" applyProtection="0"/>
    <xf numFmtId="0" fontId="15" fillId="0" borderId="0" applyNumberFormat="0" applyFill="0" applyBorder="0" applyAlignment="0" applyProtection="0"/>
    <xf numFmtId="9" fontId="7" fillId="0" borderId="0" applyFont="0" applyFill="0" applyBorder="0" applyAlignment="0" applyProtection="0"/>
    <xf numFmtId="9" fontId="4" fillId="0" borderId="0" applyFont="0" applyFill="0" applyBorder="0" applyAlignment="0" applyProtection="0"/>
  </cellStyleXfs>
  <cellXfs count="689">
    <xf numFmtId="0" fontId="0" fillId="0" borderId="0" xfId="0"/>
    <xf numFmtId="0" fontId="0" fillId="0" borderId="0" xfId="0" applyAlignment="1">
      <alignment wrapText="1"/>
    </xf>
    <xf numFmtId="0" fontId="1" fillId="0" borderId="0" xfId="0" applyFont="1"/>
    <xf numFmtId="0" fontId="0" fillId="0" borderId="1" xfId="0" applyBorder="1"/>
    <xf numFmtId="0" fontId="0" fillId="0" borderId="0" xfId="0" applyAlignment="1">
      <alignment horizontal="centerContinuous"/>
    </xf>
    <xf numFmtId="0" fontId="2" fillId="0" borderId="0" xfId="0" applyFont="1" applyAlignment="1">
      <alignment horizontal="centerContinuous"/>
    </xf>
    <xf numFmtId="0" fontId="1" fillId="0" borderId="0" xfId="0" applyFont="1" applyAlignment="1">
      <alignment wrapText="1"/>
    </xf>
    <xf numFmtId="0" fontId="5" fillId="3" borderId="2" xfId="0" applyFont="1" applyFill="1" applyBorder="1"/>
    <xf numFmtId="0" fontId="1" fillId="0" borderId="0" xfId="0" applyFont="1" applyAlignment="1">
      <alignment horizontal="centerContinuous" wrapText="1"/>
    </xf>
    <xf numFmtId="44" fontId="0" fillId="0" borderId="0" xfId="0" applyNumberFormat="1"/>
    <xf numFmtId="0" fontId="7" fillId="0" borderId="0" xfId="3"/>
    <xf numFmtId="0" fontId="2" fillId="0" borderId="0" xfId="3" applyFont="1"/>
    <xf numFmtId="0" fontId="9" fillId="0" borderId="0" xfId="3" applyFont="1" applyAlignment="1">
      <alignment horizontal="center"/>
    </xf>
    <xf numFmtId="0" fontId="11" fillId="0" borderId="0" xfId="3" applyFont="1" applyAlignment="1">
      <alignment horizontal="center"/>
    </xf>
    <xf numFmtId="0" fontId="12" fillId="0" borderId="0" xfId="3" applyFont="1"/>
    <xf numFmtId="0" fontId="2" fillId="0" borderId="0" xfId="3" applyFont="1" applyAlignment="1">
      <alignment horizontal="center"/>
    </xf>
    <xf numFmtId="0" fontId="2" fillId="0" borderId="5" xfId="0" applyFont="1" applyBorder="1" applyAlignment="1">
      <alignment horizontal="centerContinuous"/>
    </xf>
    <xf numFmtId="44" fontId="0" fillId="0" borderId="1" xfId="0" applyNumberFormat="1" applyBorder="1"/>
    <xf numFmtId="0" fontId="3" fillId="0" borderId="0" xfId="0" applyFont="1" applyAlignment="1">
      <alignment horizontal="centerContinuous"/>
    </xf>
    <xf numFmtId="0" fontId="2" fillId="0" borderId="19" xfId="3" applyFont="1" applyBorder="1" applyAlignment="1">
      <alignment vertical="center"/>
    </xf>
    <xf numFmtId="0" fontId="7" fillId="0" borderId="0" xfId="3" applyAlignment="1">
      <alignment vertical="center"/>
    </xf>
    <xf numFmtId="0" fontId="2" fillId="0" borderId="0" xfId="3" applyFont="1" applyAlignment="1">
      <alignment vertical="center"/>
    </xf>
    <xf numFmtId="0" fontId="3" fillId="0" borderId="20" xfId="3" applyFont="1" applyBorder="1" applyAlignment="1">
      <alignment horizontal="centerContinuous" vertical="center"/>
    </xf>
    <xf numFmtId="0" fontId="3" fillId="0" borderId="21" xfId="3" applyFont="1" applyBorder="1" applyAlignment="1">
      <alignment horizontal="centerContinuous" vertical="center"/>
    </xf>
    <xf numFmtId="0" fontId="3" fillId="0" borderId="22" xfId="3" applyFont="1" applyBorder="1" applyAlignment="1">
      <alignment horizontal="centerContinuous" vertical="center"/>
    </xf>
    <xf numFmtId="0" fontId="3" fillId="0" borderId="0" xfId="3" applyFont="1" applyAlignment="1">
      <alignment vertical="center"/>
    </xf>
    <xf numFmtId="0" fontId="3" fillId="0" borderId="23" xfId="3" applyFont="1" applyBorder="1" applyAlignment="1">
      <alignment vertical="center"/>
    </xf>
    <xf numFmtId="0" fontId="3" fillId="0" borderId="24" xfId="3" applyFont="1" applyBorder="1" applyAlignment="1">
      <alignment vertical="center"/>
    </xf>
    <xf numFmtId="0" fontId="2" fillId="0" borderId="25" xfId="3" applyFont="1" applyBorder="1" applyAlignment="1">
      <alignment horizontal="centerContinuous" vertical="center"/>
    </xf>
    <xf numFmtId="0" fontId="2" fillId="0" borderId="26" xfId="3" applyFont="1" applyBorder="1" applyAlignment="1">
      <alignment horizontal="centerContinuous" vertical="center"/>
    </xf>
    <xf numFmtId="0" fontId="2" fillId="0" borderId="27" xfId="3" applyFont="1" applyBorder="1" applyAlignment="1">
      <alignment horizontal="centerContinuous" vertical="center"/>
    </xf>
    <xf numFmtId="0" fontId="3" fillId="0" borderId="28" xfId="3" applyFont="1" applyBorder="1" applyAlignment="1">
      <alignment vertical="center"/>
    </xf>
    <xf numFmtId="0" fontId="3" fillId="0" borderId="27" xfId="3" applyFont="1" applyBorder="1" applyAlignment="1">
      <alignment horizontal="centerContinuous" vertical="center"/>
    </xf>
    <xf numFmtId="0" fontId="6" fillId="3" borderId="29" xfId="3" applyFont="1" applyFill="1" applyBorder="1" applyAlignment="1" applyProtection="1">
      <alignment vertical="center" wrapText="1"/>
      <protection locked="0"/>
    </xf>
    <xf numFmtId="0" fontId="6" fillId="3" borderId="30" xfId="3" applyFont="1" applyFill="1" applyBorder="1" applyAlignment="1" applyProtection="1">
      <alignment vertical="center" wrapText="1"/>
      <protection locked="0"/>
    </xf>
    <xf numFmtId="0" fontId="6" fillId="3" borderId="17" xfId="3" applyFont="1" applyFill="1" applyBorder="1" applyAlignment="1" applyProtection="1">
      <alignment vertical="center" wrapText="1"/>
      <protection locked="0"/>
    </xf>
    <xf numFmtId="0" fontId="6" fillId="3" borderId="17" xfId="3" applyFont="1" applyFill="1" applyBorder="1" applyAlignment="1">
      <alignment horizontal="center" vertical="center" wrapText="1"/>
    </xf>
    <xf numFmtId="0" fontId="3" fillId="0" borderId="0" xfId="3" applyFont="1" applyAlignment="1">
      <alignment horizontal="center" wrapText="1"/>
    </xf>
    <xf numFmtId="44" fontId="0" fillId="3" borderId="13" xfId="4" applyFont="1" applyFill="1" applyBorder="1" applyAlignment="1">
      <alignment vertical="center"/>
    </xf>
    <xf numFmtId="0" fontId="7" fillId="3" borderId="0" xfId="3" applyFill="1" applyAlignment="1">
      <alignment vertical="center"/>
    </xf>
    <xf numFmtId="0" fontId="7" fillId="3" borderId="35" xfId="3" applyFill="1" applyBorder="1" applyAlignment="1">
      <alignment vertical="center"/>
    </xf>
    <xf numFmtId="0" fontId="3" fillId="3" borderId="0" xfId="3" applyFont="1" applyFill="1" applyAlignment="1">
      <alignment horizontal="right" vertical="center"/>
    </xf>
    <xf numFmtId="44" fontId="3" fillId="3" borderId="36" xfId="4" applyFont="1" applyFill="1" applyBorder="1" applyAlignment="1">
      <alignment vertical="center"/>
    </xf>
    <xf numFmtId="0" fontId="3" fillId="3" borderId="0" xfId="3" applyFont="1" applyFill="1" applyAlignment="1">
      <alignment vertical="center"/>
    </xf>
    <xf numFmtId="0" fontId="2" fillId="3" borderId="0" xfId="3" applyFont="1" applyFill="1" applyAlignment="1">
      <alignment horizontal="right" vertical="center"/>
    </xf>
    <xf numFmtId="0" fontId="14" fillId="0" borderId="0" xfId="3" applyFont="1" applyAlignment="1">
      <alignment horizontal="center" vertical="center"/>
    </xf>
    <xf numFmtId="0" fontId="16" fillId="0" borderId="0" xfId="3" applyFont="1" applyAlignment="1">
      <alignment horizontal="center" vertical="center"/>
    </xf>
    <xf numFmtId="0" fontId="17" fillId="0" borderId="0" xfId="3" applyFont="1" applyAlignment="1">
      <alignment vertical="center"/>
    </xf>
    <xf numFmtId="0" fontId="7" fillId="2" borderId="19" xfId="3" applyFill="1" applyBorder="1" applyAlignment="1" applyProtection="1">
      <alignment vertical="center"/>
      <protection locked="0"/>
    </xf>
    <xf numFmtId="0" fontId="7" fillId="2" borderId="31" xfId="3" applyFill="1" applyBorder="1" applyAlignment="1" applyProtection="1">
      <alignment vertical="center"/>
      <protection locked="0"/>
    </xf>
    <xf numFmtId="0" fontId="7" fillId="2" borderId="32" xfId="3" applyFill="1" applyBorder="1" applyAlignment="1" applyProtection="1">
      <alignment vertical="center"/>
      <protection locked="0"/>
    </xf>
    <xf numFmtId="0" fontId="7" fillId="2" borderId="13" xfId="3" applyFill="1" applyBorder="1" applyAlignment="1" applyProtection="1">
      <alignment vertical="center"/>
      <protection locked="0"/>
    </xf>
    <xf numFmtId="44" fontId="0" fillId="2" borderId="13" xfId="4" applyFont="1" applyFill="1" applyBorder="1" applyAlignment="1" applyProtection="1">
      <alignment vertical="center"/>
      <protection locked="0"/>
    </xf>
    <xf numFmtId="0" fontId="7" fillId="2" borderId="33" xfId="3" applyFill="1" applyBorder="1" applyAlignment="1" applyProtection="1">
      <alignment vertical="center"/>
      <protection locked="0"/>
    </xf>
    <xf numFmtId="0" fontId="7" fillId="2" borderId="1" xfId="3" applyFill="1" applyBorder="1" applyAlignment="1" applyProtection="1">
      <alignment vertical="center"/>
      <protection locked="0"/>
    </xf>
    <xf numFmtId="0" fontId="7" fillId="2" borderId="34" xfId="3" applyFill="1" applyBorder="1" applyAlignment="1" applyProtection="1">
      <alignment vertical="center"/>
      <protection locked="0"/>
    </xf>
    <xf numFmtId="44" fontId="0" fillId="2" borderId="34" xfId="4" applyFont="1" applyFill="1" applyBorder="1" applyAlignment="1" applyProtection="1">
      <alignment vertical="center"/>
      <protection locked="0"/>
    </xf>
    <xf numFmtId="0" fontId="18" fillId="0" borderId="0" xfId="3" applyFont="1" applyAlignment="1">
      <alignment vertical="top"/>
    </xf>
    <xf numFmtId="0" fontId="7" fillId="3" borderId="0" xfId="3" applyFill="1"/>
    <xf numFmtId="0" fontId="2" fillId="3" borderId="0" xfId="3" applyFont="1" applyFill="1"/>
    <xf numFmtId="0" fontId="19" fillId="0" borderId="20" xfId="3" applyFont="1" applyBorder="1" applyAlignment="1">
      <alignment horizontal="centerContinuous" vertical="center"/>
    </xf>
    <xf numFmtId="0" fontId="19" fillId="0" borderId="21" xfId="3" applyFont="1" applyBorder="1" applyAlignment="1">
      <alignment horizontal="centerContinuous" vertical="center"/>
    </xf>
    <xf numFmtId="0" fontId="19" fillId="0" borderId="22" xfId="3" applyFont="1" applyBorder="1" applyAlignment="1">
      <alignment horizontal="centerContinuous" vertical="center"/>
    </xf>
    <xf numFmtId="0" fontId="19" fillId="0" borderId="39" xfId="3" applyFont="1" applyBorder="1" applyAlignment="1">
      <alignment vertical="center"/>
    </xf>
    <xf numFmtId="0" fontId="7" fillId="3" borderId="0" xfId="3" applyFill="1" applyAlignment="1">
      <alignment horizontal="center"/>
    </xf>
    <xf numFmtId="0" fontId="19" fillId="0" borderId="23" xfId="3" applyFont="1" applyBorder="1" applyAlignment="1">
      <alignment horizontal="left" vertical="center"/>
    </xf>
    <xf numFmtId="0" fontId="19" fillId="0" borderId="24" xfId="3" applyFont="1" applyBorder="1" applyAlignment="1">
      <alignment horizontal="center" vertical="center"/>
    </xf>
    <xf numFmtId="0" fontId="19" fillId="0" borderId="24" xfId="3" applyFont="1" applyBorder="1" applyAlignment="1">
      <alignment horizontal="left" vertical="center"/>
    </xf>
    <xf numFmtId="0" fontId="19" fillId="0" borderId="27" xfId="3" applyFont="1" applyBorder="1" applyAlignment="1">
      <alignment horizontal="left" vertical="center"/>
    </xf>
    <xf numFmtId="0" fontId="19" fillId="0" borderId="0" xfId="3" applyFont="1" applyAlignment="1">
      <alignment horizontal="left" vertical="center"/>
    </xf>
    <xf numFmtId="0" fontId="19" fillId="3" borderId="0" xfId="3" applyFont="1" applyFill="1" applyAlignment="1">
      <alignment horizontal="left" vertical="center"/>
    </xf>
    <xf numFmtId="0" fontId="19" fillId="0" borderId="39" xfId="3" applyFont="1" applyBorder="1" applyAlignment="1">
      <alignment horizontal="left" vertical="top"/>
    </xf>
    <xf numFmtId="0" fontId="19" fillId="0" borderId="0" xfId="3" applyFont="1" applyAlignment="1">
      <alignment horizontal="center" vertical="center"/>
    </xf>
    <xf numFmtId="0" fontId="19" fillId="0" borderId="37" xfId="3" applyFont="1" applyBorder="1" applyAlignment="1">
      <alignment horizontal="left" vertical="center"/>
    </xf>
    <xf numFmtId="0" fontId="19" fillId="3" borderId="0" xfId="3" applyFont="1" applyFill="1" applyAlignment="1">
      <alignment horizontal="center" vertical="center"/>
    </xf>
    <xf numFmtId="0" fontId="19" fillId="0" borderId="39" xfId="3" applyFont="1" applyBorder="1" applyAlignment="1">
      <alignment horizontal="left" indent="40"/>
    </xf>
    <xf numFmtId="0" fontId="19" fillId="0" borderId="0" xfId="3" applyFont="1" applyAlignment="1">
      <alignment horizontal="centerContinuous" vertical="center"/>
    </xf>
    <xf numFmtId="0" fontId="19" fillId="0" borderId="37" xfId="3" applyFont="1" applyBorder="1" applyAlignment="1">
      <alignment horizontal="centerContinuous" vertical="center"/>
    </xf>
    <xf numFmtId="0" fontId="6" fillId="3" borderId="40" xfId="3" applyFont="1" applyFill="1" applyBorder="1" applyAlignment="1">
      <alignment horizontal="centerContinuous" vertical="center"/>
    </xf>
    <xf numFmtId="0" fontId="6" fillId="3" borderId="25" xfId="3" applyFont="1" applyFill="1" applyBorder="1" applyAlignment="1">
      <alignment horizontal="centerContinuous" vertical="center"/>
    </xf>
    <xf numFmtId="0" fontId="6" fillId="3" borderId="25" xfId="3" applyFont="1" applyFill="1" applyBorder="1" applyAlignment="1">
      <alignment horizontal="center" vertical="center"/>
    </xf>
    <xf numFmtId="0" fontId="6" fillId="3" borderId="41" xfId="3" applyFont="1" applyFill="1" applyBorder="1" applyAlignment="1">
      <alignment horizontal="center" vertical="center"/>
    </xf>
    <xf numFmtId="0" fontId="5" fillId="3" borderId="4" xfId="3" applyFont="1" applyFill="1" applyBorder="1" applyAlignment="1">
      <alignment horizontal="center"/>
    </xf>
    <xf numFmtId="0" fontId="6" fillId="3" borderId="0" xfId="3" applyFont="1" applyFill="1" applyAlignment="1">
      <alignment horizontal="centerContinuous" vertical="center"/>
    </xf>
    <xf numFmtId="44" fontId="20" fillId="3" borderId="38" xfId="4" applyFont="1" applyFill="1" applyBorder="1" applyAlignment="1" applyProtection="1">
      <alignment horizontal="left" vertical="center"/>
    </xf>
    <xf numFmtId="44" fontId="20" fillId="3" borderId="0" xfId="4" applyFont="1" applyFill="1" applyBorder="1" applyAlignment="1" applyProtection="1">
      <alignment horizontal="left" vertical="center"/>
    </xf>
    <xf numFmtId="0" fontId="7" fillId="3" borderId="42" xfId="3" applyFill="1" applyBorder="1"/>
    <xf numFmtId="0" fontId="19" fillId="3" borderId="43" xfId="3" applyFont="1" applyFill="1" applyBorder="1" applyAlignment="1">
      <alignment horizontal="center" vertical="center"/>
    </xf>
    <xf numFmtId="0" fontId="19" fillId="3" borderId="44" xfId="3" applyFont="1" applyFill="1" applyBorder="1" applyAlignment="1">
      <alignment horizontal="left" vertical="center"/>
    </xf>
    <xf numFmtId="44" fontId="20" fillId="3" borderId="19" xfId="4" applyFont="1" applyFill="1" applyBorder="1" applyAlignment="1" applyProtection="1">
      <alignment horizontal="left" vertical="center"/>
    </xf>
    <xf numFmtId="44" fontId="20" fillId="3" borderId="45" xfId="4" applyFont="1" applyFill="1" applyBorder="1" applyAlignment="1" applyProtection="1">
      <alignment horizontal="left" vertical="center"/>
    </xf>
    <xf numFmtId="0" fontId="19" fillId="0" borderId="23" xfId="3" applyFont="1" applyBorder="1" applyAlignment="1">
      <alignment horizontal="left" indent="40"/>
    </xf>
    <xf numFmtId="0" fontId="19" fillId="0" borderId="24" xfId="3" applyFont="1" applyBorder="1" applyAlignment="1">
      <alignment horizontal="centerContinuous" vertical="center"/>
    </xf>
    <xf numFmtId="0" fontId="19" fillId="0" borderId="27" xfId="3" applyFont="1" applyBorder="1" applyAlignment="1">
      <alignment horizontal="centerContinuous" vertical="center"/>
    </xf>
    <xf numFmtId="44" fontId="20" fillId="3" borderId="0" xfId="3" applyNumberFormat="1" applyFont="1" applyFill="1" applyAlignment="1">
      <alignment horizontal="left" vertical="center"/>
    </xf>
    <xf numFmtId="0" fontId="19" fillId="3" borderId="3" xfId="3" applyFont="1" applyFill="1" applyBorder="1" applyAlignment="1">
      <alignment horizontal="center" vertical="center"/>
    </xf>
    <xf numFmtId="0" fontId="19" fillId="3" borderId="41" xfId="3" applyFont="1" applyFill="1" applyBorder="1" applyAlignment="1">
      <alignment horizontal="center" vertical="center"/>
    </xf>
    <xf numFmtId="0" fontId="21" fillId="3" borderId="25" xfId="3" applyFont="1" applyFill="1" applyBorder="1" applyAlignment="1">
      <alignment vertical="center"/>
    </xf>
    <xf numFmtId="0" fontId="19" fillId="3" borderId="0" xfId="3" applyFont="1" applyFill="1" applyAlignment="1">
      <alignment horizontal="centerContinuous" vertical="center"/>
    </xf>
    <xf numFmtId="44" fontId="20" fillId="3" borderId="0" xfId="3" applyNumberFormat="1" applyFont="1" applyFill="1" applyAlignment="1">
      <alignment horizontal="center" vertical="center"/>
    </xf>
    <xf numFmtId="0" fontId="20" fillId="4" borderId="34" xfId="3" applyFont="1" applyFill="1" applyBorder="1" applyAlignment="1" applyProtection="1">
      <alignment vertical="center"/>
      <protection locked="0"/>
    </xf>
    <xf numFmtId="0" fontId="7" fillId="3" borderId="33" xfId="3" applyFill="1" applyBorder="1"/>
    <xf numFmtId="0" fontId="19" fillId="3" borderId="46" xfId="3" applyFont="1" applyFill="1" applyBorder="1" applyAlignment="1">
      <alignment horizontal="center" vertical="center"/>
    </xf>
    <xf numFmtId="0" fontId="19" fillId="3" borderId="47" xfId="3" applyFont="1" applyFill="1" applyBorder="1" applyAlignment="1">
      <alignment horizontal="left" vertical="center"/>
    </xf>
    <xf numFmtId="44" fontId="20" fillId="3" borderId="1" xfId="4" applyFont="1" applyFill="1" applyBorder="1" applyAlignment="1" applyProtection="1">
      <alignment horizontal="left" vertical="center"/>
    </xf>
    <xf numFmtId="0" fontId="7" fillId="0" borderId="48" xfId="3" applyBorder="1"/>
    <xf numFmtId="0" fontId="19" fillId="0" borderId="49" xfId="3" applyFont="1" applyBorder="1" applyAlignment="1">
      <alignment horizontal="center" vertical="center"/>
    </xf>
    <xf numFmtId="0" fontId="7" fillId="3" borderId="49" xfId="3" applyFill="1" applyBorder="1"/>
    <xf numFmtId="0" fontId="19" fillId="0" borderId="49" xfId="3" applyFont="1" applyBorder="1" applyAlignment="1">
      <alignment horizontal="right" vertical="center"/>
    </xf>
    <xf numFmtId="44" fontId="19" fillId="0" borderId="45" xfId="3" applyNumberFormat="1" applyFont="1" applyBorder="1" applyAlignment="1">
      <alignment horizontal="left" vertical="center"/>
    </xf>
    <xf numFmtId="44" fontId="20" fillId="0" borderId="0" xfId="3" applyNumberFormat="1" applyFont="1" applyAlignment="1">
      <alignment horizontal="left" vertical="center"/>
    </xf>
    <xf numFmtId="0" fontId="19" fillId="0" borderId="49" xfId="3" applyFont="1" applyBorder="1" applyAlignment="1">
      <alignment horizontal="left" vertical="center"/>
    </xf>
    <xf numFmtId="0" fontId="19" fillId="0" borderId="23" xfId="3" applyFont="1" applyBorder="1" applyAlignment="1">
      <alignment vertical="center"/>
    </xf>
    <xf numFmtId="0" fontId="19" fillId="0" borderId="24" xfId="3" applyFont="1" applyBorder="1" applyAlignment="1">
      <alignment vertical="center"/>
    </xf>
    <xf numFmtId="0" fontId="19" fillId="0" borderId="27" xfId="3" applyFont="1" applyBorder="1" applyAlignment="1">
      <alignment vertical="center"/>
    </xf>
    <xf numFmtId="0" fontId="9" fillId="3" borderId="11" xfId="3" applyFont="1" applyFill="1" applyBorder="1" applyAlignment="1">
      <alignment horizontal="left" vertical="center"/>
    </xf>
    <xf numFmtId="9" fontId="6" fillId="3" borderId="30" xfId="6" applyFont="1" applyFill="1" applyBorder="1" applyAlignment="1" applyProtection="1">
      <alignment wrapText="1"/>
    </xf>
    <xf numFmtId="0" fontId="2" fillId="3" borderId="14" xfId="3" applyFont="1" applyFill="1" applyBorder="1"/>
    <xf numFmtId="0" fontId="19" fillId="3" borderId="0" xfId="3" applyFont="1" applyFill="1" applyAlignment="1">
      <alignment vertical="center"/>
    </xf>
    <xf numFmtId="0" fontId="20" fillId="3" borderId="0" xfId="3" applyFont="1" applyFill="1"/>
    <xf numFmtId="0" fontId="19" fillId="0" borderId="0" xfId="3" applyFont="1" applyAlignment="1">
      <alignment vertical="center"/>
    </xf>
    <xf numFmtId="0" fontId="9" fillId="3" borderId="39" xfId="3" applyFont="1" applyFill="1" applyBorder="1"/>
    <xf numFmtId="0" fontId="9" fillId="3" borderId="0" xfId="3" applyFont="1" applyFill="1"/>
    <xf numFmtId="0" fontId="20" fillId="0" borderId="0" xfId="3" applyFont="1"/>
    <xf numFmtId="0" fontId="20" fillId="0" borderId="39" xfId="3" applyFont="1" applyBorder="1"/>
    <xf numFmtId="0" fontId="20" fillId="3" borderId="2" xfId="3" applyFont="1" applyFill="1" applyBorder="1" applyAlignment="1">
      <alignment horizontal="left" vertical="center"/>
    </xf>
    <xf numFmtId="1" fontId="20" fillId="3" borderId="1" xfId="3" applyNumberFormat="1" applyFont="1" applyFill="1" applyBorder="1"/>
    <xf numFmtId="0" fontId="20" fillId="3" borderId="2" xfId="3" applyFont="1" applyFill="1" applyBorder="1" applyAlignment="1">
      <alignment vertical="center"/>
    </xf>
    <xf numFmtId="0" fontId="20" fillId="3" borderId="39" xfId="3" applyFont="1" applyFill="1" applyBorder="1"/>
    <xf numFmtId="9" fontId="20" fillId="3" borderId="0" xfId="6" applyFont="1" applyFill="1" applyBorder="1" applyProtection="1"/>
    <xf numFmtId="0" fontId="20" fillId="3" borderId="1" xfId="3" applyFont="1" applyFill="1" applyBorder="1"/>
    <xf numFmtId="0" fontId="19" fillId="0" borderId="0" xfId="3" applyFont="1" applyAlignment="1">
      <alignment vertical="center" wrapText="1"/>
    </xf>
    <xf numFmtId="9" fontId="19" fillId="3" borderId="0" xfId="6" applyFont="1" applyFill="1" applyBorder="1" applyAlignment="1" applyProtection="1">
      <alignment wrapText="1"/>
    </xf>
    <xf numFmtId="0" fontId="20" fillId="3" borderId="50" xfId="3" applyFont="1" applyFill="1" applyBorder="1" applyAlignment="1">
      <alignment vertical="center"/>
    </xf>
    <xf numFmtId="9" fontId="20" fillId="3" borderId="32" xfId="6" applyFont="1" applyFill="1" applyBorder="1" applyProtection="1"/>
    <xf numFmtId="9" fontId="20" fillId="0" borderId="0" xfId="6" applyFont="1" applyFill="1" applyBorder="1" applyProtection="1"/>
    <xf numFmtId="9" fontId="20" fillId="0" borderId="39" xfId="6" applyFont="1" applyFill="1" applyBorder="1" applyProtection="1"/>
    <xf numFmtId="44" fontId="5" fillId="3" borderId="0" xfId="4" applyFont="1" applyFill="1" applyBorder="1" applyProtection="1"/>
    <xf numFmtId="44" fontId="7" fillId="3" borderId="0" xfId="3" applyNumberFormat="1" applyFill="1"/>
    <xf numFmtId="0" fontId="7" fillId="3" borderId="47" xfId="3" applyFill="1" applyBorder="1"/>
    <xf numFmtId="44" fontId="5" fillId="3" borderId="1" xfId="4" applyFont="1" applyFill="1" applyBorder="1" applyProtection="1"/>
    <xf numFmtId="44" fontId="2" fillId="0" borderId="0" xfId="3" applyNumberFormat="1" applyFont="1"/>
    <xf numFmtId="44" fontId="7" fillId="0" borderId="0" xfId="3" applyNumberFormat="1"/>
    <xf numFmtId="44" fontId="2" fillId="3" borderId="32" xfId="3" applyNumberFormat="1" applyFont="1" applyFill="1" applyBorder="1"/>
    <xf numFmtId="44" fontId="20" fillId="3" borderId="0" xfId="3" applyNumberFormat="1" applyFont="1" applyFill="1" applyAlignment="1">
      <alignment vertical="center"/>
    </xf>
    <xf numFmtId="0" fontId="19" fillId="0" borderId="24" xfId="3" applyFont="1" applyBorder="1" applyAlignment="1">
      <alignment vertical="center" wrapText="1"/>
    </xf>
    <xf numFmtId="0" fontId="19" fillId="0" borderId="27" xfId="3" applyFont="1" applyBorder="1" applyAlignment="1">
      <alignment vertical="center" wrapText="1"/>
    </xf>
    <xf numFmtId="0" fontId="19" fillId="0" borderId="39" xfId="3" applyFont="1" applyBorder="1" applyAlignment="1">
      <alignment vertical="center" wrapText="1"/>
    </xf>
    <xf numFmtId="0" fontId="2" fillId="0" borderId="39" xfId="3" applyFont="1" applyBorder="1" applyAlignment="1">
      <alignment vertical="top"/>
    </xf>
    <xf numFmtId="0" fontId="19" fillId="0" borderId="37" xfId="3" applyFont="1" applyBorder="1" applyAlignment="1">
      <alignment horizontal="center" vertical="center"/>
    </xf>
    <xf numFmtId="0" fontId="7" fillId="0" borderId="39" xfId="3" applyBorder="1"/>
    <xf numFmtId="0" fontId="19" fillId="0" borderId="39" xfId="3" applyFont="1" applyBorder="1" applyAlignment="1">
      <alignment vertical="top"/>
    </xf>
    <xf numFmtId="0" fontId="7" fillId="0" borderId="37" xfId="3" applyBorder="1"/>
    <xf numFmtId="0" fontId="19" fillId="3" borderId="39" xfId="3" applyFont="1" applyFill="1" applyBorder="1" applyAlignment="1">
      <alignment horizontal="center" vertical="center"/>
    </xf>
    <xf numFmtId="0" fontId="19" fillId="3" borderId="17" xfId="3" applyFont="1" applyFill="1" applyBorder="1" applyAlignment="1">
      <alignment horizontal="center" vertical="center"/>
    </xf>
    <xf numFmtId="0" fontId="6" fillId="3" borderId="51" xfId="3" applyFont="1" applyFill="1" applyBorder="1" applyAlignment="1">
      <alignment horizontal="center"/>
    </xf>
    <xf numFmtId="44" fontId="20" fillId="0" borderId="0" xfId="3" applyNumberFormat="1" applyFont="1" applyAlignment="1">
      <alignment vertical="center"/>
    </xf>
    <xf numFmtId="0" fontId="19" fillId="3" borderId="31" xfId="3" applyFont="1" applyFill="1" applyBorder="1" applyAlignment="1">
      <alignment horizontal="left" vertical="center"/>
    </xf>
    <xf numFmtId="0" fontId="19" fillId="3" borderId="53" xfId="3" applyFont="1" applyFill="1" applyBorder="1" applyAlignment="1">
      <alignment horizontal="left" vertical="center"/>
    </xf>
    <xf numFmtId="44" fontId="19" fillId="3" borderId="52" xfId="4" applyFont="1" applyFill="1" applyBorder="1" applyAlignment="1" applyProtection="1">
      <alignment vertical="center"/>
    </xf>
    <xf numFmtId="0" fontId="19" fillId="3" borderId="2" xfId="3" applyFont="1" applyFill="1" applyBorder="1" applyAlignment="1">
      <alignment vertical="center"/>
    </xf>
    <xf numFmtId="0" fontId="6" fillId="3" borderId="1" xfId="3" applyFont="1" applyFill="1" applyBorder="1" applyAlignment="1">
      <alignment horizontal="center"/>
    </xf>
    <xf numFmtId="0" fontId="19" fillId="3" borderId="0" xfId="3" applyFont="1" applyFill="1" applyAlignment="1">
      <alignment vertical="center" wrapText="1"/>
    </xf>
    <xf numFmtId="0" fontId="19" fillId="3" borderId="0" xfId="3" applyFont="1" applyFill="1" applyAlignment="1">
      <alignment horizontal="left" vertical="center" wrapText="1"/>
    </xf>
    <xf numFmtId="0" fontId="19" fillId="3" borderId="39" xfId="3" applyFont="1" applyFill="1" applyBorder="1" applyAlignment="1">
      <alignment horizontal="left" vertical="center"/>
    </xf>
    <xf numFmtId="44" fontId="19" fillId="3" borderId="1" xfId="4" applyFont="1" applyFill="1" applyBorder="1" applyAlignment="1" applyProtection="1">
      <alignment vertical="center"/>
    </xf>
    <xf numFmtId="0" fontId="19" fillId="3" borderId="39" xfId="3" applyFont="1" applyFill="1" applyBorder="1" applyAlignment="1">
      <alignment horizontal="left" vertical="center" wrapText="1"/>
    </xf>
    <xf numFmtId="0" fontId="19" fillId="0" borderId="23" xfId="3" applyFont="1" applyBorder="1" applyAlignment="1">
      <alignment vertical="top"/>
    </xf>
    <xf numFmtId="0" fontId="19" fillId="0" borderId="37" xfId="3" applyFont="1" applyBorder="1" applyAlignment="1">
      <alignment horizontal="left" vertical="center" wrapText="1"/>
    </xf>
    <xf numFmtId="0" fontId="19" fillId="0" borderId="39" xfId="3" applyFont="1" applyBorder="1" applyAlignment="1">
      <alignment horizontal="left" vertical="center" wrapText="1"/>
    </xf>
    <xf numFmtId="0" fontId="19" fillId="0" borderId="0" xfId="3" applyFont="1" applyAlignment="1">
      <alignment horizontal="left" vertical="center" wrapText="1"/>
    </xf>
    <xf numFmtId="0" fontId="6" fillId="3" borderId="0" xfId="3" applyFont="1" applyFill="1" applyAlignment="1">
      <alignment horizontal="center"/>
    </xf>
    <xf numFmtId="0" fontId="6" fillId="3" borderId="17" xfId="3" applyFont="1" applyFill="1" applyBorder="1" applyAlignment="1">
      <alignment horizontal="center"/>
    </xf>
    <xf numFmtId="0" fontId="19" fillId="3" borderId="35" xfId="3" applyFont="1" applyFill="1" applyBorder="1" applyAlignment="1">
      <alignment horizontal="left" vertical="center"/>
    </xf>
    <xf numFmtId="44" fontId="19" fillId="3" borderId="13" xfId="4" applyFont="1" applyFill="1" applyBorder="1" applyAlignment="1">
      <alignment vertical="center"/>
    </xf>
    <xf numFmtId="0" fontId="19" fillId="3" borderId="35" xfId="3" applyFont="1" applyFill="1" applyBorder="1" applyAlignment="1">
      <alignment horizontal="left" vertical="center" wrapText="1"/>
    </xf>
    <xf numFmtId="0" fontId="6" fillId="0" borderId="54" xfId="3" applyFont="1" applyBorder="1" applyAlignment="1">
      <alignment vertical="center"/>
    </xf>
    <xf numFmtId="0" fontId="22" fillId="0" borderId="55" xfId="3" applyFont="1" applyBorder="1" applyAlignment="1">
      <alignment horizontal="centerContinuous" vertical="center" wrapText="1"/>
    </xf>
    <xf numFmtId="0" fontId="2" fillId="0" borderId="0" xfId="3" applyFont="1" applyAlignment="1">
      <alignment horizontal="centerContinuous"/>
    </xf>
    <xf numFmtId="0" fontId="21" fillId="3" borderId="56" xfId="3" applyFont="1" applyFill="1" applyBorder="1" applyAlignment="1">
      <alignment horizontal="left" vertical="center"/>
    </xf>
    <xf numFmtId="0" fontId="6" fillId="3" borderId="57" xfId="3" applyFont="1" applyFill="1" applyBorder="1" applyAlignment="1">
      <alignment horizontal="center"/>
    </xf>
    <xf numFmtId="0" fontId="2" fillId="3" borderId="2" xfId="3" applyFont="1" applyFill="1" applyBorder="1"/>
    <xf numFmtId="0" fontId="15" fillId="0" borderId="0" xfId="5" applyProtection="1"/>
    <xf numFmtId="0" fontId="9" fillId="3" borderId="0" xfId="3" applyFont="1" applyFill="1" applyAlignment="1">
      <alignment horizontal="center"/>
    </xf>
    <xf numFmtId="0" fontId="11" fillId="3" borderId="0" xfId="3" applyFont="1" applyFill="1" applyAlignment="1">
      <alignment horizontal="center"/>
    </xf>
    <xf numFmtId="0" fontId="12" fillId="3" borderId="0" xfId="3" applyFont="1" applyFill="1"/>
    <xf numFmtId="0" fontId="20" fillId="2" borderId="33" xfId="3" applyFont="1" applyFill="1" applyBorder="1" applyAlignment="1" applyProtection="1">
      <alignment vertical="center"/>
      <protection locked="0"/>
    </xf>
    <xf numFmtId="0" fontId="20" fillId="2" borderId="34" xfId="3" applyFont="1" applyFill="1" applyBorder="1" applyAlignment="1" applyProtection="1">
      <alignment vertical="center"/>
      <protection locked="0"/>
    </xf>
    <xf numFmtId="44" fontId="20" fillId="2" borderId="1" xfId="4" applyFont="1" applyFill="1" applyBorder="1" applyAlignment="1" applyProtection="1">
      <alignment horizontal="left" vertical="center"/>
      <protection locked="0"/>
    </xf>
    <xf numFmtId="0" fontId="20" fillId="2" borderId="2" xfId="3" applyFont="1" applyFill="1" applyBorder="1" applyAlignment="1" applyProtection="1">
      <alignment horizontal="left" vertical="center"/>
      <protection locked="0"/>
    </xf>
    <xf numFmtId="0" fontId="20" fillId="2" borderId="1" xfId="3" applyFont="1" applyFill="1" applyBorder="1" applyAlignment="1" applyProtection="1">
      <alignment horizontal="left" vertical="center"/>
      <protection locked="0"/>
    </xf>
    <xf numFmtId="0" fontId="20" fillId="2" borderId="31" xfId="3" applyFont="1" applyFill="1" applyBorder="1" applyAlignment="1" applyProtection="1">
      <alignment horizontal="left" vertical="center"/>
      <protection locked="0"/>
    </xf>
    <xf numFmtId="0" fontId="20" fillId="2" borderId="13" xfId="3" applyFont="1" applyFill="1" applyBorder="1" applyAlignment="1" applyProtection="1">
      <alignment vertical="center" wrapText="1"/>
      <protection locked="0"/>
    </xf>
    <xf numFmtId="44" fontId="20" fillId="2" borderId="52" xfId="4" applyFont="1" applyFill="1" applyBorder="1" applyAlignment="1" applyProtection="1">
      <alignment vertical="center"/>
      <protection locked="0"/>
    </xf>
    <xf numFmtId="0" fontId="20" fillId="2" borderId="33" xfId="3" applyFont="1" applyFill="1" applyBorder="1" applyAlignment="1" applyProtection="1">
      <alignment vertical="center" wrapText="1"/>
      <protection locked="0"/>
    </xf>
    <xf numFmtId="44" fontId="20" fillId="2" borderId="1" xfId="4" applyFont="1" applyFill="1" applyBorder="1" applyAlignment="1" applyProtection="1">
      <alignment vertical="center"/>
      <protection locked="0"/>
    </xf>
    <xf numFmtId="0" fontId="20" fillId="2" borderId="35" xfId="3" applyFont="1" applyFill="1" applyBorder="1" applyAlignment="1" applyProtection="1">
      <alignment horizontal="left" vertical="center"/>
      <protection locked="0"/>
    </xf>
    <xf numFmtId="44" fontId="20" fillId="2" borderId="13" xfId="4" applyFont="1" applyFill="1" applyBorder="1" applyAlignment="1" applyProtection="1">
      <alignment vertical="center"/>
      <protection locked="0"/>
    </xf>
    <xf numFmtId="44" fontId="2" fillId="2" borderId="38" xfId="4" applyFont="1" applyFill="1" applyBorder="1" applyAlignment="1" applyProtection="1">
      <alignment horizontal="left"/>
      <protection locked="0"/>
    </xf>
    <xf numFmtId="0" fontId="2" fillId="0" borderId="0" xfId="0" applyFont="1"/>
    <xf numFmtId="44" fontId="19" fillId="3" borderId="0" xfId="4" applyFont="1" applyFill="1" applyBorder="1" applyAlignment="1">
      <alignment vertical="center"/>
    </xf>
    <xf numFmtId="0" fontId="0" fillId="0" borderId="1" xfId="0" applyBorder="1" applyAlignment="1">
      <alignment horizontal="center"/>
    </xf>
    <xf numFmtId="0" fontId="23" fillId="0" borderId="0" xfId="0" applyFont="1" applyAlignment="1">
      <alignment horizontal="centerContinuous"/>
    </xf>
    <xf numFmtId="0" fontId="0" fillId="0" borderId="1" xfId="0" applyBorder="1" applyAlignment="1">
      <alignment vertical="center"/>
    </xf>
    <xf numFmtId="43" fontId="0" fillId="0" borderId="0" xfId="0" applyNumberFormat="1"/>
    <xf numFmtId="44" fontId="0" fillId="0" borderId="1" xfId="0" applyNumberFormat="1" applyBorder="1" applyAlignment="1">
      <alignment vertical="center"/>
    </xf>
    <xf numFmtId="0" fontId="7" fillId="0" borderId="19" xfId="3" applyBorder="1" applyAlignment="1" applyProtection="1">
      <alignment vertical="center"/>
      <protection locked="0"/>
    </xf>
    <xf numFmtId="0" fontId="3" fillId="0" borderId="23" xfId="3" applyFont="1" applyBorder="1" applyAlignment="1">
      <alignment horizontal="centerContinuous" vertical="center"/>
    </xf>
    <xf numFmtId="0" fontId="3" fillId="0" borderId="24" xfId="3" applyFont="1" applyBorder="1" applyAlignment="1">
      <alignment horizontal="centerContinuous" vertical="center"/>
    </xf>
    <xf numFmtId="0" fontId="2" fillId="0" borderId="0" xfId="3" applyFont="1" applyAlignment="1">
      <alignment horizontal="centerContinuous" vertical="center"/>
    </xf>
    <xf numFmtId="0" fontId="3" fillId="0" borderId="0" xfId="3" applyFont="1" applyAlignment="1">
      <alignment horizontal="centerContinuous" vertical="center"/>
    </xf>
    <xf numFmtId="0" fontId="3" fillId="0" borderId="37" xfId="3" applyFont="1" applyBorder="1" applyAlignment="1">
      <alignment horizontal="centerContinuous" vertical="center"/>
    </xf>
    <xf numFmtId="0" fontId="6" fillId="0" borderId="42" xfId="3" applyFont="1" applyBorder="1" applyAlignment="1" applyProtection="1">
      <alignment vertical="center" wrapText="1"/>
      <protection locked="0"/>
    </xf>
    <xf numFmtId="0" fontId="6" fillId="0" borderId="43" xfId="3" applyFont="1" applyBorder="1" applyAlignment="1" applyProtection="1">
      <alignment vertical="center" wrapText="1"/>
      <protection locked="0"/>
    </xf>
    <xf numFmtId="0" fontId="6" fillId="0" borderId="43" xfId="3" applyFont="1" applyBorder="1" applyAlignment="1">
      <alignment horizontal="center" vertical="center" wrapText="1"/>
    </xf>
    <xf numFmtId="0" fontId="6" fillId="0" borderId="58" xfId="3" applyFont="1" applyBorder="1" applyAlignment="1">
      <alignment horizontal="center" vertical="center" wrapText="1"/>
    </xf>
    <xf numFmtId="0" fontId="3" fillId="0" borderId="39" xfId="3" applyFont="1" applyBorder="1" applyAlignment="1">
      <alignment horizontal="centerContinuous" vertical="center"/>
    </xf>
    <xf numFmtId="0" fontId="0" fillId="0" borderId="32" xfId="0" applyBorder="1" applyAlignment="1">
      <alignment wrapText="1"/>
    </xf>
    <xf numFmtId="0" fontId="0" fillId="0" borderId="11" xfId="0" applyBorder="1"/>
    <xf numFmtId="0" fontId="6" fillId="3" borderId="56" xfId="0" applyFont="1" applyFill="1" applyBorder="1"/>
    <xf numFmtId="0" fontId="6" fillId="3" borderId="57" xfId="0" applyFont="1" applyFill="1" applyBorder="1"/>
    <xf numFmtId="0" fontId="0" fillId="2" borderId="1" xfId="0" applyFill="1" applyBorder="1" applyProtection="1">
      <protection locked="0"/>
    </xf>
    <xf numFmtId="49" fontId="0" fillId="2" borderId="1" xfId="0" applyNumberFormat="1" applyFill="1" applyBorder="1" applyProtection="1">
      <protection locked="0"/>
    </xf>
    <xf numFmtId="0" fontId="0" fillId="2" borderId="32" xfId="0" applyFill="1" applyBorder="1" applyProtection="1">
      <protection locked="0"/>
    </xf>
    <xf numFmtId="0" fontId="0" fillId="0" borderId="47" xfId="0" applyBorder="1"/>
    <xf numFmtId="0" fontId="0" fillId="0" borderId="47" xfId="0" applyBorder="1" applyAlignment="1">
      <alignment wrapText="1"/>
    </xf>
    <xf numFmtId="0" fontId="0" fillId="0" borderId="11" xfId="0" applyBorder="1" applyAlignment="1">
      <alignment wrapText="1"/>
    </xf>
    <xf numFmtId="0" fontId="1" fillId="0" borderId="30" xfId="0" applyFont="1" applyBorder="1" applyAlignment="1">
      <alignment wrapText="1"/>
    </xf>
    <xf numFmtId="0" fontId="1" fillId="0" borderId="12" xfId="0" applyFont="1" applyBorder="1" applyAlignment="1">
      <alignment wrapText="1"/>
    </xf>
    <xf numFmtId="0" fontId="0" fillId="0" borderId="14" xfId="0" applyBorder="1" applyAlignment="1">
      <alignment wrapText="1"/>
    </xf>
    <xf numFmtId="44" fontId="0" fillId="2" borderId="1" xfId="2" applyFont="1" applyFill="1" applyBorder="1" applyProtection="1">
      <protection locked="0"/>
    </xf>
    <xf numFmtId="164" fontId="0" fillId="2" borderId="34" xfId="1" applyNumberFormat="1" applyFont="1" applyFill="1" applyBorder="1" applyProtection="1">
      <protection locked="0"/>
    </xf>
    <xf numFmtId="164" fontId="0" fillId="2" borderId="13" xfId="1" applyNumberFormat="1" applyFont="1" applyFill="1" applyBorder="1" applyProtection="1">
      <protection locked="0"/>
    </xf>
    <xf numFmtId="0" fontId="1" fillId="0" borderId="11" xfId="0" applyFont="1" applyBorder="1" applyAlignment="1">
      <alignment wrapText="1"/>
    </xf>
    <xf numFmtId="44" fontId="0" fillId="2" borderId="1" xfId="0" applyNumberFormat="1" applyFill="1" applyBorder="1" applyProtection="1">
      <protection locked="0"/>
    </xf>
    <xf numFmtId="44" fontId="0" fillId="2" borderId="34" xfId="2" applyFont="1" applyFill="1" applyBorder="1" applyProtection="1">
      <protection locked="0"/>
    </xf>
    <xf numFmtId="164" fontId="0" fillId="2" borderId="32" xfId="1" applyNumberFormat="1" applyFont="1" applyFill="1" applyBorder="1" applyProtection="1">
      <protection locked="0"/>
    </xf>
    <xf numFmtId="0" fontId="0" fillId="0" borderId="32" xfId="0" applyBorder="1"/>
    <xf numFmtId="44" fontId="0" fillId="2" borderId="32" xfId="0" applyNumberFormat="1" applyFill="1" applyBorder="1" applyProtection="1">
      <protection locked="0"/>
    </xf>
    <xf numFmtId="44" fontId="19" fillId="3" borderId="12" xfId="4" applyFont="1" applyFill="1" applyBorder="1" applyAlignment="1">
      <alignment horizontal="centerContinuous" vertical="center"/>
    </xf>
    <xf numFmtId="44" fontId="19" fillId="3" borderId="34" xfId="4" applyFont="1" applyFill="1" applyBorder="1" applyAlignment="1">
      <alignment vertical="center"/>
    </xf>
    <xf numFmtId="0" fontId="19" fillId="3" borderId="14" xfId="3" applyFont="1" applyFill="1" applyBorder="1" applyAlignment="1">
      <alignment horizontal="left" vertical="center"/>
    </xf>
    <xf numFmtId="0" fontId="19" fillId="3" borderId="11" xfId="3" applyFont="1" applyFill="1" applyBorder="1" applyAlignment="1">
      <alignment horizontal="left" vertical="center"/>
    </xf>
    <xf numFmtId="0" fontId="1" fillId="0" borderId="47" xfId="0" applyFont="1" applyBorder="1"/>
    <xf numFmtId="0" fontId="1" fillId="0" borderId="30" xfId="0" applyFont="1" applyBorder="1" applyAlignment="1">
      <alignment horizontal="center"/>
    </xf>
    <xf numFmtId="0" fontId="1" fillId="0" borderId="12" xfId="0" applyFont="1" applyBorder="1" applyAlignment="1">
      <alignment horizontal="center"/>
    </xf>
    <xf numFmtId="0" fontId="1" fillId="0" borderId="14" xfId="0" applyFont="1" applyBorder="1"/>
    <xf numFmtId="0" fontId="0" fillId="0" borderId="59" xfId="0" applyBorder="1" applyAlignment="1">
      <alignment horizontal="centerContinuous" vertical="center"/>
    </xf>
    <xf numFmtId="0" fontId="0" fillId="0" borderId="61" xfId="0" applyBorder="1" applyAlignment="1">
      <alignment horizontal="centerContinuous" vertical="center"/>
    </xf>
    <xf numFmtId="0" fontId="0" fillId="0" borderId="63" xfId="0" applyBorder="1" applyAlignment="1">
      <alignment horizontal="centerContinuous" vertical="center"/>
    </xf>
    <xf numFmtId="0" fontId="0" fillId="0" borderId="64" xfId="0" applyBorder="1" applyAlignment="1">
      <alignment horizontal="centerContinuous" vertical="center"/>
    </xf>
    <xf numFmtId="0" fontId="0" fillId="0" borderId="60" xfId="0" applyBorder="1" applyAlignment="1">
      <alignment horizontal="centerContinuous" vertical="center"/>
    </xf>
    <xf numFmtId="0" fontId="0" fillId="0" borderId="65" xfId="0" applyBorder="1" applyAlignment="1">
      <alignment horizontal="centerContinuous" vertical="center"/>
    </xf>
    <xf numFmtId="0" fontId="0" fillId="0" borderId="66" xfId="0" applyBorder="1" applyAlignment="1">
      <alignment horizontal="centerContinuous" vertical="center"/>
    </xf>
    <xf numFmtId="0" fontId="0" fillId="0" borderId="62" xfId="0" applyBorder="1" applyAlignment="1">
      <alignment horizontal="centerContinuous" vertical="center"/>
    </xf>
    <xf numFmtId="0" fontId="0" fillId="0" borderId="67" xfId="0" applyBorder="1" applyAlignment="1">
      <alignment horizontal="centerContinuous" vertical="center"/>
    </xf>
    <xf numFmtId="44" fontId="0" fillId="0" borderId="32" xfId="0" applyNumberFormat="1" applyBorder="1"/>
    <xf numFmtId="0" fontId="0" fillId="0" borderId="34" xfId="0" applyBorder="1"/>
    <xf numFmtId="44" fontId="0" fillId="0" borderId="34" xfId="0" applyNumberFormat="1" applyBorder="1"/>
    <xf numFmtId="0" fontId="0" fillId="0" borderId="34" xfId="0" applyBorder="1" applyAlignment="1">
      <alignment horizontal="center"/>
    </xf>
    <xf numFmtId="0" fontId="1" fillId="0" borderId="11" xfId="0" applyFont="1" applyBorder="1"/>
    <xf numFmtId="44" fontId="0" fillId="0" borderId="13" xfId="0" applyNumberFormat="1" applyBorder="1"/>
    <xf numFmtId="44" fontId="1" fillId="0" borderId="12" xfId="0" applyNumberFormat="1" applyFont="1" applyBorder="1" applyAlignment="1">
      <alignment horizontal="left"/>
    </xf>
    <xf numFmtId="0" fontId="0" fillId="2" borderId="34" xfId="0" applyFill="1" applyBorder="1" applyProtection="1">
      <protection locked="0"/>
    </xf>
    <xf numFmtId="0" fontId="0" fillId="2" borderId="13" xfId="0" applyFill="1" applyBorder="1" applyProtection="1">
      <protection locked="0"/>
    </xf>
    <xf numFmtId="44" fontId="19" fillId="3" borderId="12" xfId="4" applyFont="1" applyFill="1" applyBorder="1" applyAlignment="1">
      <alignment horizontal="left" vertical="center"/>
    </xf>
    <xf numFmtId="0" fontId="0" fillId="0" borderId="34" xfId="0" applyBorder="1" applyAlignment="1">
      <alignment vertical="center"/>
    </xf>
    <xf numFmtId="44" fontId="0" fillId="0" borderId="34" xfId="0" applyNumberFormat="1" applyBorder="1" applyAlignment="1">
      <alignment vertical="center"/>
    </xf>
    <xf numFmtId="44" fontId="0" fillId="0" borderId="12" xfId="0" applyNumberFormat="1" applyBorder="1"/>
    <xf numFmtId="0" fontId="19" fillId="3" borderId="11" xfId="3" applyFont="1" applyFill="1" applyBorder="1" applyAlignment="1">
      <alignment horizontal="left" vertical="top"/>
    </xf>
    <xf numFmtId="44" fontId="19" fillId="3" borderId="12" xfId="4" applyFont="1" applyFill="1" applyBorder="1" applyAlignment="1">
      <alignment horizontal="left" vertical="top"/>
    </xf>
    <xf numFmtId="44" fontId="1" fillId="0" borderId="12" xfId="0" applyNumberFormat="1" applyFont="1" applyBorder="1"/>
    <xf numFmtId="44" fontId="0" fillId="2" borderId="34" xfId="0" applyNumberFormat="1" applyFill="1" applyBorder="1" applyProtection="1">
      <protection locked="0"/>
    </xf>
    <xf numFmtId="14" fontId="0" fillId="2" borderId="34" xfId="0" applyNumberFormat="1" applyFill="1" applyBorder="1" applyProtection="1">
      <protection locked="0"/>
    </xf>
    <xf numFmtId="14" fontId="0" fillId="2" borderId="13" xfId="0" applyNumberFormat="1" applyFill="1" applyBorder="1" applyProtection="1">
      <protection locked="0"/>
    </xf>
    <xf numFmtId="0" fontId="0" fillId="0" borderId="14" xfId="0" applyBorder="1"/>
    <xf numFmtId="0" fontId="0" fillId="0" borderId="59" xfId="0" applyBorder="1"/>
    <xf numFmtId="0" fontId="0" fillId="0" borderId="61" xfId="0"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60" xfId="0" applyBorder="1" applyAlignment="1">
      <alignment vertical="center"/>
    </xf>
    <xf numFmtId="0" fontId="0" fillId="0" borderId="65" xfId="0" applyBorder="1" applyAlignment="1">
      <alignment vertical="center"/>
    </xf>
    <xf numFmtId="0" fontId="0" fillId="0" borderId="66" xfId="0" applyBorder="1" applyAlignment="1">
      <alignment vertical="center"/>
    </xf>
    <xf numFmtId="0" fontId="0" fillId="0" borderId="62" xfId="0" applyBorder="1" applyAlignment="1">
      <alignment vertical="center"/>
    </xf>
    <xf numFmtId="0" fontId="0" fillId="0" borderId="67" xfId="0" applyBorder="1" applyAlignment="1">
      <alignment vertical="center"/>
    </xf>
    <xf numFmtId="0" fontId="0" fillId="0" borderId="13" xfId="0" applyBorder="1" applyAlignment="1">
      <alignment horizontal="center"/>
    </xf>
    <xf numFmtId="164" fontId="0" fillId="0" borderId="34" xfId="1" applyNumberFormat="1" applyFont="1" applyBorder="1"/>
    <xf numFmtId="0" fontId="26" fillId="0" borderId="60" xfId="3" applyFont="1" applyBorder="1" applyAlignment="1">
      <alignment vertical="top" wrapText="1"/>
    </xf>
    <xf numFmtId="0" fontId="28" fillId="0" borderId="60" xfId="0" applyFont="1" applyBorder="1" applyAlignment="1">
      <alignment vertical="center" wrapText="1"/>
    </xf>
    <xf numFmtId="49" fontId="10" fillId="3" borderId="15" xfId="3" applyNumberFormat="1" applyFont="1" applyFill="1" applyBorder="1" applyAlignment="1">
      <alignment horizontal="center" vertical="center" wrapText="1"/>
    </xf>
    <xf numFmtId="49" fontId="10" fillId="3" borderId="7" xfId="3" applyNumberFormat="1" applyFont="1" applyFill="1" applyBorder="1" applyAlignment="1">
      <alignment horizontal="centerContinuous" vertical="center" wrapText="1"/>
    </xf>
    <xf numFmtId="49" fontId="10" fillId="3" borderId="6" xfId="3" applyNumberFormat="1" applyFont="1" applyFill="1" applyBorder="1" applyAlignment="1">
      <alignment horizontal="centerContinuous" vertical="center" wrapText="1"/>
    </xf>
    <xf numFmtId="49" fontId="10" fillId="3" borderId="7" xfId="3" applyNumberFormat="1" applyFont="1" applyFill="1" applyBorder="1" applyAlignment="1">
      <alignment horizontal="center" vertical="center" wrapText="1"/>
    </xf>
    <xf numFmtId="49" fontId="10" fillId="3" borderId="6" xfId="3" applyNumberFormat="1" applyFont="1" applyFill="1" applyBorder="1" applyAlignment="1">
      <alignment horizontal="center" vertical="center" wrapText="1"/>
    </xf>
    <xf numFmtId="0" fontId="3" fillId="0" borderId="0" xfId="3" applyFont="1" applyAlignment="1">
      <alignment horizontal="centerContinuous"/>
    </xf>
    <xf numFmtId="0" fontId="8" fillId="0" borderId="0" xfId="3" applyFont="1"/>
    <xf numFmtId="0" fontId="8" fillId="0" borderId="0" xfId="3" applyFont="1" applyAlignment="1">
      <alignment horizontal="centerContinuous"/>
    </xf>
    <xf numFmtId="0" fontId="7" fillId="3" borderId="8" xfId="3" applyFill="1" applyBorder="1" applyAlignment="1">
      <alignment horizontal="center" vertical="center" wrapText="1"/>
    </xf>
    <xf numFmtId="44" fontId="7" fillId="3" borderId="10" xfId="4" applyFont="1" applyFill="1" applyBorder="1" applyAlignment="1" applyProtection="1">
      <alignment vertical="center"/>
    </xf>
    <xf numFmtId="0" fontId="3" fillId="0" borderId="0" xfId="0" applyFont="1"/>
    <xf numFmtId="0" fontId="23" fillId="0" borderId="0" xfId="0" applyFont="1"/>
    <xf numFmtId="0" fontId="24"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0" fillId="0" borderId="0" xfId="0" applyAlignment="1">
      <alignment horizontal="centerContinuous" vertical="center"/>
    </xf>
    <xf numFmtId="44" fontId="7" fillId="3" borderId="68" xfId="4" applyFont="1" applyFill="1" applyBorder="1" applyAlignment="1" applyProtection="1">
      <alignment vertical="center"/>
    </xf>
    <xf numFmtId="0" fontId="3" fillId="3" borderId="69" xfId="3" applyFont="1" applyFill="1" applyBorder="1" applyAlignment="1">
      <alignment horizontal="centerContinuous" vertical="center" wrapText="1"/>
    </xf>
    <xf numFmtId="0" fontId="3" fillId="3" borderId="70" xfId="3" applyFont="1" applyFill="1" applyBorder="1" applyAlignment="1">
      <alignment horizontal="centerContinuous" vertical="center" wrapText="1"/>
    </xf>
    <xf numFmtId="44" fontId="7" fillId="3" borderId="72" xfId="4" applyFont="1" applyFill="1" applyBorder="1" applyAlignment="1" applyProtection="1">
      <alignment horizontal="center" vertical="center"/>
    </xf>
    <xf numFmtId="44" fontId="31" fillId="5" borderId="71" xfId="4" applyFont="1" applyFill="1" applyBorder="1" applyAlignment="1" applyProtection="1">
      <alignment horizontal="center" vertical="center"/>
    </xf>
    <xf numFmtId="49" fontId="10" fillId="3" borderId="74" xfId="3" applyNumberFormat="1" applyFont="1" applyFill="1" applyBorder="1" applyAlignment="1">
      <alignment horizontal="center" vertical="center" wrapText="1"/>
    </xf>
    <xf numFmtId="0" fontId="3" fillId="3" borderId="75" xfId="3" applyFont="1" applyFill="1" applyBorder="1" applyAlignment="1">
      <alignment horizontal="centerContinuous" vertical="center" wrapText="1"/>
    </xf>
    <xf numFmtId="0" fontId="3" fillId="3" borderId="30"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32" fillId="3" borderId="9" xfId="5" applyFont="1" applyFill="1" applyBorder="1" applyAlignment="1" applyProtection="1">
      <alignment horizontal="center" vertical="center" wrapText="1"/>
    </xf>
    <xf numFmtId="0" fontId="32" fillId="3" borderId="10" xfId="5" applyFont="1" applyFill="1" applyBorder="1" applyAlignment="1" applyProtection="1">
      <alignment horizontal="center" vertical="center" wrapText="1"/>
    </xf>
    <xf numFmtId="0" fontId="32" fillId="3" borderId="16" xfId="5" applyFont="1" applyFill="1" applyBorder="1" applyAlignment="1" applyProtection="1">
      <alignment horizontal="center" vertical="center" wrapText="1"/>
    </xf>
    <xf numFmtId="0" fontId="3" fillId="3" borderId="73" xfId="3" applyFont="1" applyFill="1" applyBorder="1" applyAlignment="1">
      <alignment horizontal="centerContinuous" vertical="center" wrapText="1"/>
    </xf>
    <xf numFmtId="49" fontId="10" fillId="3" borderId="77" xfId="3" applyNumberFormat="1" applyFont="1" applyFill="1" applyBorder="1" applyAlignment="1">
      <alignment horizontal="center" vertical="center" wrapText="1"/>
    </xf>
    <xf numFmtId="0" fontId="2" fillId="3" borderId="34" xfId="3" applyFont="1" applyFill="1" applyBorder="1" applyAlignment="1">
      <alignment horizontal="center" vertical="center" wrapText="1"/>
    </xf>
    <xf numFmtId="0" fontId="2" fillId="3" borderId="34" xfId="3" applyFont="1" applyFill="1" applyBorder="1" applyAlignment="1" applyProtection="1">
      <alignment horizontal="center" vertical="center" wrapText="1"/>
      <protection locked="0"/>
    </xf>
    <xf numFmtId="0" fontId="15" fillId="0" borderId="0" xfId="5"/>
    <xf numFmtId="0" fontId="1" fillId="0" borderId="0" xfId="0" applyFont="1" applyAlignment="1">
      <alignment horizontal="centerContinuous"/>
    </xf>
    <xf numFmtId="0" fontId="0" fillId="0" borderId="30" xfId="0" applyBorder="1" applyAlignment="1">
      <alignment horizontal="center"/>
    </xf>
    <xf numFmtId="0" fontId="0" fillId="0" borderId="12" xfId="0" applyBorder="1" applyAlignment="1">
      <alignment horizontal="center"/>
    </xf>
    <xf numFmtId="0" fontId="0" fillId="0" borderId="9" xfId="0" applyBorder="1" applyAlignment="1">
      <alignment horizontal="center"/>
    </xf>
    <xf numFmtId="44" fontId="0" fillId="0" borderId="10" xfId="0" applyNumberFormat="1" applyBorder="1"/>
    <xf numFmtId="44" fontId="0" fillId="0" borderId="79" xfId="0" applyNumberFormat="1" applyBorder="1"/>
    <xf numFmtId="44" fontId="1" fillId="0" borderId="32" xfId="0" applyNumberFormat="1" applyFont="1" applyBorder="1"/>
    <xf numFmtId="44" fontId="1" fillId="0" borderId="13" xfId="0" applyNumberFormat="1" applyFont="1" applyBorder="1"/>
    <xf numFmtId="44" fontId="1" fillId="0" borderId="78" xfId="0" applyNumberFormat="1" applyFont="1" applyBorder="1"/>
    <xf numFmtId="44" fontId="0" fillId="0" borderId="47" xfId="0" applyNumberFormat="1" applyBorder="1"/>
    <xf numFmtId="44" fontId="0" fillId="0" borderId="46" xfId="0" applyNumberFormat="1" applyBorder="1"/>
    <xf numFmtId="1" fontId="7" fillId="3" borderId="76" xfId="4" applyNumberFormat="1" applyFont="1" applyFill="1" applyBorder="1" applyAlignment="1" applyProtection="1">
      <alignment vertical="center"/>
    </xf>
    <xf numFmtId="0" fontId="0" fillId="0" borderId="12" xfId="0" applyBorder="1" applyAlignment="1">
      <alignment wrapText="1"/>
    </xf>
    <xf numFmtId="0" fontId="0" fillId="0" borderId="0" xfId="0" applyAlignment="1">
      <alignment horizontal="centerContinuous" wrapText="1"/>
    </xf>
    <xf numFmtId="0" fontId="6" fillId="0" borderId="54" xfId="3" applyFont="1" applyBorder="1" applyAlignment="1">
      <alignment horizontal="centerContinuous" vertical="center" wrapText="1"/>
    </xf>
    <xf numFmtId="44" fontId="33" fillId="3" borderId="0" xfId="3" applyNumberFormat="1" applyFont="1" applyFill="1" applyAlignment="1">
      <alignment vertical="center"/>
    </xf>
    <xf numFmtId="0" fontId="34" fillId="0" borderId="0" xfId="3" applyFont="1" applyAlignment="1">
      <alignment vertical="top"/>
    </xf>
    <xf numFmtId="0" fontId="36" fillId="0" borderId="60" xfId="3" applyFont="1" applyBorder="1" applyAlignment="1">
      <alignment horizontal="left" wrapText="1"/>
    </xf>
    <xf numFmtId="0" fontId="13" fillId="0" borderId="0" xfId="0" applyFont="1" applyAlignment="1">
      <alignment horizontal="left" wrapText="1"/>
    </xf>
    <xf numFmtId="0" fontId="13" fillId="0" borderId="35" xfId="0" applyFont="1" applyBorder="1"/>
    <xf numFmtId="0" fontId="0" fillId="2" borderId="1" xfId="0" applyFill="1" applyBorder="1" applyAlignment="1" applyProtection="1">
      <alignment wrapText="1"/>
      <protection locked="0"/>
    </xf>
    <xf numFmtId="0" fontId="29" fillId="0" borderId="0" xfId="0" applyFont="1"/>
    <xf numFmtId="0" fontId="9" fillId="0" borderId="0" xfId="3" applyFont="1"/>
    <xf numFmtId="0" fontId="13" fillId="0" borderId="0" xfId="0" applyFont="1"/>
    <xf numFmtId="0" fontId="35" fillId="0" borderId="0" xfId="0" applyFont="1"/>
    <xf numFmtId="0" fontId="19" fillId="3" borderId="23" xfId="3" applyFont="1" applyFill="1" applyBorder="1" applyAlignment="1">
      <alignment horizontal="centerContinuous" vertical="center"/>
    </xf>
    <xf numFmtId="44" fontId="19" fillId="3" borderId="27" xfId="4" applyFont="1" applyFill="1" applyBorder="1" applyAlignment="1">
      <alignment horizontal="centerContinuous" vertical="center"/>
    </xf>
    <xf numFmtId="0" fontId="19" fillId="3" borderId="40" xfId="3" applyFont="1" applyFill="1" applyBorder="1" applyAlignment="1">
      <alignment horizontal="centerContinuous" vertical="center"/>
    </xf>
    <xf numFmtId="44" fontId="19" fillId="3" borderId="80" xfId="4" applyFont="1" applyFill="1" applyBorder="1" applyAlignment="1">
      <alignment horizontal="centerContinuous" vertical="center"/>
    </xf>
    <xf numFmtId="1" fontId="20" fillId="3" borderId="1" xfId="1" applyNumberFormat="1" applyFont="1" applyFill="1" applyBorder="1" applyProtection="1"/>
    <xf numFmtId="0" fontId="6" fillId="3" borderId="18" xfId="3" applyFont="1" applyFill="1" applyBorder="1" applyAlignment="1">
      <alignment horizontal="center"/>
    </xf>
    <xf numFmtId="0" fontId="20" fillId="2" borderId="14" xfId="3" applyFont="1" applyFill="1" applyBorder="1" applyAlignment="1" applyProtection="1">
      <alignment horizontal="left" vertical="center"/>
      <protection locked="0"/>
    </xf>
    <xf numFmtId="0" fontId="19" fillId="3" borderId="14" xfId="3" applyFont="1" applyFill="1" applyBorder="1" applyAlignment="1">
      <alignment horizontal="left" vertical="center" wrapText="1"/>
    </xf>
    <xf numFmtId="0" fontId="37" fillId="0" borderId="0" xfId="0" applyFont="1" applyAlignment="1">
      <alignment vertical="center"/>
    </xf>
    <xf numFmtId="0" fontId="7" fillId="0" borderId="0" xfId="0" applyFont="1" applyAlignment="1">
      <alignment vertical="center"/>
    </xf>
    <xf numFmtId="0" fontId="2" fillId="0" borderId="0" xfId="0" applyFont="1" applyAlignment="1">
      <alignment wrapText="1"/>
    </xf>
    <xf numFmtId="0" fontId="15" fillId="0" borderId="0" xfId="5" applyBorder="1" applyAlignment="1"/>
    <xf numFmtId="0" fontId="9" fillId="0" borderId="0" xfId="0" applyFont="1" applyAlignment="1">
      <alignment vertical="center"/>
    </xf>
    <xf numFmtId="43" fontId="0" fillId="0" borderId="0" xfId="1" applyFont="1" applyFill="1"/>
    <xf numFmtId="0" fontId="1" fillId="0" borderId="43" xfId="0" applyFont="1" applyBorder="1" applyAlignment="1">
      <alignment horizontal="center"/>
    </xf>
    <xf numFmtId="43" fontId="0" fillId="0" borderId="0" xfId="1" applyFont="1"/>
    <xf numFmtId="0" fontId="0" fillId="0" borderId="0" xfId="0" quotePrefix="1"/>
    <xf numFmtId="0" fontId="1" fillId="0" borderId="43" xfId="0" applyFont="1" applyBorder="1" applyAlignment="1">
      <alignment horizontal="left"/>
    </xf>
    <xf numFmtId="0" fontId="0" fillId="0" borderId="0" xfId="0" applyAlignment="1">
      <alignment horizontal="left"/>
    </xf>
    <xf numFmtId="0" fontId="15" fillId="0" borderId="0" xfId="5" applyFill="1"/>
    <xf numFmtId="49" fontId="0" fillId="8" borderId="1" xfId="0" quotePrefix="1" applyNumberFormat="1" applyFill="1" applyBorder="1" applyProtection="1">
      <protection locked="0"/>
    </xf>
    <xf numFmtId="0" fontId="1" fillId="0" borderId="0" xfId="0" applyFont="1" applyAlignment="1">
      <alignment horizontal="center" wrapText="1"/>
    </xf>
    <xf numFmtId="164" fontId="1" fillId="0" borderId="0" xfId="1" applyNumberFormat="1" applyFont="1"/>
    <xf numFmtId="0" fontId="0" fillId="0" borderId="43" xfId="0" applyBorder="1"/>
    <xf numFmtId="43" fontId="1" fillId="0" borderId="0" xfId="1" applyFont="1" applyAlignment="1">
      <alignment horizontal="center" wrapText="1"/>
    </xf>
    <xf numFmtId="0" fontId="1" fillId="0" borderId="0" xfId="0" applyFont="1" applyAlignment="1">
      <alignment horizontal="center"/>
    </xf>
    <xf numFmtId="0" fontId="42" fillId="0" borderId="0" xfId="0" applyFont="1" applyAlignment="1">
      <alignment vertical="center"/>
    </xf>
    <xf numFmtId="0" fontId="0" fillId="8" borderId="0" xfId="0" applyFill="1"/>
    <xf numFmtId="0" fontId="12" fillId="0" borderId="0" xfId="0" applyFont="1"/>
    <xf numFmtId="0" fontId="12" fillId="0" borderId="0" xfId="1" applyNumberFormat="1" applyFont="1"/>
    <xf numFmtId="0" fontId="17" fillId="0" borderId="43" xfId="0" applyFont="1" applyBorder="1" applyAlignment="1">
      <alignment horizontal="center"/>
    </xf>
    <xf numFmtId="0" fontId="17" fillId="0" borderId="58" xfId="0" applyFont="1" applyBorder="1" applyAlignment="1">
      <alignment horizontal="center"/>
    </xf>
    <xf numFmtId="0" fontId="17" fillId="6" borderId="43" xfId="0" applyFont="1" applyFill="1" applyBorder="1"/>
    <xf numFmtId="0" fontId="17" fillId="0" borderId="43" xfId="1" applyNumberFormat="1" applyFont="1" applyFill="1" applyBorder="1" applyAlignment="1">
      <alignment horizontal="center" wrapText="1"/>
    </xf>
    <xf numFmtId="0" fontId="17" fillId="0" borderId="0" xfId="0" applyFont="1" applyAlignment="1">
      <alignment horizontal="center"/>
    </xf>
    <xf numFmtId="0" fontId="12" fillId="6" borderId="0" xfId="0" applyFont="1" applyFill="1"/>
    <xf numFmtId="0" fontId="12" fillId="0" borderId="0" xfId="0" quotePrefix="1" applyFont="1"/>
    <xf numFmtId="43" fontId="17" fillId="0" borderId="0" xfId="1" applyFont="1"/>
    <xf numFmtId="164" fontId="1" fillId="0" borderId="0" xfId="1" applyNumberFormat="1" applyFont="1" applyFill="1"/>
    <xf numFmtId="164" fontId="1" fillId="0" borderId="0" xfId="0" applyNumberFormat="1" applyFont="1"/>
    <xf numFmtId="43" fontId="12" fillId="0" borderId="0" xfId="1" applyFont="1"/>
    <xf numFmtId="43" fontId="17" fillId="0" borderId="43" xfId="1" applyFont="1" applyFill="1" applyBorder="1" applyAlignment="1">
      <alignment horizontal="center" wrapText="1"/>
    </xf>
    <xf numFmtId="43" fontId="17" fillId="0" borderId="0" xfId="1" applyFont="1" applyFill="1" applyBorder="1" applyAlignment="1">
      <alignment horizontal="center" wrapText="1"/>
    </xf>
    <xf numFmtId="43" fontId="17" fillId="0" borderId="0" xfId="1" applyFont="1" applyFill="1" applyBorder="1" applyAlignment="1">
      <alignment horizontal="center"/>
    </xf>
    <xf numFmtId="43" fontId="17" fillId="0" borderId="37" xfId="1" applyFont="1" applyFill="1" applyBorder="1" applyAlignment="1">
      <alignment horizontal="right"/>
    </xf>
    <xf numFmtId="43" fontId="17" fillId="6" borderId="0" xfId="1" applyFont="1" applyFill="1" applyBorder="1"/>
    <xf numFmtId="43" fontId="17" fillId="0" borderId="0" xfId="1" applyFont="1" applyFill="1" applyAlignment="1">
      <alignment horizontal="center"/>
    </xf>
    <xf numFmtId="164" fontId="17" fillId="0" borderId="0" xfId="1" applyNumberFormat="1" applyFont="1" applyFill="1" applyBorder="1" applyAlignment="1">
      <alignment horizontal="center" wrapText="1"/>
    </xf>
    <xf numFmtId="0" fontId="12" fillId="0" borderId="81" xfId="0" applyFont="1" applyBorder="1"/>
    <xf numFmtId="0" fontId="12" fillId="6" borderId="81" xfId="0" applyFont="1" applyFill="1" applyBorder="1"/>
    <xf numFmtId="43" fontId="12" fillId="0" borderId="81" xfId="1" applyFont="1" applyBorder="1"/>
    <xf numFmtId="9" fontId="12" fillId="0" borderId="0" xfId="7" applyFont="1"/>
    <xf numFmtId="43" fontId="3" fillId="0" borderId="0" xfId="1" applyFont="1" applyAlignment="1">
      <alignment horizontal="center"/>
    </xf>
    <xf numFmtId="43" fontId="47" fillId="0" borderId="0" xfId="1" quotePrefix="1" applyFont="1" applyAlignment="1">
      <alignment horizontal="center" vertical="center"/>
    </xf>
    <xf numFmtId="43" fontId="0" fillId="10" borderId="0" xfId="1" applyFont="1" applyFill="1"/>
    <xf numFmtId="43" fontId="44" fillId="10" borderId="0" xfId="1" quotePrefix="1" applyFont="1" applyFill="1" applyAlignment="1">
      <alignment horizontal="center"/>
    </xf>
    <xf numFmtId="43" fontId="43" fillId="10" borderId="0" xfId="1" quotePrefix="1" applyFont="1" applyFill="1" applyAlignment="1">
      <alignment horizontal="center" vertical="center" wrapText="1"/>
    </xf>
    <xf numFmtId="43" fontId="44" fillId="10" borderId="0" xfId="1" quotePrefix="1" applyFont="1" applyFill="1" applyAlignment="1">
      <alignment horizontal="center" vertical="center" wrapText="1"/>
    </xf>
    <xf numFmtId="43" fontId="48" fillId="10" borderId="0" xfId="1" quotePrefix="1" applyFont="1" applyFill="1" applyAlignment="1">
      <alignment horizontal="center" vertical="center" wrapText="1"/>
    </xf>
    <xf numFmtId="43" fontId="0" fillId="0" borderId="0" xfId="1" applyFont="1" applyAlignment="1">
      <alignment horizontal="center" vertical="center" wrapText="1"/>
    </xf>
    <xf numFmtId="43" fontId="45" fillId="0" borderId="46" xfId="1" quotePrefix="1" applyFont="1" applyBorder="1" applyAlignment="1">
      <alignment vertical="top"/>
    </xf>
    <xf numFmtId="43" fontId="1" fillId="0" borderId="46" xfId="1" applyFont="1" applyBorder="1"/>
    <xf numFmtId="43" fontId="46" fillId="0" borderId="46" xfId="1" applyFont="1" applyBorder="1" applyAlignment="1">
      <alignment vertical="center"/>
    </xf>
    <xf numFmtId="43" fontId="44" fillId="0" borderId="0" xfId="1" quotePrefix="1" applyFont="1" applyAlignment="1">
      <alignment horizontal="left" vertical="top"/>
    </xf>
    <xf numFmtId="43" fontId="44" fillId="0" borderId="0" xfId="1" quotePrefix="1" applyFont="1" applyFill="1" applyAlignment="1">
      <alignment horizontal="left" vertical="top"/>
    </xf>
    <xf numFmtId="43" fontId="43" fillId="0" borderId="0" xfId="1" applyFont="1" applyAlignment="1">
      <alignment vertical="center"/>
    </xf>
    <xf numFmtId="43" fontId="12" fillId="0" borderId="0" xfId="1" applyFont="1" applyFill="1"/>
    <xf numFmtId="43" fontId="12" fillId="0" borderId="81" xfId="1" applyFont="1" applyFill="1" applyBorder="1"/>
    <xf numFmtId="0" fontId="0" fillId="0" borderId="0" xfId="0" applyAlignment="1">
      <alignment horizontal="center"/>
    </xf>
    <xf numFmtId="1" fontId="0" fillId="0" borderId="0" xfId="0" applyNumberFormat="1"/>
    <xf numFmtId="1" fontId="1" fillId="0" borderId="0" xfId="0" applyNumberFormat="1" applyFont="1"/>
    <xf numFmtId="1" fontId="0" fillId="0" borderId="0" xfId="0" quotePrefix="1" applyNumberFormat="1"/>
    <xf numFmtId="1" fontId="0" fillId="0" borderId="81" xfId="0" applyNumberFormat="1" applyBorder="1"/>
    <xf numFmtId="43" fontId="1" fillId="10" borderId="0" xfId="1" applyFont="1" applyFill="1" applyAlignment="1">
      <alignment horizontal="center"/>
    </xf>
    <xf numFmtId="43" fontId="1" fillId="10" borderId="0" xfId="1" applyFont="1" applyFill="1" applyAlignment="1">
      <alignment horizontal="center" wrapText="1"/>
    </xf>
    <xf numFmtId="43" fontId="1" fillId="10" borderId="43" xfId="1" applyFont="1" applyFill="1" applyBorder="1" applyAlignment="1"/>
    <xf numFmtId="1" fontId="1" fillId="0" borderId="0" xfId="0" applyNumberFormat="1" applyFont="1" applyAlignment="1">
      <alignment horizontal="center"/>
    </xf>
    <xf numFmtId="1" fontId="1" fillId="10" borderId="21" xfId="0" applyNumberFormat="1" applyFont="1" applyFill="1" applyBorder="1" applyAlignment="1">
      <alignment horizontal="center"/>
    </xf>
    <xf numFmtId="1" fontId="1" fillId="10" borderId="21" xfId="1" applyNumberFormat="1" applyFont="1" applyFill="1" applyBorder="1" applyAlignment="1">
      <alignment horizontal="center"/>
    </xf>
    <xf numFmtId="165" fontId="17" fillId="0" borderId="0" xfId="1" applyNumberFormat="1" applyFont="1" applyBorder="1"/>
    <xf numFmtId="165" fontId="17" fillId="0" borderId="37" xfId="1" applyNumberFormat="1" applyFont="1" applyBorder="1" applyAlignment="1">
      <alignment horizontal="right"/>
    </xf>
    <xf numFmtId="165" fontId="17" fillId="0" borderId="0" xfId="1" applyNumberFormat="1" applyFont="1"/>
    <xf numFmtId="165" fontId="12" fillId="0" borderId="0" xfId="0" applyNumberFormat="1" applyFont="1"/>
    <xf numFmtId="165" fontId="17" fillId="6" borderId="0" xfId="1" applyNumberFormat="1" applyFont="1" applyFill="1"/>
    <xf numFmtId="0" fontId="1" fillId="0" borderId="0" xfId="0" applyFont="1" applyAlignment="1">
      <alignment horizontal="left"/>
    </xf>
    <xf numFmtId="43" fontId="1" fillId="0" borderId="0" xfId="1" applyFont="1" applyFill="1" applyAlignment="1">
      <alignment horizontal="center"/>
    </xf>
    <xf numFmtId="43" fontId="1" fillId="0" borderId="0" xfId="1" applyFont="1" applyFill="1" applyAlignment="1">
      <alignment horizontal="center" wrapText="1"/>
    </xf>
    <xf numFmtId="0" fontId="1" fillId="0" borderId="43" xfId="0" applyFont="1" applyBorder="1"/>
    <xf numFmtId="43" fontId="1" fillId="0" borderId="43" xfId="1" applyFont="1" applyFill="1" applyBorder="1" applyAlignment="1"/>
    <xf numFmtId="43" fontId="29" fillId="0" borderId="0" xfId="1" applyFont="1"/>
    <xf numFmtId="43" fontId="22" fillId="0" borderId="0" xfId="1" applyFont="1" applyAlignment="1">
      <alignment horizontal="center"/>
    </xf>
    <xf numFmtId="43" fontId="48" fillId="10" borderId="0" xfId="1" quotePrefix="1" applyFont="1" applyFill="1" applyAlignment="1">
      <alignment horizontal="center"/>
    </xf>
    <xf numFmtId="43" fontId="48" fillId="0" borderId="46" xfId="1" applyFont="1" applyBorder="1" applyAlignment="1">
      <alignment vertical="center"/>
    </xf>
    <xf numFmtId="43" fontId="48" fillId="10" borderId="46" xfId="1" applyFont="1" applyFill="1" applyBorder="1" applyAlignment="1">
      <alignment vertical="center"/>
    </xf>
    <xf numFmtId="43" fontId="46" fillId="10" borderId="46" xfId="1" applyFont="1" applyFill="1" applyBorder="1" applyAlignment="1">
      <alignment vertical="center"/>
    </xf>
    <xf numFmtId="43" fontId="48" fillId="10" borderId="0" xfId="1" applyFont="1" applyFill="1" applyAlignment="1">
      <alignment vertical="center"/>
    </xf>
    <xf numFmtId="43" fontId="43" fillId="10" borderId="0" xfId="1" applyFont="1" applyFill="1" applyAlignment="1">
      <alignment vertical="center"/>
    </xf>
    <xf numFmtId="43" fontId="29" fillId="10" borderId="0" xfId="1" applyFont="1" applyFill="1"/>
    <xf numFmtId="43" fontId="4" fillId="0" borderId="0" xfId="1" applyFont="1"/>
    <xf numFmtId="43" fontId="8" fillId="0" borderId="0" xfId="1" applyFont="1" applyAlignment="1">
      <alignment horizontal="center"/>
    </xf>
    <xf numFmtId="43" fontId="43" fillId="10" borderId="46" xfId="1" applyFont="1" applyFill="1" applyBorder="1" applyAlignment="1">
      <alignment vertical="center"/>
    </xf>
    <xf numFmtId="0" fontId="12" fillId="0" borderId="37" xfId="0" applyFont="1" applyBorder="1"/>
    <xf numFmtId="0" fontId="0" fillId="0" borderId="37" xfId="0" applyBorder="1"/>
    <xf numFmtId="0" fontId="12" fillId="0" borderId="82" xfId="0" applyFont="1" applyBorder="1"/>
    <xf numFmtId="43" fontId="1" fillId="0" borderId="0" xfId="1" applyFont="1" applyAlignment="1">
      <alignment horizontal="center"/>
    </xf>
    <xf numFmtId="164" fontId="12" fillId="0" borderId="0" xfId="1" applyNumberFormat="1" applyFont="1"/>
    <xf numFmtId="164" fontId="17" fillId="0" borderId="43" xfId="1" applyNumberFormat="1" applyFont="1" applyFill="1" applyBorder="1" applyAlignment="1">
      <alignment horizontal="center" wrapText="1"/>
    </xf>
    <xf numFmtId="164" fontId="12" fillId="0" borderId="81" xfId="1" applyNumberFormat="1" applyFont="1" applyBorder="1"/>
    <xf numFmtId="164" fontId="17" fillId="0" borderId="0" xfId="1" applyNumberFormat="1" applyFont="1"/>
    <xf numFmtId="0" fontId="41" fillId="12" borderId="43" xfId="1" applyNumberFormat="1" applyFont="1" applyFill="1" applyBorder="1" applyAlignment="1">
      <alignment horizontal="center" wrapText="1"/>
    </xf>
    <xf numFmtId="43" fontId="41" fillId="12" borderId="43" xfId="1" applyFont="1" applyFill="1" applyBorder="1" applyAlignment="1">
      <alignment horizontal="center" wrapText="1"/>
    </xf>
    <xf numFmtId="0" fontId="17" fillId="12" borderId="43" xfId="0" applyFont="1" applyFill="1" applyBorder="1" applyAlignment="1">
      <alignment horizontal="center" wrapText="1"/>
    </xf>
    <xf numFmtId="43" fontId="17" fillId="12" borderId="43" xfId="1" applyFont="1" applyFill="1" applyBorder="1" applyAlignment="1">
      <alignment horizontal="center" wrapText="1"/>
    </xf>
    <xf numFmtId="43" fontId="41" fillId="12" borderId="0" xfId="1" applyFont="1" applyFill="1" applyBorder="1" applyAlignment="1">
      <alignment horizontal="center" wrapText="1"/>
    </xf>
    <xf numFmtId="0" fontId="12" fillId="12" borderId="0" xfId="1" applyNumberFormat="1" applyFont="1" applyFill="1"/>
    <xf numFmtId="0" fontId="12" fillId="12" borderId="0" xfId="0" applyFont="1" applyFill="1"/>
    <xf numFmtId="0" fontId="12" fillId="12" borderId="81" xfId="1" applyNumberFormat="1" applyFont="1" applyFill="1" applyBorder="1"/>
    <xf numFmtId="0" fontId="12" fillId="12" borderId="81" xfId="0" applyFont="1" applyFill="1" applyBorder="1"/>
    <xf numFmtId="1" fontId="17" fillId="8" borderId="0" xfId="0" applyNumberFormat="1" applyFont="1" applyFill="1" applyAlignment="1">
      <alignment horizontal="center"/>
    </xf>
    <xf numFmtId="1" fontId="17" fillId="8" borderId="0" xfId="1" applyNumberFormat="1" applyFont="1" applyFill="1" applyAlignment="1">
      <alignment horizontal="center"/>
    </xf>
    <xf numFmtId="164" fontId="1" fillId="0" borderId="0" xfId="1" applyNumberFormat="1" applyFont="1" applyAlignment="1">
      <alignment horizontal="center"/>
    </xf>
    <xf numFmtId="43" fontId="12" fillId="10" borderId="0" xfId="1" applyFont="1" applyFill="1"/>
    <xf numFmtId="43" fontId="12" fillId="10" borderId="81" xfId="1" applyFont="1" applyFill="1" applyBorder="1"/>
    <xf numFmtId="43" fontId="1" fillId="0" borderId="0" xfId="1" applyFont="1"/>
    <xf numFmtId="43" fontId="1" fillId="10" borderId="0" xfId="1" applyFont="1" applyFill="1"/>
    <xf numFmtId="0" fontId="12" fillId="12" borderId="0" xfId="1" applyNumberFormat="1" applyFont="1" applyFill="1" applyBorder="1"/>
    <xf numFmtId="164" fontId="12" fillId="0" borderId="0" xfId="1" applyNumberFormat="1" applyFont="1" applyBorder="1"/>
    <xf numFmtId="43" fontId="12" fillId="0" borderId="0" xfId="1" applyFont="1" applyBorder="1"/>
    <xf numFmtId="43" fontId="12" fillId="0" borderId="0" xfId="1" applyFont="1" applyFill="1" applyBorder="1"/>
    <xf numFmtId="0" fontId="1" fillId="8" borderId="0" xfId="0" applyFont="1" applyFill="1" applyAlignment="1">
      <alignment horizontal="center"/>
    </xf>
    <xf numFmtId="164" fontId="1" fillId="8" borderId="0" xfId="1" applyNumberFormat="1" applyFont="1" applyFill="1" applyAlignment="1">
      <alignment horizontal="center"/>
    </xf>
    <xf numFmtId="164" fontId="17" fillId="12" borderId="0" xfId="1" applyNumberFormat="1" applyFont="1" applyFill="1" applyBorder="1" applyAlignment="1">
      <alignment horizontal="center" wrapText="1"/>
    </xf>
    <xf numFmtId="43" fontId="17" fillId="12" borderId="0" xfId="1" applyFont="1" applyFill="1" applyBorder="1" applyAlignment="1">
      <alignment horizontal="center" wrapText="1"/>
    </xf>
    <xf numFmtId="43" fontId="4" fillId="10" borderId="0" xfId="1" applyFont="1" applyFill="1" applyAlignment="1">
      <alignment horizontal="center"/>
    </xf>
    <xf numFmtId="0" fontId="51" fillId="0" borderId="0" xfId="0" applyFont="1"/>
    <xf numFmtId="0" fontId="52" fillId="0" borderId="0" xfId="0" applyFont="1" applyAlignment="1">
      <alignment horizontal="center" wrapText="1"/>
    </xf>
    <xf numFmtId="0" fontId="52" fillId="10" borderId="0" xfId="0" applyFont="1" applyFill="1" applyAlignment="1">
      <alignment horizontal="center" wrapText="1"/>
    </xf>
    <xf numFmtId="0" fontId="53" fillId="0" borderId="0" xfId="0" applyFont="1"/>
    <xf numFmtId="0" fontId="53" fillId="0" borderId="0" xfId="0" applyFont="1" applyAlignment="1">
      <alignment horizontal="center"/>
    </xf>
    <xf numFmtId="43" fontId="52" fillId="0" borderId="0" xfId="0" applyNumberFormat="1" applyFont="1"/>
    <xf numFmtId="49" fontId="54" fillId="0" borderId="0" xfId="0" applyNumberFormat="1" applyFont="1"/>
    <xf numFmtId="43" fontId="55" fillId="0" borderId="0" xfId="1" applyFont="1" applyBorder="1" applyAlignment="1">
      <alignment horizontal="center" vertical="center"/>
    </xf>
    <xf numFmtId="43" fontId="55" fillId="10" borderId="0" xfId="1" applyFont="1" applyFill="1" applyBorder="1" applyAlignment="1">
      <alignment horizontal="center" vertical="center"/>
    </xf>
    <xf numFmtId="43" fontId="56" fillId="10" borderId="0" xfId="0" applyNumberFormat="1" applyFont="1" applyFill="1"/>
    <xf numFmtId="49" fontId="54" fillId="0" borderId="0" xfId="0" quotePrefix="1" applyNumberFormat="1" applyFont="1"/>
    <xf numFmtId="49" fontId="57" fillId="0" borderId="0" xfId="0" applyNumberFormat="1" applyFont="1"/>
    <xf numFmtId="49" fontId="58" fillId="0" borderId="0" xfId="0" quotePrefix="1" applyNumberFormat="1" applyFont="1"/>
    <xf numFmtId="49" fontId="58" fillId="0" borderId="0" xfId="0" applyNumberFormat="1" applyFont="1"/>
    <xf numFmtId="0" fontId="54" fillId="0" borderId="0" xfId="0" quotePrefix="1" applyFont="1"/>
    <xf numFmtId="0" fontId="54" fillId="0" borderId="0" xfId="0" applyFont="1"/>
    <xf numFmtId="0" fontId="1" fillId="11" borderId="43" xfId="0" applyFont="1" applyFill="1" applyBorder="1" applyAlignment="1">
      <alignment horizontal="center" wrapText="1"/>
    </xf>
    <xf numFmtId="0" fontId="1" fillId="11" borderId="0" xfId="0" applyFont="1" applyFill="1" applyAlignment="1">
      <alignment horizontal="center" wrapText="1"/>
    </xf>
    <xf numFmtId="0" fontId="1" fillId="11" borderId="0" xfId="0" applyFont="1" applyFill="1" applyAlignment="1">
      <alignment horizontal="right" wrapText="1"/>
    </xf>
    <xf numFmtId="0" fontId="0" fillId="0" borderId="0" xfId="1" applyNumberFormat="1" applyFont="1" applyAlignment="1">
      <alignment horizontal="center"/>
    </xf>
    <xf numFmtId="166" fontId="1" fillId="11" borderId="0" xfId="1" applyNumberFormat="1" applyFont="1" applyFill="1" applyBorder="1" applyAlignment="1">
      <alignment horizontal="left" wrapText="1"/>
    </xf>
    <xf numFmtId="0" fontId="50" fillId="0" borderId="0" xfId="0" applyFont="1" applyAlignment="1">
      <alignment vertical="center"/>
    </xf>
    <xf numFmtId="0" fontId="50" fillId="0" borderId="0" xfId="0" applyFont="1" applyAlignment="1">
      <alignment vertical="center" wrapText="1"/>
    </xf>
    <xf numFmtId="0" fontId="50" fillId="0" borderId="0" xfId="0" quotePrefix="1" applyFont="1" applyAlignment="1">
      <alignment vertical="center"/>
    </xf>
    <xf numFmtId="0" fontId="50" fillId="6" borderId="0" xfId="0" applyFont="1" applyFill="1" applyAlignment="1">
      <alignment vertical="center"/>
    </xf>
    <xf numFmtId="43" fontId="50" fillId="10" borderId="0" xfId="1" applyFont="1" applyFill="1" applyAlignment="1">
      <alignment vertical="center"/>
    </xf>
    <xf numFmtId="0" fontId="50" fillId="7" borderId="0" xfId="0" applyFont="1" applyFill="1" applyAlignment="1">
      <alignment vertical="center"/>
    </xf>
    <xf numFmtId="0" fontId="50" fillId="9" borderId="0" xfId="0" applyFont="1" applyFill="1" applyAlignment="1">
      <alignment vertical="center"/>
    </xf>
    <xf numFmtId="43" fontId="29" fillId="9" borderId="0" xfId="1" applyFont="1" applyFill="1"/>
    <xf numFmtId="0" fontId="29" fillId="0" borderId="0" xfId="0" applyFont="1" applyAlignment="1">
      <alignment wrapText="1"/>
    </xf>
    <xf numFmtId="0" fontId="29" fillId="6" borderId="0" xfId="0" applyFont="1" applyFill="1"/>
    <xf numFmtId="0" fontId="29" fillId="7" borderId="0" xfId="0" applyFont="1" applyFill="1"/>
    <xf numFmtId="0" fontId="29" fillId="9" borderId="0" xfId="0" applyFont="1" applyFill="1"/>
    <xf numFmtId="43" fontId="29" fillId="0" borderId="0" xfId="1" applyFont="1" applyFill="1"/>
    <xf numFmtId="0" fontId="29" fillId="0" borderId="0" xfId="0" applyFont="1" applyAlignment="1">
      <alignment horizontal="center"/>
    </xf>
    <xf numFmtId="1" fontId="22" fillId="11" borderId="0" xfId="0" applyNumberFormat="1" applyFont="1" applyFill="1" applyAlignment="1">
      <alignment horizontal="center"/>
    </xf>
    <xf numFmtId="1" fontId="22" fillId="11" borderId="0" xfId="0" applyNumberFormat="1" applyFont="1" applyFill="1" applyAlignment="1">
      <alignment horizontal="center" wrapText="1"/>
    </xf>
    <xf numFmtId="1" fontId="22" fillId="11" borderId="0" xfId="1" applyNumberFormat="1" applyFont="1" applyFill="1" applyAlignment="1">
      <alignment horizontal="center"/>
    </xf>
    <xf numFmtId="43" fontId="22" fillId="11" borderId="0" xfId="1" applyFont="1" applyFill="1" applyAlignment="1">
      <alignment horizontal="center"/>
    </xf>
    <xf numFmtId="1" fontId="22" fillId="0" borderId="0" xfId="0" applyNumberFormat="1" applyFont="1" applyAlignment="1">
      <alignment horizontal="center"/>
    </xf>
    <xf numFmtId="0" fontId="36" fillId="6" borderId="0" xfId="0" applyFont="1" applyFill="1" applyAlignment="1">
      <alignment horizontal="center"/>
    </xf>
    <xf numFmtId="0" fontId="36" fillId="0" borderId="0" xfId="0" applyFont="1" applyAlignment="1">
      <alignment horizontal="center" wrapText="1"/>
    </xf>
    <xf numFmtId="0" fontId="36" fillId="7" borderId="0" xfId="0" applyFont="1" applyFill="1" applyAlignment="1">
      <alignment horizontal="center" wrapText="1"/>
    </xf>
    <xf numFmtId="0" fontId="36" fillId="9" borderId="0" xfId="0" applyFont="1" applyFill="1" applyAlignment="1">
      <alignment horizontal="center" wrapText="1"/>
    </xf>
    <xf numFmtId="0" fontId="36" fillId="6" borderId="0" xfId="0" applyFont="1" applyFill="1" applyAlignment="1">
      <alignment horizontal="center" wrapText="1"/>
    </xf>
    <xf numFmtId="43" fontId="36" fillId="0" borderId="0" xfId="1" applyFont="1" applyAlignment="1">
      <alignment horizontal="center" wrapText="1"/>
    </xf>
    <xf numFmtId="43" fontId="36" fillId="9" borderId="0" xfId="1" applyFont="1" applyFill="1" applyAlignment="1">
      <alignment horizontal="center" wrapText="1"/>
    </xf>
    <xf numFmtId="43" fontId="36" fillId="0" borderId="0" xfId="1" applyFont="1" applyFill="1" applyAlignment="1">
      <alignment horizontal="center" wrapText="1"/>
    </xf>
    <xf numFmtId="0" fontId="29" fillId="0" borderId="0" xfId="0" quotePrefix="1" applyFont="1" applyAlignment="1">
      <alignment vertical="center"/>
    </xf>
    <xf numFmtId="0" fontId="29" fillId="0" borderId="0" xfId="0" applyFont="1" applyAlignment="1">
      <alignment vertical="center" wrapText="1"/>
    </xf>
    <xf numFmtId="0" fontId="29" fillId="6" borderId="0" xfId="0" applyFont="1" applyFill="1" applyAlignment="1">
      <alignment vertical="center"/>
    </xf>
    <xf numFmtId="43" fontId="29" fillId="10" borderId="0" xfId="1" applyFont="1" applyFill="1" applyAlignment="1">
      <alignment vertical="center"/>
    </xf>
    <xf numFmtId="0" fontId="29" fillId="0" borderId="0" xfId="0" applyFont="1" applyAlignment="1">
      <alignment vertical="center"/>
    </xf>
    <xf numFmtId="0" fontId="29" fillId="7" borderId="0" xfId="0" applyFont="1" applyFill="1" applyAlignment="1">
      <alignment vertical="center"/>
    </xf>
    <xf numFmtId="0" fontId="29" fillId="9" borderId="0" xfId="0" applyFont="1" applyFill="1" applyAlignment="1">
      <alignment vertical="center"/>
    </xf>
    <xf numFmtId="0" fontId="29" fillId="0" borderId="0" xfId="0" quotePrefix="1" applyFont="1"/>
    <xf numFmtId="43" fontId="36" fillId="10" borderId="0" xfId="1" applyFont="1" applyFill="1"/>
    <xf numFmtId="43" fontId="29" fillId="0" borderId="0" xfId="1" applyFont="1" applyFill="1" applyBorder="1"/>
    <xf numFmtId="43" fontId="36" fillId="0" borderId="0" xfId="1" applyFont="1"/>
    <xf numFmtId="43" fontId="59" fillId="10" borderId="0" xfId="1" quotePrefix="1" applyFont="1" applyFill="1" applyAlignment="1">
      <alignment horizontal="center"/>
    </xf>
    <xf numFmtId="43" fontId="59" fillId="10" borderId="0" xfId="1" quotePrefix="1" applyFont="1" applyFill="1" applyAlignment="1">
      <alignment horizontal="center" vertical="center" wrapText="1"/>
    </xf>
    <xf numFmtId="43" fontId="59" fillId="0" borderId="46" xfId="1" applyFont="1" applyBorder="1" applyAlignment="1">
      <alignment vertical="center"/>
    </xf>
    <xf numFmtId="43" fontId="48" fillId="0" borderId="0" xfId="1" applyFont="1" applyAlignment="1">
      <alignment vertical="center"/>
    </xf>
    <xf numFmtId="43" fontId="48" fillId="0" borderId="0" xfId="1" applyFont="1" applyFill="1" applyAlignment="1">
      <alignment vertical="center"/>
    </xf>
    <xf numFmtId="164" fontId="3" fillId="0" borderId="0" xfId="1" applyNumberFormat="1" applyFont="1" applyAlignment="1"/>
    <xf numFmtId="164" fontId="47" fillId="0" borderId="0" xfId="1" quotePrefix="1" applyNumberFormat="1" applyFont="1" applyAlignment="1">
      <alignment vertical="center"/>
    </xf>
    <xf numFmtId="164" fontId="22" fillId="0" borderId="0" xfId="1" applyNumberFormat="1" applyFont="1" applyAlignment="1"/>
    <xf numFmtId="43" fontId="45" fillId="10" borderId="0" xfId="1" quotePrefix="1" applyFont="1" applyFill="1" applyAlignment="1">
      <alignment horizontal="center"/>
    </xf>
    <xf numFmtId="164" fontId="10" fillId="10" borderId="0" xfId="1" applyNumberFormat="1" applyFont="1" applyFill="1" applyAlignment="1"/>
    <xf numFmtId="164" fontId="3" fillId="10" borderId="0" xfId="1" applyNumberFormat="1" applyFont="1" applyFill="1" applyAlignment="1"/>
    <xf numFmtId="43" fontId="59" fillId="10" borderId="46" xfId="1" applyFont="1" applyFill="1" applyBorder="1" applyAlignment="1">
      <alignment vertical="center"/>
    </xf>
    <xf numFmtId="43" fontId="59" fillId="10" borderId="0" xfId="1" applyFont="1" applyFill="1" applyAlignment="1">
      <alignment vertical="center"/>
    </xf>
    <xf numFmtId="43" fontId="46" fillId="10" borderId="0" xfId="1" applyFont="1" applyFill="1" applyAlignment="1">
      <alignment vertical="center"/>
    </xf>
    <xf numFmtId="43" fontId="45" fillId="10" borderId="0" xfId="1" quotePrefix="1" applyFont="1" applyFill="1" applyAlignment="1">
      <alignment horizontal="center" vertical="center" wrapText="1"/>
    </xf>
    <xf numFmtId="0" fontId="17" fillId="6" borderId="0" xfId="0" applyFont="1" applyFill="1" applyAlignment="1">
      <alignment horizontal="center"/>
    </xf>
    <xf numFmtId="43" fontId="17" fillId="6" borderId="0" xfId="1" applyFont="1" applyFill="1" applyAlignment="1">
      <alignment horizontal="center"/>
    </xf>
    <xf numFmtId="43" fontId="12" fillId="6" borderId="0" xfId="0" applyNumberFormat="1" applyFont="1" applyFill="1"/>
    <xf numFmtId="165" fontId="12" fillId="6" borderId="0" xfId="0" applyNumberFormat="1" applyFont="1" applyFill="1"/>
    <xf numFmtId="43" fontId="12" fillId="6" borderId="81" xfId="0" applyNumberFormat="1" applyFont="1" applyFill="1" applyBorder="1"/>
    <xf numFmtId="0" fontId="0" fillId="0" borderId="83" xfId="0" applyBorder="1"/>
    <xf numFmtId="0" fontId="0" fillId="0" borderId="83" xfId="0" applyBorder="1" applyAlignment="1">
      <alignment horizontal="right"/>
    </xf>
    <xf numFmtId="0" fontId="0" fillId="0" borderId="81" xfId="0" applyBorder="1"/>
    <xf numFmtId="0" fontId="0" fillId="0" borderId="85" xfId="0" applyBorder="1"/>
    <xf numFmtId="164" fontId="1" fillId="0" borderId="0" xfId="1" applyNumberFormat="1" applyFont="1" applyAlignment="1">
      <alignment horizontal="right"/>
    </xf>
    <xf numFmtId="164" fontId="1" fillId="0" borderId="83" xfId="1" applyNumberFormat="1" applyFont="1" applyBorder="1"/>
    <xf numFmtId="0" fontId="1" fillId="0" borderId="74" xfId="0" applyFont="1" applyBorder="1" applyAlignment="1">
      <alignment horizontal="center" wrapText="1"/>
    </xf>
    <xf numFmtId="0" fontId="1" fillId="0" borderId="84" xfId="0" applyFont="1" applyBorder="1" applyAlignment="1">
      <alignment horizontal="center" wrapText="1"/>
    </xf>
    <xf numFmtId="0" fontId="1" fillId="8" borderId="74" xfId="0" applyFont="1" applyFill="1" applyBorder="1" applyAlignment="1">
      <alignment horizontal="center" wrapText="1"/>
    </xf>
    <xf numFmtId="0" fontId="2" fillId="0" borderId="0" xfId="0" applyFont="1" applyAlignment="1">
      <alignment horizontal="center" wrapText="1"/>
    </xf>
    <xf numFmtId="43" fontId="12" fillId="6" borderId="86" xfId="0" applyNumberFormat="1" applyFont="1" applyFill="1" applyBorder="1"/>
    <xf numFmtId="0" fontId="12" fillId="8" borderId="0" xfId="0" applyFont="1" applyFill="1"/>
    <xf numFmtId="43" fontId="12" fillId="8" borderId="0" xfId="1" applyFont="1" applyFill="1"/>
    <xf numFmtId="0" fontId="44" fillId="0" borderId="0" xfId="0" quotePrefix="1" applyFont="1" applyAlignment="1">
      <alignment horizontal="left" vertical="top"/>
    </xf>
    <xf numFmtId="0" fontId="43" fillId="0" borderId="0" xfId="0" quotePrefix="1" applyFont="1" applyAlignment="1">
      <alignment horizontal="center" vertical="center"/>
    </xf>
    <xf numFmtId="0" fontId="45" fillId="7" borderId="0" xfId="0" quotePrefix="1" applyFont="1" applyFill="1" applyAlignment="1">
      <alignment horizontal="center"/>
    </xf>
    <xf numFmtId="167" fontId="43" fillId="0" borderId="0" xfId="0" applyNumberFormat="1" applyFont="1" applyAlignment="1">
      <alignment vertical="center"/>
    </xf>
    <xf numFmtId="0" fontId="3" fillId="0" borderId="0" xfId="0" applyFont="1" applyAlignment="1">
      <alignment horizontal="center"/>
    </xf>
    <xf numFmtId="0" fontId="1" fillId="10" borderId="0" xfId="0" applyFont="1" applyFill="1"/>
    <xf numFmtId="167" fontId="46" fillId="10" borderId="0" xfId="0" applyNumberFormat="1" applyFont="1" applyFill="1" applyAlignment="1">
      <alignment vertical="center"/>
    </xf>
    <xf numFmtId="0" fontId="1" fillId="0" borderId="0" xfId="0" applyFont="1" applyAlignment="1">
      <alignment horizontal="center" vertical="center" wrapText="1"/>
    </xf>
    <xf numFmtId="0" fontId="46" fillId="10" borderId="43" xfId="0" quotePrefix="1" applyFont="1" applyFill="1" applyBorder="1" applyAlignment="1">
      <alignment horizontal="center" vertical="center" wrapText="1"/>
    </xf>
    <xf numFmtId="0" fontId="45" fillId="10" borderId="43" xfId="0" quotePrefix="1" applyFont="1" applyFill="1" applyBorder="1" applyAlignment="1">
      <alignment horizontal="center" vertical="center" wrapText="1"/>
    </xf>
    <xf numFmtId="0" fontId="44" fillId="0" borderId="43" xfId="0" quotePrefix="1" applyFont="1" applyBorder="1" applyAlignment="1">
      <alignment horizontal="left" vertical="top"/>
    </xf>
    <xf numFmtId="0" fontId="1" fillId="10" borderId="43" xfId="0" applyFont="1" applyFill="1" applyBorder="1"/>
    <xf numFmtId="167" fontId="46" fillId="10" borderId="43" xfId="0" applyNumberFormat="1" applyFont="1" applyFill="1" applyBorder="1" applyAlignment="1">
      <alignment vertical="center"/>
    </xf>
    <xf numFmtId="167" fontId="61" fillId="0" borderId="0" xfId="0" applyNumberFormat="1" applyFont="1" applyAlignment="1">
      <alignment vertical="center"/>
    </xf>
    <xf numFmtId="0" fontId="62" fillId="0" borderId="0" xfId="0" applyFont="1"/>
    <xf numFmtId="0" fontId="62" fillId="0" borderId="37" xfId="0" applyFont="1" applyBorder="1"/>
    <xf numFmtId="0" fontId="62" fillId="12" borderId="0" xfId="1" applyNumberFormat="1" applyFont="1" applyFill="1"/>
    <xf numFmtId="43" fontId="62" fillId="10" borderId="0" xfId="1" applyFont="1" applyFill="1"/>
    <xf numFmtId="0" fontId="62" fillId="6" borderId="0" xfId="0" applyFont="1" applyFill="1"/>
    <xf numFmtId="0" fontId="62" fillId="12" borderId="0" xfId="0" applyFont="1" applyFill="1"/>
    <xf numFmtId="164" fontId="62" fillId="0" borderId="0" xfId="1" applyNumberFormat="1" applyFont="1"/>
    <xf numFmtId="43" fontId="62" fillId="0" borderId="0" xfId="1" applyFont="1"/>
    <xf numFmtId="43" fontId="62" fillId="0" borderId="0" xfId="1" applyFont="1" applyFill="1"/>
    <xf numFmtId="1" fontId="29" fillId="0" borderId="0" xfId="0" applyNumberFormat="1" applyFont="1"/>
    <xf numFmtId="43" fontId="62" fillId="6" borderId="0" xfId="0" applyNumberFormat="1" applyFont="1" applyFill="1"/>
    <xf numFmtId="0" fontId="49" fillId="8" borderId="0" xfId="0" quotePrefix="1" applyFont="1" applyFill="1"/>
    <xf numFmtId="0" fontId="49" fillId="8" borderId="0" xfId="0" applyFont="1" applyFill="1"/>
    <xf numFmtId="0" fontId="49" fillId="8" borderId="37" xfId="0" applyFont="1" applyFill="1" applyBorder="1"/>
    <xf numFmtId="0" fontId="49" fillId="8" borderId="0" xfId="1" applyNumberFormat="1" applyFont="1" applyFill="1"/>
    <xf numFmtId="43" fontId="49" fillId="8" borderId="0" xfId="1" applyFont="1" applyFill="1"/>
    <xf numFmtId="164" fontId="49" fillId="8" borderId="0" xfId="1" applyNumberFormat="1" applyFont="1" applyFill="1"/>
    <xf numFmtId="1" fontId="50" fillId="8" borderId="0" xfId="0" applyNumberFormat="1" applyFont="1" applyFill="1"/>
    <xf numFmtId="43" fontId="49" fillId="8" borderId="0" xfId="0" applyNumberFormat="1" applyFont="1" applyFill="1"/>
    <xf numFmtId="0" fontId="63" fillId="0" borderId="0" xfId="0" applyFont="1"/>
    <xf numFmtId="0" fontId="63" fillId="0" borderId="37" xfId="0" applyFont="1" applyBorder="1"/>
    <xf numFmtId="0" fontId="63" fillId="12" borderId="0" xfId="1" applyNumberFormat="1" applyFont="1" applyFill="1"/>
    <xf numFmtId="43" fontId="63" fillId="10" borderId="0" xfId="1" applyFont="1" applyFill="1"/>
    <xf numFmtId="0" fontId="63" fillId="6" borderId="0" xfId="0" applyFont="1" applyFill="1"/>
    <xf numFmtId="0" fontId="63" fillId="12" borderId="0" xfId="0" applyFont="1" applyFill="1"/>
    <xf numFmtId="164" fontId="63" fillId="0" borderId="0" xfId="1" applyNumberFormat="1" applyFont="1"/>
    <xf numFmtId="43" fontId="63" fillId="0" borderId="0" xfId="1" applyFont="1"/>
    <xf numFmtId="43" fontId="63" fillId="0" borderId="0" xfId="1" applyFont="1" applyFill="1"/>
    <xf numFmtId="1" fontId="64" fillId="0" borderId="0" xfId="0" applyNumberFormat="1" applyFont="1"/>
    <xf numFmtId="43" fontId="63" fillId="6" borderId="0" xfId="0" applyNumberFormat="1" applyFont="1" applyFill="1"/>
    <xf numFmtId="43" fontId="50" fillId="10" borderId="0" xfId="1" applyFont="1" applyFill="1"/>
    <xf numFmtId="0" fontId="50" fillId="9" borderId="0" xfId="0" applyFont="1" applyFill="1"/>
    <xf numFmtId="0" fontId="50" fillId="7" borderId="0" xfId="0" applyFont="1" applyFill="1" applyAlignment="1">
      <alignment horizontal="center" vertical="center"/>
    </xf>
    <xf numFmtId="0" fontId="29" fillId="7" borderId="0" xfId="0" applyFont="1" applyFill="1" applyAlignment="1">
      <alignment horizontal="center"/>
    </xf>
    <xf numFmtId="0" fontId="50" fillId="9" borderId="0" xfId="0" applyFont="1" applyFill="1" applyAlignment="1">
      <alignment horizontal="center" vertical="center"/>
    </xf>
    <xf numFmtId="0" fontId="50" fillId="6" borderId="0" xfId="0" applyFont="1" applyFill="1" applyAlignment="1">
      <alignment horizontal="center" vertical="center"/>
    </xf>
    <xf numFmtId="0" fontId="50" fillId="9" borderId="0" xfId="0" applyFont="1" applyFill="1" applyAlignment="1">
      <alignment horizontal="center"/>
    </xf>
    <xf numFmtId="0" fontId="64" fillId="0" borderId="0" xfId="0" applyFont="1"/>
    <xf numFmtId="0" fontId="64" fillId="0" borderId="0" xfId="0" applyFont="1" applyAlignment="1">
      <alignment wrapText="1"/>
    </xf>
    <xf numFmtId="0" fontId="64" fillId="6" borderId="0" xfId="0" applyFont="1" applyFill="1"/>
    <xf numFmtId="43" fontId="64" fillId="10" borderId="0" xfId="1" applyFont="1" applyFill="1"/>
    <xf numFmtId="0" fontId="64" fillId="7" borderId="0" xfId="0" applyFont="1" applyFill="1"/>
    <xf numFmtId="0" fontId="64" fillId="9" borderId="0" xfId="0" applyFont="1" applyFill="1"/>
    <xf numFmtId="0" fontId="64" fillId="7" borderId="0" xfId="0" applyFont="1" applyFill="1" applyAlignment="1">
      <alignment horizontal="center"/>
    </xf>
    <xf numFmtId="43" fontId="29" fillId="10" borderId="0" xfId="1" applyFont="1" applyFill="1" applyAlignment="1">
      <alignment horizontal="center"/>
    </xf>
    <xf numFmtId="0" fontId="29" fillId="9" borderId="0" xfId="0" applyFont="1" applyFill="1" applyAlignment="1">
      <alignment horizontal="center"/>
    </xf>
    <xf numFmtId="0" fontId="64" fillId="9" borderId="0" xfId="0" applyFont="1" applyFill="1" applyAlignment="1">
      <alignment horizontal="center"/>
    </xf>
    <xf numFmtId="0" fontId="29" fillId="6" borderId="0" xfId="0" applyFont="1" applyFill="1" applyAlignment="1">
      <alignment horizontal="center"/>
    </xf>
    <xf numFmtId="0" fontId="64" fillId="6" borderId="0" xfId="0" applyFont="1" applyFill="1" applyAlignment="1">
      <alignment horizontal="center"/>
    </xf>
    <xf numFmtId="43" fontId="29" fillId="0" borderId="0" xfId="1" applyFont="1" applyFill="1" applyAlignment="1">
      <alignment horizontal="center"/>
    </xf>
    <xf numFmtId="43" fontId="65" fillId="10" borderId="0" xfId="1" applyFont="1" applyFill="1" applyAlignment="1">
      <alignment horizontal="center"/>
    </xf>
    <xf numFmtId="0" fontId="65" fillId="9" borderId="0" xfId="0" applyFont="1" applyFill="1" applyAlignment="1">
      <alignment horizontal="center"/>
    </xf>
    <xf numFmtId="0" fontId="65" fillId="6" borderId="0" xfId="0" applyFont="1" applyFill="1" applyAlignment="1">
      <alignment horizontal="center"/>
    </xf>
    <xf numFmtId="0" fontId="65" fillId="6" borderId="0" xfId="0" applyFont="1" applyFill="1" applyAlignment="1">
      <alignment horizontal="center" vertical="center"/>
    </xf>
    <xf numFmtId="0" fontId="29" fillId="6" borderId="0" xfId="0" applyFont="1" applyFill="1" applyAlignment="1">
      <alignment horizontal="center" vertical="center"/>
    </xf>
    <xf numFmtId="0" fontId="29" fillId="9" borderId="0" xfId="0" applyFont="1" applyFill="1" applyAlignment="1">
      <alignment horizontal="center" vertical="center"/>
    </xf>
    <xf numFmtId="0" fontId="29" fillId="7" borderId="0" xfId="0" applyFont="1" applyFill="1" applyAlignment="1">
      <alignment horizontal="center" vertical="center"/>
    </xf>
    <xf numFmtId="43" fontId="29" fillId="0" borderId="0" xfId="1" applyFont="1" applyFill="1" applyBorder="1" applyAlignment="1">
      <alignment horizontal="center"/>
    </xf>
    <xf numFmtId="43" fontId="29" fillId="9" borderId="0" xfId="1" applyFont="1" applyFill="1" applyAlignment="1">
      <alignment horizontal="center"/>
    </xf>
    <xf numFmtId="0" fontId="64" fillId="0" borderId="0" xfId="0" applyFont="1" applyAlignment="1">
      <alignment vertical="center"/>
    </xf>
    <xf numFmtId="0" fontId="64" fillId="0" borderId="0" xfId="0" applyFont="1" applyAlignment="1">
      <alignment vertical="center" wrapText="1"/>
    </xf>
    <xf numFmtId="0" fontId="64" fillId="6" borderId="0" xfId="0" applyFont="1" applyFill="1" applyAlignment="1">
      <alignment vertical="center"/>
    </xf>
    <xf numFmtId="43" fontId="64" fillId="10" borderId="0" xfId="1" applyFont="1" applyFill="1" applyAlignment="1">
      <alignment vertical="center"/>
    </xf>
    <xf numFmtId="0" fontId="64" fillId="7" borderId="0" xfId="0" applyFont="1" applyFill="1" applyAlignment="1">
      <alignment vertical="center"/>
    </xf>
    <xf numFmtId="0" fontId="64" fillId="9" borderId="0" xfId="0" applyFont="1" applyFill="1" applyAlignment="1">
      <alignment vertical="center"/>
    </xf>
    <xf numFmtId="0" fontId="64" fillId="6" borderId="0" xfId="0" applyFont="1" applyFill="1" applyAlignment="1">
      <alignment horizontal="center" vertical="center"/>
    </xf>
    <xf numFmtId="0" fontId="64" fillId="7" borderId="0" xfId="0" applyFont="1" applyFill="1" applyAlignment="1">
      <alignment horizontal="center" vertical="center"/>
    </xf>
    <xf numFmtId="43" fontId="65" fillId="0" borderId="0" xfId="1" applyFont="1" applyFill="1" applyAlignment="1">
      <alignment horizontal="center" wrapText="1"/>
    </xf>
    <xf numFmtId="0" fontId="2" fillId="0" borderId="5" xfId="0" applyFont="1" applyBorder="1" applyAlignment="1">
      <alignment horizontal="left" wrapText="1"/>
    </xf>
    <xf numFmtId="0" fontId="35" fillId="0" borderId="0" xfId="0" applyFont="1" applyAlignment="1">
      <alignment horizontal="left" wrapText="1"/>
    </xf>
    <xf numFmtId="0" fontId="35" fillId="0" borderId="0" xfId="0" applyFont="1" applyAlignment="1">
      <alignment horizontal="left"/>
    </xf>
    <xf numFmtId="0" fontId="13" fillId="0" borderId="0" xfId="0" applyFont="1" applyAlignment="1">
      <alignment horizontal="left" wrapText="1"/>
    </xf>
    <xf numFmtId="0" fontId="9" fillId="0" borderId="0" xfId="3" applyFont="1" applyAlignment="1">
      <alignment horizontal="left"/>
    </xf>
    <xf numFmtId="43" fontId="3" fillId="0" borderId="0" xfId="1" applyFont="1" applyAlignment="1">
      <alignment horizontal="left"/>
    </xf>
    <xf numFmtId="0" fontId="9" fillId="0" borderId="0" xfId="3" applyFont="1" applyAlignment="1">
      <alignment horizontal="center" vertical="center"/>
    </xf>
    <xf numFmtId="0" fontId="14" fillId="0" borderId="0" xfId="3" applyFont="1" applyAlignment="1">
      <alignment horizontal="center" vertical="center"/>
    </xf>
    <xf numFmtId="0" fontId="21" fillId="0" borderId="43" xfId="3" applyFont="1" applyBorder="1" applyAlignment="1">
      <alignment horizontal="center" vertical="center"/>
    </xf>
    <xf numFmtId="0" fontId="9" fillId="0" borderId="43" xfId="3" applyFont="1" applyBorder="1" applyAlignment="1">
      <alignment horizontal="center"/>
    </xf>
    <xf numFmtId="0" fontId="9" fillId="3" borderId="0" xfId="3" applyFont="1" applyFill="1" applyAlignment="1">
      <alignment horizontal="center"/>
    </xf>
    <xf numFmtId="0" fontId="9" fillId="0" borderId="49" xfId="3" applyFont="1" applyBorder="1" applyAlignment="1">
      <alignment horizontal="center"/>
    </xf>
    <xf numFmtId="0" fontId="9" fillId="3" borderId="0" xfId="3" applyFont="1" applyFill="1" applyAlignment="1">
      <alignment horizontal="left"/>
    </xf>
    <xf numFmtId="0" fontId="21" fillId="0" borderId="24" xfId="3" applyFont="1" applyBorder="1" applyAlignment="1">
      <alignment horizontal="center" vertical="center"/>
    </xf>
    <xf numFmtId="0" fontId="9" fillId="0" borderId="0" xfId="3" applyFont="1" applyAlignment="1">
      <alignment horizontal="center"/>
    </xf>
    <xf numFmtId="0" fontId="9" fillId="3" borderId="0" xfId="3" applyFont="1" applyFill="1" applyAlignment="1">
      <alignment horizontal="left" vertical="top"/>
    </xf>
    <xf numFmtId="0" fontId="9" fillId="0" borderId="24" xfId="3" applyFont="1" applyBorder="1" applyAlignment="1" applyProtection="1">
      <alignment horizontal="left" vertical="center"/>
      <protection locked="0"/>
    </xf>
    <xf numFmtId="0" fontId="9" fillId="0" borderId="0" xfId="3" applyFont="1" applyAlignment="1" applyProtection="1">
      <alignment horizontal="left" vertical="center"/>
      <protection locked="0"/>
    </xf>
    <xf numFmtId="0" fontId="35" fillId="0" borderId="0" xfId="0" applyFont="1" applyAlignment="1">
      <alignment horizontal="center"/>
    </xf>
    <xf numFmtId="0" fontId="37" fillId="0" borderId="0" xfId="0" applyFont="1" applyAlignment="1">
      <alignment horizontal="left"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37" fillId="0" borderId="0" xfId="0" applyFont="1" applyAlignment="1">
      <alignment horizontal="center" vertical="center"/>
    </xf>
    <xf numFmtId="0" fontId="1" fillId="0" borderId="0" xfId="0" applyFont="1" applyAlignment="1">
      <alignment horizontal="left"/>
    </xf>
    <xf numFmtId="0" fontId="60" fillId="0" borderId="24" xfId="0" quotePrefix="1" applyFont="1" applyBorder="1" applyAlignment="1">
      <alignment horizontal="right" vertical="top"/>
    </xf>
    <xf numFmtId="43" fontId="36" fillId="9" borderId="0" xfId="1" applyFont="1" applyFill="1" applyAlignment="1">
      <alignment horizontal="center"/>
    </xf>
    <xf numFmtId="0" fontId="36" fillId="0" borderId="0" xfId="0" applyFont="1" applyAlignment="1">
      <alignment horizontal="center"/>
    </xf>
    <xf numFmtId="0" fontId="36" fillId="9" borderId="0" xfId="0" applyFont="1" applyFill="1" applyAlignment="1">
      <alignment horizontal="center" wrapText="1"/>
    </xf>
    <xf numFmtId="43" fontId="36" fillId="0" borderId="0" xfId="1" applyFont="1" applyAlignment="1">
      <alignment horizontal="center"/>
    </xf>
    <xf numFmtId="0" fontId="36" fillId="0" borderId="0" xfId="0" applyFont="1" applyAlignment="1">
      <alignment horizontal="center" wrapText="1"/>
    </xf>
  </cellXfs>
  <cellStyles count="8">
    <cellStyle name="Comma" xfId="1" builtinId="3"/>
    <cellStyle name="Currency" xfId="2" builtinId="4"/>
    <cellStyle name="Currency 2" xfId="4" xr:uid="{00000000-0005-0000-0000-000002000000}"/>
    <cellStyle name="Hyperlink" xfId="5" builtinId="8"/>
    <cellStyle name="Normal" xfId="0" builtinId="0"/>
    <cellStyle name="Normal 2" xfId="3" xr:uid="{00000000-0005-0000-0000-000005000000}"/>
    <cellStyle name="Percent" xfId="7" builtinId="5"/>
    <cellStyle name="Percent 2" xfId="6" xr:uid="{00000000-0005-0000-0000-000006000000}"/>
  </cellStyles>
  <dxfs count="2633">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006200"/>
      </font>
      <fill>
        <patternFill>
          <bgColor rgb="FFC6EFCE"/>
        </patternFill>
      </fill>
    </dxf>
    <dxf>
      <font>
        <color rgb="FF9C0006"/>
      </font>
      <fill>
        <patternFill>
          <bgColor rgb="FFFFC7CE"/>
        </patternFill>
      </fill>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FF0000"/>
      </font>
    </dxf>
    <dxf>
      <font>
        <color rgb="FFFF0000"/>
      </font>
    </dxf>
    <dxf>
      <font>
        <color rgb="FF006200"/>
      </font>
      <fill>
        <patternFill>
          <bgColor rgb="FFC6EF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center" textRotation="0" wrapText="0" indent="0" justifyLastLine="0" shrinkToFit="0" readingOrder="0"/>
      <border diagonalUp="0" diagonalDown="0">
        <left style="thin">
          <color auto="1"/>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left style="thin">
          <color indexed="64"/>
        </left>
        <right style="thin">
          <color auto="1"/>
        </right>
        <top style="thin">
          <color auto="1"/>
        </top>
        <bottom style="thin">
          <color indexed="64"/>
        </bottom>
      </border>
    </dxf>
    <dxf>
      <alignment horizontal="general" vertical="center"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patternType="solid">
          <fgColor indexed="64"/>
          <bgColor theme="8"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thin">
          <color indexed="64"/>
        </top>
        <bottom style="medium">
          <color indexed="64"/>
        </bottom>
      </border>
    </dxf>
    <dxf>
      <border>
        <bottom style="thin">
          <color indexed="64"/>
        </bottom>
      </border>
    </dxf>
    <dxf>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alignment horizontal="left" vertical="center" textRotation="0" wrapText="0" indent="0" justifyLastLine="0" shrinkToFit="0" readingOrder="0"/>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patternType="solid">
          <fgColor indexed="64"/>
          <bgColor theme="8"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alignment horizontal="centerContinuous"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alignment horizontal="centerContinuous"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centerContinuous"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centerContinuous" vertical="center" textRotation="0" wrapText="0" indent="0" justifyLastLine="0" shrinkToFit="0" readingOrder="0"/>
      <border diagonalUp="0" diagonalDown="0">
        <left style="thin">
          <color indexed="64"/>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indexed="64"/>
          <bgColor theme="0"/>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indexed="64"/>
          <bgColor theme="0"/>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indexed="64"/>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indexed="64"/>
          <bgColor theme="0"/>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indexed="64"/>
          <bgColor theme="0"/>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indexed="64"/>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style="thin">
          <color auto="1"/>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style="thin">
          <color auto="1"/>
        </right>
        <top style="thin">
          <color auto="1"/>
        </top>
        <bottom/>
        <vertical style="thin">
          <color auto="1"/>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thin">
          <color auto="1"/>
        </left>
        <right style="thin">
          <color auto="1"/>
        </right>
        <vertical style="thin">
          <color auto="1"/>
        </vertical>
      </border>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center"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ck">
          <color auto="1"/>
        </right>
        <top style="thin">
          <color auto="1"/>
        </top>
        <bottom style="thin">
          <color auto="1"/>
        </bottom>
        <vertical/>
        <horizontal/>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right style="thick">
          <color auto="1"/>
        </right>
        <top style="thick">
          <color auto="1"/>
        </top>
        <bottom style="thick">
          <color auto="1"/>
        </bottom>
      </border>
      <protection locked="1"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thin">
          <color auto="1"/>
        </top>
        <bottom style="thin">
          <color auto="1"/>
        </bottom>
        <vertical/>
        <horizontal/>
      </border>
      <protection locked="1"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ck">
          <color auto="1"/>
        </left>
        <right style="thin">
          <color auto="1"/>
        </right>
        <top style="thin">
          <color auto="1"/>
        </top>
        <bottom style="thin">
          <color auto="1"/>
        </bottom>
      </border>
      <protection locked="1" hidden="0"/>
    </dxf>
    <dxf>
      <border>
        <top style="thin">
          <color auto="1"/>
        </top>
      </border>
    </dxf>
    <dxf>
      <border diagonalUp="0" diagonalDown="0">
        <left style="thick">
          <color auto="1"/>
        </left>
        <right style="thick">
          <color auto="1"/>
        </right>
        <top style="thick">
          <color auto="1"/>
        </top>
        <bottom style="thick">
          <color auto="1"/>
        </bottom>
      </border>
    </dxf>
    <dxf>
      <font>
        <b val="0"/>
        <i val="0"/>
        <strike val="0"/>
        <condense val="0"/>
        <extend val="0"/>
        <outline val="0"/>
        <shadow val="0"/>
        <u val="none"/>
        <vertAlign val="baseline"/>
        <sz val="12"/>
        <color theme="1"/>
        <name val="Calibri"/>
        <scheme val="minor"/>
      </font>
      <numFmt numFmtId="30" formatCode="@"/>
      <fill>
        <patternFill patternType="solid">
          <fgColor indexed="64"/>
          <bgColor theme="6" tint="0.79998168889431442"/>
        </patternFill>
      </fill>
      <alignment horizontal="general" vertical="center" textRotation="0" wrapText="0" indent="0" justifyLastLine="0" shrinkToFit="0" readingOrder="0"/>
      <protection locked="1" hidden="0"/>
    </dxf>
    <dxf>
      <border>
        <bottom style="thick">
          <color auto="1"/>
        </bottom>
      </border>
    </dxf>
    <dxf>
      <font>
        <b/>
        <i val="0"/>
        <strike val="0"/>
        <condense val="0"/>
        <extend val="0"/>
        <outline val="0"/>
        <shadow val="0"/>
        <u val="none"/>
        <vertAlign val="baseline"/>
        <sz val="14"/>
        <color auto="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patternType="solid">
          <fgColor indexed="64"/>
          <bgColor theme="8"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34" formatCode="_(&quot;$&quot;* #,##0.00_);_(&quot;$&quot;* \(#,##0.00\);_(&quot;$&quot;* &quot;-&quot;??_);_(@_)"/>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numFmt numFmtId="34" formatCode="_(&quot;$&quot;* #,##0.00_);_(&quot;$&quot;* \(#,##0.00\);_(&quot;$&quot;* &quot;-&quot;??_);_(@_)"/>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protection locked="0" hidden="0"/>
    </dxf>
    <dxf>
      <border outline="0">
        <right style="thin">
          <color indexed="64"/>
        </right>
      </border>
      <protection locked="0" hidden="0"/>
    </dxf>
    <dxf>
      <border outline="0">
        <right style="thin">
          <color indexed="64"/>
        </right>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scheme val="minor"/>
      </font>
      <numFmt numFmtId="164" formatCode="_(* #,##0_);_(* \(#,##0\);_(* &quot;-&quot;??_);_(@_)"/>
      <fill>
        <patternFill patternType="solid">
          <fgColor indexed="64"/>
          <bgColor theme="8" tint="0.79998168889431442"/>
        </patternFill>
      </fill>
      <border diagonalUp="0" diagonalDown="0">
        <left style="thin">
          <color auto="1"/>
        </left>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border>
      <protection locked="0" hidden="0"/>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protection locked="0" hidden="0"/>
    </dxf>
    <dxf>
      <border outline="0">
        <right style="thin">
          <color indexed="64"/>
        </right>
      </border>
    </dxf>
    <dxf>
      <border outline="0">
        <top style="thin">
          <color auto="1"/>
        </top>
      </border>
    </dxf>
    <dxf>
      <border outline="0">
        <top style="medium">
          <color auto="1"/>
        </top>
        <bottom style="thin">
          <color indexed="64"/>
        </bottom>
      </border>
    </dxf>
    <dxf>
      <border outline="0">
        <bottom style="thin">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thin">
          <color auto="1"/>
        </left>
        <right style="thin">
          <color auto="1"/>
        </right>
        <top/>
        <bottom/>
      </border>
    </dxf>
  </dxfs>
  <tableStyles count="0" defaultTableStyle="TableStyleMedium2" defaultPivotStyle="PivotStyleLight16"/>
  <colors>
    <mruColors>
      <color rgb="FFC6EFCE"/>
      <color rgb="FF9C0006"/>
      <color rgb="FF006100"/>
      <color rgb="FFFFC7CE"/>
      <color rgb="FF006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7448550</xdr:colOff>
      <xdr:row>0</xdr:row>
      <xdr:rowOff>1628775</xdr:rowOff>
    </xdr:from>
    <xdr:to>
      <xdr:col>0</xdr:col>
      <xdr:colOff>9025527</xdr:colOff>
      <xdr:row>0</xdr:row>
      <xdr:rowOff>2268855</xdr:rowOff>
    </xdr:to>
    <xdr:pic>
      <xdr:nvPicPr>
        <xdr:cNvPr id="3" name="Picture 2" descr="CIFR: Center for IDEA Fiscal Reporting" title="CIFR Logo">
          <a:extLst>
            <a:ext uri="{FF2B5EF4-FFF2-40B4-BE49-F238E27FC236}">
              <a16:creationId xmlns:a16="http://schemas.microsoft.com/office/drawing/2014/main" id="{E60E1248-5154-4D7A-9B61-A4F5C392BC88}"/>
            </a:ext>
          </a:extLst>
        </xdr:cNvPr>
        <xdr:cNvPicPr/>
      </xdr:nvPicPr>
      <xdr:blipFill>
        <a:blip xmlns:r="http://schemas.openxmlformats.org/officeDocument/2006/relationships" r:embed="rId1" cstate="print"/>
        <a:stretch>
          <a:fillRect/>
        </a:stretch>
      </xdr:blipFill>
      <xdr:spPr>
        <a:xfrm>
          <a:off x="7448550" y="1628775"/>
          <a:ext cx="1576977"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685800</xdr:colOff>
      <xdr:row>1</xdr:row>
      <xdr:rowOff>0</xdr:rowOff>
    </xdr:from>
    <xdr:ext cx="184731" cy="264560"/>
    <xdr:sp macro="" textlink="">
      <xdr:nvSpPr>
        <xdr:cNvPr id="2" name="TextBox 1">
          <a:extLst>
            <a:ext uri="{FF2B5EF4-FFF2-40B4-BE49-F238E27FC236}">
              <a16:creationId xmlns:a16="http://schemas.microsoft.com/office/drawing/2014/main" id="{22847ADB-3843-42CD-854F-A698D9EC7195}"/>
            </a:ext>
          </a:extLst>
        </xdr:cNvPr>
        <xdr:cNvSpPr txBox="1"/>
      </xdr:nvSpPr>
      <xdr:spPr>
        <a:xfrm>
          <a:off x="1885950"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David Green" id="{C4475578-1A93-4213-B872-53224336EB1B}" userId="S::david.green@k12.wa.us::ea897130-4d40-4b17-8754-b12a813d81c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00000000}" name="Background" displayName="Background" ref="A1:B6" totalsRowShown="0" headerRowDxfId="2632" headerRowBorderDxfId="2631" tableBorderDxfId="2630" totalsRowBorderDxfId="2629">
  <autoFilter ref="A1:B6" xr:uid="{00000000-0009-0000-0100-0000C0000000}">
    <filterColumn colId="0" hiddenButton="1"/>
    <filterColumn colId="1" hiddenButton="1"/>
  </autoFilter>
  <tableColumns count="2">
    <tableColumn id="1" xr3:uid="{00000000-0010-0000-0000-000001000000}" name="Enter the requested information below" dataDxfId="2628"/>
    <tableColumn id="2" xr3:uid="{00000000-0010-0000-0000-000002000000}" name="Information" dataDxfId="2627"/>
  </tableColumns>
  <tableStyleInfo name="TableStyleMedium2" showFirstColumn="0" showLastColumn="0" showRowStripes="0" showColumnStripes="0"/>
  <extLst>
    <ext xmlns:x14="http://schemas.microsoft.com/office/spreadsheetml/2009/9/main" uri="{504A1905-F514-4f6f-8877-14C23A59335A}">
      <x14:table altText="Background information" altTextSummary="Users should enter background information in this table. The fiscal year for Year 1 is essential for the workbook to functio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9000000}" name="ExcAReplaceDataYear3Budget" displayName="ExcAReplaceDataYear3Budget" ref="A15:F21" totalsRowShown="0" headerRowDxfId="2559" dataDxfId="2557" headerRowBorderDxfId="2558" tableBorderDxfId="2556">
  <tableColumns count="6">
    <tableColumn id="1" xr3:uid="{00000000-0010-0000-3900-000001000000}" name="Position Title" dataDxfId="2555"/>
    <tableColumn id="2" xr3:uid="{00000000-0010-0000-3900-000002000000}" name="Employee Name" dataDxfId="2554"/>
    <tableColumn id="3" xr3:uid="{00000000-0010-0000-3900-000003000000}" name="This column intentionally left blank" dataDxfId="2553"/>
    <tableColumn id="4" xr3:uid="{00000000-0010-0000-3900-000004000000}" name="Salary" dataDxfId="2552" dataCellStyle="Currency"/>
    <tableColumn id="5" xr3:uid="{00000000-0010-0000-3900-000005000000}" name="Benefits" dataDxfId="2551" dataCellStyle="Currency"/>
    <tableColumn id="8" xr3:uid="{00000000-0010-0000-3900-000008000000}" name="Total Budget" dataDxfId="2550"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3 Eligibility Standard" altTextSummary="Users can enter data in this table for any replacement personnel projected for Year 3. This table is for the eligiblity standard and is based on budget amounts."/>
    </ext>
  </extLst>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63000000}" name="ComplianceYear4" displayName="ComplianceYear4" ref="A13:E18" totalsRowShown="0" headerRowDxfId="1938" headerRowBorderDxfId="1937" tableBorderDxfId="1936" totalsRowBorderDxfId="1935">
  <autoFilter ref="A13:E18" xr:uid="{00000000-0009-0000-0100-0000D5000000}">
    <filterColumn colId="0" hiddenButton="1"/>
    <filterColumn colId="1" hiddenButton="1"/>
    <filterColumn colId="2" hiddenButton="1"/>
    <filterColumn colId="3" hiddenButton="1"/>
    <filterColumn colId="4" hiddenButton="1"/>
  </autoFilter>
  <tableColumns count="5">
    <tableColumn id="1" xr3:uid="{00000000-0010-0000-6300-000001000000}" name="MOE Information" dataDxfId="1934"/>
    <tableColumn id="2" xr3:uid="{00000000-0010-0000-6300-000002000000}" name="Total Local Funds" dataDxfId="1933"/>
    <tableColumn id="3" xr3:uid="{00000000-0010-0000-6300-000003000000}" name="Total State and Local Funds" dataDxfId="1932"/>
    <tableColumn id="4" xr3:uid="{00000000-0010-0000-6300-000004000000}" name="Local Funds Per Capita" dataDxfId="1931"/>
    <tableColumn id="5" xr3:uid="{00000000-0010-0000-6300-000005000000}" name="State and Local Funds Per Capita" dataDxfId="1930"/>
  </tableColumns>
  <tableStyleInfo name="TableStyleLight18" showFirstColumn="0" showLastColumn="0" showRowStripes="0" showColumnStripes="0"/>
  <extLst>
    <ext xmlns:x14="http://schemas.microsoft.com/office/spreadsheetml/2009/9/main" uri="{504A1905-F514-4f6f-8877-14C23A59335A}">
      <x14:table altText="Year 4 Compliance Standard" altTextSummary="This table displays MOE amounts and results for the compliance standard for Year 4."/>
    </ext>
  </extLst>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64000000}" name="RepaymentYear4" displayName="RepaymentYear4" ref="A21:B27" totalsRowShown="0" headerRowBorderDxfId="1929" tableBorderDxfId="1928" totalsRowBorderDxfId="1927">
  <autoFilter ref="A21:B27" xr:uid="{00000000-0009-0000-0100-0000D6000000}">
    <filterColumn colId="0" hiddenButton="1"/>
    <filterColumn colId="1" hiddenButton="1"/>
  </autoFilter>
  <tableColumns count="2">
    <tableColumn id="1" xr3:uid="{00000000-0010-0000-6400-000001000000}" name="Repayment data" dataDxfId="1926"/>
    <tableColumn id="2" xr3:uid="{00000000-0010-0000-6400-000002000000}" name="Data for Year 4"/>
  </tableColumns>
  <tableStyleInfo name="TableStyleLight18" showFirstColumn="0" showLastColumn="0" showRowStripes="0" showColumnStripes="0"/>
  <extLst>
    <ext xmlns:x14="http://schemas.microsoft.com/office/spreadsheetml/2009/9/main" uri="{504A1905-F514-4f6f-8877-14C23A59335A}">
      <x14:table altText="Year 4 Repayment" altTextSummary="This table calculates the repayment amount for Year 4 if the LEA fails MOE by all four methods for the compliance standard. Users must enter data for IDEA allocations."/>
    </ext>
  </extLst>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00000000-000C-0000-FFFF-FFFF65000000}" name="ExcAdjSummaryYear4" displayName="ExcAdjSummaryYear4" ref="A33:E40" totalsRowShown="0" headerRowDxfId="1925" headerRowBorderDxfId="1924" tableBorderDxfId="1923" totalsRowBorderDxfId="1922">
  <autoFilter ref="A33:E40" xr:uid="{00000000-0009-0000-0100-000054010000}">
    <filterColumn colId="0" hiddenButton="1"/>
    <filterColumn colId="1" hiddenButton="1"/>
    <filterColumn colId="2" hiddenButton="1"/>
    <filterColumn colId="3" hiddenButton="1"/>
    <filterColumn colId="4" hiddenButton="1"/>
  </autoFilter>
  <tableColumns count="5">
    <tableColumn id="1" xr3:uid="{00000000-0010-0000-6500-000001000000}" name="Exception or Adjustment" dataDxfId="1921"/>
    <tableColumn id="2" xr3:uid="{00000000-0010-0000-6500-000002000000}" name="Projected Local Funds" dataDxfId="1920"/>
    <tableColumn id="3" xr3:uid="{00000000-0010-0000-6500-000003000000}" name="Projected State and Local Funds" dataDxfId="1919"/>
    <tableColumn id="4" xr3:uid="{00000000-0010-0000-6500-000004000000}" name="Local Funds" dataDxfId="1918"/>
    <tableColumn id="5" xr3:uid="{00000000-0010-0000-6500-000005000000}" name="State and Local Funds" dataDxfId="1917"/>
  </tableColumns>
  <tableStyleInfo name="TableStyleLight18" showFirstColumn="0" showLastColumn="0" showRowStripes="0" showColumnStripes="0"/>
  <extLst>
    <ext xmlns:x14="http://schemas.microsoft.com/office/spreadsheetml/2009/9/main" uri="{504A1905-F514-4f6f-8877-14C23A59335A}">
      <x14:table altText="Summary of Year 4 Exceptions and Adjustment" altTextSummary="This table presents a summary of all exceptions taken for Year 4. Detailed data on the exceptions are entered on the Exc &amp; Adj tab for Year 4."/>
    </ext>
  </extLst>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66000000}" name="BudgetYear5" displayName="BudgetYear5" ref="A4:F31" totalsRowShown="0" headerRowDxfId="1916" tableBorderDxfId="1915">
  <tableColumns count="6">
    <tableColumn id="1" xr3:uid="{00000000-0010-0000-6600-000001000000}" name="Object Description" dataDxfId="1914"/>
    <tableColumn id="2" xr3:uid="{00000000-0010-0000-6600-000002000000}" name="Code 1" dataDxfId="1913"/>
    <tableColumn id="7" xr3:uid="{00000000-0010-0000-6600-000007000000}" name="Code 2" dataDxfId="1912"/>
    <tableColumn id="3" xr3:uid="{00000000-0010-0000-6600-000003000000}" name="Local" dataDxfId="1911" dataCellStyle="Currency"/>
    <tableColumn id="4" xr3:uid="{00000000-0010-0000-6600-000004000000}" name="State" dataDxfId="1910" dataCellStyle="Currency"/>
    <tableColumn id="5" xr3:uid="{00000000-0010-0000-6600-000005000000}" name="State and Local" dataDxfId="1909"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5" altTextSummary="In this table, users will enter their budget amounts for Year 5. The column headers for the first three columns are unlocked and can be edited. If the LEA cannot separately budget for state and local funds, leave the Local column blank."/>
    </ext>
  </extLst>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67000000}" name="ExpendituresYear5" displayName="ExpendituresYear5" ref="H4:M31" totalsRowShown="0" headerRowDxfId="1908" tableBorderDxfId="1907">
  <tableColumns count="6">
    <tableColumn id="1" xr3:uid="{00000000-0010-0000-6700-000001000000}" name="Object Description" dataDxfId="1906"/>
    <tableColumn id="2" xr3:uid="{00000000-0010-0000-6700-000002000000}" name="Code" dataDxfId="1905"/>
    <tableColumn id="6" xr3:uid="{00000000-0010-0000-6700-000006000000}" name="Code 2" dataDxfId="1904"/>
    <tableColumn id="3" xr3:uid="{00000000-0010-0000-6700-000003000000}" name="Local" dataDxfId="1903" dataCellStyle="Currency"/>
    <tableColumn id="4" xr3:uid="{00000000-0010-0000-6700-000004000000}" name="State" dataDxfId="1902" dataCellStyle="Currency"/>
    <tableColumn id="5" xr3:uid="{00000000-0010-0000-6700-000005000000}" name="State and Local" dataDxfId="1901"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5" altTextSummary="In this table, users will enter the LEA's final expenditures for Year 5. The column headers for the first three columns are unlocked and can be edited. If the LEA cannot separately budget for state and local funds, leave the Local column blank."/>
    </ext>
  </extLst>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68000000}" name="ExcADepartingDataYear5Budget" displayName="ExcADepartingDataYear5Budget" ref="A7:F13" totalsRowShown="0" headerRowDxfId="1900" dataDxfId="1898" headerRowBorderDxfId="1899" tableBorderDxfId="1897">
  <tableColumns count="6">
    <tableColumn id="1" xr3:uid="{00000000-0010-0000-6800-000001000000}" name="Position Title" dataDxfId="1896"/>
    <tableColumn id="2" xr3:uid="{00000000-0010-0000-6800-000002000000}" name="Employee Name" dataDxfId="1895"/>
    <tableColumn id="3" xr3:uid="{00000000-0010-0000-6800-000003000000}" name="Reason for Leaving" dataDxfId="1894"/>
    <tableColumn id="4" xr3:uid="{00000000-0010-0000-6800-000004000000}" name="Salary" dataDxfId="1893" dataCellStyle="Currency"/>
    <tableColumn id="5" xr3:uid="{00000000-0010-0000-6800-000005000000}" name="Benefits" dataDxfId="1892" dataCellStyle="Currency"/>
    <tableColumn id="8" xr3:uid="{00000000-0010-0000-6800-000008000000}" name="Total Budget" dataDxfId="1891"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5 Eligiblity Standard" altTextSummary="Users can enter data in this table for any departing personnel projected for Year 5. This table is for the eligiblity standard and is based on budget amounts."/>
    </ext>
  </extLst>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9000000}" name="ExcAReplaceDataYear5Budget" displayName="ExcAReplaceDataYear5Budget" ref="A15:F21" totalsRowShown="0" headerRowDxfId="1890" dataDxfId="1888" headerRowBorderDxfId="1889" tableBorderDxfId="1887">
  <tableColumns count="6">
    <tableColumn id="1" xr3:uid="{00000000-0010-0000-6900-000001000000}" name="Position Title" dataDxfId="1886"/>
    <tableColumn id="2" xr3:uid="{00000000-0010-0000-6900-000002000000}" name="Employee Name" dataDxfId="1885"/>
    <tableColumn id="3" xr3:uid="{00000000-0010-0000-6900-000003000000}" name="This column intentionally left blank" dataDxfId="1884"/>
    <tableColumn id="4" xr3:uid="{00000000-0010-0000-6900-000004000000}" name="Salary" dataDxfId="1883" dataCellStyle="Currency"/>
    <tableColumn id="5" xr3:uid="{00000000-0010-0000-6900-000005000000}" name="Benefits" dataDxfId="1882" dataCellStyle="Currency"/>
    <tableColumn id="8" xr3:uid="{00000000-0010-0000-6900-000008000000}" name="Total Budget" dataDxfId="1881"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5 Eligibility Standard" altTextSummary="Users can enter data in this table for any replacement personnel projected for Year 5. This table is for the eligiblity standard and is based on budget amounts."/>
    </ext>
  </extLst>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A000000}" name="ExcDDataYear5Budget" displayName="ExcDDataYear5Budget" ref="A47:B53" totalsRowShown="0" headerRowDxfId="1880" dataDxfId="1878" headerRowBorderDxfId="1879" tableBorderDxfId="1877">
  <tableColumns count="2">
    <tableColumn id="1" xr3:uid="{00000000-0010-0000-6A00-000001000000}" name="Description" dataDxfId="1876"/>
    <tableColumn id="2" xr3:uid="{00000000-0010-0000-6A00-000002000000}" name="Budgeted Cost in Final Year" dataDxfId="1875"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5 Eligiblity Standard" altTextSummary="Users can enter data in this table for the projected termination of costly expenditures for long-term purchases for Year 5. This table is for the eligiblity standard and is based on budget amounts."/>
    </ext>
  </extLst>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6B000000}" name="AdjDataYear5Budget" displayName="AdjDataYear5Budget" ref="A71:B72" totalsRowShown="0" headerRowDxfId="1874" dataDxfId="1872" headerRowBorderDxfId="1873" tableBorderDxfId="1871" totalsRowBorderDxfId="1870">
  <tableColumns count="2">
    <tableColumn id="1" xr3:uid="{00000000-0010-0000-6B00-000001000000}" name="Column1" dataDxfId="1869"/>
    <tableColumn id="2" xr3:uid="{00000000-0010-0000-6B00-000002000000}" name="Projected Adjustment" dataDxfId="1868"/>
  </tableColumns>
  <tableStyleInfo name="TableStyleMedium9" showFirstColumn="0" showLastColumn="0" showRowStripes="0" showColumnStripes="0"/>
  <extLst>
    <ext xmlns:x14="http://schemas.microsoft.com/office/spreadsheetml/2009/9/main" uri="{504A1905-F514-4f6f-8877-14C23A59335A}">
      <x14:table altText="MOE Adjustment Data Entry for Year 5 Eligiblity Standard" altTextSummary="Users can enter data in this table for the projected Adjustment to MOE for Year 5. This table is for the eligiblity standard and is based on budget amounts. Use IDC's MOE Reduction Decision Tree and Calculator to determine the adjustment amount."/>
    </ext>
  </extLst>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C000000}" name="ExcCDataYear5Budget" displayName="ExcCDataYear5Budget" ref="A37:C43" totalsRowShown="0" headerRowDxfId="1867" dataDxfId="1866" tableBorderDxfId="1865">
  <tableColumns count="3">
    <tableColumn id="1" xr3:uid="{00000000-0010-0000-6C00-000001000000}" name="Student Identifier" dataDxfId="1864"/>
    <tableColumn id="2" xr3:uid="{00000000-0010-0000-6C00-000002000000}" name="Reason" dataDxfId="1863"/>
    <tableColumn id="3" xr3:uid="{00000000-0010-0000-6C00-000003000000}" name="Budgeted Cost" dataDxfId="1862"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5 Eligiblity Standard" altTextSummary="Users can enter data in this table for the projected termination of the obligation to provide special education to a particular student that is an exceptionally costly program projected for Year 5. This table is for the eligiblity standard and is based on budget amounts."/>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A000000}" name="ExcDDataYear3Budget" displayName="ExcDDataYear3Budget" ref="A47:B53" totalsRowShown="0" headerRowDxfId="2549" dataDxfId="2547" headerRowBorderDxfId="2548" tableBorderDxfId="2546">
  <tableColumns count="2">
    <tableColumn id="1" xr3:uid="{00000000-0010-0000-3A00-000001000000}" name="Description" dataDxfId="2545"/>
    <tableColumn id="2" xr3:uid="{00000000-0010-0000-3A00-000002000000}" name="Budgeted Cost in Final Year" dataDxfId="2544"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3 Eligiblity Standard" altTextSummary="Users can enter data in this table for the projected termination of costly expenditures for long-term purchases for Year 3. This table is for the eligiblity standard and is based on budget amounts."/>
    </ext>
  </extLst>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D000000}" name="ExcEDataYear5Budget" displayName="ExcEDataYear5Budget" ref="A57:B63" totalsRowShown="0" headerRowDxfId="1861" tableBorderDxfId="1860">
  <tableColumns count="2">
    <tableColumn id="1" xr3:uid="{00000000-0010-0000-6D00-000001000000}" name="Student Identifier" dataDxfId="1859"/>
    <tableColumn id="2" xr3:uid="{00000000-0010-0000-6D00-000002000000}" name="Budgeted Cost Assumed by SEA" dataDxfId="1858"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5 Eligiblity Standard" altTextSummary="Users can enter data for the projected assumption of cost by the high cost fund operated by the SEA for Year 5. This table is for the eligibility standard and uses budget data. The table will not calculate a total if tab 3b indicates that the SEA does not have a high cost fund in Year 5."/>
    </ext>
  </extLst>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E000000}" name="ExcBChildCountDataYear5Budget" displayName="ExcBChildCountDataYear5Budget" ref="A25:B29" totalsRowShown="0" headerRowDxfId="1857" dataDxfId="1856">
  <tableColumns count="2">
    <tableColumn id="1" xr3:uid="{00000000-0010-0000-6E00-000001000000}" name="Column1" dataDxfId="1855"/>
    <tableColumn id="2" xr3:uid="{00000000-0010-0000-6E00-000002000000}" name="Column2" dataDxfId="1854"/>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5 Eligibility Standard" altTextSummary="This table automatically calculates the change in enrollment for Year 5 to determine whether the LEA can apply exception (b). This table is for the eligibility standard."/>
    </ext>
  </extLst>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F000000}" name="ExcBFundsDataYear5Budget" displayName="ExcBFundsDataYear5Budget" ref="A30:C32" totalsRowShown="0" headerRowDxfId="1853" dataDxfId="1851" headerRowBorderDxfId="1852" tableBorderDxfId="1850" totalsRowBorderDxfId="1849">
  <tableColumns count="3">
    <tableColumn id="1" xr3:uid="{00000000-0010-0000-6F00-000001000000}" name="Column1" dataDxfId="1848"/>
    <tableColumn id="2" xr3:uid="{00000000-0010-0000-6F00-000002000000}" name="Total Local Funds" dataDxfId="1847">
      <calculatedColumnFormula>'2. Getting Started'!C17</calculatedColumnFormula>
    </tableColumn>
    <tableColumn id="3" xr3:uid="{00000000-0010-0000-6F00-000003000000}" name="Total State and Local Funds" dataDxfId="1846">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5 Eligiblity Standard" altTextSummary="This table automatically calculates the projected reduction based on a decrease in enrollment for Year 5. This table is for the eligibility standard and uses budget data. The row for Projected Reduction will be blank if there is no decrease in child count."/>
    </ext>
  </extLst>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70000000}" name="ExcADepartingDataYear5Expenditures" displayName="ExcADepartingDataYear5Expenditures" ref="H7:M13" totalsRowShown="0" headerRowDxfId="1845" dataDxfId="1843" headerRowBorderDxfId="1844" tableBorderDxfId="1842">
  <tableColumns count="6">
    <tableColumn id="1" xr3:uid="{00000000-0010-0000-7000-000001000000}" name="Position Title" dataDxfId="1841"/>
    <tableColumn id="2" xr3:uid="{00000000-0010-0000-7000-000002000000}" name="Employee Name" dataDxfId="1840"/>
    <tableColumn id="3" xr3:uid="{00000000-0010-0000-7000-000003000000}" name="Reason for Leaving" dataDxfId="1839"/>
    <tableColumn id="4" xr3:uid="{00000000-0010-0000-7000-000004000000}" name="Salary" dataDxfId="1838" dataCellStyle="Currency"/>
    <tableColumn id="5" xr3:uid="{00000000-0010-0000-7000-000005000000}" name="Benefits" dataDxfId="1837" dataCellStyle="Currency"/>
    <tableColumn id="8" xr3:uid="{00000000-0010-0000-7000-000008000000}" name="Total Expenditures" dataDxfId="1836"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5 Compliance Standard" altTextSummary="Users can enter data in this table for any departing personnel for Year 5. This table is for the compliance standard and is based on final expenditures."/>
    </ext>
  </extLst>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71000000}" name="ExcAReplaceDataYear5Expenditures" displayName="ExcAReplaceDataYear5Expenditures" ref="H15:M21" totalsRowShown="0" headerRowDxfId="1835" dataDxfId="1833" headerRowBorderDxfId="1834" tableBorderDxfId="1832">
  <tableColumns count="6">
    <tableColumn id="1" xr3:uid="{00000000-0010-0000-7100-000001000000}" name="Position Title" dataDxfId="1831"/>
    <tableColumn id="2" xr3:uid="{00000000-0010-0000-7100-000002000000}" name="Employee Name" dataDxfId="1830"/>
    <tableColumn id="3" xr3:uid="{00000000-0010-0000-7100-000003000000}" name="This column intentionally left blank" dataDxfId="1829"/>
    <tableColumn id="4" xr3:uid="{00000000-0010-0000-7100-000004000000}" name="Salary" dataDxfId="1828" dataCellStyle="Currency"/>
    <tableColumn id="5" xr3:uid="{00000000-0010-0000-7100-000005000000}" name="Benefits" dataDxfId="1827" dataCellStyle="Currency"/>
    <tableColumn id="8" xr3:uid="{00000000-0010-0000-7100-000008000000}" name="Total Expenditures" dataDxfId="1826"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5 Compliance Standard" altTextSummary="Users can enter data in this table for any replacement personnel for Year 5. This table is for the compliance standard and is based on final expenditures."/>
    </ext>
  </extLst>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72000000}" name="ExcDDataYear5Expenditures" displayName="ExcDDataYear5Expenditures" ref="H47:I53" totalsRowShown="0" headerRowDxfId="1825" dataDxfId="1823" headerRowBorderDxfId="1824" tableBorderDxfId="1822">
  <tableColumns count="2">
    <tableColumn id="1" xr3:uid="{00000000-0010-0000-7200-000001000000}" name="Description" dataDxfId="1821"/>
    <tableColumn id="2" xr3:uid="{00000000-0010-0000-7200-000002000000}" name="Cost in Final Year of Expenditure" dataDxfId="1820"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5 Compliance Standard" altTextSummary="Users can enter data in this table for the termination of costly expenditures for long-term purchases for Year 5. This table is for the compliance standard and is based on final expenditures."/>
    </ext>
  </extLst>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73000000}" name="AdjDataYear5Expenditures" displayName="AdjDataYear5Expenditures" ref="H71:I72" totalsRowShown="0" headerRowDxfId="1819" dataDxfId="1817" headerRowBorderDxfId="1818" tableBorderDxfId="1816" totalsRowBorderDxfId="1815">
  <tableColumns count="2">
    <tableColumn id="1" xr3:uid="{00000000-0010-0000-7300-000001000000}" name="Column1" dataDxfId="1814"/>
    <tableColumn id="2" xr3:uid="{00000000-0010-0000-7300-000002000000}" name="Adjustment " dataDxfId="1813">
      <calculatedColumnFormula>IF(I$28&gt;=0,(M$22+J$43+I$53+I$63),(M$22+J$43+I$53+I$63+J$32))</calculatedColumnFormula>
    </tableColumn>
  </tableColumns>
  <tableStyleInfo name="TableStyleMedium9" showFirstColumn="0" showLastColumn="0" showRowStripes="0" showColumnStripes="0"/>
  <extLst>
    <ext xmlns:x14="http://schemas.microsoft.com/office/spreadsheetml/2009/9/main" uri="{504A1905-F514-4f6f-8877-14C23A59335A}">
      <x14:table altText="MOE Adjustment Data Entry for Year 5 Compliance Standard" altTextSummary="Users can enter data in this table for the Adjustment to MOE for Year 5. This table is for the compliance standard and is based on final expenditures. Use IDC's MOE Reduction Decision Tree and Calculator to determine the adjustment amount."/>
    </ext>
  </extLst>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74000000}" name="ExcCDataYear5Expenditures" displayName="ExcCDataYear5Expenditures" ref="H37:J43" totalsRowShown="0" headerRowDxfId="1812" dataDxfId="1811" tableBorderDxfId="1810">
  <tableColumns count="3">
    <tableColumn id="1" xr3:uid="{00000000-0010-0000-7400-000001000000}" name="Student Identifier" dataDxfId="1809"/>
    <tableColumn id="2" xr3:uid="{00000000-0010-0000-7400-000002000000}" name="Reason" dataDxfId="1808"/>
    <tableColumn id="3" xr3:uid="{00000000-0010-0000-7400-000003000000}" name="Expenditures" dataDxfId="1807"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5 Compliance Standard" altTextSummary="Users can enter data in this table for the termination of the obligation to provide special education to a particular student that is an exceptionally costly program projected for Year 5. This table is for the compliance standard and is based on final expenditures."/>
    </ext>
  </extLst>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75000000}" name="ExcEDataYear5Expenditures" displayName="ExcEDataYear5Expenditures" ref="H57:I63" totalsRowShown="0" headerRowDxfId="1806" tableBorderDxfId="1805">
  <tableColumns count="2">
    <tableColumn id="1" xr3:uid="{00000000-0010-0000-7500-000001000000}" name="Student Identifier" dataDxfId="1804"/>
    <tableColumn id="2" xr3:uid="{00000000-0010-0000-7500-000002000000}" name="Cost Assumed by SEA" dataDxfId="1803"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5 Compliance Standard" altTextSummary="Users can enter data for the assumption of cost by the high cost fund operated by the SEA for Year 5. This table is for the compliance standard and uses final expenditures. The table will not calculate a total if tab 3b indicates that the SEA does not have a high cost fund in Year 5."/>
    </ext>
  </extLst>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76000000}" name="ExcBChildCountDataYear5Expenditures" displayName="ExcBChildCountDataYear5Expenditures" ref="H25:I29" totalsRowShown="0" headerRowDxfId="1802" dataDxfId="1801">
  <tableColumns count="2">
    <tableColumn id="1" xr3:uid="{00000000-0010-0000-7600-000001000000}" name="Column1" dataDxfId="1800"/>
    <tableColumn id="2" xr3:uid="{00000000-0010-0000-7600-000002000000}" name="Column2" dataDxfId="1799"/>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5 Compliance Standard" altTextSummary="This table automatically calculates the change in enrollment for Year 5 to determine whether the LEA can apply exception (b). This table is for the compliance standar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B000000}" name="AdjDataYear3Budget" displayName="AdjDataYear3Budget" ref="A71:B72" totalsRowShown="0" headerRowDxfId="2543" dataDxfId="2541" headerRowBorderDxfId="2542" tableBorderDxfId="2540" totalsRowBorderDxfId="2539">
  <tableColumns count="2">
    <tableColumn id="1" xr3:uid="{00000000-0010-0000-3B00-000001000000}" name="Column1" dataDxfId="2538"/>
    <tableColumn id="2" xr3:uid="{00000000-0010-0000-3B00-000002000000}" name="Projected Adjustment" dataDxfId="2537"/>
  </tableColumns>
  <tableStyleInfo name="TableStyleMedium9" showFirstColumn="0" showLastColumn="0" showRowStripes="0" showColumnStripes="0"/>
  <extLst>
    <ext xmlns:x14="http://schemas.microsoft.com/office/spreadsheetml/2009/9/main" uri="{504A1905-F514-4f6f-8877-14C23A59335A}">
      <x14:table altText="MOE Adjustment Data Entry for Year 3 Eligiblity Standard" altTextSummary="Users can enter data in this table for the projected Adjustment to MOE for Year 3. This table is for the eligiblity standard and is based on budget amounts. Use IDC's MOE Reduction Decision Tree and Calculator to determine the adjustment amount."/>
    </ext>
  </extLst>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77000000}" name="ExcBFundsDataYear5Expenditures" displayName="ExcBFundsDataYear5Expenditures" ref="H30:J32" totalsRowShown="0" headerRowDxfId="1798" dataDxfId="1796" headerRowBorderDxfId="1797" tableBorderDxfId="1795" totalsRowBorderDxfId="1794">
  <tableColumns count="3">
    <tableColumn id="1" xr3:uid="{00000000-0010-0000-7700-000001000000}" name="Column1" dataDxfId="1793"/>
    <tableColumn id="2" xr3:uid="{00000000-0010-0000-7700-000002000000}" name="Local Total" dataDxfId="1792"/>
    <tableColumn id="3" xr3:uid="{00000000-0010-0000-7700-000003000000}" name="State and Local Total" dataDxfId="1791"/>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5 Compliance Standard" altTextSummary="This table automatically calculates the reduction based on a decrease in enrollment for Year 5. This table is for the compliance standard and uses final expenditures. The row for Allowed Reduction will be blank and blacked out if there is no decrease in child count."/>
    </ext>
  </extLst>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78000000}" name="TotalBudgetedExcYear5" displayName="TotalBudgetedExcYear5" ref="A66:B68" totalsRowShown="0" headerRowDxfId="1790" headerRowBorderDxfId="1789" tableBorderDxfId="1788" totalsRowBorderDxfId="1787">
  <autoFilter ref="A66:B68" xr:uid="{00000000-0009-0000-0100-0000D7000000}">
    <filterColumn colId="0" hiddenButton="1"/>
    <filterColumn colId="1" hiddenButton="1"/>
  </autoFilter>
  <tableColumns count="2">
    <tableColumn id="1" xr3:uid="{00000000-0010-0000-7800-000001000000}" name="Source" dataDxfId="1786" dataCellStyle="Normal 2"/>
    <tableColumn id="2" xr3:uid="{00000000-0010-0000-7800-000002000000}" name="Total" dataDxfId="1785"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5 Eligibility Standard" altTextSummary="This table displays the total projected exceptions entered for the eligibility standard for Year 5."/>
    </ext>
  </extLst>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79000000}" name="TotalExpendituresExcYear5" displayName="TotalExpendituresExcYear5" ref="H66:I68" totalsRowShown="0" headerRowDxfId="1784" headerRowBorderDxfId="1783" tableBorderDxfId="1782" totalsRowBorderDxfId="1781">
  <autoFilter ref="H66:I68" xr:uid="{00000000-0009-0000-0100-0000D8000000}">
    <filterColumn colId="0" hiddenButton="1"/>
    <filterColumn colId="1" hiddenButton="1"/>
  </autoFilter>
  <tableColumns count="2">
    <tableColumn id="1" xr3:uid="{00000000-0010-0000-7900-000001000000}" name="Source" dataDxfId="1780" dataCellStyle="Normal 2"/>
    <tableColumn id="2" xr3:uid="{00000000-0010-0000-7900-000002000000}" name="Total" dataDxfId="1779"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5 Compliance Standard" altTextSummary="This table displays the total exceptions entered for the compliance standard for Year 5."/>
    </ext>
  </extLst>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7A000000}" name="EligibilityYear5" displayName="EligibilityYear5" ref="A5:E10" totalsRowShown="0" headerRowDxfId="1778" headerRowBorderDxfId="1777" tableBorderDxfId="1776" totalsRowBorderDxfId="1775">
  <autoFilter ref="A5:E10" xr:uid="{00000000-0009-0000-0100-0000D9000000}">
    <filterColumn colId="0" hiddenButton="1"/>
    <filterColumn colId="1" hiddenButton="1"/>
    <filterColumn colId="2" hiddenButton="1"/>
    <filterColumn colId="3" hiddenButton="1"/>
    <filterColumn colId="4" hiddenButton="1"/>
  </autoFilter>
  <tableColumns count="5">
    <tableColumn id="1" xr3:uid="{00000000-0010-0000-7A00-000001000000}" name="MOE Information" dataDxfId="1774"/>
    <tableColumn id="2" xr3:uid="{00000000-0010-0000-7A00-000002000000}" name="Total Local Funds"/>
    <tableColumn id="3" xr3:uid="{00000000-0010-0000-7A00-000003000000}" name="Total State and Local Funds"/>
    <tableColumn id="4" xr3:uid="{00000000-0010-0000-7A00-000004000000}" name="Local Funds Per Capita"/>
    <tableColumn id="5" xr3:uid="{00000000-0010-0000-7A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5 Eligibility Standard" altTextSummary="This table displays MOE amounts and results for the eligibility standard for Year 5."/>
    </ext>
  </extLst>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7B000000}" name="ComplianceYear5" displayName="ComplianceYear5" ref="A13:E18" totalsRowShown="0" headerRowDxfId="1773" headerRowBorderDxfId="1772" tableBorderDxfId="1771" totalsRowBorderDxfId="1770">
  <autoFilter ref="A13:E18" xr:uid="{00000000-0009-0000-0100-0000DA000000}">
    <filterColumn colId="0" hiddenButton="1"/>
    <filterColumn colId="1" hiddenButton="1"/>
    <filterColumn colId="2" hiddenButton="1"/>
    <filterColumn colId="3" hiddenButton="1"/>
    <filterColumn colId="4" hiddenButton="1"/>
  </autoFilter>
  <tableColumns count="5">
    <tableColumn id="1" xr3:uid="{00000000-0010-0000-7B00-000001000000}" name="MOE Information" dataDxfId="1769"/>
    <tableColumn id="2" xr3:uid="{00000000-0010-0000-7B00-000002000000}" name="Total Local Funds" dataDxfId="1768"/>
    <tableColumn id="3" xr3:uid="{00000000-0010-0000-7B00-000003000000}" name="Total State and Local Funds" dataDxfId="1767"/>
    <tableColumn id="4" xr3:uid="{00000000-0010-0000-7B00-000004000000}" name="Local Funds Per Capita" dataDxfId="1766"/>
    <tableColumn id="5" xr3:uid="{00000000-0010-0000-7B00-000005000000}" name="State and Local Funds Per Capita" dataDxfId="1765"/>
  </tableColumns>
  <tableStyleInfo name="TableStyleLight18" showFirstColumn="0" showLastColumn="0" showRowStripes="0" showColumnStripes="0"/>
  <extLst>
    <ext xmlns:x14="http://schemas.microsoft.com/office/spreadsheetml/2009/9/main" uri="{504A1905-F514-4f6f-8877-14C23A59335A}">
      <x14:table altText="Year 5 Compliance Standard" altTextSummary="This table displays MOE amounts and results for the compliance standard for Year 5."/>
    </ext>
  </extLst>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7C000000}" name="RepaymentYear5" displayName="RepaymentYear5" ref="A21:B27" totalsRowShown="0" headerRowBorderDxfId="1764" tableBorderDxfId="1763" totalsRowBorderDxfId="1762">
  <autoFilter ref="A21:B27" xr:uid="{00000000-0009-0000-0100-0000DB000000}">
    <filterColumn colId="0" hiddenButton="1"/>
    <filterColumn colId="1" hiddenButton="1"/>
  </autoFilter>
  <tableColumns count="2">
    <tableColumn id="1" xr3:uid="{00000000-0010-0000-7C00-000001000000}" name="Repayment data" dataDxfId="1761"/>
    <tableColumn id="2" xr3:uid="{00000000-0010-0000-7C00-000002000000}" name="Data for Year 5"/>
  </tableColumns>
  <tableStyleInfo name="TableStyleLight18" showFirstColumn="0" showLastColumn="0" showRowStripes="0" showColumnStripes="0"/>
  <extLst>
    <ext xmlns:x14="http://schemas.microsoft.com/office/spreadsheetml/2009/9/main" uri="{504A1905-F514-4f6f-8877-14C23A59335A}">
      <x14:table altText="Year 5 Repayment" altTextSummary="This table calculates the repayment amount for Year 5 if the LEA fails MOE by all four methods for the compliance standard. Users must enter data for IDEA allocations."/>
    </ext>
  </extLst>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00000000-000C-0000-FFFF-FFFF7D000000}" name="ExcAdjSummaryYear5" displayName="ExcAdjSummaryYear5" ref="A33:E40" totalsRowShown="0" headerRowDxfId="1760" headerRowBorderDxfId="1759" tableBorderDxfId="1758" totalsRowBorderDxfId="1757">
  <autoFilter ref="A33:E40" xr:uid="{00000000-0009-0000-0100-000055010000}">
    <filterColumn colId="0" hiddenButton="1"/>
    <filterColumn colId="1" hiddenButton="1"/>
    <filterColumn colId="2" hiddenButton="1"/>
    <filterColumn colId="3" hiddenButton="1"/>
    <filterColumn colId="4" hiddenButton="1"/>
  </autoFilter>
  <tableColumns count="5">
    <tableColumn id="1" xr3:uid="{00000000-0010-0000-7D00-000001000000}" name="Exception or Adjustment" dataDxfId="1756"/>
    <tableColumn id="2" xr3:uid="{00000000-0010-0000-7D00-000002000000}" name="Projected Local Funds" dataDxfId="1755"/>
    <tableColumn id="3" xr3:uid="{00000000-0010-0000-7D00-000003000000}" name="Projected State and Local Funds" dataDxfId="1754"/>
    <tableColumn id="4" xr3:uid="{00000000-0010-0000-7D00-000004000000}" name="Local Funds" dataDxfId="1753"/>
    <tableColumn id="5" xr3:uid="{00000000-0010-0000-7D00-000005000000}" name="State and Local Funds" dataDxfId="1752"/>
  </tableColumns>
  <tableStyleInfo name="TableStyleLight18" showFirstColumn="0" showLastColumn="0" showRowStripes="0" showColumnStripes="0"/>
  <extLst>
    <ext xmlns:x14="http://schemas.microsoft.com/office/spreadsheetml/2009/9/main" uri="{504A1905-F514-4f6f-8877-14C23A59335A}">
      <x14:table altText="Exceptions and Adjustment Summary for Year 5" altTextSummary="This table presents a summary of all exceptions taken for Year 5. Detailed data on the exceptions are entered on the Exc &amp; Adj tab for Year 5."/>
    </ext>
  </extLst>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7E000000}" name="BudgetYear6" displayName="BudgetYear6" ref="A4:F31" totalsRowShown="0" headerRowDxfId="1751" tableBorderDxfId="1750">
  <tableColumns count="6">
    <tableColumn id="1" xr3:uid="{00000000-0010-0000-7E00-000001000000}" name="Object Description" dataDxfId="1749"/>
    <tableColumn id="2" xr3:uid="{00000000-0010-0000-7E00-000002000000}" name="Code 1" dataDxfId="1748"/>
    <tableColumn id="7" xr3:uid="{00000000-0010-0000-7E00-000007000000}" name="Code 2" dataDxfId="1747"/>
    <tableColumn id="3" xr3:uid="{00000000-0010-0000-7E00-000003000000}" name="Local" dataDxfId="1746" dataCellStyle="Currency"/>
    <tableColumn id="4" xr3:uid="{00000000-0010-0000-7E00-000004000000}" name="State" dataDxfId="1745" dataCellStyle="Currency"/>
    <tableColumn id="5" xr3:uid="{00000000-0010-0000-7E00-000005000000}" name="State and Local" dataDxfId="1744"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6" altTextSummary="In this table, users will enter their budget amounts for Year 6. The column headers for the first three columns are unlocked and can be edited. If the LEA cannot separately budget for state and local funds, leave the Local column blank."/>
    </ext>
  </extLst>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7F000000}" name="ExpendituresYear6" displayName="ExpendituresYear6" ref="H4:M31" totalsRowShown="0" headerRowDxfId="1743" tableBorderDxfId="1742">
  <tableColumns count="6">
    <tableColumn id="1" xr3:uid="{00000000-0010-0000-7F00-000001000000}" name="Object Description" dataDxfId="1741"/>
    <tableColumn id="2" xr3:uid="{00000000-0010-0000-7F00-000002000000}" name="Code" dataDxfId="1740"/>
    <tableColumn id="6" xr3:uid="{00000000-0010-0000-7F00-000006000000}" name="Code 2" dataDxfId="1739"/>
    <tableColumn id="3" xr3:uid="{00000000-0010-0000-7F00-000003000000}" name="Local" dataDxfId="1738" dataCellStyle="Currency"/>
    <tableColumn id="4" xr3:uid="{00000000-0010-0000-7F00-000004000000}" name="State" dataDxfId="1737" dataCellStyle="Currency"/>
    <tableColumn id="5" xr3:uid="{00000000-0010-0000-7F00-000005000000}" name="State and Local" dataDxfId="1736"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6" altTextSummary="In this table, users will enter the LEA's final expenditures for Year 6. The column headers for the first three columns are unlocked and can be edited. If the LEA cannot separately budget for state and local funds, leave the Local column blank."/>
    </ext>
  </extLst>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80000000}" name="ExcADepartingDataYear6Budget" displayName="ExcADepartingDataYear6Budget" ref="A7:F13" totalsRowShown="0" headerRowDxfId="1735" dataDxfId="1733" headerRowBorderDxfId="1734" tableBorderDxfId="1732">
  <tableColumns count="6">
    <tableColumn id="1" xr3:uid="{00000000-0010-0000-8000-000001000000}" name="Position Title" dataDxfId="1731"/>
    <tableColumn id="2" xr3:uid="{00000000-0010-0000-8000-000002000000}" name="Employee Name" dataDxfId="1730"/>
    <tableColumn id="3" xr3:uid="{00000000-0010-0000-8000-000003000000}" name="Reason for Leaving" dataDxfId="1729"/>
    <tableColumn id="4" xr3:uid="{00000000-0010-0000-8000-000004000000}" name="Salary" dataDxfId="1728" dataCellStyle="Currency"/>
    <tableColumn id="5" xr3:uid="{00000000-0010-0000-8000-000005000000}" name="Benefits" dataDxfId="1727" dataCellStyle="Currency"/>
    <tableColumn id="8" xr3:uid="{00000000-0010-0000-8000-000008000000}" name="Total Budget" dataDxfId="1726"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6 Eligiblity Standard" altTextSummary="Users can enter data in this table for any departing personnel projected for Year 6. This table is for the eligiblity standard and is based on budget amounts."/>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C000000}" name="ExcCDataYear3Budget" displayName="ExcCDataYear3Budget" ref="A37:C43" totalsRowShown="0" headerRowDxfId="2536" dataDxfId="2535" tableBorderDxfId="2534">
  <tableColumns count="3">
    <tableColumn id="1" xr3:uid="{00000000-0010-0000-3C00-000001000000}" name="Student Identifier" dataDxfId="2533"/>
    <tableColumn id="2" xr3:uid="{00000000-0010-0000-3C00-000002000000}" name="Reason" dataDxfId="2532"/>
    <tableColumn id="3" xr3:uid="{00000000-0010-0000-3C00-000003000000}" name="Budgeted Cost" dataDxfId="2531"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3 Eligiblity Standard" altTextSummary="Users can enter data in this table for the projected termination of the obligation to provide special education to a particular student that is an exceptionally costly program projected for Year 3. This table is for the eligiblity standard and is based on budget amounts."/>
    </ext>
  </extLst>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81000000}" name="ExcAReplaceDataYear6Budget" displayName="ExcAReplaceDataYear6Budget" ref="A15:F21" totalsRowShown="0" headerRowDxfId="1725" dataDxfId="1723" headerRowBorderDxfId="1724" tableBorderDxfId="1722">
  <tableColumns count="6">
    <tableColumn id="1" xr3:uid="{00000000-0010-0000-8100-000001000000}" name="Position Title" dataDxfId="1721"/>
    <tableColumn id="2" xr3:uid="{00000000-0010-0000-8100-000002000000}" name="Employee Name" dataDxfId="1720"/>
    <tableColumn id="3" xr3:uid="{00000000-0010-0000-8100-000003000000}" name="This column intentionally left blank" dataDxfId="1719"/>
    <tableColumn id="4" xr3:uid="{00000000-0010-0000-8100-000004000000}" name="Salary" dataDxfId="1718" dataCellStyle="Currency"/>
    <tableColumn id="5" xr3:uid="{00000000-0010-0000-8100-000005000000}" name="Benefits" dataDxfId="1717" dataCellStyle="Currency"/>
    <tableColumn id="8" xr3:uid="{00000000-0010-0000-8100-000008000000}" name="Total Budget" dataDxfId="1716"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6 Eligibility Standard" altTextSummary="Users can enter data in this table for any replacement personnel projected for Year 6. This table is for the eligiblity standard and is based on budget amounts."/>
    </ext>
  </extLst>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82000000}" name="ExcDDataYear6Budget" displayName="ExcDDataYear6Budget" ref="A47:B53" totalsRowShown="0" headerRowDxfId="1715" dataDxfId="1713" headerRowBorderDxfId="1714" tableBorderDxfId="1712">
  <tableColumns count="2">
    <tableColumn id="1" xr3:uid="{00000000-0010-0000-8200-000001000000}" name="Description" dataDxfId="1711"/>
    <tableColumn id="2" xr3:uid="{00000000-0010-0000-8200-000002000000}" name="Budgeted Cost in Final Year" dataDxfId="1710"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6 Eligiblity Standard" altTextSummary="Users can enter data in this table for the projected termination of costly expenditures for long-term purchases for Year 6. This table is for the eligiblity standard and is based on budget amounts."/>
    </ext>
  </extLst>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83000000}" name="AdjDataYear6Budget" displayName="AdjDataYear6Budget" ref="A71:B72" totalsRowShown="0" headerRowDxfId="1709" dataDxfId="1707" headerRowBorderDxfId="1708" tableBorderDxfId="1706" totalsRowBorderDxfId="1705">
  <tableColumns count="2">
    <tableColumn id="1" xr3:uid="{00000000-0010-0000-8300-000001000000}" name="Column1" dataDxfId="1704"/>
    <tableColumn id="2" xr3:uid="{00000000-0010-0000-8300-000002000000}" name="Projected Adjustment" dataDxfId="1703"/>
  </tableColumns>
  <tableStyleInfo name="TableStyleMedium9" showFirstColumn="0" showLastColumn="0" showRowStripes="0" showColumnStripes="0"/>
  <extLst>
    <ext xmlns:x14="http://schemas.microsoft.com/office/spreadsheetml/2009/9/main" uri="{504A1905-F514-4f6f-8877-14C23A59335A}">
      <x14:table altText="MOE Adjustment Data Entry for Year 6 Eligiblity Standard" altTextSummary="Users can enter data in this table for the projected Adjustment to MOE for Year 6. This table is for the eligiblity standard and is based on budget amounts. Use IDC's MOE Reduction Decision Tree and Calculator to determine the adjustment amount."/>
    </ext>
  </extLst>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84000000}" name="ExcCDataYear6Budget" displayName="ExcCDataYear6Budget" ref="A37:C43" totalsRowShown="0" headerRowDxfId="1702" dataDxfId="1701" tableBorderDxfId="1700">
  <tableColumns count="3">
    <tableColumn id="1" xr3:uid="{00000000-0010-0000-8400-000001000000}" name="Student Identifier" dataDxfId="1699"/>
    <tableColumn id="2" xr3:uid="{00000000-0010-0000-8400-000002000000}" name="Reason" dataDxfId="1698"/>
    <tableColumn id="3" xr3:uid="{00000000-0010-0000-8400-000003000000}" name="Budgeted Cost" dataDxfId="1697"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6 Eligiblity Standard" altTextSummary="Users can enter data in this table for the projected termination of the obligation to provide special education to a particular student that is an exceptionally costly program projected for Year 6. This table is for the eligiblity standard and is based on budget amounts."/>
    </ext>
  </extLst>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85000000}" name="ExcEDataYear6Budget" displayName="ExcEDataYear6Budget" ref="A57:B63" totalsRowShown="0" headerRowDxfId="1696" tableBorderDxfId="1695">
  <tableColumns count="2">
    <tableColumn id="1" xr3:uid="{00000000-0010-0000-8500-000001000000}" name="Student Identifier" dataDxfId="1694"/>
    <tableColumn id="2" xr3:uid="{00000000-0010-0000-8500-000002000000}" name="Budgeted Cost Assumed by SEA" dataDxfId="1693"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6 Eligiblity Standard" altTextSummary="Users can enter data for the projected assumption of cost by the high cost fund operated by the SEA for Year 6. This table is for the eligibility standard and uses budget data. The table will not calculate a total if tab 3b indicates that the SEA does not have a high cost fund in Year 6."/>
    </ext>
  </extLst>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86000000}" name="ExcBChildCountDataYear6Budget" displayName="ExcBChildCountDataYear6Budget" ref="A25:B29" totalsRowShown="0" headerRowDxfId="1692" dataDxfId="1691">
  <tableColumns count="2">
    <tableColumn id="1" xr3:uid="{00000000-0010-0000-8600-000001000000}" name="Column1" dataDxfId="1690"/>
    <tableColumn id="2" xr3:uid="{00000000-0010-0000-8600-000002000000}" name="Column2" dataDxfId="1689"/>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6 Eligibility Standard" altTextSummary="This table automatically calculates the change in enrollment for Year 6 to determine whether the LEA can apply exception (b). This table is for the eligibility standard."/>
    </ext>
  </extLst>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87000000}" name="ExcBFundsDataYear6Budget" displayName="ExcBFundsDataYear6Budget" ref="A30:C32" totalsRowShown="0" headerRowDxfId="1688" dataDxfId="1686" headerRowBorderDxfId="1687" tableBorderDxfId="1685" totalsRowBorderDxfId="1684">
  <tableColumns count="3">
    <tableColumn id="1" xr3:uid="{00000000-0010-0000-8700-000001000000}" name="Column1" dataDxfId="1683"/>
    <tableColumn id="2" xr3:uid="{00000000-0010-0000-8700-000002000000}" name="Total Local Funds" dataDxfId="1682">
      <calculatedColumnFormula>'2. Getting Started'!C17</calculatedColumnFormula>
    </tableColumn>
    <tableColumn id="3" xr3:uid="{00000000-0010-0000-8700-000003000000}" name="Total State and Local Funds" dataDxfId="1681">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6 Eligiblity Standard" altTextSummary="This table automatically calculates the projected reduction based on a decrease in enrollment for Year 6. This table is for the eligibility standard and uses budget data. The row for Projected Reduction will be blank if there is no decrease in child count."/>
    </ext>
  </extLst>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88000000}" name="ExcADepartingDataYear6Expenditures" displayName="ExcADepartingDataYear6Expenditures" ref="H7:M13" totalsRowShown="0" headerRowDxfId="1680" dataDxfId="1678" headerRowBorderDxfId="1679" tableBorderDxfId="1677">
  <tableColumns count="6">
    <tableColumn id="1" xr3:uid="{00000000-0010-0000-8800-000001000000}" name="Position Title" dataDxfId="1676"/>
    <tableColumn id="2" xr3:uid="{00000000-0010-0000-8800-000002000000}" name="Employee Name" dataDxfId="1675"/>
    <tableColumn id="3" xr3:uid="{00000000-0010-0000-8800-000003000000}" name="Reason for Leaving" dataDxfId="1674"/>
    <tableColumn id="4" xr3:uid="{00000000-0010-0000-8800-000004000000}" name="Salary" dataDxfId="1673" dataCellStyle="Currency"/>
    <tableColumn id="5" xr3:uid="{00000000-0010-0000-8800-000005000000}" name="Benefits" dataDxfId="1672" dataCellStyle="Currency"/>
    <tableColumn id="8" xr3:uid="{00000000-0010-0000-8800-000008000000}" name="Total Expenditures" dataDxfId="1671"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6 Compliance Standard" altTextSummary="Users can enter data in this table for any departing personnel for Year 6. This table is for the compliance standard and is based on final expenditures."/>
    </ext>
  </extLst>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89000000}" name="ExcAReplaceDataYear6Expenditures" displayName="ExcAReplaceDataYear6Expenditures" ref="H15:M21" totalsRowShown="0" headerRowDxfId="1670" dataDxfId="1668" headerRowBorderDxfId="1669" tableBorderDxfId="1667">
  <tableColumns count="6">
    <tableColumn id="1" xr3:uid="{00000000-0010-0000-8900-000001000000}" name="Position Title" dataDxfId="1666"/>
    <tableColumn id="2" xr3:uid="{00000000-0010-0000-8900-000002000000}" name="Employee Name" dataDxfId="1665"/>
    <tableColumn id="3" xr3:uid="{00000000-0010-0000-8900-000003000000}" name="This column intentionally left blank" dataDxfId="1664"/>
    <tableColumn id="4" xr3:uid="{00000000-0010-0000-8900-000004000000}" name="Salary" dataDxfId="1663" dataCellStyle="Currency"/>
    <tableColumn id="5" xr3:uid="{00000000-0010-0000-8900-000005000000}" name="Benefits" dataDxfId="1662" dataCellStyle="Currency"/>
    <tableColumn id="8" xr3:uid="{00000000-0010-0000-8900-000008000000}" name="Total Expenditures" dataDxfId="1661"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6 Compliance Standard" altTextSummary="Users can enter data in this table for any replacement personnel for Year 6. This table is for the compliance standard and is based on final expenditures."/>
    </ext>
  </extLst>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8A000000}" name="ExcDDataYear6Expenditures" displayName="ExcDDataYear6Expenditures" ref="H47:I53" totalsRowShown="0" headerRowDxfId="1660" dataDxfId="1658" headerRowBorderDxfId="1659" tableBorderDxfId="1657">
  <tableColumns count="2">
    <tableColumn id="1" xr3:uid="{00000000-0010-0000-8A00-000001000000}" name="Description" dataDxfId="1656"/>
    <tableColumn id="2" xr3:uid="{00000000-0010-0000-8A00-000002000000}" name="Cost in Final Year of Expenditure" dataDxfId="1655"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6 Compliance Standard" altTextSummary="Users can enter data in this table for the termination of costly expenditures for long-term purchases for Year 6. This table is for the compliance standard and is based on final expenditures."/>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D000000}" name="ExcEDataYear3Budget" displayName="ExcEDataYear3Budget" ref="A57:B63" totalsRowShown="0" headerRowDxfId="2530" tableBorderDxfId="2529">
  <tableColumns count="2">
    <tableColumn id="1" xr3:uid="{00000000-0010-0000-3D00-000001000000}" name="Student Identifier" dataDxfId="2528"/>
    <tableColumn id="2" xr3:uid="{00000000-0010-0000-3D00-000002000000}" name="Budgeted Cost Assumed by SEA" dataDxfId="2527"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3 Eligiblity Standard" altTextSummary="Users can enter data for the projected assumption of cost by the high cost fund operated by the SEA for Year 3. This table is for the eligibility standard and uses budget data. The table will not calculate a total if tab 3b indicates that the SEA does not have a high cost fund in Year 3."/>
    </ext>
  </extLst>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8B000000}" name="AdjDataYear6Expenditures" displayName="AdjDataYear6Expenditures" ref="H71:I72" totalsRowShown="0" headerRowDxfId="1654" dataDxfId="1652" headerRowBorderDxfId="1653" tableBorderDxfId="1651" totalsRowBorderDxfId="1650">
  <tableColumns count="2">
    <tableColumn id="1" xr3:uid="{00000000-0010-0000-8B00-000001000000}" name="Column1" dataDxfId="1649"/>
    <tableColumn id="2" xr3:uid="{00000000-0010-0000-8B00-000002000000}" name="Adjustment " dataDxfId="1648">
      <calculatedColumnFormula>IF(I$28&gt;=0,(M$22+J$43+I$53+I$63),(M$22+J$43+I$53+I$63+J$32))</calculatedColumnFormula>
    </tableColumn>
  </tableColumns>
  <tableStyleInfo name="TableStyleMedium9" showFirstColumn="0" showLastColumn="0" showRowStripes="0" showColumnStripes="0"/>
  <extLst>
    <ext xmlns:x14="http://schemas.microsoft.com/office/spreadsheetml/2009/9/main" uri="{504A1905-F514-4f6f-8877-14C23A59335A}">
      <x14:table altText="MOE Adjustment Data Entry for Year 6 Compliance Standard" altTextSummary="Users can enter data in this table for the Adjustment to MOE for Year 6. This table is for the compliance standard and is based on final expenditures. Use IDC's MOE Reduction Decision Tree and Calculator to determine the adjustment amount."/>
    </ext>
  </extLst>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8C000000}" name="ExcCDataYear6Expenditures" displayName="ExcCDataYear6Expenditures" ref="H37:J43" totalsRowShown="0" headerRowDxfId="1647" dataDxfId="1646" tableBorderDxfId="1645">
  <tableColumns count="3">
    <tableColumn id="1" xr3:uid="{00000000-0010-0000-8C00-000001000000}" name="Student Identifier" dataDxfId="1644"/>
    <tableColumn id="2" xr3:uid="{00000000-0010-0000-8C00-000002000000}" name="Reason" dataDxfId="1643"/>
    <tableColumn id="3" xr3:uid="{00000000-0010-0000-8C00-000003000000}" name="Expenditures" dataDxfId="1642"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6 Compliance Standard" altTextSummary="Users can enter data in this table for the termination of the obligation to provide special education to a particular student that is an exceptionally costly program projected for Year 6. This table is for the compliance standard and is based on final expenditures."/>
    </ext>
  </extLst>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8D000000}" name="ExcEDataYear6Expenditures" displayName="ExcEDataYear6Expenditures" ref="H57:I63" totalsRowShown="0" headerRowDxfId="1641" tableBorderDxfId="1640">
  <tableColumns count="2">
    <tableColumn id="1" xr3:uid="{00000000-0010-0000-8D00-000001000000}" name="Student Identifier" dataDxfId="1639"/>
    <tableColumn id="2" xr3:uid="{00000000-0010-0000-8D00-000002000000}" name="Cost Assumed by SEA" dataDxfId="1638"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6 Compliance Standard" altTextSummary="Users can enter data for the assumption of cost by the high cost fund operated by the SEA for Year 6. This table is for the compliance standard and uses final expenditures. The table will not calculate a total if tab 3b indicates that the SEA does not have a high cost fund in Year 6."/>
    </ext>
  </extLst>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8E000000}" name="ExcBChildCountDataYear6Expenditures" displayName="ExcBChildCountDataYear6Expenditures" ref="H25:I29" totalsRowShown="0" headerRowDxfId="1637" dataDxfId="1636">
  <tableColumns count="2">
    <tableColumn id="1" xr3:uid="{00000000-0010-0000-8E00-000001000000}" name="Column1" dataDxfId="1635"/>
    <tableColumn id="2" xr3:uid="{00000000-0010-0000-8E00-000002000000}" name="Column2" dataDxfId="1634"/>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6 Compliance Standard" altTextSummary="This table automatically calculates the change in enrollment for Year 6 to determine whether the LEA can apply exception (b). This table is for the compliance standard."/>
    </ext>
  </extLst>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8F000000}" name="ExcBFundsDataYear6Expenditures" displayName="ExcBFundsDataYear6Expenditures" ref="H30:J32" totalsRowShown="0" headerRowDxfId="1633" dataDxfId="1631" headerRowBorderDxfId="1632" tableBorderDxfId="1630" totalsRowBorderDxfId="1629">
  <tableColumns count="3">
    <tableColumn id="1" xr3:uid="{00000000-0010-0000-8F00-000001000000}" name="Column1" dataDxfId="1628"/>
    <tableColumn id="2" xr3:uid="{00000000-0010-0000-8F00-000002000000}" name="Local Total" dataDxfId="1627"/>
    <tableColumn id="3" xr3:uid="{00000000-0010-0000-8F00-000003000000}" name="State and Local Total" dataDxfId="1626"/>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6 Compliance Standard" altTextSummary="This table automatically calculates the reduction based on a decrease in enrollment for Year 6. This table is for the compliance standard and uses final expenditures. The row for Allowed Reduction will be blank and blacked out if there is no decrease in child count."/>
    </ext>
  </extLst>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90000000}" name="TotalBudgetedExcYear6" displayName="TotalBudgetedExcYear6" ref="A66:B68" totalsRowShown="0" headerRowDxfId="1625" headerRowBorderDxfId="1624" tableBorderDxfId="1623" totalsRowBorderDxfId="1622">
  <autoFilter ref="A66:B68" xr:uid="{00000000-0009-0000-0100-0000DC000000}">
    <filterColumn colId="0" hiddenButton="1"/>
    <filterColumn colId="1" hiddenButton="1"/>
  </autoFilter>
  <tableColumns count="2">
    <tableColumn id="1" xr3:uid="{00000000-0010-0000-9000-000001000000}" name="Source" dataDxfId="1621" dataCellStyle="Normal 2"/>
    <tableColumn id="2" xr3:uid="{00000000-0010-0000-9000-000002000000}" name="Total" dataDxfId="1620"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6 Eligibility Standard" altTextSummary="This table displays the total projected exceptions entered for the eligibility standard for Year 6."/>
    </ext>
  </extLst>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91000000}" name="TotalExpendituresExcYear6" displayName="TotalExpendituresExcYear6" ref="H66:I68" totalsRowShown="0" headerRowDxfId="1619" headerRowBorderDxfId="1618" tableBorderDxfId="1617" totalsRowBorderDxfId="1616">
  <autoFilter ref="H66:I68" xr:uid="{00000000-0009-0000-0100-0000DD000000}">
    <filterColumn colId="0" hiddenButton="1"/>
    <filterColumn colId="1" hiddenButton="1"/>
  </autoFilter>
  <tableColumns count="2">
    <tableColumn id="1" xr3:uid="{00000000-0010-0000-9100-000001000000}" name="Source" dataDxfId="1615" dataCellStyle="Normal 2"/>
    <tableColumn id="2" xr3:uid="{00000000-0010-0000-9100-000002000000}" name="Total" dataDxfId="1614"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6 Compliance Standard" altTextSummary="This table displays the total exceptions entered for the compliance standard for Year 6."/>
    </ext>
  </extLst>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92000000}" name="EligibilityYear6" displayName="EligibilityYear6" ref="A5:E10" totalsRowShown="0" headerRowDxfId="1613" headerRowBorderDxfId="1612" tableBorderDxfId="1611" totalsRowBorderDxfId="1610">
  <autoFilter ref="A5:E10" xr:uid="{00000000-0009-0000-0100-0000DE000000}">
    <filterColumn colId="0" hiddenButton="1"/>
    <filterColumn colId="1" hiddenButton="1"/>
    <filterColumn colId="2" hiddenButton="1"/>
    <filterColumn colId="3" hiddenButton="1"/>
    <filterColumn colId="4" hiddenButton="1"/>
  </autoFilter>
  <tableColumns count="5">
    <tableColumn id="1" xr3:uid="{00000000-0010-0000-9200-000001000000}" name="MOE Information" dataDxfId="1609"/>
    <tableColumn id="2" xr3:uid="{00000000-0010-0000-9200-000002000000}" name="Total Local Funds"/>
    <tableColumn id="3" xr3:uid="{00000000-0010-0000-9200-000003000000}" name="Total State and Local Funds"/>
    <tableColumn id="4" xr3:uid="{00000000-0010-0000-9200-000004000000}" name="Local Funds Per Capita"/>
    <tableColumn id="5" xr3:uid="{00000000-0010-0000-9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6 Eligibility Standard" altTextSummary="This table displays MOE amounts and results for the eligibility standard for Year 6."/>
    </ext>
  </extLst>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93000000}" name="ComplianceYear6" displayName="ComplianceYear6" ref="A13:E18" totalsRowShown="0" headerRowDxfId="1608" headerRowBorderDxfId="1607" tableBorderDxfId="1606" totalsRowBorderDxfId="1605">
  <autoFilter ref="A13:E18" xr:uid="{00000000-0009-0000-0100-0000DF000000}">
    <filterColumn colId="0" hiddenButton="1"/>
    <filterColumn colId="1" hiddenButton="1"/>
    <filterColumn colId="2" hiddenButton="1"/>
    <filterColumn colId="3" hiddenButton="1"/>
    <filterColumn colId="4" hiddenButton="1"/>
  </autoFilter>
  <tableColumns count="5">
    <tableColumn id="1" xr3:uid="{00000000-0010-0000-9300-000001000000}" name="MOE Information" dataDxfId="1604"/>
    <tableColumn id="2" xr3:uid="{00000000-0010-0000-9300-000002000000}" name="Total Local Funds" dataDxfId="1603"/>
    <tableColumn id="3" xr3:uid="{00000000-0010-0000-9300-000003000000}" name="Total State and Local Funds" dataDxfId="1602"/>
    <tableColumn id="4" xr3:uid="{00000000-0010-0000-9300-000004000000}" name="Local Funds Per Capita" dataDxfId="1601"/>
    <tableColumn id="5" xr3:uid="{00000000-0010-0000-9300-000005000000}" name="State and Local Funds Per Capita" dataDxfId="1600"/>
  </tableColumns>
  <tableStyleInfo name="TableStyleLight18" showFirstColumn="0" showLastColumn="0" showRowStripes="0" showColumnStripes="0"/>
  <extLst>
    <ext xmlns:x14="http://schemas.microsoft.com/office/spreadsheetml/2009/9/main" uri="{504A1905-F514-4f6f-8877-14C23A59335A}">
      <x14:table altText="Year 6 Compliance Standard" altTextSummary="This table displays MOE amounts and results for the compliance standard for Year 6."/>
    </ext>
  </extLst>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94000000}" name="RepaymentYear6" displayName="RepaymentYear6" ref="A21:B27" totalsRowShown="0" headerRowBorderDxfId="1599" tableBorderDxfId="1598" totalsRowBorderDxfId="1597">
  <autoFilter ref="A21:B27" xr:uid="{00000000-0009-0000-0100-0000E0000000}">
    <filterColumn colId="0" hiddenButton="1"/>
    <filterColumn colId="1" hiddenButton="1"/>
  </autoFilter>
  <tableColumns count="2">
    <tableColumn id="1" xr3:uid="{00000000-0010-0000-9400-000001000000}" name="Repayment data" dataDxfId="1596"/>
    <tableColumn id="2" xr3:uid="{00000000-0010-0000-9400-000002000000}" name="Data for Year 6"/>
  </tableColumns>
  <tableStyleInfo name="TableStyleLight18" showFirstColumn="0" showLastColumn="0" showRowStripes="0" showColumnStripes="0"/>
  <extLst>
    <ext xmlns:x14="http://schemas.microsoft.com/office/spreadsheetml/2009/9/main" uri="{504A1905-F514-4f6f-8877-14C23A59335A}">
      <x14:table altText="Year 6 Repayment Information" altTextSummary="This table calculates the repayment amount for Year 6 if the LEA fails MOE by all four methods for the compliance standard. Users must enter data for IDEA allocations."/>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E000000}" name="ExcBChildCountDataYear3Budget" displayName="ExcBChildCountDataYear3Budget" ref="A25:B29" totalsRowShown="0" headerRowDxfId="2526" dataDxfId="2525">
  <tableColumns count="2">
    <tableColumn id="1" xr3:uid="{00000000-0010-0000-3E00-000001000000}" name="Column1" dataDxfId="2524"/>
    <tableColumn id="2" xr3:uid="{00000000-0010-0000-3E00-000002000000}" name="Column2" dataDxfId="2523"/>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3 Eligibility Standard" altTextSummary="This table automatically calculates the change in enrollment for Year 3 to determine whether the LEA can apply exception (b). This table is for the eligibility standard."/>
    </ext>
  </extLst>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00000000-000C-0000-FFFF-FFFF95000000}" name="ExcAdjSummaryYear6" displayName="ExcAdjSummaryYear6" ref="A33:E40" totalsRowShown="0" headerRowDxfId="1595" headerRowBorderDxfId="1594" tableBorderDxfId="1593" totalsRowBorderDxfId="1592">
  <autoFilter ref="A33:E40" xr:uid="{00000000-0009-0000-0100-000056010000}">
    <filterColumn colId="0" hiddenButton="1"/>
    <filterColumn colId="1" hiddenButton="1"/>
    <filterColumn colId="2" hiddenButton="1"/>
    <filterColumn colId="3" hiddenButton="1"/>
    <filterColumn colId="4" hiddenButton="1"/>
  </autoFilter>
  <tableColumns count="5">
    <tableColumn id="1" xr3:uid="{00000000-0010-0000-9500-000001000000}" name="Exception or Adjustment" dataDxfId="1591"/>
    <tableColumn id="2" xr3:uid="{00000000-0010-0000-9500-000002000000}" name="Projected Local Funds" dataDxfId="1590"/>
    <tableColumn id="3" xr3:uid="{00000000-0010-0000-9500-000003000000}" name="Projected State and Local Funds" dataDxfId="1589"/>
    <tableColumn id="4" xr3:uid="{00000000-0010-0000-9500-000004000000}" name="Local Funds" dataDxfId="1588"/>
    <tableColumn id="5" xr3:uid="{00000000-0010-0000-9500-000005000000}" name="State and Local Funds" dataDxfId="1587"/>
  </tableColumns>
  <tableStyleInfo name="TableStyleLight18" showFirstColumn="0" showLastColumn="0" showRowStripes="0" showColumnStripes="0"/>
  <extLst>
    <ext xmlns:x14="http://schemas.microsoft.com/office/spreadsheetml/2009/9/main" uri="{504A1905-F514-4f6f-8877-14C23A59335A}">
      <x14:table altText="Year 6 Exceptions and Adjustment Summary" altTextSummary="This table presents a summary of all exceptions taken for Year 6. Detailed data on the exceptions are entered on the Exc &amp; Adj tab for Year 6."/>
    </ext>
  </extLst>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96000000}" name="BudgetYear7" displayName="BudgetYear7" ref="A4:F31" totalsRowShown="0" headerRowDxfId="1586" tableBorderDxfId="1585">
  <tableColumns count="6">
    <tableColumn id="1" xr3:uid="{00000000-0010-0000-9600-000001000000}" name="Object Description" dataDxfId="1584"/>
    <tableColumn id="2" xr3:uid="{00000000-0010-0000-9600-000002000000}" name="Code 1" dataDxfId="1583"/>
    <tableColumn id="7" xr3:uid="{00000000-0010-0000-9600-000007000000}" name="Code 2" dataDxfId="1582"/>
    <tableColumn id="3" xr3:uid="{00000000-0010-0000-9600-000003000000}" name="Local" dataDxfId="1581" dataCellStyle="Currency"/>
    <tableColumn id="4" xr3:uid="{00000000-0010-0000-9600-000004000000}" name="State" dataDxfId="1580" dataCellStyle="Currency"/>
    <tableColumn id="5" xr3:uid="{00000000-0010-0000-9600-000005000000}" name="State and Local" dataDxfId="1579"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7" altTextSummary="In this table, users will enter their budget amounts for Year 7. The column headers for the first three columns are unlocked and can be edited. If the LEA cannot separately budget for state and local funds, leave the Local column blank."/>
    </ext>
  </extLst>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97000000}" name="ExpendituresYear7" displayName="ExpendituresYear7" ref="H4:M31" totalsRowShown="0" headerRowDxfId="1578" tableBorderDxfId="1577">
  <tableColumns count="6">
    <tableColumn id="1" xr3:uid="{00000000-0010-0000-9700-000001000000}" name="Object Description" dataDxfId="1576"/>
    <tableColumn id="2" xr3:uid="{00000000-0010-0000-9700-000002000000}" name="Code" dataDxfId="1575"/>
    <tableColumn id="6" xr3:uid="{00000000-0010-0000-9700-000006000000}" name="Code 2" dataDxfId="1574"/>
    <tableColumn id="3" xr3:uid="{00000000-0010-0000-9700-000003000000}" name="Local" dataDxfId="1573" dataCellStyle="Currency"/>
    <tableColumn id="4" xr3:uid="{00000000-0010-0000-9700-000004000000}" name="State" dataDxfId="1572" dataCellStyle="Currency"/>
    <tableColumn id="5" xr3:uid="{00000000-0010-0000-9700-000005000000}" name="State and Local" dataDxfId="1571"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7" altTextSummary="In this table, users will enter the LEA's final expenditures for Year 7. The column headers for the first three columns are unlocked and can be edited. If the LEA cannot separately budget for state and local funds, leave the Local column blank."/>
    </ext>
  </extLst>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98000000}" name="ExcADepartingDataYear7Budget" displayName="ExcADepartingDataYear7Budget" ref="A7:F13" totalsRowShown="0" headerRowDxfId="1570" dataDxfId="1568" headerRowBorderDxfId="1569" tableBorderDxfId="1567">
  <tableColumns count="6">
    <tableColumn id="1" xr3:uid="{00000000-0010-0000-9800-000001000000}" name="Position Title" dataDxfId="1566"/>
    <tableColumn id="2" xr3:uid="{00000000-0010-0000-9800-000002000000}" name="Employee Name" dataDxfId="1565"/>
    <tableColumn id="3" xr3:uid="{00000000-0010-0000-9800-000003000000}" name="Reason for Leaving" dataDxfId="1564"/>
    <tableColumn id="4" xr3:uid="{00000000-0010-0000-9800-000004000000}" name="Salary" dataDxfId="1563" dataCellStyle="Currency"/>
    <tableColumn id="5" xr3:uid="{00000000-0010-0000-9800-000005000000}" name="Benefits" dataDxfId="1562" dataCellStyle="Currency"/>
    <tableColumn id="8" xr3:uid="{00000000-0010-0000-9800-000008000000}" name="Total Budget" dataDxfId="1561"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7 Eligiblity Standard" altTextSummary="Users can enter data in this table for any departing personnel projected for Year 7. This table is for the eligiblity standard and is based on budget amounts."/>
    </ext>
  </extLst>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99000000}" name="ExcAReplaceDataYear7Budget" displayName="ExcAReplaceDataYear7Budget" ref="A15:F21" totalsRowShown="0" headerRowDxfId="1560" dataDxfId="1558" headerRowBorderDxfId="1559" tableBorderDxfId="1557">
  <tableColumns count="6">
    <tableColumn id="1" xr3:uid="{00000000-0010-0000-9900-000001000000}" name="Position Title" dataDxfId="1556"/>
    <tableColumn id="2" xr3:uid="{00000000-0010-0000-9900-000002000000}" name="Employee Name" dataDxfId="1555"/>
    <tableColumn id="3" xr3:uid="{00000000-0010-0000-9900-000003000000}" name="This column intentionally left blank" dataDxfId="1554"/>
    <tableColumn id="4" xr3:uid="{00000000-0010-0000-9900-000004000000}" name="Salary" dataDxfId="1553" dataCellStyle="Currency"/>
    <tableColumn id="5" xr3:uid="{00000000-0010-0000-9900-000005000000}" name="Benefits" dataDxfId="1552" dataCellStyle="Currency"/>
    <tableColumn id="8" xr3:uid="{00000000-0010-0000-9900-000008000000}" name="Total Budget" dataDxfId="1551"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7 Eligibility Standard" altTextSummary="Users can enter data in this table for any replacement personnel projected for Year 7. This table is for the eligiblity standard and is based on budget amounts."/>
    </ext>
  </extLst>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9A000000}" name="ExcDDataYear7Budget" displayName="ExcDDataYear7Budget" ref="A47:B53" totalsRowShown="0" headerRowDxfId="1550" dataDxfId="1548" headerRowBorderDxfId="1549" tableBorderDxfId="1547">
  <tableColumns count="2">
    <tableColumn id="1" xr3:uid="{00000000-0010-0000-9A00-000001000000}" name="Description" dataDxfId="1546"/>
    <tableColumn id="2" xr3:uid="{00000000-0010-0000-9A00-000002000000}" name="Budgeted Cost in Final Year" dataDxfId="1545"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7 Eligiblity Standard" altTextSummary="Users can enter data in this table for the projected termination of costly expenditures for long-term purchases for Year 7. This table is for the eligiblity standard and is based on budget amounts."/>
    </ext>
  </extLst>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9B000000}" name="AdjDataYear7Budget" displayName="AdjDataYear7Budget" ref="A71:B72" totalsRowShown="0" headerRowDxfId="1544" dataDxfId="1542" headerRowBorderDxfId="1543" tableBorderDxfId="1541" totalsRowBorderDxfId="1540">
  <tableColumns count="2">
    <tableColumn id="1" xr3:uid="{00000000-0010-0000-9B00-000001000000}" name="Column1" dataDxfId="1539"/>
    <tableColumn id="2" xr3:uid="{00000000-0010-0000-9B00-000002000000}" name="Projected Adjustment" dataDxfId="1538"/>
  </tableColumns>
  <tableStyleInfo name="TableStyleMedium9" showFirstColumn="0" showLastColumn="0" showRowStripes="0" showColumnStripes="0"/>
  <extLst>
    <ext xmlns:x14="http://schemas.microsoft.com/office/spreadsheetml/2009/9/main" uri="{504A1905-F514-4f6f-8877-14C23A59335A}">
      <x14:table altText="MOE Adjustment Data Entry for Year 7 Eligiblity Standard" altTextSummary="Users can enter data in this table for the projected Adjustment to MOE for Year 7. This table is for the eligiblity standard and is based on budget amounts. Use IDC's MOE Reduction Decision Tree and Calculator to determine the adjustment amount."/>
    </ext>
  </extLst>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9C000000}" name="ExcCDataYear7Budget" displayName="ExcCDataYear7Budget" ref="A37:C43" totalsRowShown="0" headerRowDxfId="1537" dataDxfId="1536" tableBorderDxfId="1535">
  <tableColumns count="3">
    <tableColumn id="1" xr3:uid="{00000000-0010-0000-9C00-000001000000}" name="Student Identifier" dataDxfId="1534"/>
    <tableColumn id="2" xr3:uid="{00000000-0010-0000-9C00-000002000000}" name="Reason" dataDxfId="1533"/>
    <tableColumn id="3" xr3:uid="{00000000-0010-0000-9C00-000003000000}" name="Budgeted Cost" dataDxfId="1532"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7 Eligiblity Standard" altTextSummary="Users can enter data in this table for the projected termination of the obligation to provide special education to a particular student that is an exceptionally costly program projected for Yera 7. This table is for the eligiblity standard and is based on budget amounts."/>
    </ext>
  </extLst>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9D000000}" name="ExcEDataYear7Budget" displayName="ExcEDataYear7Budget" ref="A57:B63" totalsRowShown="0" headerRowDxfId="1531" tableBorderDxfId="1530">
  <tableColumns count="2">
    <tableColumn id="1" xr3:uid="{00000000-0010-0000-9D00-000001000000}" name="Student Identifier" dataDxfId="1529"/>
    <tableColumn id="2" xr3:uid="{00000000-0010-0000-9D00-000002000000}" name="Budgeted Cost Assumed by SEA" dataDxfId="1528"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7 Eligiblity Standard" altTextSummary="Users can enter data for the projected assumption of cost by the high cost fund operated by the SEA for Year 7. This table is for the eligibility standard and uses budget data. The table will not calculate a total if tab 3b indicates that the SEA does not have a high cost fund in Year 7."/>
    </ext>
  </extLst>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9E000000}" name="ExcBChildCountDataYear7Budget" displayName="ExcBChildCountDataYear7Budget" ref="A25:B29" totalsRowShown="0" headerRowDxfId="1527" dataDxfId="1526">
  <tableColumns count="2">
    <tableColumn id="1" xr3:uid="{00000000-0010-0000-9E00-000001000000}" name="Column1" dataDxfId="1525"/>
    <tableColumn id="2" xr3:uid="{00000000-0010-0000-9E00-000002000000}" name="Column2" dataDxfId="1524"/>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7 Eligibility Standard" altTextSummary="This table automatically calculates the change in enrollment for Year 7 to determine whether the LEA can apply exception (b). This table is for the eligibility standard."/>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F000000}" name="ExcBFundsDataYear3Budget" displayName="ExcBFundsDataYear3Budget" ref="A30:C32" totalsRowShown="0" headerRowDxfId="2522" dataDxfId="2520" headerRowBorderDxfId="2521" tableBorderDxfId="2519" totalsRowBorderDxfId="2518">
  <tableColumns count="3">
    <tableColumn id="1" xr3:uid="{00000000-0010-0000-3F00-000001000000}" name="Column1" dataDxfId="2517"/>
    <tableColumn id="2" xr3:uid="{00000000-0010-0000-3F00-000002000000}" name="Total Local Funds" dataDxfId="2516">
      <calculatedColumnFormula>'2. Getting Started'!C17</calculatedColumnFormula>
    </tableColumn>
    <tableColumn id="3" xr3:uid="{00000000-0010-0000-3F00-000003000000}" name="Total State and Local Funds" dataDxfId="2515">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3 Eligiblity Standard" altTextSummary="This table automatically calculates the projected reduction based on a decrease in enrollment for Year 3. This table is for the eligibility standard and uses budget data. The row for Projected Reduction will be blank if there is no decrease in child count."/>
    </ext>
  </extLst>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9F000000}" name="ExcBFundsDataYear7Budget" displayName="ExcBFundsDataYear7Budget" ref="A30:C32" totalsRowShown="0" headerRowDxfId="1523" dataDxfId="1521" headerRowBorderDxfId="1522" tableBorderDxfId="1520" totalsRowBorderDxfId="1519">
  <tableColumns count="3">
    <tableColumn id="1" xr3:uid="{00000000-0010-0000-9F00-000001000000}" name="Column1" dataDxfId="1518"/>
    <tableColumn id="2" xr3:uid="{00000000-0010-0000-9F00-000002000000}" name="Total Local Funds" dataDxfId="1517">
      <calculatedColumnFormula>'2. Getting Started'!C17</calculatedColumnFormula>
    </tableColumn>
    <tableColumn id="3" xr3:uid="{00000000-0010-0000-9F00-000003000000}" name="Total State and Local Funds" dataDxfId="1516">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7 Eligiblity Standard" altTextSummary="This table automatically calculates the projected reduction based on a decrease in enrollment for Year 7. This table is for the eligibility standard and uses budget data. The row for Projected Reduction will be blank if there is no decrease in child count."/>
    </ext>
  </extLst>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A0000000}" name="ExcADepartingDataYear7Expenditures" displayName="ExcADepartingDataYear7Expenditures" ref="H7:M13" totalsRowShown="0" headerRowDxfId="1515" dataDxfId="1513" headerRowBorderDxfId="1514" tableBorderDxfId="1512">
  <tableColumns count="6">
    <tableColumn id="1" xr3:uid="{00000000-0010-0000-A000-000001000000}" name="Position Title" dataDxfId="1511"/>
    <tableColumn id="2" xr3:uid="{00000000-0010-0000-A000-000002000000}" name="Employee Name" dataDxfId="1510"/>
    <tableColumn id="3" xr3:uid="{00000000-0010-0000-A000-000003000000}" name="Reason for Leaving" dataDxfId="1509"/>
    <tableColumn id="4" xr3:uid="{00000000-0010-0000-A000-000004000000}" name="Salary" dataDxfId="1508" dataCellStyle="Currency"/>
    <tableColumn id="5" xr3:uid="{00000000-0010-0000-A000-000005000000}" name="Benefits" dataDxfId="1507" dataCellStyle="Currency"/>
    <tableColumn id="8" xr3:uid="{00000000-0010-0000-A000-000008000000}" name="Total Expenditures" dataDxfId="1506"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7 Compliance Standard" altTextSummary="Users can enter data in this table for any departing personnel for Year 7. This table is for the compliance standard and is based on final expenditures."/>
    </ext>
  </extLst>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A1000000}" name="ExcAReplaceDataYear7Expenditures" displayName="ExcAReplaceDataYear7Expenditures" ref="H15:M21" totalsRowShown="0" headerRowDxfId="1505" dataDxfId="1503" headerRowBorderDxfId="1504" tableBorderDxfId="1502">
  <tableColumns count="6">
    <tableColumn id="1" xr3:uid="{00000000-0010-0000-A100-000001000000}" name="Position Title" dataDxfId="1501"/>
    <tableColumn id="2" xr3:uid="{00000000-0010-0000-A100-000002000000}" name="Employee Name" dataDxfId="1500"/>
    <tableColumn id="3" xr3:uid="{00000000-0010-0000-A100-000003000000}" name="This column intentionally left blank" dataDxfId="1499"/>
    <tableColumn id="4" xr3:uid="{00000000-0010-0000-A100-000004000000}" name="Salary" dataDxfId="1498" dataCellStyle="Currency"/>
    <tableColumn id="5" xr3:uid="{00000000-0010-0000-A100-000005000000}" name="Benefits" dataDxfId="1497" dataCellStyle="Currency"/>
    <tableColumn id="8" xr3:uid="{00000000-0010-0000-A100-000008000000}" name="Total Expenditures" dataDxfId="1496"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7 Compliance Standard" altTextSummary="Users can enter data in this table for any replacement personnel for Year 7. This table is for the compliance standard and is based on final expenditures."/>
    </ext>
  </extLst>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A2000000}" name="ExcDDataYear7Expenditures" displayName="ExcDDataYear7Expenditures" ref="H47:I53" totalsRowShown="0" headerRowDxfId="1495" dataDxfId="1493" headerRowBorderDxfId="1494" tableBorderDxfId="1492">
  <tableColumns count="2">
    <tableColumn id="1" xr3:uid="{00000000-0010-0000-A200-000001000000}" name="Description" dataDxfId="1491"/>
    <tableColumn id="2" xr3:uid="{00000000-0010-0000-A200-000002000000}" name="Cost in Final Year of Expenditure" dataDxfId="1490"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7 Compliance Standard" altTextSummary="Users can enter data in this table for the termination of costly expenditures for long-term purchases for Year 7. This table is for the compliance standard and is based on final expenditures."/>
    </ext>
  </extLst>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A3000000}" name="AdjDataYear7Expenditures" displayName="AdjDataYear7Expenditures" ref="H71:I72" totalsRowShown="0" headerRowDxfId="1489" dataDxfId="1487" headerRowBorderDxfId="1488" tableBorderDxfId="1486" totalsRowBorderDxfId="1485">
  <tableColumns count="2">
    <tableColumn id="1" xr3:uid="{00000000-0010-0000-A300-000001000000}" name="Column1" dataDxfId="1484"/>
    <tableColumn id="2" xr3:uid="{00000000-0010-0000-A300-000002000000}" name="Adjustment " dataDxfId="1483">
      <calculatedColumnFormula>IF(I$28&gt;=0,(M$22+J$43+I$53+I$63),(M$22+J$43+I$53+I$63+J$32))</calculatedColumnFormula>
    </tableColumn>
  </tableColumns>
  <tableStyleInfo name="TableStyleMedium9" showFirstColumn="0" showLastColumn="0" showRowStripes="0" showColumnStripes="0"/>
  <extLst>
    <ext xmlns:x14="http://schemas.microsoft.com/office/spreadsheetml/2009/9/main" uri="{504A1905-F514-4f6f-8877-14C23A59335A}">
      <x14:table altText="MOE Adjustment Data Entry for Year 7 Compliance Standard" altTextSummary="Users can enter data in this table for the Adjustment to MOE for Year 7. This table is for the compliance standard and is based on final expenditures. Use IDC's MOE Reduction Decision Tree and Calculator to determine the adjustment amount."/>
    </ext>
  </extLst>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A4000000}" name="ExcCDataYear7Expenditures" displayName="ExcCDataYear7Expenditures" ref="H37:J43" totalsRowShown="0" headerRowDxfId="1482" dataDxfId="1481" tableBorderDxfId="1480">
  <tableColumns count="3">
    <tableColumn id="1" xr3:uid="{00000000-0010-0000-A400-000001000000}" name="Student Identifier" dataDxfId="1479"/>
    <tableColumn id="2" xr3:uid="{00000000-0010-0000-A400-000002000000}" name="Reason" dataDxfId="1478"/>
    <tableColumn id="3" xr3:uid="{00000000-0010-0000-A400-000003000000}" name="Expenditures" dataDxfId="1477"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7 Compliance Standard" altTextSummary="Users can enter data in this table for the termination of the obligation to provide special education to a particular student that is an exceptionally costly program projected for Year 7. This table is for the compliance standard and is based on final expenditures."/>
    </ext>
  </extLst>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A5000000}" name="ExcEDataYear7Expenditures" displayName="ExcEDataYear7Expenditures" ref="H57:I63" totalsRowShown="0" headerRowDxfId="1476" tableBorderDxfId="1475">
  <tableColumns count="2">
    <tableColumn id="1" xr3:uid="{00000000-0010-0000-A500-000001000000}" name="Student Identifier" dataDxfId="1474"/>
    <tableColumn id="2" xr3:uid="{00000000-0010-0000-A500-000002000000}" name="Cost Assumed by SEA" dataDxfId="1473"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7 Compliance Standard" altTextSummary="Users can enter data for the assumption of cost by the high cost fund operated by the SEA for Year 7. This table is for the compliance standard and uses final expenditures. The table will not calculate a total if tab 3b indicates that the SEA does not have a high cost fund in Year 7."/>
    </ext>
  </extLst>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A6000000}" name="ExcBChildCountDataYear7Expenditures" displayName="ExcBChildCountDataYear7Expenditures" ref="H25:I29" totalsRowShown="0" headerRowDxfId="1472" dataDxfId="1471">
  <tableColumns count="2">
    <tableColumn id="1" xr3:uid="{00000000-0010-0000-A600-000001000000}" name="Column1" dataDxfId="1470"/>
    <tableColumn id="2" xr3:uid="{00000000-0010-0000-A600-000002000000}" name="Column2" dataDxfId="1469"/>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7 Compliance Standard" altTextSummary="This table automatically calculates the change in enrollment for Year 7 to determine whether the LEA can apply exception (b). This table is for the compliance standard."/>
    </ext>
  </extLst>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A7000000}" name="ExcBFundsDataYear7Expenditures" displayName="ExcBFundsDataYear7Expenditures" ref="H30:J32" totalsRowShown="0" headerRowDxfId="1468" dataDxfId="1466" headerRowBorderDxfId="1467" tableBorderDxfId="1465" totalsRowBorderDxfId="1464">
  <tableColumns count="3">
    <tableColumn id="1" xr3:uid="{00000000-0010-0000-A700-000001000000}" name="Column1" dataDxfId="1463"/>
    <tableColumn id="2" xr3:uid="{00000000-0010-0000-A700-000002000000}" name="Local Total" dataDxfId="1462"/>
    <tableColumn id="3" xr3:uid="{00000000-0010-0000-A700-000003000000}" name="State and Local Total" dataDxfId="1461"/>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7 Compliance Standard" altTextSummary="This table automatically calculates the reduction based on a decrease in enrollment for Year 7. This table is for the compliance standard and uses final expenditures. The row for Allowed Reduction will be blank and blacked out if there is no decrease in child count."/>
    </ext>
  </extLst>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A8000000}" name="TotalBudgetedExcYear7" displayName="TotalBudgetedExcYear7" ref="A66:B68" totalsRowShown="0" headerRowDxfId="1460" headerRowBorderDxfId="1459" tableBorderDxfId="1458" totalsRowBorderDxfId="1457">
  <autoFilter ref="A66:B68" xr:uid="{00000000-0009-0000-0100-0000E1000000}">
    <filterColumn colId="0" hiddenButton="1"/>
    <filterColumn colId="1" hiddenButton="1"/>
  </autoFilter>
  <tableColumns count="2">
    <tableColumn id="1" xr3:uid="{00000000-0010-0000-A800-000001000000}" name="Source" dataDxfId="1456" dataCellStyle="Normal 2"/>
    <tableColumn id="2" xr3:uid="{00000000-0010-0000-A800-000002000000}" name="Total" dataDxfId="1455"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7 Eligibility Standard" altTextSummary="This table displays the total projected exceptions entered for the eligibility standard for Year 7."/>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0000000}" name="ExcADepartingDataYear3Expenditures" displayName="ExcADepartingDataYear3Expenditures" ref="H7:M13" totalsRowShown="0" headerRowDxfId="2514" dataDxfId="2512" headerRowBorderDxfId="2513" tableBorderDxfId="2511">
  <tableColumns count="6">
    <tableColumn id="1" xr3:uid="{00000000-0010-0000-4000-000001000000}" name="Position Title" dataDxfId="2510"/>
    <tableColumn id="2" xr3:uid="{00000000-0010-0000-4000-000002000000}" name="Employee Name" dataDxfId="2509"/>
    <tableColumn id="3" xr3:uid="{00000000-0010-0000-4000-000003000000}" name="Reason for Leaving" dataDxfId="2508"/>
    <tableColumn id="4" xr3:uid="{00000000-0010-0000-4000-000004000000}" name="Salary" dataDxfId="2507" dataCellStyle="Currency"/>
    <tableColumn id="5" xr3:uid="{00000000-0010-0000-4000-000005000000}" name="Benefits" dataDxfId="2506" dataCellStyle="Currency"/>
    <tableColumn id="8" xr3:uid="{00000000-0010-0000-4000-000008000000}" name="Total Expenditures" dataDxfId="2505"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3 Compliance Standard" altTextSummary="Users can enter data in this table for any departing personnel for Year 3. This table is for the compliance standard and is based on final expenditures."/>
    </ext>
  </extLst>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A9000000}" name="TotalExpendituresExcYear7" displayName="TotalExpendituresExcYear7" ref="H66:I68" totalsRowShown="0" headerRowDxfId="1454" headerRowBorderDxfId="1453" tableBorderDxfId="1452" totalsRowBorderDxfId="1451">
  <autoFilter ref="H66:I68" xr:uid="{00000000-0009-0000-0100-0000E2000000}">
    <filterColumn colId="0" hiddenButton="1"/>
    <filterColumn colId="1" hiddenButton="1"/>
  </autoFilter>
  <tableColumns count="2">
    <tableColumn id="1" xr3:uid="{00000000-0010-0000-A900-000001000000}" name="Source" dataDxfId="1450" dataCellStyle="Normal 2"/>
    <tableColumn id="2" xr3:uid="{00000000-0010-0000-A900-000002000000}" name="Total" dataDxfId="1449"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7 Compliance Standard" altTextSummary="This table displays the total exceptions entered for the compliance standard for Year 7."/>
    </ext>
  </extLst>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AA000000}" name="EligibilityYear7" displayName="EligibilityYear7" ref="A5:E10" totalsRowShown="0" headerRowDxfId="1448" headerRowBorderDxfId="1447" tableBorderDxfId="1446" totalsRowBorderDxfId="1445">
  <autoFilter ref="A5:E10" xr:uid="{00000000-0009-0000-0100-0000E3000000}">
    <filterColumn colId="0" hiddenButton="1"/>
    <filterColumn colId="1" hiddenButton="1"/>
    <filterColumn colId="2" hiddenButton="1"/>
    <filterColumn colId="3" hiddenButton="1"/>
    <filterColumn colId="4" hiddenButton="1"/>
  </autoFilter>
  <tableColumns count="5">
    <tableColumn id="1" xr3:uid="{00000000-0010-0000-AA00-000001000000}" name="MOE Information" dataDxfId="1444"/>
    <tableColumn id="2" xr3:uid="{00000000-0010-0000-AA00-000002000000}" name="Total Local Funds"/>
    <tableColumn id="3" xr3:uid="{00000000-0010-0000-AA00-000003000000}" name="Total State and Local Funds"/>
    <tableColumn id="4" xr3:uid="{00000000-0010-0000-AA00-000004000000}" name="Local Funds Per Capita"/>
    <tableColumn id="5" xr3:uid="{00000000-0010-0000-AA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7 Eligibility Standard" altTextSummary="This table displays MOE amounts and results for the eligibility standard for Year 7."/>
    </ext>
  </extLst>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AB000000}" name="ComplianceYear7" displayName="ComplianceYear7" ref="A13:E18" totalsRowShown="0" headerRowDxfId="1443" headerRowBorderDxfId="1442" tableBorderDxfId="1441" totalsRowBorderDxfId="1440">
  <autoFilter ref="A13:E18" xr:uid="{00000000-0009-0000-0100-0000E4000000}">
    <filterColumn colId="0" hiddenButton="1"/>
    <filterColumn colId="1" hiddenButton="1"/>
    <filterColumn colId="2" hiddenButton="1"/>
    <filterColumn colId="3" hiddenButton="1"/>
    <filterColumn colId="4" hiddenButton="1"/>
  </autoFilter>
  <tableColumns count="5">
    <tableColumn id="1" xr3:uid="{00000000-0010-0000-AB00-000001000000}" name="MOE Information" dataDxfId="1439"/>
    <tableColumn id="2" xr3:uid="{00000000-0010-0000-AB00-000002000000}" name="Total Local Funds" dataDxfId="1438"/>
    <tableColumn id="3" xr3:uid="{00000000-0010-0000-AB00-000003000000}" name="Total State and Local Funds" dataDxfId="1437"/>
    <tableColumn id="4" xr3:uid="{00000000-0010-0000-AB00-000004000000}" name="Local Funds Per Capita" dataDxfId="1436"/>
    <tableColumn id="5" xr3:uid="{00000000-0010-0000-AB00-000005000000}" name="State and Local Funds Per Capita" dataDxfId="1435"/>
  </tableColumns>
  <tableStyleInfo name="TableStyleLight18" showFirstColumn="0" showLastColumn="0" showRowStripes="0" showColumnStripes="0"/>
  <extLst>
    <ext xmlns:x14="http://schemas.microsoft.com/office/spreadsheetml/2009/9/main" uri="{504A1905-F514-4f6f-8877-14C23A59335A}">
      <x14:table altText="Year 7 Compliance Standard" altTextSummary="This table displays MOE amounts and results for the compliance standard for Year 7."/>
    </ext>
  </extLst>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AC000000}" name="RepaymentYear7" displayName="RepaymentYear7" ref="A21:B27" totalsRowShown="0" headerRowBorderDxfId="1434" tableBorderDxfId="1433" totalsRowBorderDxfId="1432">
  <autoFilter ref="A21:B27" xr:uid="{00000000-0009-0000-0100-0000E6000000}">
    <filterColumn colId="0" hiddenButton="1"/>
    <filterColumn colId="1" hiddenButton="1"/>
  </autoFilter>
  <tableColumns count="2">
    <tableColumn id="1" xr3:uid="{00000000-0010-0000-AC00-000001000000}" name="Repayment data" dataDxfId="1431"/>
    <tableColumn id="2" xr3:uid="{00000000-0010-0000-AC00-000002000000}" name="Data for Year 7"/>
  </tableColumns>
  <tableStyleInfo name="TableStyleLight18" showFirstColumn="0" showLastColumn="0" showRowStripes="0" showColumnStripes="0"/>
  <extLst>
    <ext xmlns:x14="http://schemas.microsoft.com/office/spreadsheetml/2009/9/main" uri="{504A1905-F514-4f6f-8877-14C23A59335A}">
      <x14:table altText="Year 7 Repayment Information" altTextSummary="This table calculates the repayment amount for Year 7 if the LEA fails MOE by all four methods for the compliance standard. Users must enter data for IDEA allocations."/>
    </ext>
  </extLst>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00000000-000C-0000-FFFF-FFFFAD000000}" name="ExcAdjSummaryYear7" displayName="ExcAdjSummaryYear7" ref="A33:E40" totalsRowShown="0" headerRowDxfId="1430" headerRowBorderDxfId="1429" tableBorderDxfId="1428" totalsRowBorderDxfId="1427">
  <autoFilter ref="A33:E40" xr:uid="{00000000-0009-0000-0100-000057010000}">
    <filterColumn colId="0" hiddenButton="1"/>
    <filterColumn colId="1" hiddenButton="1"/>
    <filterColumn colId="2" hiddenButton="1"/>
    <filterColumn colId="3" hiddenButton="1"/>
    <filterColumn colId="4" hiddenButton="1"/>
  </autoFilter>
  <tableColumns count="5">
    <tableColumn id="1" xr3:uid="{00000000-0010-0000-AD00-000001000000}" name="Exception or Adjustment" dataDxfId="1426"/>
    <tableColumn id="2" xr3:uid="{00000000-0010-0000-AD00-000002000000}" name="Projected Local Funds" dataDxfId="1425"/>
    <tableColumn id="3" xr3:uid="{00000000-0010-0000-AD00-000003000000}" name="Projected State and Local Funds" dataDxfId="1424"/>
    <tableColumn id="4" xr3:uid="{00000000-0010-0000-AD00-000004000000}" name="Local Funds" dataDxfId="1423"/>
    <tableColumn id="5" xr3:uid="{00000000-0010-0000-AD00-000005000000}" name="State and Local Funds" dataDxfId="1422"/>
  </tableColumns>
  <tableStyleInfo name="TableStyleLight18" showFirstColumn="0" showLastColumn="0" showRowStripes="0" showColumnStripes="0"/>
  <extLst>
    <ext xmlns:x14="http://schemas.microsoft.com/office/spreadsheetml/2009/9/main" uri="{504A1905-F514-4f6f-8877-14C23A59335A}">
      <x14:table altText="Year 7 Exceptions &amp; Adjustment Summary" altTextSummary="This table presents a summary of all exceptions taken for Year 7. Detailed data on the exceptions are entered on the Exc &amp; Adj tab for Year 7."/>
    </ext>
  </extLst>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AE000000}" name="BudgetYear8" displayName="BudgetYear8" ref="A4:F31" totalsRowShown="0" headerRowDxfId="1421" tableBorderDxfId="1420">
  <tableColumns count="6">
    <tableColumn id="1" xr3:uid="{00000000-0010-0000-AE00-000001000000}" name="Object Description" dataDxfId="1419"/>
    <tableColumn id="2" xr3:uid="{00000000-0010-0000-AE00-000002000000}" name="Code 1" dataDxfId="1418"/>
    <tableColumn id="7" xr3:uid="{00000000-0010-0000-AE00-000007000000}" name="Code 2" dataDxfId="1417"/>
    <tableColumn id="3" xr3:uid="{00000000-0010-0000-AE00-000003000000}" name="Local" dataDxfId="1416" dataCellStyle="Currency"/>
    <tableColumn id="4" xr3:uid="{00000000-0010-0000-AE00-000004000000}" name="State" dataDxfId="1415" dataCellStyle="Currency"/>
    <tableColumn id="5" xr3:uid="{00000000-0010-0000-AE00-000005000000}" name="State and Local" dataDxfId="1414"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8" altTextSummary="In this table, users will enter their budget amounts for Year 8. The column headers for the first three columns are unlocked and can be edited. If the LEA cannot separately budget for state and local funds, leave the Local column blank."/>
    </ext>
  </extLst>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AF000000}" name="ExpendituresYear8" displayName="ExpendituresYear8" ref="H4:M31" totalsRowShown="0" headerRowDxfId="1413" tableBorderDxfId="1412">
  <tableColumns count="6">
    <tableColumn id="1" xr3:uid="{00000000-0010-0000-AF00-000001000000}" name="Object Description" dataDxfId="1411"/>
    <tableColumn id="2" xr3:uid="{00000000-0010-0000-AF00-000002000000}" name="Code" dataDxfId="1410"/>
    <tableColumn id="6" xr3:uid="{00000000-0010-0000-AF00-000006000000}" name="Code 2" dataDxfId="1409"/>
    <tableColumn id="3" xr3:uid="{00000000-0010-0000-AF00-000003000000}" name="Local" dataDxfId="1408" dataCellStyle="Currency"/>
    <tableColumn id="4" xr3:uid="{00000000-0010-0000-AF00-000004000000}" name="State" dataDxfId="1407" dataCellStyle="Currency"/>
    <tableColumn id="5" xr3:uid="{00000000-0010-0000-AF00-000005000000}" name="State and Local" dataDxfId="1406"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8" altTextSummary="In this table, users will enter the LEA's final expenditures for Year 8. The column headers for the first three columns are unlocked and can be edited. If the LEA cannot separately budget for state and local funds, leave the Local column blank."/>
    </ext>
  </extLst>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B0000000}" name="ExcADepartingDataYear8Budget" displayName="ExcADepartingDataYear8Budget" ref="A7:F13" totalsRowShown="0" headerRowDxfId="1405" dataDxfId="1403" headerRowBorderDxfId="1404" tableBorderDxfId="1402">
  <tableColumns count="6">
    <tableColumn id="1" xr3:uid="{00000000-0010-0000-B000-000001000000}" name="Position Title" dataDxfId="1401"/>
    <tableColumn id="2" xr3:uid="{00000000-0010-0000-B000-000002000000}" name="Employee Name" dataDxfId="1400"/>
    <tableColumn id="3" xr3:uid="{00000000-0010-0000-B000-000003000000}" name="Reason for Leaving" dataDxfId="1399"/>
    <tableColumn id="4" xr3:uid="{00000000-0010-0000-B000-000004000000}" name="Salary" dataDxfId="1398" dataCellStyle="Currency"/>
    <tableColumn id="5" xr3:uid="{00000000-0010-0000-B000-000005000000}" name="Benefits" dataDxfId="1397" dataCellStyle="Currency"/>
    <tableColumn id="8" xr3:uid="{00000000-0010-0000-B000-000008000000}" name="Total Budget" dataDxfId="1396"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8 Eligiblity Standard" altTextSummary="Users can enter data in this table for any departing personnel projected for Year 8. This table is for the eligiblity standard and is based on budget amounts."/>
    </ext>
  </extLst>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B1000000}" name="ExcAReplaceDataYear8Budget" displayName="ExcAReplaceDataYear8Budget" ref="A15:F21" totalsRowShown="0" headerRowDxfId="1395" dataDxfId="1393" headerRowBorderDxfId="1394" tableBorderDxfId="1392">
  <tableColumns count="6">
    <tableColumn id="1" xr3:uid="{00000000-0010-0000-B100-000001000000}" name="Position Title" dataDxfId="1391"/>
    <tableColumn id="2" xr3:uid="{00000000-0010-0000-B100-000002000000}" name="Employee Name" dataDxfId="1390"/>
    <tableColumn id="3" xr3:uid="{00000000-0010-0000-B100-000003000000}" name="This column intentionally left blank" dataDxfId="1389"/>
    <tableColumn id="4" xr3:uid="{00000000-0010-0000-B100-000004000000}" name="Salary" dataDxfId="1388" dataCellStyle="Currency"/>
    <tableColumn id="5" xr3:uid="{00000000-0010-0000-B100-000005000000}" name="Benefits" dataDxfId="1387" dataCellStyle="Currency"/>
    <tableColumn id="8" xr3:uid="{00000000-0010-0000-B100-000008000000}" name="Total Budget" dataDxfId="1386"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8 Eligibility Standard" altTextSummary="Users can enter data in this table for any replacement personnel projected for Year 8. This table is for the eligiblity standard and is based on budget amounts."/>
    </ext>
  </extLst>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B2000000}" name="ExcDDataYear8Budget" displayName="ExcDDataYear8Budget" ref="A47:B53" totalsRowShown="0" headerRowDxfId="1385" dataDxfId="1383" headerRowBorderDxfId="1384" tableBorderDxfId="1382">
  <tableColumns count="2">
    <tableColumn id="1" xr3:uid="{00000000-0010-0000-B200-000001000000}" name="Description" dataDxfId="1381"/>
    <tableColumn id="2" xr3:uid="{00000000-0010-0000-B200-000002000000}" name="Budgeted Cost in Final Year" dataDxfId="1380"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8 Eligiblity Standard" altTextSummary="Users can enter data in this table for the projected termination of costly expenditures for long-term purchases for Year 8. This table is for the eligiblity standard and is based on budget amounts."/>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1000000}" name="ExcAReplaceDataYear3Expenditures" displayName="ExcAReplaceDataYear3Expenditures" ref="H15:M21" totalsRowShown="0" headerRowDxfId="2504" dataDxfId="2502" headerRowBorderDxfId="2503" tableBorderDxfId="2501">
  <tableColumns count="6">
    <tableColumn id="1" xr3:uid="{00000000-0010-0000-4100-000001000000}" name="Position Title" dataDxfId="2500"/>
    <tableColumn id="2" xr3:uid="{00000000-0010-0000-4100-000002000000}" name="Employee Name" dataDxfId="2499"/>
    <tableColumn id="3" xr3:uid="{00000000-0010-0000-4100-000003000000}" name="This column intentionally left blank" dataDxfId="2498"/>
    <tableColumn id="4" xr3:uid="{00000000-0010-0000-4100-000004000000}" name="Salary" dataDxfId="2497" dataCellStyle="Currency"/>
    <tableColumn id="5" xr3:uid="{00000000-0010-0000-4100-000005000000}" name="Benefits" dataDxfId="2496" dataCellStyle="Currency"/>
    <tableColumn id="8" xr3:uid="{00000000-0010-0000-4100-000008000000}" name="Total Expenditures" dataDxfId="2495"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3 Compliance Standard" altTextSummary="Users can enter data in this table for any replacement personnel for Year 3. This table is for the compliance standard and is based on final expenditures."/>
    </ext>
  </extLst>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B3000000}" name="AdjDataYear8Budget" displayName="AdjDataYear8Budget" ref="A71:B72" totalsRowShown="0" headerRowDxfId="1379" dataDxfId="1377" headerRowBorderDxfId="1378" tableBorderDxfId="1376" totalsRowBorderDxfId="1375">
  <tableColumns count="2">
    <tableColumn id="1" xr3:uid="{00000000-0010-0000-B300-000001000000}" name="Column1" dataDxfId="1374"/>
    <tableColumn id="2" xr3:uid="{00000000-0010-0000-B300-000002000000}" name="Projected Adjustment" dataDxfId="1373"/>
  </tableColumns>
  <tableStyleInfo name="TableStyleMedium9" showFirstColumn="0" showLastColumn="0" showRowStripes="0" showColumnStripes="0"/>
  <extLst>
    <ext xmlns:x14="http://schemas.microsoft.com/office/spreadsheetml/2009/9/main" uri="{504A1905-F514-4f6f-8877-14C23A59335A}">
      <x14:table altText="MOE Adjustment Data Entry for Year 8 Eligiblity Standard" altTextSummary="Users can enter data in this table for the projected Adjustment to MOE for Year 8. This table is for the eligiblity standard and is based on budget amounts. Use IDC's MOE Reduction Decision Tree and Calculator to determine the adjustment amount."/>
    </ext>
  </extLst>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B4000000}" name="ExcCDataYear8Budget" displayName="ExcCDataYear8Budget" ref="A37:C43" totalsRowShown="0" headerRowDxfId="1372" dataDxfId="1371" tableBorderDxfId="1370">
  <tableColumns count="3">
    <tableColumn id="1" xr3:uid="{00000000-0010-0000-B400-000001000000}" name="Student Identifier" dataDxfId="1369"/>
    <tableColumn id="2" xr3:uid="{00000000-0010-0000-B400-000002000000}" name="Reason" dataDxfId="1368"/>
    <tableColumn id="3" xr3:uid="{00000000-0010-0000-B400-000003000000}" name="Budgeted Cost" dataDxfId="1367"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8 Eligiblity Standard" altTextSummary="Users can enter data in this table for the projected termination of the obligation to provide special education to a particular student that is an exceptionally costly program projected for Year 8. This table is for the eligiblity standard and is based on budget amounts."/>
    </ext>
  </extLst>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B5000000}" name="ExcEDataYear8Budget" displayName="ExcEDataYear8Budget" ref="A57:B63" totalsRowShown="0" headerRowDxfId="1366" tableBorderDxfId="1365">
  <tableColumns count="2">
    <tableColumn id="1" xr3:uid="{00000000-0010-0000-B500-000001000000}" name="Student Identifier" dataDxfId="1364"/>
    <tableColumn id="2" xr3:uid="{00000000-0010-0000-B500-000002000000}" name="Budgeted Cost Assumed by SEA" dataDxfId="1363"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8 Eligiblity Standard" altTextSummary="Users can enter data for the projected assumption of cost by the high cost fund operated by the SEA for Year 8. This table is for the eligibility standard and uses budget data. The table will not calculate a total if tab 3b indicates that the SEA does not have a high cost fund in Year 8."/>
    </ext>
  </extLst>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B6000000}" name="ExcBChildCountDataYear8Budget" displayName="ExcBChildCountDataYear8Budget" ref="A25:B29" totalsRowShown="0" headerRowDxfId="1362" dataDxfId="1361">
  <tableColumns count="2">
    <tableColumn id="1" xr3:uid="{00000000-0010-0000-B600-000001000000}" name="Column1" dataDxfId="1360"/>
    <tableColumn id="2" xr3:uid="{00000000-0010-0000-B600-000002000000}" name="Column2" dataDxfId="1359"/>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8 Eligibility Standard" altTextSummary="This table automatically calculates the change in enrollment for Year 8 to determine whether the LEA can apply exception (b). This table is for the eligibility standard."/>
    </ext>
  </extLst>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B7000000}" name="ExcBFundsDataYear8Budget" displayName="ExcBFundsDataYear8Budget" ref="A30:C32" totalsRowShown="0" headerRowDxfId="1358" dataDxfId="1356" headerRowBorderDxfId="1357" tableBorderDxfId="1355" totalsRowBorderDxfId="1354">
  <tableColumns count="3">
    <tableColumn id="1" xr3:uid="{00000000-0010-0000-B700-000001000000}" name="Column1" dataDxfId="1353"/>
    <tableColumn id="2" xr3:uid="{00000000-0010-0000-B700-000002000000}" name="Total Local Funds" dataDxfId="1352">
      <calculatedColumnFormula>'2. Getting Started'!C17</calculatedColumnFormula>
    </tableColumn>
    <tableColumn id="3" xr3:uid="{00000000-0010-0000-B700-000003000000}" name="Total State and Local Funds" dataDxfId="1351">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8 Eligiblity Standard" altTextSummary="This table automatically calculates the projected reduction based on a decrease in enrollment for Year 8. This table is for the eligibility standard and uses budget data. The row for Projected Reduction will be blank if there is no decrease in child count."/>
    </ext>
  </extLst>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B8000000}" name="ExcADepartingDataYear8Expenditures" displayName="ExcADepartingDataYear8Expenditures" ref="H7:M13" totalsRowShown="0" headerRowDxfId="1350" dataDxfId="1348" headerRowBorderDxfId="1349" tableBorderDxfId="1347">
  <tableColumns count="6">
    <tableColumn id="1" xr3:uid="{00000000-0010-0000-B800-000001000000}" name="Position Title" dataDxfId="1346"/>
    <tableColumn id="2" xr3:uid="{00000000-0010-0000-B800-000002000000}" name="Employee Name" dataDxfId="1345"/>
    <tableColumn id="3" xr3:uid="{00000000-0010-0000-B800-000003000000}" name="Reason for Leaving" dataDxfId="1344"/>
    <tableColumn id="4" xr3:uid="{00000000-0010-0000-B800-000004000000}" name="Salary" dataDxfId="1343" dataCellStyle="Currency"/>
    <tableColumn id="5" xr3:uid="{00000000-0010-0000-B800-000005000000}" name="Benefits" dataDxfId="1342" dataCellStyle="Currency"/>
    <tableColumn id="8" xr3:uid="{00000000-0010-0000-B800-000008000000}" name="Total Expenditures" dataDxfId="1341"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8 Compliance Standard" altTextSummary="Users can enter data in this table for any departing personnel for Year 8. This table is for the compliance standard and is based on final expenditures."/>
    </ext>
  </extLst>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B9000000}" name="ExcAReplaceDataYear8Expenditures" displayName="ExcAReplaceDataYear8Expenditures" ref="H15:M21" totalsRowShown="0" headerRowDxfId="1340" dataDxfId="1338" headerRowBorderDxfId="1339" tableBorderDxfId="1337">
  <tableColumns count="6">
    <tableColumn id="1" xr3:uid="{00000000-0010-0000-B900-000001000000}" name="Position Title" dataDxfId="1336"/>
    <tableColumn id="2" xr3:uid="{00000000-0010-0000-B900-000002000000}" name="Employee Name" dataDxfId="1335"/>
    <tableColumn id="3" xr3:uid="{00000000-0010-0000-B900-000003000000}" name="This column intentionally left blank" dataDxfId="1334"/>
    <tableColumn id="4" xr3:uid="{00000000-0010-0000-B900-000004000000}" name="Salary" dataDxfId="1333" dataCellStyle="Currency"/>
    <tableColumn id="5" xr3:uid="{00000000-0010-0000-B900-000005000000}" name="Benefits" dataDxfId="1332" dataCellStyle="Currency"/>
    <tableColumn id="8" xr3:uid="{00000000-0010-0000-B900-000008000000}" name="Total Expenditures" dataDxfId="1331"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8 Compliance Standard" altTextSummary="Users can enter data in this table for any replacement personnel for Year 8. This table is for the compliance standard and is based on final expenditures."/>
    </ext>
  </extLst>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BA000000}" name="ExcDDataYear8Expenditures" displayName="ExcDDataYear8Expenditures" ref="H47:I53" totalsRowShown="0" headerRowDxfId="1330" dataDxfId="1328" headerRowBorderDxfId="1329" tableBorderDxfId="1327">
  <tableColumns count="2">
    <tableColumn id="1" xr3:uid="{00000000-0010-0000-BA00-000001000000}" name="Description" dataDxfId="1326"/>
    <tableColumn id="2" xr3:uid="{00000000-0010-0000-BA00-000002000000}" name="Cost in Final Year of Expenditure" dataDxfId="1325"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8 Compliance Standard" altTextSummary="Users can enter data in this table for the termination of costly expenditures for long-term purchases for Year 8. This table is for the compliance standard and is based on final expenditures."/>
    </ext>
  </extLst>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BB000000}" name="AdjDataYear8Expenditures" displayName="AdjDataYear8Expenditures" ref="H71:I72" totalsRowShown="0" headerRowDxfId="1324" dataDxfId="1322" headerRowBorderDxfId="1323" tableBorderDxfId="1321" totalsRowBorderDxfId="1320">
  <tableColumns count="2">
    <tableColumn id="1" xr3:uid="{00000000-0010-0000-BB00-000001000000}" name="Column1" dataDxfId="1319"/>
    <tableColumn id="2" xr3:uid="{00000000-0010-0000-BB00-000002000000}" name="Adjustment " dataDxfId="1318">
      <calculatedColumnFormula>IF(I$28&gt;=0,(M$22+J$43+I$53+I$63),(M$22+J$43+I$53+I$63+J$32))</calculatedColumnFormula>
    </tableColumn>
  </tableColumns>
  <tableStyleInfo name="TableStyleMedium9" showFirstColumn="0" showLastColumn="0" showRowStripes="0" showColumnStripes="0"/>
  <extLst>
    <ext xmlns:x14="http://schemas.microsoft.com/office/spreadsheetml/2009/9/main" uri="{504A1905-F514-4f6f-8877-14C23A59335A}">
      <x14:table altText="MOE Adjustment Data Entry for Year 8 Compliance Standard" altTextSummary="Users can enter data in this table for the Adjustment to MOE for Year 8. This table is for the compliance standard and is based on final expenditures. Use IDC's MOE Reduction Decision Tree and Calculator to determine the adjustment amount."/>
    </ext>
  </extLst>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BC000000}" name="ExcCDataYear8Expenditures" displayName="ExcCDataYear8Expenditures" ref="H37:J43" totalsRowShown="0" headerRowDxfId="1317" dataDxfId="1316" tableBorderDxfId="1315">
  <tableColumns count="3">
    <tableColumn id="1" xr3:uid="{00000000-0010-0000-BC00-000001000000}" name="Student Identifier" dataDxfId="1314"/>
    <tableColumn id="2" xr3:uid="{00000000-0010-0000-BC00-000002000000}" name="Reason" dataDxfId="1313"/>
    <tableColumn id="3" xr3:uid="{00000000-0010-0000-BC00-000003000000}" name="Expenditures" dataDxfId="1312"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8 Compliance Standard" altTextSummary="Users can enter data in this table for the termination of the obligation to provide special education to a particular student that is an exceptionally costly program projected for Year 8. This table is for the compliance standard and is based on final expenditures."/>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2000000}" name="ExcDDataYear3Expenditures" displayName="ExcDDataYear3Expenditures" ref="H47:I53" totalsRowShown="0" headerRowDxfId="2494" dataDxfId="2492" headerRowBorderDxfId="2493" tableBorderDxfId="2491">
  <tableColumns count="2">
    <tableColumn id="1" xr3:uid="{00000000-0010-0000-4200-000001000000}" name="Description" dataDxfId="2490"/>
    <tableColumn id="2" xr3:uid="{00000000-0010-0000-4200-000002000000}" name="Cost in Final Year of Expenditure" dataDxfId="2489"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3 Compliance Standard" altTextSummary="Users can enter data in this table for the termination of costly expenditures for long-term purchases for Year 3. This table is for the compliance standard and is based on final expenditures."/>
    </ext>
  </extLst>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BD000000}" name="ExcEDataYear8Expenditures" displayName="ExcEDataYear8Expenditures" ref="H57:I63" totalsRowShown="0" headerRowDxfId="1311" tableBorderDxfId="1310">
  <tableColumns count="2">
    <tableColumn id="1" xr3:uid="{00000000-0010-0000-BD00-000001000000}" name="Student Identifier" dataDxfId="1309"/>
    <tableColumn id="2" xr3:uid="{00000000-0010-0000-BD00-000002000000}" name="Cost Assumed by SEA" dataDxfId="1308"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8 Compliance Standard" altTextSummary="Users can enter data for the assumption of cost by the high cost fund operated by the SEA for Year 8. This table is for the compliance standard and uses final expenditures. The table will not calculate a total if tab 3b indicates that the SEA does not have a high cost fund in Year 8."/>
    </ext>
  </extLst>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BE000000}" name="ExcBChildCountDataYear8Expenditures" displayName="ExcBChildCountDataYear8Expenditures" ref="H25:I29" totalsRowShown="0" headerRowDxfId="1307" dataDxfId="1306">
  <tableColumns count="2">
    <tableColumn id="1" xr3:uid="{00000000-0010-0000-BE00-000001000000}" name="Column1" dataDxfId="1305"/>
    <tableColumn id="2" xr3:uid="{00000000-0010-0000-BE00-000002000000}" name="Column2" dataDxfId="1304"/>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8 Compliance Standard" altTextSummary="This table automatically calculates the change in enrollment for Year 8 to determine whether the LEA can apply exception (b). This table is for the compliance standard."/>
    </ext>
  </extLst>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BF000000}" name="ExcBFundsDataYear8Expenditures" displayName="ExcBFundsDataYear8Expenditures" ref="H30:J32" totalsRowShown="0" headerRowDxfId="1303" dataDxfId="1301" headerRowBorderDxfId="1302" tableBorderDxfId="1300" totalsRowBorderDxfId="1299">
  <tableColumns count="3">
    <tableColumn id="1" xr3:uid="{00000000-0010-0000-BF00-000001000000}" name="Column1" dataDxfId="1298"/>
    <tableColumn id="2" xr3:uid="{00000000-0010-0000-BF00-000002000000}" name="Local Total" dataDxfId="1297"/>
    <tableColumn id="3" xr3:uid="{00000000-0010-0000-BF00-000003000000}" name="State and Local Total" dataDxfId="1296"/>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8 Compliance Standard" altTextSummary="This table automatically calculates the reduction based on a decrease in enrollment for Year 8. This table is for the compliance standard and uses final expenditures. The row for Allowed Reduction will be blank and blacked out if there is no decrease in child count."/>
    </ext>
  </extLst>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C0000000}" name="TotalBudgetedExcYear8" displayName="TotalBudgetedExcYear8" ref="A66:B68" totalsRowShown="0" headerRowDxfId="1295" headerRowBorderDxfId="1294" tableBorderDxfId="1293" totalsRowBorderDxfId="1292">
  <autoFilter ref="A66:B68" xr:uid="{00000000-0009-0000-0100-0000E7000000}">
    <filterColumn colId="0" hiddenButton="1"/>
    <filterColumn colId="1" hiddenButton="1"/>
  </autoFilter>
  <tableColumns count="2">
    <tableColumn id="1" xr3:uid="{00000000-0010-0000-C000-000001000000}" name="Source" dataDxfId="1291" dataCellStyle="Normal 2"/>
    <tableColumn id="2" xr3:uid="{00000000-0010-0000-C000-000002000000}" name="Total" dataDxfId="1290"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8 Eligibility Standard" altTextSummary="This table displays the total projected exceptions entered for the eligibility standard for Year 8."/>
    </ext>
  </extLst>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C1000000}" name="TotalExpendituresExcYear8" displayName="TotalExpendituresExcYear8" ref="H66:I68" totalsRowShown="0" headerRowDxfId="1289" headerRowBorderDxfId="1288" tableBorderDxfId="1287" totalsRowBorderDxfId="1286">
  <autoFilter ref="H66:I68" xr:uid="{00000000-0009-0000-0100-0000E8000000}">
    <filterColumn colId="0" hiddenButton="1"/>
    <filterColumn colId="1" hiddenButton="1"/>
  </autoFilter>
  <tableColumns count="2">
    <tableColumn id="1" xr3:uid="{00000000-0010-0000-C100-000001000000}" name="Source" dataDxfId="1285" dataCellStyle="Normal 2"/>
    <tableColumn id="2" xr3:uid="{00000000-0010-0000-C100-000002000000}" name="Total" dataDxfId="1284"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8 Compliance Standard" altTextSummary="This table displays the total exceptions entered for the compliance standard for Year 8."/>
    </ext>
  </extLst>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C2000000}" name="EligibilityYear8" displayName="EligibilityYear8" ref="A5:E10" totalsRowShown="0" headerRowDxfId="1283" headerRowBorderDxfId="1282" tableBorderDxfId="1281" totalsRowBorderDxfId="1280">
  <autoFilter ref="A5:E10" xr:uid="{00000000-0009-0000-0100-0000E9000000}">
    <filterColumn colId="0" hiddenButton="1"/>
    <filterColumn colId="1" hiddenButton="1"/>
    <filterColumn colId="2" hiddenButton="1"/>
    <filterColumn colId="3" hiddenButton="1"/>
    <filterColumn colId="4" hiddenButton="1"/>
  </autoFilter>
  <tableColumns count="5">
    <tableColumn id="1" xr3:uid="{00000000-0010-0000-C200-000001000000}" name="MOE Information" dataDxfId="1279"/>
    <tableColumn id="2" xr3:uid="{00000000-0010-0000-C200-000002000000}" name="Total Local Funds"/>
    <tableColumn id="3" xr3:uid="{00000000-0010-0000-C200-000003000000}" name="Total State and Local Funds"/>
    <tableColumn id="4" xr3:uid="{00000000-0010-0000-C200-000004000000}" name="Local Funds Per Capita"/>
    <tableColumn id="5" xr3:uid="{00000000-0010-0000-C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8 Eligibility Standard" altTextSummary="This table displays MOE amounts and results for the eligibility standard for Year 8."/>
    </ext>
  </extLst>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C3000000}" name="ComplianceYear8" displayName="ComplianceYear8" ref="A13:E18" totalsRowShown="0" headerRowDxfId="1278" headerRowBorderDxfId="1277" tableBorderDxfId="1276" totalsRowBorderDxfId="1275">
  <autoFilter ref="A13:E18" xr:uid="{00000000-0009-0000-0100-0000EA000000}">
    <filterColumn colId="0" hiddenButton="1"/>
    <filterColumn colId="1" hiddenButton="1"/>
    <filterColumn colId="2" hiddenButton="1"/>
    <filterColumn colId="3" hiddenButton="1"/>
    <filterColumn colId="4" hiddenButton="1"/>
  </autoFilter>
  <tableColumns count="5">
    <tableColumn id="1" xr3:uid="{00000000-0010-0000-C300-000001000000}" name="MOE Information" dataDxfId="1274"/>
    <tableColumn id="2" xr3:uid="{00000000-0010-0000-C300-000002000000}" name="Total Local Funds" dataDxfId="1273"/>
    <tableColumn id="3" xr3:uid="{00000000-0010-0000-C300-000003000000}" name="Total State and Local Funds" dataDxfId="1272"/>
    <tableColumn id="4" xr3:uid="{00000000-0010-0000-C300-000004000000}" name="Local Funds Per Capita" dataDxfId="1271"/>
    <tableColumn id="5" xr3:uid="{00000000-0010-0000-C300-000005000000}" name="State and Local Funds Per Capita" dataDxfId="1270"/>
  </tableColumns>
  <tableStyleInfo name="TableStyleLight18" showFirstColumn="0" showLastColumn="0" showRowStripes="0" showColumnStripes="0"/>
  <extLst>
    <ext xmlns:x14="http://schemas.microsoft.com/office/spreadsheetml/2009/9/main" uri="{504A1905-F514-4f6f-8877-14C23A59335A}">
      <x14:table altText="Year 8 Compliance Standard" altTextSummary="This table displays MOE amounts and results for the compliance standard for Year 8."/>
    </ext>
  </extLst>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C4000000}" name="RepaymentYear8" displayName="RepaymentYear8" ref="A21:B27" totalsRowShown="0" headerRowBorderDxfId="1269" tableBorderDxfId="1268" totalsRowBorderDxfId="1267">
  <autoFilter ref="A21:B27" xr:uid="{00000000-0009-0000-0100-0000EB000000}">
    <filterColumn colId="0" hiddenButton="1"/>
    <filterColumn colId="1" hiddenButton="1"/>
  </autoFilter>
  <tableColumns count="2">
    <tableColumn id="1" xr3:uid="{00000000-0010-0000-C400-000001000000}" name="Repayment data" dataDxfId="1266"/>
    <tableColumn id="2" xr3:uid="{00000000-0010-0000-C400-000002000000}" name="Data for Year 8"/>
  </tableColumns>
  <tableStyleInfo name="TableStyleLight18" showFirstColumn="0" showLastColumn="0" showRowStripes="0" showColumnStripes="0"/>
  <extLst>
    <ext xmlns:x14="http://schemas.microsoft.com/office/spreadsheetml/2009/9/main" uri="{504A1905-F514-4f6f-8877-14C23A59335A}">
      <x14:table altText="Year 8 Repayment Information" altTextSummary="This table calculates the repayment amount for Year 8 if the LEA fails MOE by all four methods for the compliance standard. Users must enter data for IDEA allocations."/>
    </ext>
  </extLst>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0000000-000C-0000-FFFF-FFFFC5000000}" name="ExcAdjSummaryYear8" displayName="ExcAdjSummaryYear8" ref="A33:E40" totalsRowShown="0" headerRowDxfId="1265" headerRowBorderDxfId="1264" tableBorderDxfId="1263" totalsRowBorderDxfId="1262">
  <autoFilter ref="A33:E40" xr:uid="{00000000-0009-0000-0100-000058010000}">
    <filterColumn colId="0" hiddenButton="1"/>
    <filterColumn colId="1" hiddenButton="1"/>
    <filterColumn colId="2" hiddenButton="1"/>
    <filterColumn colId="3" hiddenButton="1"/>
    <filterColumn colId="4" hiddenButton="1"/>
  </autoFilter>
  <tableColumns count="5">
    <tableColumn id="1" xr3:uid="{00000000-0010-0000-C500-000001000000}" name="Exception or Adjustment" dataDxfId="1261"/>
    <tableColumn id="2" xr3:uid="{00000000-0010-0000-C500-000002000000}" name="Projected Local Funds" dataDxfId="1260"/>
    <tableColumn id="3" xr3:uid="{00000000-0010-0000-C500-000003000000}" name="Projected State and Local Funds" dataDxfId="1259"/>
    <tableColumn id="4" xr3:uid="{00000000-0010-0000-C500-000004000000}" name="Local Funds" dataDxfId="1258"/>
    <tableColumn id="5" xr3:uid="{00000000-0010-0000-C500-000005000000}" name="State and Local Funds" dataDxfId="1257"/>
  </tableColumns>
  <tableStyleInfo name="TableStyleLight18" showFirstColumn="0" showLastColumn="0" showRowStripes="0" showColumnStripes="0"/>
  <extLst>
    <ext xmlns:x14="http://schemas.microsoft.com/office/spreadsheetml/2009/9/main" uri="{504A1905-F514-4f6f-8877-14C23A59335A}">
      <x14:table altText="Summary of Exceptions and Adjustment for Year 8" altTextSummary="This table presents a summary of all exceptions taken for Year 8. Detailed data on the exceptions are entered on the Exc &amp; Adj tab for Year 8."/>
    </ext>
  </extLst>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C6000000}" name="BudgetYear9" displayName="BudgetYear9" ref="A4:F31" totalsRowShown="0" headerRowDxfId="1256" tableBorderDxfId="1255">
  <tableColumns count="6">
    <tableColumn id="1" xr3:uid="{00000000-0010-0000-C600-000001000000}" name="Object Description" dataDxfId="1254"/>
    <tableColumn id="2" xr3:uid="{00000000-0010-0000-C600-000002000000}" name="Code 1" dataDxfId="1253"/>
    <tableColumn id="7" xr3:uid="{00000000-0010-0000-C600-000007000000}" name="Code 2" dataDxfId="1252"/>
    <tableColumn id="3" xr3:uid="{00000000-0010-0000-C600-000003000000}" name="Local" dataDxfId="1251" dataCellStyle="Currency"/>
    <tableColumn id="4" xr3:uid="{00000000-0010-0000-C600-000004000000}" name="State" dataDxfId="1250" dataCellStyle="Currency"/>
    <tableColumn id="5" xr3:uid="{00000000-0010-0000-C600-000005000000}" name="State and Local" dataDxfId="1249"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9" altTextSummary="In this table, users will enter their budget amounts for Year 9. The column headers for the first three columns are unlocked and can be edited. If the LEA cannot separately budget for state and local funds, leave the Local column blank."/>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1000000}" name="LastYearMet" displayName="LastYearMet" ref="A9:D13" totalsRowShown="0" headerRowBorderDxfId="2626" tableBorderDxfId="2625" totalsRowBorderDxfId="2624">
  <autoFilter ref="A9:D13" xr:uid="{00000000-0009-0000-0100-0000C2000000}">
    <filterColumn colId="0" hiddenButton="1"/>
    <filterColumn colId="1" hiddenButton="1"/>
    <filterColumn colId="2" hiddenButton="1"/>
    <filterColumn colId="3" hiddenButton="1"/>
  </autoFilter>
  <tableColumns count="4">
    <tableColumn id="1" xr3:uid="{00000000-0010-0000-0100-000001000000}" name="Method" dataDxfId="2623"/>
    <tableColumn id="2" xr3:uid="{00000000-0010-0000-0100-000002000000}" name="Last year met (four-digit year)" dataDxfId="2622">
      <calculatedColumnFormula array="1">IFERROR(vloolup(B3,#REF!,6,0),0)</calculatedColumnFormula>
    </tableColumn>
    <tableColumn id="3" xr3:uid="{00000000-0010-0000-0100-000003000000}" name="Expenditures last year met" dataDxfId="2621" dataCellStyle="Currency"/>
    <tableColumn id="4" xr3:uid="{00000000-0010-0000-0100-000004000000}" name="Child count last year met" dataDxfId="2620" dataCellStyle="Comma">
      <calculatedColumnFormula>IFERROR(VLOOKUP(B3,'42. SEA or LEA Worksheet'!A4:O325,14,0),0)</calculatedColumnFormula>
    </tableColumn>
  </tableColumns>
  <tableStyleInfo name="TableStyleLight18" showFirstColumn="0" showLastColumn="0" showRowStripes="0" showColumnStripes="0"/>
  <extLst>
    <ext xmlns:x14="http://schemas.microsoft.com/office/spreadsheetml/2009/9/main" uri="{504A1905-F514-4f6f-8877-14C23A59335A}">
      <x14:table altText="Last Year Met" altTextSummary="Enter information in this table for the last year the comparison standard was met for each of the four methods. Required information is the last year met, the expenditures for that year, and the child count for that year._x000d__x000a_"/>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3000000}" name="AdjDataYear3Expenditures" displayName="AdjDataYear3Expenditures" ref="H71:I72" totalsRowShown="0" headerRowDxfId="2488" dataDxfId="2486" headerRowBorderDxfId="2487" tableBorderDxfId="2485" totalsRowBorderDxfId="2484">
  <tableColumns count="2">
    <tableColumn id="1" xr3:uid="{00000000-0010-0000-4300-000001000000}" name="Column1" dataDxfId="2483"/>
    <tableColumn id="2" xr3:uid="{00000000-0010-0000-4300-000002000000}" name="Adjustment " dataDxfId="2482">
      <calculatedColumnFormula>IF(I$28&gt;=0,(M$22+J$43+I$53+I$63),(M$22+J$43+I$53+I$63+J$32))</calculatedColumnFormula>
    </tableColumn>
  </tableColumns>
  <tableStyleInfo name="TableStyleMedium9" showFirstColumn="0" showLastColumn="0" showRowStripes="0" showColumnStripes="0"/>
  <extLst>
    <ext xmlns:x14="http://schemas.microsoft.com/office/spreadsheetml/2009/9/main" uri="{504A1905-F514-4f6f-8877-14C23A59335A}">
      <x14:table altText="MOE Adjustment Data Entry for Year 3 Compliance Standard" altTextSummary="Users can enter data in this table for the Adjustment to MOE for Year 3. This table is for the compliance standard and is based on final expenditures. Use IDC's MOE Reduction Decision Tree and Calculator to determine the adjustment amount."/>
    </ext>
  </extLst>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C7000000}" name="ExpendituresYear9" displayName="ExpendituresYear9" ref="H4:M31" totalsRowShown="0" headerRowDxfId="1248" tableBorderDxfId="1247">
  <tableColumns count="6">
    <tableColumn id="1" xr3:uid="{00000000-0010-0000-C700-000001000000}" name="Object Description" dataDxfId="1246"/>
    <tableColumn id="2" xr3:uid="{00000000-0010-0000-C700-000002000000}" name="Code" dataDxfId="1245"/>
    <tableColumn id="6" xr3:uid="{00000000-0010-0000-C700-000006000000}" name="Code 2" dataDxfId="1244"/>
    <tableColumn id="3" xr3:uid="{00000000-0010-0000-C700-000003000000}" name="Local" dataDxfId="1243" dataCellStyle="Currency"/>
    <tableColumn id="4" xr3:uid="{00000000-0010-0000-C700-000004000000}" name="State" dataDxfId="1242" dataCellStyle="Currency"/>
    <tableColumn id="5" xr3:uid="{00000000-0010-0000-C700-000005000000}" name="State and Local" dataDxfId="1241"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9" altTextSummary="In this table, users will enter the LEA's final expenditures for Year 9. The column headers for the first three columns are unlocked and can be edited. If the LEA cannot separately budget for state and local funds, leave the Local column blank."/>
    </ext>
  </extLst>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C8000000}" name="ExcADepartingDataYear9Budget" displayName="ExcADepartingDataYear9Budget" ref="A7:F13" totalsRowShown="0" headerRowDxfId="1240" dataDxfId="1238" headerRowBorderDxfId="1239" tableBorderDxfId="1237">
  <tableColumns count="6">
    <tableColumn id="1" xr3:uid="{00000000-0010-0000-C800-000001000000}" name="Position Title" dataDxfId="1236"/>
    <tableColumn id="2" xr3:uid="{00000000-0010-0000-C800-000002000000}" name="Employee Name" dataDxfId="1235"/>
    <tableColumn id="3" xr3:uid="{00000000-0010-0000-C800-000003000000}" name="Reason for Leaving" dataDxfId="1234"/>
    <tableColumn id="4" xr3:uid="{00000000-0010-0000-C800-000004000000}" name="Salary" dataDxfId="1233" dataCellStyle="Currency"/>
    <tableColumn id="5" xr3:uid="{00000000-0010-0000-C800-000005000000}" name="Benefits" dataDxfId="1232" dataCellStyle="Currency"/>
    <tableColumn id="8" xr3:uid="{00000000-0010-0000-C800-000008000000}" name="Total Budget" dataDxfId="1231"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9 Eligiblity Standard" altTextSummary="Users can enter data in this table for any departing personnel projected for Year 9. This table is for the eligiblity standard and is based on budget amounts."/>
    </ext>
  </extLst>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C9000000}" name="ExcAReplaceDataYear9Budget" displayName="ExcAReplaceDataYear9Budget" ref="A15:F21" totalsRowShown="0" headerRowDxfId="1230" dataDxfId="1228" headerRowBorderDxfId="1229" tableBorderDxfId="1227">
  <tableColumns count="6">
    <tableColumn id="1" xr3:uid="{00000000-0010-0000-C900-000001000000}" name="Position Title" dataDxfId="1226"/>
    <tableColumn id="2" xr3:uid="{00000000-0010-0000-C900-000002000000}" name="Employee Name" dataDxfId="1225"/>
    <tableColumn id="3" xr3:uid="{00000000-0010-0000-C900-000003000000}" name="This column intentionally left blank" dataDxfId="1224"/>
    <tableColumn id="4" xr3:uid="{00000000-0010-0000-C900-000004000000}" name="Salary" dataDxfId="1223" dataCellStyle="Currency"/>
    <tableColumn id="5" xr3:uid="{00000000-0010-0000-C900-000005000000}" name="Benefits" dataDxfId="1222" dataCellStyle="Currency"/>
    <tableColumn id="8" xr3:uid="{00000000-0010-0000-C900-000008000000}" name="Total Budget" dataDxfId="1221"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9 Eligibility Standard" altTextSummary="Users can enter data in this table for any replacement personnel projected for Year 9. This table is for the eligiblity standard and is based on budget amounts."/>
    </ext>
  </extLst>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CA000000}" name="ExcDDataYear9Budget" displayName="ExcDDataYear9Budget" ref="A47:B53" totalsRowShown="0" headerRowDxfId="1220" dataDxfId="1218" headerRowBorderDxfId="1219" tableBorderDxfId="1217">
  <tableColumns count="2">
    <tableColumn id="1" xr3:uid="{00000000-0010-0000-CA00-000001000000}" name="Description" dataDxfId="1216"/>
    <tableColumn id="2" xr3:uid="{00000000-0010-0000-CA00-000002000000}" name="Budgeted Cost in Final Year" dataDxfId="1215"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9 Eligiblity Standard" altTextSummary="Users can enter data in this table for the projected termination of costly expenditures for long-term purchases for Year 9. This table is for the eligiblity standard and is based on budget amounts."/>
    </ext>
  </extLst>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CB000000}" name="AdjDataYear9Budget" displayName="AdjDataYear9Budget" ref="A71:B72" totalsRowShown="0" headerRowDxfId="1214" dataDxfId="1212" headerRowBorderDxfId="1213" tableBorderDxfId="1211" totalsRowBorderDxfId="1210">
  <tableColumns count="2">
    <tableColumn id="1" xr3:uid="{00000000-0010-0000-CB00-000001000000}" name="Column1" dataDxfId="1209"/>
    <tableColumn id="2" xr3:uid="{00000000-0010-0000-CB00-000002000000}" name="Projected Adjustment" dataDxfId="1208"/>
  </tableColumns>
  <tableStyleInfo name="TableStyleMedium9" showFirstColumn="0" showLastColumn="0" showRowStripes="0" showColumnStripes="0"/>
  <extLst>
    <ext xmlns:x14="http://schemas.microsoft.com/office/spreadsheetml/2009/9/main" uri="{504A1905-F514-4f6f-8877-14C23A59335A}">
      <x14:table altText="MOE Adjustment Data Entry for Year 9 Eligiblity Standard" altTextSummary="Users can enter data in this table for the projected Adjustment to MOE for Year 9. This table is for the eligiblity standard and is based on budget amounts. Use IDC's MOE Reduction Decision Tree and Calculator to determine the adjustment amount."/>
    </ext>
  </extLst>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CC000000}" name="ExcCDataYear9Budget" displayName="ExcCDataYear9Budget" ref="A37:C43" totalsRowShown="0" headerRowDxfId="1207" dataDxfId="1206" tableBorderDxfId="1205">
  <tableColumns count="3">
    <tableColumn id="1" xr3:uid="{00000000-0010-0000-CC00-000001000000}" name="Student Identifier" dataDxfId="1204"/>
    <tableColumn id="2" xr3:uid="{00000000-0010-0000-CC00-000002000000}" name="Reason" dataDxfId="1203"/>
    <tableColumn id="3" xr3:uid="{00000000-0010-0000-CC00-000003000000}" name="Budgeted Cost" dataDxfId="1202"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9 Eligiblity Standard" altTextSummary="Users can enter data in this table for the projected termination of the obligation to provide special education to a particular student that is an exceptionally costly program projected for Year 9. This table is for the eligiblity standard and is based on budget amounts."/>
    </ext>
  </extLst>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CD000000}" name="ExcEDataYear9Budget" displayName="ExcEDataYear9Budget" ref="A57:B63" totalsRowShown="0" headerRowDxfId="1201" tableBorderDxfId="1200">
  <tableColumns count="2">
    <tableColumn id="1" xr3:uid="{00000000-0010-0000-CD00-000001000000}" name="Student Identifier" dataDxfId="1199"/>
    <tableColumn id="2" xr3:uid="{00000000-0010-0000-CD00-000002000000}" name="Budgeted Cost Assumed by SEA" dataDxfId="1198"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9 Eligiblity Standard" altTextSummary="Users can enter data for the projected assumption of cost by the high cost fund operated by the SEA for Year 9. This table is for the eligibility standard and uses budget data. The table will not calculate a total if tab 3b indicates that the SEA does not have a high cost fund in Year 9."/>
    </ext>
  </extLst>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CE000000}" name="ExcBChildCountDataYear9Budget" displayName="ExcBChildCountDataYear9Budget" ref="A25:B29" totalsRowShown="0" headerRowDxfId="1197" dataDxfId="1196">
  <tableColumns count="2">
    <tableColumn id="1" xr3:uid="{00000000-0010-0000-CE00-000001000000}" name="Column1" dataDxfId="1195"/>
    <tableColumn id="2" xr3:uid="{00000000-0010-0000-CE00-000002000000}" name="Column2" dataDxfId="1194"/>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9 Eligibility Standard" altTextSummary="This table automatically calculates the change in enrollment for Year 9 to determine whether the LEA can apply exception (b). This table is for the eligibility standard."/>
    </ext>
  </extLst>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CF000000}" name="ExcBFundsDataYear9Budget" displayName="ExcBFundsDataYear9Budget" ref="A30:C32" totalsRowShown="0" headerRowDxfId="1193" dataDxfId="1191" headerRowBorderDxfId="1192" tableBorderDxfId="1190" totalsRowBorderDxfId="1189">
  <tableColumns count="3">
    <tableColumn id="1" xr3:uid="{00000000-0010-0000-CF00-000001000000}" name="Column1" dataDxfId="1188"/>
    <tableColumn id="2" xr3:uid="{00000000-0010-0000-CF00-000002000000}" name="Total Local Funds" dataDxfId="1187">
      <calculatedColumnFormula>'2. Getting Started'!C17</calculatedColumnFormula>
    </tableColumn>
    <tableColumn id="3" xr3:uid="{00000000-0010-0000-CF00-000003000000}" name="Total State and Local Funds" dataDxfId="1186">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9 Eligiblity Standard" altTextSummary="This table automatically calculates the projected reduction based on a decrease in enrollment for Year 9. This table is for the eligibility standard and uses budget data. The row for Projected Reduction will be blank if there is no decrease in child count."/>
    </ext>
  </extLst>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D0000000}" name="ExcADepartingDataYear9Expenditures" displayName="ExcADepartingDataYear9Expenditures" ref="H7:M13" totalsRowShown="0" headerRowDxfId="1185" dataDxfId="1183" headerRowBorderDxfId="1184" tableBorderDxfId="1182">
  <tableColumns count="6">
    <tableColumn id="1" xr3:uid="{00000000-0010-0000-D000-000001000000}" name="Position Title" dataDxfId="1181"/>
    <tableColumn id="2" xr3:uid="{00000000-0010-0000-D000-000002000000}" name="Employee Name" dataDxfId="1180"/>
    <tableColumn id="3" xr3:uid="{00000000-0010-0000-D000-000003000000}" name="Reason for Leaving" dataDxfId="1179"/>
    <tableColumn id="4" xr3:uid="{00000000-0010-0000-D000-000004000000}" name="Salary" dataDxfId="1178" dataCellStyle="Currency"/>
    <tableColumn id="5" xr3:uid="{00000000-0010-0000-D000-000005000000}" name="Benefits" dataDxfId="1177" dataCellStyle="Currency"/>
    <tableColumn id="8" xr3:uid="{00000000-0010-0000-D000-000008000000}" name="Total Expenditures" dataDxfId="1176"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9 Compliance Standard" altTextSummary="Users can enter data in this table for any departing personnel for Year 9. This table is for the compliance standard and is based on final expenditures."/>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4000000}" name="ExcCDataYear3Expenditures" displayName="ExcCDataYear3Expenditures" ref="H37:J43" totalsRowShown="0" headerRowDxfId="2481" dataDxfId="2480" tableBorderDxfId="2479">
  <tableColumns count="3">
    <tableColumn id="1" xr3:uid="{00000000-0010-0000-4400-000001000000}" name="Student Identifier" dataDxfId="2478"/>
    <tableColumn id="2" xr3:uid="{00000000-0010-0000-4400-000002000000}" name="Reason" dataDxfId="2477"/>
    <tableColumn id="3" xr3:uid="{00000000-0010-0000-4400-000003000000}" name="Expenditures" dataDxfId="2476"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3 Compliance Standard" altTextSummary="Users can enter data in this table for the termination of the obligation to provide special education to a particular student that is an exceptionally costly program projected for Year 3. This table is for the compliance standard and is based on final expenditures."/>
    </ext>
  </extLst>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D1000000}" name="ExcAReplaceDataYear9Expenditures" displayName="ExcAReplaceDataYear9Expenditures" ref="H15:M21" totalsRowShown="0" headerRowDxfId="1175" dataDxfId="1173" headerRowBorderDxfId="1174" tableBorderDxfId="1172">
  <tableColumns count="6">
    <tableColumn id="1" xr3:uid="{00000000-0010-0000-D100-000001000000}" name="Position Title" dataDxfId="1171"/>
    <tableColumn id="2" xr3:uid="{00000000-0010-0000-D100-000002000000}" name="Employee Name" dataDxfId="1170"/>
    <tableColumn id="3" xr3:uid="{00000000-0010-0000-D100-000003000000}" name="This column intentionally left blank" dataDxfId="1169"/>
    <tableColumn id="4" xr3:uid="{00000000-0010-0000-D100-000004000000}" name="Salary" dataDxfId="1168" dataCellStyle="Currency"/>
    <tableColumn id="5" xr3:uid="{00000000-0010-0000-D100-000005000000}" name="Benefits" dataDxfId="1167" dataCellStyle="Currency"/>
    <tableColumn id="8" xr3:uid="{00000000-0010-0000-D100-000008000000}" name="Total Expenditures" dataDxfId="1166"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9 Compliance Standard" altTextSummary="Users can enter data in this table for any replacement personnel for Year 9. This table is for the compliance standard and is based on final expenditures."/>
    </ext>
  </extLst>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D2000000}" name="ExcDDataYear9Expenditures" displayName="ExcDDataYear9Expenditures" ref="H47:I53" totalsRowShown="0" headerRowDxfId="1165" dataDxfId="1163" headerRowBorderDxfId="1164" tableBorderDxfId="1162">
  <tableColumns count="2">
    <tableColumn id="1" xr3:uid="{00000000-0010-0000-D200-000001000000}" name="Description" dataDxfId="1161"/>
    <tableColumn id="2" xr3:uid="{00000000-0010-0000-D200-000002000000}" name="Cost in Final Year of Expenditure" dataDxfId="1160"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9 Compliance Standard" altTextSummary="Users can enter data in this table for the termination of costly expenditures for long-term purchases for Year 9. This table is for the compliance standard and is based on final expenditures."/>
    </ext>
  </extLst>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D3000000}" name="AdjDataYear9Expenditures" displayName="AdjDataYear9Expenditures" ref="H71:I72" totalsRowShown="0" headerRowDxfId="1159" dataDxfId="1157" headerRowBorderDxfId="1158" tableBorderDxfId="1156" totalsRowBorderDxfId="1155">
  <tableColumns count="2">
    <tableColumn id="1" xr3:uid="{00000000-0010-0000-D300-000001000000}" name="Column1" dataDxfId="1154"/>
    <tableColumn id="2" xr3:uid="{00000000-0010-0000-D300-000002000000}" name="Adjustment " dataDxfId="1153">
      <calculatedColumnFormula>IF(I$28&gt;=0,(M$22+J$43+I$53+I$63),(M$22+J$43+I$53+I$63+J$32))</calculatedColumnFormula>
    </tableColumn>
  </tableColumns>
  <tableStyleInfo name="TableStyleMedium9" showFirstColumn="0" showLastColumn="0" showRowStripes="0" showColumnStripes="0"/>
  <extLst>
    <ext xmlns:x14="http://schemas.microsoft.com/office/spreadsheetml/2009/9/main" uri="{504A1905-F514-4f6f-8877-14C23A59335A}">
      <x14:table altText="MOE Adjustment Data Entry for Year 9 Compliance Standard" altTextSummary="Users can enter data in this table for the Adjustment to MOE for Year 9. This table is for the compliance standard and is based on final expenditures. Use IDC's MOE Reduction Decision Tree and Calculator to determine the adjustment amount."/>
    </ext>
  </extLst>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D4000000}" name="ExcCDataYear9Expenditures" displayName="ExcCDataYear9Expenditures" ref="H37:J43" totalsRowShown="0" headerRowDxfId="1152" dataDxfId="1151" tableBorderDxfId="1150">
  <tableColumns count="3">
    <tableColumn id="1" xr3:uid="{00000000-0010-0000-D400-000001000000}" name="Student Identifier" dataDxfId="1149"/>
    <tableColumn id="2" xr3:uid="{00000000-0010-0000-D400-000002000000}" name="Reason" dataDxfId="1148"/>
    <tableColumn id="3" xr3:uid="{00000000-0010-0000-D400-000003000000}" name="Expenditures" dataDxfId="1147"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9 Compliance Standard" altTextSummary="Users can enter data in this table for the termination of the obligation to provide special education to a particular student that is an exceptionally costly program projected for Year 9. This table is for the compliance standard and is based on final expenditures."/>
    </ext>
  </extLst>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D5000000}" name="ExcEDataYear9Expenditures" displayName="ExcEDataYear9Expenditures" ref="H57:I63" totalsRowShown="0" headerRowDxfId="1146" tableBorderDxfId="1145">
  <tableColumns count="2">
    <tableColumn id="1" xr3:uid="{00000000-0010-0000-D500-000001000000}" name="Student Identifier" dataDxfId="1144"/>
    <tableColumn id="2" xr3:uid="{00000000-0010-0000-D500-000002000000}" name="Cost Assumed by SEA" dataDxfId="1143"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9 Compliance Standard" altTextSummary="Users can enter data for the assumption of cost by the high cost fund operated by the SEA for Year 9. This table is for the compliance standard and uses final expenditures. The table will not calculate a total if tab 3b indicates that the SEA does not have a high cost fund in Year 9."/>
    </ext>
  </extLst>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D6000000}" name="ExcBChildCountDataYear9Expenditures" displayName="ExcBChildCountDataYear9Expenditures" ref="H25:I29" totalsRowShown="0" headerRowDxfId="1142" dataDxfId="1141">
  <tableColumns count="2">
    <tableColumn id="1" xr3:uid="{00000000-0010-0000-D600-000001000000}" name="Column1" dataDxfId="1140"/>
    <tableColumn id="2" xr3:uid="{00000000-0010-0000-D600-000002000000}" name="Column2" dataDxfId="1139"/>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9 Compliance Standard" altTextSummary="This table automatically calculates the change in enrollment for Year 9 to determine whether the LEA can apply exception (b). This table is for the compliance standard."/>
    </ext>
  </extLst>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D7000000}" name="ExcBFundsDataYear9Expenditures" displayName="ExcBFundsDataYear9Expenditures" ref="H30:J32" totalsRowShown="0" headerRowDxfId="1138" dataDxfId="1136" headerRowBorderDxfId="1137" tableBorderDxfId="1135" totalsRowBorderDxfId="1134">
  <tableColumns count="3">
    <tableColumn id="1" xr3:uid="{00000000-0010-0000-D700-000001000000}" name="Column1" dataDxfId="1133"/>
    <tableColumn id="2" xr3:uid="{00000000-0010-0000-D700-000002000000}" name="Local Total" dataDxfId="1132"/>
    <tableColumn id="3" xr3:uid="{00000000-0010-0000-D700-000003000000}" name="State and Local Total" dataDxfId="1131"/>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9 Compliance Standard" altTextSummary="This table automatically calculates the reduction based on a decrease in enrollment for Year 9. This table is for the compliance standard and uses final expenditures. The row for Allowed Reduction will be blank and blacked out if there is no decrease in child count."/>
    </ext>
  </extLst>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D8000000}" name="TotalBudgetedExcYear9" displayName="TotalBudgetedExcYear9" ref="A66:B68" totalsRowShown="0" headerRowDxfId="1130" headerRowBorderDxfId="1129" tableBorderDxfId="1128" totalsRowBorderDxfId="1127">
  <autoFilter ref="A66:B68" xr:uid="{00000000-0009-0000-0100-0000E5000000}">
    <filterColumn colId="0" hiddenButton="1"/>
    <filterColumn colId="1" hiddenButton="1"/>
  </autoFilter>
  <tableColumns count="2">
    <tableColumn id="1" xr3:uid="{00000000-0010-0000-D800-000001000000}" name="Source" dataDxfId="1126" dataCellStyle="Normal 2"/>
    <tableColumn id="2" xr3:uid="{00000000-0010-0000-D800-000002000000}" name="Total" dataDxfId="1125"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9 Eligibility Standard" altTextSummary="This table displays the total projected exceptions entered for the eligibility standard for Year 9."/>
    </ext>
  </extLst>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D9000000}" name="TotalExpendituresExcYear9" displayName="TotalExpendituresExcYear9" ref="H66:I68" totalsRowShown="0" headerRowDxfId="1124" headerRowBorderDxfId="1123" tableBorderDxfId="1122" totalsRowBorderDxfId="1121">
  <autoFilter ref="H66:I68" xr:uid="{00000000-0009-0000-0100-0000EC000000}">
    <filterColumn colId="0" hiddenButton="1"/>
    <filterColumn colId="1" hiddenButton="1"/>
  </autoFilter>
  <tableColumns count="2">
    <tableColumn id="1" xr3:uid="{00000000-0010-0000-D900-000001000000}" name="Source" dataDxfId="1120" dataCellStyle="Normal 2"/>
    <tableColumn id="2" xr3:uid="{00000000-0010-0000-D900-000002000000}" name="Total" dataDxfId="1119"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9 Compliance Standard" altTextSummary="This table displays the total exceptions entered for the compliance standard for Year 9."/>
    </ext>
  </extLst>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DA000000}" name="RepaymentYear9" displayName="RepaymentYear9" ref="A21:B27" totalsRowShown="0" headerRowBorderDxfId="1118" tableBorderDxfId="1117" totalsRowBorderDxfId="1116">
  <autoFilter ref="A21:B27" xr:uid="{00000000-0009-0000-0100-0000ED000000}">
    <filterColumn colId="0" hiddenButton="1"/>
    <filterColumn colId="1" hiddenButton="1"/>
  </autoFilter>
  <tableColumns count="2">
    <tableColumn id="1" xr3:uid="{00000000-0010-0000-DA00-000001000000}" name="Repayment data" dataDxfId="1115"/>
    <tableColumn id="2" xr3:uid="{00000000-0010-0000-DA00-000002000000}" name="Data for Year 9"/>
  </tableColumns>
  <tableStyleInfo name="TableStyleLight18" showFirstColumn="0" showLastColumn="0" showRowStripes="0" showColumnStripes="0"/>
  <extLst>
    <ext xmlns:x14="http://schemas.microsoft.com/office/spreadsheetml/2009/9/main" uri="{504A1905-F514-4f6f-8877-14C23A59335A}">
      <x14:table altText="Year 9 Repayment Information" altTextSummary="This table calculates the repayment amount for Year 9 if the LEA fails MOE by all four methods for the compliance standard. Users must enter data for IDEA allocations."/>
    </ext>
  </extLst>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5000000}" name="ExcEDataYear3Expenditures" displayName="ExcEDataYear3Expenditures" ref="H57:I63" totalsRowShown="0" headerRowDxfId="2475" tableBorderDxfId="2474">
  <tableColumns count="2">
    <tableColumn id="1" xr3:uid="{00000000-0010-0000-4500-000001000000}" name="Student Identifier" dataDxfId="2473"/>
    <tableColumn id="2" xr3:uid="{00000000-0010-0000-4500-000002000000}" name="Cost Assumed by SEA" dataDxfId="2472"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3 Compliance Standard" altTextSummary="Users can enter data for the assumption of cost by the high cost fund operated by the SEA for Year 3. This table is for the compliance standard and uses final expenditures. The table will not calculate a total if tab 3b indicates that the SEA does not have a high cost fund in Year 3."/>
    </ext>
  </extLst>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DB000000}" name="ComplianceYear9" displayName="ComplianceYear9" ref="A13:E18" totalsRowShown="0" headerRowDxfId="1114" headerRowBorderDxfId="1113" tableBorderDxfId="1112" totalsRowBorderDxfId="1111">
  <autoFilter ref="A13:E18" xr:uid="{00000000-0009-0000-0100-0000EE000000}">
    <filterColumn colId="0" hiddenButton="1"/>
    <filterColumn colId="1" hiddenButton="1"/>
    <filterColumn colId="2" hiddenButton="1"/>
    <filterColumn colId="3" hiddenButton="1"/>
    <filterColumn colId="4" hiddenButton="1"/>
  </autoFilter>
  <tableColumns count="5">
    <tableColumn id="1" xr3:uid="{00000000-0010-0000-DB00-000001000000}" name="MOE Information" dataDxfId="1110"/>
    <tableColumn id="2" xr3:uid="{00000000-0010-0000-DB00-000002000000}" name="Total Local Funds" dataDxfId="1109"/>
    <tableColumn id="3" xr3:uid="{00000000-0010-0000-DB00-000003000000}" name="Total State and Local Funds" dataDxfId="1108"/>
    <tableColumn id="4" xr3:uid="{00000000-0010-0000-DB00-000004000000}" name="Local Funds Per Capita" dataDxfId="1107"/>
    <tableColumn id="5" xr3:uid="{00000000-0010-0000-DB00-000005000000}" name="State and Local Funds Per Capita" dataDxfId="1106"/>
  </tableColumns>
  <tableStyleInfo name="TableStyleLight18" showFirstColumn="0" showLastColumn="0" showRowStripes="0" showColumnStripes="0"/>
  <extLst>
    <ext xmlns:x14="http://schemas.microsoft.com/office/spreadsheetml/2009/9/main" uri="{504A1905-F514-4f6f-8877-14C23A59335A}">
      <x14:table altText="Year 9 Compliance Standard" altTextSummary="This table displays MOE amounts and results for the compliance standard for Year 9."/>
    </ext>
  </extLst>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DC000000}" name="EligibilityYear9" displayName="EligibilityYear9" ref="A5:E10" totalsRowShown="0" headerRowDxfId="1105" headerRowBorderDxfId="1104" tableBorderDxfId="1103" totalsRowBorderDxfId="1102">
  <autoFilter ref="A5:E10" xr:uid="{00000000-0009-0000-0100-0000EF000000}">
    <filterColumn colId="0" hiddenButton="1"/>
    <filterColumn colId="1" hiddenButton="1"/>
    <filterColumn colId="2" hiddenButton="1"/>
    <filterColumn colId="3" hiddenButton="1"/>
    <filterColumn colId="4" hiddenButton="1"/>
  </autoFilter>
  <tableColumns count="5">
    <tableColumn id="1" xr3:uid="{00000000-0010-0000-DC00-000001000000}" name="MOE Information" dataDxfId="1101"/>
    <tableColumn id="2" xr3:uid="{00000000-0010-0000-DC00-000002000000}" name="Total Local Funds"/>
    <tableColumn id="3" xr3:uid="{00000000-0010-0000-DC00-000003000000}" name="Total State and Local Funds"/>
    <tableColumn id="4" xr3:uid="{00000000-0010-0000-DC00-000004000000}" name="Local Funds Per Capita"/>
    <tableColumn id="5" xr3:uid="{00000000-0010-0000-DC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9 Eligibility Standard" altTextSummary="This table displays MOE amounts and results for the eligibility standard for Year 9."/>
    </ext>
  </extLst>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00000000-000C-0000-FFFF-FFFFDD000000}" name="ExcAdjSummaryYear9" displayName="ExcAdjSummaryYear9" ref="A33:E40" totalsRowShown="0" headerRowDxfId="1100" headerRowBorderDxfId="1099" tableBorderDxfId="1098" totalsRowBorderDxfId="1097">
  <autoFilter ref="A33:E40" xr:uid="{00000000-0009-0000-0100-000059010000}">
    <filterColumn colId="0" hiddenButton="1"/>
    <filterColumn colId="1" hiddenButton="1"/>
    <filterColumn colId="2" hiddenButton="1"/>
    <filterColumn colId="3" hiddenButton="1"/>
    <filterColumn colId="4" hiddenButton="1"/>
  </autoFilter>
  <tableColumns count="5">
    <tableColumn id="1" xr3:uid="{00000000-0010-0000-DD00-000001000000}" name="Exception or Adjustment" dataDxfId="1096"/>
    <tableColumn id="2" xr3:uid="{00000000-0010-0000-DD00-000002000000}" name="Projected Local Funds" dataDxfId="1095"/>
    <tableColumn id="3" xr3:uid="{00000000-0010-0000-DD00-000003000000}" name="Projected State and Local Funds" dataDxfId="1094"/>
    <tableColumn id="4" xr3:uid="{00000000-0010-0000-DD00-000004000000}" name="Local Funds" dataDxfId="1093"/>
    <tableColumn id="5" xr3:uid="{00000000-0010-0000-DD00-000005000000}" name="State and Local Funds" dataDxfId="1092"/>
  </tableColumns>
  <tableStyleInfo name="TableStyleLight18" showFirstColumn="0" showLastColumn="0" showRowStripes="0" showColumnStripes="0"/>
  <extLst>
    <ext xmlns:x14="http://schemas.microsoft.com/office/spreadsheetml/2009/9/main" uri="{504A1905-F514-4f6f-8877-14C23A59335A}">
      <x14:table altText="Summary of Exceptions and Adjustment for Year 9" altTextSummary="This table presents a summary of all exceptions taken for Year 9. Detailed data on the exceptions are entered on the Exc &amp; Adj tab for Year 9."/>
    </ext>
  </extLst>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DE000000}" name="BudgetYear10" displayName="BudgetYear10" ref="A4:F31" totalsRowShown="0" headerRowDxfId="1091" tableBorderDxfId="1090">
  <tableColumns count="6">
    <tableColumn id="1" xr3:uid="{00000000-0010-0000-DE00-000001000000}" name="Object Description" dataDxfId="1089"/>
    <tableColumn id="2" xr3:uid="{00000000-0010-0000-DE00-000002000000}" name="Code 1" dataDxfId="1088"/>
    <tableColumn id="7" xr3:uid="{00000000-0010-0000-DE00-000007000000}" name="Code 2" dataDxfId="1087"/>
    <tableColumn id="3" xr3:uid="{00000000-0010-0000-DE00-000003000000}" name="Local" dataDxfId="1086" dataCellStyle="Currency"/>
    <tableColumn id="4" xr3:uid="{00000000-0010-0000-DE00-000004000000}" name="State" dataDxfId="1085" dataCellStyle="Currency"/>
    <tableColumn id="5" xr3:uid="{00000000-0010-0000-DE00-000005000000}" name="State and Local" dataDxfId="1084"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10" altTextSummary="In this table, users will enter their budget amounts for Year 10. The column headers for the first three columns are unlocked and can be edited. If the LEA cannot separately budget for state and local funds, leave the Local column blank."/>
    </ext>
  </extLst>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DF000000}" name="ExpendituresYear10" displayName="ExpendituresYear10" ref="H4:M31" totalsRowShown="0" headerRowDxfId="1083" tableBorderDxfId="1082">
  <tableColumns count="6">
    <tableColumn id="1" xr3:uid="{00000000-0010-0000-DF00-000001000000}" name="Object Description" dataDxfId="1081"/>
    <tableColumn id="2" xr3:uid="{00000000-0010-0000-DF00-000002000000}" name="Code" dataDxfId="1080"/>
    <tableColumn id="6" xr3:uid="{00000000-0010-0000-DF00-000006000000}" name="Code 2" dataDxfId="1079"/>
    <tableColumn id="3" xr3:uid="{00000000-0010-0000-DF00-000003000000}" name="Local" dataDxfId="1078" dataCellStyle="Currency"/>
    <tableColumn id="4" xr3:uid="{00000000-0010-0000-DF00-000004000000}" name="State" dataDxfId="1077" dataCellStyle="Currency"/>
    <tableColumn id="5" xr3:uid="{00000000-0010-0000-DF00-000005000000}" name="State and Local" dataDxfId="1076"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10" altTextSummary="In this table, users will enter the LEA's final expenditures for Year 10. The column headers for the first three columns are unlocked and can be edited. If the LEA cannot separately budget for state and local funds, leave the Local column blank."/>
    </ext>
  </extLst>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E0000000}" name="ExcADepartingDataYear10Budget" displayName="ExcADepartingDataYear10Budget" ref="A7:F13" totalsRowShown="0" headerRowDxfId="1075" dataDxfId="1073" headerRowBorderDxfId="1074" tableBorderDxfId="1072">
  <tableColumns count="6">
    <tableColumn id="1" xr3:uid="{00000000-0010-0000-E000-000001000000}" name="Position Title" dataDxfId="1071"/>
    <tableColumn id="2" xr3:uid="{00000000-0010-0000-E000-000002000000}" name="Employee Name" dataDxfId="1070"/>
    <tableColumn id="3" xr3:uid="{00000000-0010-0000-E000-000003000000}" name="Reason for Leaving" dataDxfId="1069"/>
    <tableColumn id="4" xr3:uid="{00000000-0010-0000-E000-000004000000}" name="Salary" dataDxfId="1068" dataCellStyle="Currency"/>
    <tableColumn id="5" xr3:uid="{00000000-0010-0000-E000-000005000000}" name="Benefits" dataDxfId="1067" dataCellStyle="Currency"/>
    <tableColumn id="8" xr3:uid="{00000000-0010-0000-E000-000008000000}" name="Total Budget" dataDxfId="1066"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0 Eligiblity Standard" altTextSummary="Users can enter data in this table for any departing personnel projected for Year 10. This table is for the eligiblity standard and is based on budget amounts."/>
    </ext>
  </extLst>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E1000000}" name="ExcAReplaceDataYear10Budget" displayName="ExcAReplaceDataYear10Budget" ref="A15:F21" totalsRowShown="0" headerRowDxfId="1065" dataDxfId="1063" headerRowBorderDxfId="1064" tableBorderDxfId="1062">
  <tableColumns count="6">
    <tableColumn id="1" xr3:uid="{00000000-0010-0000-E100-000001000000}" name="Position Title" dataDxfId="1061"/>
    <tableColumn id="2" xr3:uid="{00000000-0010-0000-E100-000002000000}" name="Employee Name" dataDxfId="1060"/>
    <tableColumn id="3" xr3:uid="{00000000-0010-0000-E100-000003000000}" name="This column intentionally left blank" dataDxfId="1059"/>
    <tableColumn id="4" xr3:uid="{00000000-0010-0000-E100-000004000000}" name="Salary" dataDxfId="1058" dataCellStyle="Currency"/>
    <tableColumn id="5" xr3:uid="{00000000-0010-0000-E100-000005000000}" name="Benefits" dataDxfId="1057" dataCellStyle="Currency"/>
    <tableColumn id="8" xr3:uid="{00000000-0010-0000-E100-000008000000}" name="Total Budget" dataDxfId="1056"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0 Eligibility Standard" altTextSummary="Users can enter data in this table for any replacement personnel projected for Year 10. This table is for the eligiblity standard and is based on budget amounts."/>
    </ext>
  </extLst>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E2000000}" name="ExcDDataYear10Budget" displayName="ExcDDataYear10Budget" ref="A47:B53" totalsRowShown="0" headerRowDxfId="1055" dataDxfId="1053" headerRowBorderDxfId="1054" tableBorderDxfId="1052">
  <tableColumns count="2">
    <tableColumn id="1" xr3:uid="{00000000-0010-0000-E200-000001000000}" name="Description" dataDxfId="1051"/>
    <tableColumn id="2" xr3:uid="{00000000-0010-0000-E200-000002000000}" name="Budgeted Cost in Final Year" dataDxfId="1050"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0 Eligiblity Standard" altTextSummary="Users can enter data in this table for the projected termination of costly expenditures for long-term purchases for Year 10. This table is for the eligiblity standard and is based on budget amounts."/>
    </ext>
  </extLst>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E3000000}" name="AdjDataYear10Budget" displayName="AdjDataYear10Budget" ref="A71:B72" totalsRowShown="0" headerRowDxfId="1049" dataDxfId="1047" headerRowBorderDxfId="1048" tableBorderDxfId="1046" totalsRowBorderDxfId="1045">
  <tableColumns count="2">
    <tableColumn id="1" xr3:uid="{00000000-0010-0000-E300-000001000000}" name="Column1" dataDxfId="1044"/>
    <tableColumn id="2" xr3:uid="{00000000-0010-0000-E300-000002000000}" name="Projected Adjustment" dataDxfId="1043"/>
  </tableColumns>
  <tableStyleInfo name="TableStyleMedium9" showFirstColumn="0" showLastColumn="0" showRowStripes="0" showColumnStripes="0"/>
  <extLst>
    <ext xmlns:x14="http://schemas.microsoft.com/office/spreadsheetml/2009/9/main" uri="{504A1905-F514-4f6f-8877-14C23A59335A}">
      <x14:table altText="MOE Adjustment Data Entry for Year 10 Eligiblity Standard" altTextSummary="Users can enter data in this table for the projected Adjustment to MOE for Year 10. This table is for the eligiblity standard and is based on budget amounts. Use IDC's MOE Reduction Decision Tree and Calculator to determine the adjustment amount."/>
    </ext>
  </extLst>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E4000000}" name="ExcCDataYear10Budget" displayName="ExcCDataYear10Budget" ref="A37:C43" totalsRowShown="0" headerRowDxfId="1042" dataDxfId="1041" tableBorderDxfId="1040">
  <tableColumns count="3">
    <tableColumn id="1" xr3:uid="{00000000-0010-0000-E400-000001000000}" name="Student Identifier" dataDxfId="1039"/>
    <tableColumn id="2" xr3:uid="{00000000-0010-0000-E400-000002000000}" name="Reason" dataDxfId="1038"/>
    <tableColumn id="3" xr3:uid="{00000000-0010-0000-E400-000003000000}" name="Budgeted Cost" dataDxfId="1037"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0 Eligiblity Standard" altTextSummary="Users can enter data in this table for the projected termination of the obligation to provide special education to a particular student that is an exceptionally costly program projected for Year 10. This table is for the eligiblity standard and is based on budget amounts."/>
    </ext>
  </extLst>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6000000}" name="ExcBChildCountDataYear3Expenditures" displayName="ExcBChildCountDataYear3Expenditures" ref="H25:I29" totalsRowShown="0" headerRowDxfId="2471" dataDxfId="2470">
  <tableColumns count="2">
    <tableColumn id="1" xr3:uid="{00000000-0010-0000-4600-000001000000}" name="Column1" dataDxfId="2469"/>
    <tableColumn id="2" xr3:uid="{00000000-0010-0000-4600-000002000000}" name="Column2" dataDxfId="2468"/>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3 Compliance Standard" altTextSummary="This table automatically calculates the change in enrollment for Year 3 to determine whether the LEA can apply exception (b). This table is for the compliance standard."/>
    </ext>
  </extLst>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E5000000}" name="ExcEDataYear10Budget" displayName="ExcEDataYear10Budget" ref="A57:B63" totalsRowShown="0" headerRowDxfId="1036" tableBorderDxfId="1035">
  <tableColumns count="2">
    <tableColumn id="1" xr3:uid="{00000000-0010-0000-E500-000001000000}" name="Student Identifier" dataDxfId="1034"/>
    <tableColumn id="2" xr3:uid="{00000000-0010-0000-E500-000002000000}" name="Budgeted Cost Assumed by SEA" dataDxfId="1033"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0 Eligiblity Standard" altTextSummary="Users can enter data for the projected assumption of cost by the high cost fund operated by the SEA for Year 10. This table is for the eligibility standard and uses budget data. The table will not calculate a total if tab 3b indicates that the SEA does not have a high cost fund in Year 10."/>
    </ext>
  </extLst>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E6000000}" name="ExcBChildCountDataYear10Budget" displayName="ExcBChildCountDataYear10Budget" ref="A25:B29" totalsRowShown="0" headerRowDxfId="1032" dataDxfId="1031">
  <tableColumns count="2">
    <tableColumn id="1" xr3:uid="{00000000-0010-0000-E600-000001000000}" name="Column1" dataDxfId="1030"/>
    <tableColumn id="2" xr3:uid="{00000000-0010-0000-E600-000002000000}" name="Column2" dataDxfId="1029"/>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0 Eligibility Standard" altTextSummary="This table automatically calculates the change in enrollment for Year 10 to determine whether the LEA can apply exception (b). This table is for the eligibility standard."/>
    </ext>
  </extLst>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E7000000}" name="ExcBFundsDataYear10Budget" displayName="ExcBFundsDataYear10Budget" ref="A30:C32" totalsRowShown="0" headerRowDxfId="1028" dataDxfId="1026" headerRowBorderDxfId="1027" tableBorderDxfId="1025" totalsRowBorderDxfId="1024">
  <tableColumns count="3">
    <tableColumn id="1" xr3:uid="{00000000-0010-0000-E700-000001000000}" name="Column1" dataDxfId="1023"/>
    <tableColumn id="2" xr3:uid="{00000000-0010-0000-E700-000002000000}" name="Total Local Funds" dataDxfId="1022">
      <calculatedColumnFormula>'2. Getting Started'!C17</calculatedColumnFormula>
    </tableColumn>
    <tableColumn id="3" xr3:uid="{00000000-0010-0000-E700-000003000000}" name="Total State and Local Funds" dataDxfId="1021">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0 Eligiblity Standard" altTextSummary="This table automatically calculates the projected reduction based on a decrease in enrollment for Year 10. This table is for the eligibility standard and uses budget data. The row for Projected Reduction will be blank if there is no decrease in child count."/>
    </ext>
  </extLst>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E8000000}" name="ExcADepartingDataYear10Expenditures" displayName="ExcADepartingDataYear10Expenditures" ref="H7:M13" totalsRowShown="0" headerRowDxfId="1020" dataDxfId="1018" headerRowBorderDxfId="1019" tableBorderDxfId="1017">
  <tableColumns count="6">
    <tableColumn id="1" xr3:uid="{00000000-0010-0000-E800-000001000000}" name="Position Title" dataDxfId="1016"/>
    <tableColumn id="2" xr3:uid="{00000000-0010-0000-E800-000002000000}" name="Employee Name" dataDxfId="1015"/>
    <tableColumn id="3" xr3:uid="{00000000-0010-0000-E800-000003000000}" name="Reason for Leaving" dataDxfId="1014"/>
    <tableColumn id="4" xr3:uid="{00000000-0010-0000-E800-000004000000}" name="Salary" dataDxfId="1013" dataCellStyle="Currency"/>
    <tableColumn id="5" xr3:uid="{00000000-0010-0000-E800-000005000000}" name="Benefits" dataDxfId="1012" dataCellStyle="Currency"/>
    <tableColumn id="8" xr3:uid="{00000000-0010-0000-E800-000008000000}" name="Total Expenditures" dataDxfId="1011"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0 Compliance Standard" altTextSummary="Users can enter data in this table for any departing personnel for Year 10. This table is for the compliance standard and is based on final expenditures."/>
    </ext>
  </extLst>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E9000000}" name="ExcAReplaceDataYear10Expenditures" displayName="ExcAReplaceDataYear10Expenditures" ref="H15:M21" totalsRowShown="0" headerRowDxfId="1010" dataDxfId="1008" headerRowBorderDxfId="1009" tableBorderDxfId="1007">
  <tableColumns count="6">
    <tableColumn id="1" xr3:uid="{00000000-0010-0000-E900-000001000000}" name="Position Title" dataDxfId="1006"/>
    <tableColumn id="2" xr3:uid="{00000000-0010-0000-E900-000002000000}" name="Employee Name" dataDxfId="1005"/>
    <tableColumn id="3" xr3:uid="{00000000-0010-0000-E900-000003000000}" name="This column intentionally left blank" dataDxfId="1004"/>
    <tableColumn id="4" xr3:uid="{00000000-0010-0000-E900-000004000000}" name="Salary" dataDxfId="1003" dataCellStyle="Currency"/>
    <tableColumn id="5" xr3:uid="{00000000-0010-0000-E900-000005000000}" name="Benefits" dataDxfId="1002" dataCellStyle="Currency"/>
    <tableColumn id="8" xr3:uid="{00000000-0010-0000-E900-000008000000}" name="Total Expenditures" dataDxfId="1001"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0 Compliance Standard" altTextSummary="Users can enter data in this table for any replacement personnel for Year 10. This table is for the compliance standard and is based on final expenditures."/>
    </ext>
  </extLst>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EA000000}" name="ExcDDataYear10Expenditures" displayName="ExcDDataYear10Expenditures" ref="H47:I53" totalsRowShown="0" headerRowDxfId="1000" dataDxfId="998" headerRowBorderDxfId="999" tableBorderDxfId="997">
  <tableColumns count="2">
    <tableColumn id="1" xr3:uid="{00000000-0010-0000-EA00-000001000000}" name="Description" dataDxfId="996"/>
    <tableColumn id="2" xr3:uid="{00000000-0010-0000-EA00-000002000000}" name="Cost in Final Year of Expenditure" dataDxfId="995"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0 Compliance Standard" altTextSummary="Users can enter data in this table for the termination of costly expenditures for long-term purchases for Year 10. This table is for the compliance standard and is based on final expenditures."/>
    </ext>
  </extLst>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EB000000}" name="AdjDataYear10Expenditures" displayName="AdjDataYear10Expenditures" ref="H71:I72" totalsRowShown="0" headerRowDxfId="994" dataDxfId="992" headerRowBorderDxfId="993" tableBorderDxfId="991" totalsRowBorderDxfId="990">
  <tableColumns count="2">
    <tableColumn id="1" xr3:uid="{00000000-0010-0000-EB00-000001000000}" name="Column1" dataDxfId="989"/>
    <tableColumn id="2" xr3:uid="{00000000-0010-0000-EB00-000002000000}" name="Adjustment " dataDxfId="988">
      <calculatedColumnFormula>IF(I$28&gt;=0,(M$22+J$43+I$53+I$63),(M$22+J$43+I$53+I$63+J$32))</calculatedColumnFormula>
    </tableColumn>
  </tableColumns>
  <tableStyleInfo name="TableStyleMedium9" showFirstColumn="0" showLastColumn="0" showRowStripes="0" showColumnStripes="0"/>
  <extLst>
    <ext xmlns:x14="http://schemas.microsoft.com/office/spreadsheetml/2009/9/main" uri="{504A1905-F514-4f6f-8877-14C23A59335A}">
      <x14:table altText="MOE Adjustment Data Entry for Year 10 Compliance Standard" altTextSummary="Users can enter data in this table for the Adjustment to MOE for Year 10. This table is for the compliance standard and is based on final expenditures. Use IDC's MOE Reduction Decision Tree and Calculator to determine the adjustment amount."/>
    </ext>
  </extLst>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EC000000}" name="ExcCDataYear10Expenditures" displayName="ExcCDataYear10Expenditures" ref="H37:J43" totalsRowShown="0" headerRowDxfId="987" dataDxfId="986" tableBorderDxfId="985">
  <tableColumns count="3">
    <tableColumn id="1" xr3:uid="{00000000-0010-0000-EC00-000001000000}" name="Student Identifier" dataDxfId="984"/>
    <tableColumn id="2" xr3:uid="{00000000-0010-0000-EC00-000002000000}" name="Reason" dataDxfId="983"/>
    <tableColumn id="3" xr3:uid="{00000000-0010-0000-EC00-000003000000}" name="Expenditures" dataDxfId="982"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0 Compliance Standard" altTextSummary="Users can enter data in this table for the termination of the obligation to provide special education to a particular student that is an exceptionally costly program projected for Year 10. This table is for the compliance standard and is based on final expenditures."/>
    </ext>
  </extLst>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ED000000}" name="ExcEDataYear10Expenditures" displayName="ExcEDataYear10Expenditures" ref="H57:I63" totalsRowShown="0" headerRowDxfId="981" tableBorderDxfId="980">
  <tableColumns count="2">
    <tableColumn id="1" xr3:uid="{00000000-0010-0000-ED00-000001000000}" name="Student Identifier" dataDxfId="979"/>
    <tableColumn id="2" xr3:uid="{00000000-0010-0000-ED00-000002000000}" name="Cost Assumed by SEA" dataDxfId="978"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0 Compliance Standard" altTextSummary="Users can enter data for the assumption of cost by the high cost fund operated by the SEA for Year 10. This table is for the compliance standard and uses final expenditures. The table will not calculate a total if tab 3b indicates that the SEA does not have a high cost fund in Year 10."/>
    </ext>
  </extLst>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EE000000}" name="ExcBChildCountDataYear10Expenditures" displayName="ExcBChildCountDataYear10Expenditures" ref="H25:I29" totalsRowShown="0" headerRowDxfId="977" dataDxfId="976">
  <tableColumns count="2">
    <tableColumn id="1" xr3:uid="{00000000-0010-0000-EE00-000001000000}" name="Column1" dataDxfId="975"/>
    <tableColumn id="2" xr3:uid="{00000000-0010-0000-EE00-000002000000}" name="Column2" dataDxfId="974"/>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0 Compliance Standard" altTextSummary="This table automatically calculates the change in enrollment for Year 10 to determine whether the LEA can apply exception (b). This table is for the compliance standard."/>
    </ext>
  </extLst>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7000000}" name="ExcBFundsDataYear3Expenditures" displayName="ExcBFundsDataYear3Expenditures" ref="H30:J32" totalsRowShown="0" headerRowDxfId="2467" dataDxfId="2465" headerRowBorderDxfId="2466" tableBorderDxfId="2464" totalsRowBorderDxfId="2463">
  <tableColumns count="3">
    <tableColumn id="1" xr3:uid="{00000000-0010-0000-4700-000001000000}" name="Column1" dataDxfId="2462"/>
    <tableColumn id="2" xr3:uid="{00000000-0010-0000-4700-000002000000}" name="Local Total" dataDxfId="2461"/>
    <tableColumn id="3" xr3:uid="{00000000-0010-0000-4700-000003000000}" name="State and Local Total" dataDxfId="2460"/>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3 Compliance Standard" altTextSummary="This table automatically calculates the reduction based on a decrease in enrollment for Year 3. This table is for the compliance standard and uses final expenditures. The row for Allowed Reduction will be blank and blacked out if there is no decrease in child count."/>
    </ext>
  </extLst>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EF000000}" name="ExcBFundsDataYear10Expenditures" displayName="ExcBFundsDataYear10Expenditures" ref="H30:J32" totalsRowShown="0" headerRowDxfId="973" dataDxfId="971" headerRowBorderDxfId="972" tableBorderDxfId="970" totalsRowBorderDxfId="969">
  <tableColumns count="3">
    <tableColumn id="1" xr3:uid="{00000000-0010-0000-EF00-000001000000}" name="Column1" dataDxfId="968"/>
    <tableColumn id="2" xr3:uid="{00000000-0010-0000-EF00-000002000000}" name="Local Total" dataDxfId="967"/>
    <tableColumn id="3" xr3:uid="{00000000-0010-0000-EF00-000003000000}" name="State and Local Total" dataDxfId="966"/>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0 Compliance Standard" altTextSummary="This table automatically calculates the reduction based on a decrease in enrollment for Year 10. This table is for the compliance standard and uses final expenditures. The row for Allowed Reduction will be blank and blacked out if there is no decrease in child count."/>
    </ext>
  </extLst>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F0000000}" name="TotalBudgetedExcYear10" displayName="TotalBudgetedExcYear10" ref="A66:B68" totalsRowShown="0" headerRowDxfId="965" headerRowBorderDxfId="964" tableBorderDxfId="963" totalsRowBorderDxfId="962">
  <autoFilter ref="A66:B68" xr:uid="{00000000-0009-0000-0100-0000F0000000}">
    <filterColumn colId="0" hiddenButton="1"/>
    <filterColumn colId="1" hiddenButton="1"/>
  </autoFilter>
  <tableColumns count="2">
    <tableColumn id="1" xr3:uid="{00000000-0010-0000-F000-000001000000}" name="Source" dataDxfId="961" dataCellStyle="Normal 2"/>
    <tableColumn id="2" xr3:uid="{00000000-0010-0000-F000-000002000000}" name="Total" dataDxfId="960"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the Year 10 Eligibility Standard" altTextSummary="This table displays the total projected exceptions entered for the eligibility standard for Year 10."/>
    </ext>
  </extLst>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F1000000}" name="TotalExpendituresExcYear10" displayName="TotalExpendituresExcYear10" ref="H66:I68" totalsRowShown="0" headerRowDxfId="959" headerRowBorderDxfId="958" tableBorderDxfId="957" totalsRowBorderDxfId="956">
  <autoFilter ref="H66:I68" xr:uid="{00000000-0009-0000-0100-0000F1000000}">
    <filterColumn colId="0" hiddenButton="1"/>
    <filterColumn colId="1" hiddenButton="1"/>
  </autoFilter>
  <tableColumns count="2">
    <tableColumn id="1" xr3:uid="{00000000-0010-0000-F100-000001000000}" name="Source" dataDxfId="955" dataCellStyle="Normal 2"/>
    <tableColumn id="2" xr3:uid="{00000000-0010-0000-F100-000002000000}" name="Total" dataDxfId="954"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10 Compliance Standard" altTextSummary="This table displays the total exceptions entered for the compliance standard for Year 10."/>
    </ext>
  </extLst>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F2000000}" name="RepaymentYear10" displayName="RepaymentYear10" ref="A21:B27" totalsRowShown="0" headerRowBorderDxfId="953" tableBorderDxfId="952" totalsRowBorderDxfId="951">
  <autoFilter ref="A21:B27" xr:uid="{00000000-0009-0000-0100-0000F2000000}">
    <filterColumn colId="0" hiddenButton="1"/>
    <filterColumn colId="1" hiddenButton="1"/>
  </autoFilter>
  <tableColumns count="2">
    <tableColumn id="1" xr3:uid="{00000000-0010-0000-F200-000001000000}" name="Repayment data" dataDxfId="950"/>
    <tableColumn id="2" xr3:uid="{00000000-0010-0000-F200-000002000000}" name="Data for Year 10"/>
  </tableColumns>
  <tableStyleInfo name="TableStyleLight18" showFirstColumn="0" showLastColumn="0" showRowStripes="0" showColumnStripes="0"/>
  <extLst>
    <ext xmlns:x14="http://schemas.microsoft.com/office/spreadsheetml/2009/9/main" uri="{504A1905-F514-4f6f-8877-14C23A59335A}">
      <x14:table altText="Year 10 Repayment information" altTextSummary="This table calculates the repayment amount for Year 10 if the LEA fails MOE by all four methods for the compliance standard. Users must enter data for IDEA allocations."/>
    </ext>
  </extLst>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3000000}" name="ComplianceYear10" displayName="ComplianceYear10" ref="A13:E18" totalsRowShown="0" headerRowDxfId="949" headerRowBorderDxfId="948" tableBorderDxfId="947" totalsRowBorderDxfId="946">
  <autoFilter ref="A13:E18" xr:uid="{00000000-0009-0000-0100-0000F3000000}">
    <filterColumn colId="0" hiddenButton="1"/>
    <filterColumn colId="1" hiddenButton="1"/>
    <filterColumn colId="2" hiddenButton="1"/>
    <filterColumn colId="3" hiddenButton="1"/>
    <filterColumn colId="4" hiddenButton="1"/>
  </autoFilter>
  <tableColumns count="5">
    <tableColumn id="1" xr3:uid="{00000000-0010-0000-F300-000001000000}" name="MOE Information" dataDxfId="945"/>
    <tableColumn id="2" xr3:uid="{00000000-0010-0000-F300-000002000000}" name="Total Local Funds" dataDxfId="944"/>
    <tableColumn id="3" xr3:uid="{00000000-0010-0000-F300-000003000000}" name="Total State and Local Funds" dataDxfId="943"/>
    <tableColumn id="4" xr3:uid="{00000000-0010-0000-F300-000004000000}" name="Local Funds Per Capita" dataDxfId="942"/>
    <tableColumn id="5" xr3:uid="{00000000-0010-0000-F300-000005000000}" name="State and Local Funds Per Capita" dataDxfId="941"/>
  </tableColumns>
  <tableStyleInfo name="TableStyleLight18" showFirstColumn="0" showLastColumn="0" showRowStripes="0" showColumnStripes="0"/>
  <extLst>
    <ext xmlns:x14="http://schemas.microsoft.com/office/spreadsheetml/2009/9/main" uri="{504A1905-F514-4f6f-8877-14C23A59335A}">
      <x14:table altText="Year 10 Compliance Standard" altTextSummary="This table displays MOE amounts and results for the compliance standard for Year 10."/>
    </ext>
  </extLst>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4000000}" name="EligibilityYear10" displayName="EligibilityYear10" ref="A5:E10" totalsRowShown="0" headerRowDxfId="940" headerRowBorderDxfId="939" tableBorderDxfId="938" totalsRowBorderDxfId="937">
  <autoFilter ref="A5:E10" xr:uid="{00000000-0009-0000-0100-0000F4000000}">
    <filterColumn colId="0" hiddenButton="1"/>
    <filterColumn colId="1" hiddenButton="1"/>
    <filterColumn colId="2" hiddenButton="1"/>
    <filterColumn colId="3" hiddenButton="1"/>
    <filterColumn colId="4" hiddenButton="1"/>
  </autoFilter>
  <tableColumns count="5">
    <tableColumn id="1" xr3:uid="{00000000-0010-0000-F400-000001000000}" name="MOE Information" dataDxfId="936"/>
    <tableColumn id="2" xr3:uid="{00000000-0010-0000-F400-000002000000}" name="Total Local Funds"/>
    <tableColumn id="3" xr3:uid="{00000000-0010-0000-F400-000003000000}" name="Total State and Local Funds"/>
    <tableColumn id="4" xr3:uid="{00000000-0010-0000-F400-000004000000}" name="Local Funds Per Capita"/>
    <tableColumn id="5" xr3:uid="{00000000-0010-0000-F4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10 Eligibility Standard" altTextSummary="This table displays MOE amounts and results for the eligibility standard for Year 10."/>
    </ext>
  </extLst>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00000000-000C-0000-FFFF-FFFFF5000000}" name="ExcAdjSummaryYear10" displayName="ExcAdjSummaryYear10" ref="A33:E40" totalsRowShown="0" headerRowDxfId="935" headerRowBorderDxfId="934" tableBorderDxfId="933" totalsRowBorderDxfId="932">
  <autoFilter ref="A33:E40" xr:uid="{00000000-0009-0000-0100-00005A010000}">
    <filterColumn colId="0" hiddenButton="1"/>
    <filterColumn colId="1" hiddenButton="1"/>
    <filterColumn colId="2" hiddenButton="1"/>
    <filterColumn colId="3" hiddenButton="1"/>
    <filterColumn colId="4" hiddenButton="1"/>
  </autoFilter>
  <tableColumns count="5">
    <tableColumn id="1" xr3:uid="{00000000-0010-0000-F500-000001000000}" name="Exception or Adjustment" dataDxfId="931"/>
    <tableColumn id="2" xr3:uid="{00000000-0010-0000-F500-000002000000}" name="Projected Local Funds" dataDxfId="930"/>
    <tableColumn id="3" xr3:uid="{00000000-0010-0000-F500-000003000000}" name="Projected State and Local Funds" dataDxfId="929"/>
    <tableColumn id="4" xr3:uid="{00000000-0010-0000-F500-000004000000}" name="Local Funds" dataDxfId="928"/>
    <tableColumn id="5" xr3:uid="{00000000-0010-0000-F500-000005000000}" name="State and Local Funds" dataDxfId="927"/>
  </tableColumns>
  <tableStyleInfo name="TableStyleLight18" showFirstColumn="0" showLastColumn="0" showRowStripes="0" showColumnStripes="0"/>
  <extLst>
    <ext xmlns:x14="http://schemas.microsoft.com/office/spreadsheetml/2009/9/main" uri="{504A1905-F514-4f6f-8877-14C23A59335A}">
      <x14:table altText="Summary of Exceptions and Adjustment for Year 10" altTextSummary="This table presents a summary of all exceptions taken for Year 10. Detailed data on the exceptions are entered on the Exc &amp; Adj tab for Year 10."/>
    </ext>
  </extLst>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F6000000}" name="BudgetYear11" displayName="BudgetYear11" ref="A4:F31" totalsRowShown="0" headerRowDxfId="926" tableBorderDxfId="925">
  <tableColumns count="6">
    <tableColumn id="1" xr3:uid="{00000000-0010-0000-F600-000001000000}" name="Object Description" dataDxfId="924"/>
    <tableColumn id="2" xr3:uid="{00000000-0010-0000-F600-000002000000}" name="Code 1" dataDxfId="923"/>
    <tableColumn id="7" xr3:uid="{00000000-0010-0000-F600-000007000000}" name="Code 2" dataDxfId="922"/>
    <tableColumn id="3" xr3:uid="{00000000-0010-0000-F600-000003000000}" name="Local" dataDxfId="921" dataCellStyle="Currency"/>
    <tableColumn id="4" xr3:uid="{00000000-0010-0000-F600-000004000000}" name="State" dataDxfId="920" dataCellStyle="Currency"/>
    <tableColumn id="5" xr3:uid="{00000000-0010-0000-F600-000005000000}" name="State and Local" dataDxfId="919"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11" altTextSummary="In this table, users will enter their budget amounts for Year 11. The column headers for the first three columns are unlocked and can be edited. If the LEA cannot separately budget for state and local funds, leave the Local column blank."/>
    </ext>
  </extLst>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F7000000}" name="ExcADepartingDataYear11Budget" displayName="ExcADepartingDataYear11Budget" ref="A7:F13" totalsRowShown="0" headerRowDxfId="918" dataDxfId="916" headerRowBorderDxfId="917" tableBorderDxfId="915">
  <tableColumns count="6">
    <tableColumn id="1" xr3:uid="{00000000-0010-0000-F700-000001000000}" name="Position Title" dataDxfId="914"/>
    <tableColumn id="2" xr3:uid="{00000000-0010-0000-F700-000002000000}" name="Employee Name" dataDxfId="913"/>
    <tableColumn id="3" xr3:uid="{00000000-0010-0000-F700-000003000000}" name="Reason for Leaving" dataDxfId="912"/>
    <tableColumn id="4" xr3:uid="{00000000-0010-0000-F700-000004000000}" name="Salary" dataDxfId="911" dataCellStyle="Currency"/>
    <tableColumn id="5" xr3:uid="{00000000-0010-0000-F700-000005000000}" name="Benefits" dataDxfId="910" dataCellStyle="Currency"/>
    <tableColumn id="8" xr3:uid="{00000000-0010-0000-F700-000008000000}" name="Total Budget" dataDxfId="909"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1 Eligiblity Standard" altTextSummary="Users can enter data in this table for any departing personnel projected for Year 11. This table is for the eligiblity standard and is based on budget amounts."/>
    </ext>
  </extLst>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F8000000}" name="ExcAReplaceDataYear11Budget" displayName="ExcAReplaceDataYear11Budget" ref="A15:F21" totalsRowShown="0" headerRowDxfId="908" dataDxfId="906" headerRowBorderDxfId="907" tableBorderDxfId="905">
  <tableColumns count="6">
    <tableColumn id="1" xr3:uid="{00000000-0010-0000-F800-000001000000}" name="Position Title" dataDxfId="904"/>
    <tableColumn id="2" xr3:uid="{00000000-0010-0000-F800-000002000000}" name="Employee Name" dataDxfId="903"/>
    <tableColumn id="3" xr3:uid="{00000000-0010-0000-F800-000003000000}" name="This column intentionally left blank" dataDxfId="902"/>
    <tableColumn id="4" xr3:uid="{00000000-0010-0000-F800-000004000000}" name="Salary" dataDxfId="901" dataCellStyle="Currency"/>
    <tableColumn id="5" xr3:uid="{00000000-0010-0000-F800-000005000000}" name="Benefits" dataDxfId="900" dataCellStyle="Currency"/>
    <tableColumn id="8" xr3:uid="{00000000-0010-0000-F800-000008000000}" name="Total Budget" dataDxfId="899"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1 Eligibility Standard" altTextSummary="Users can enter data in this table for any replacement personnel projected for Year 11. This table is for the eligiblity standard and is based on budget amounts."/>
    </ext>
  </extLst>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48000000}" name="TotalBudgetedExcYear3" displayName="TotalBudgetedExcYear3" ref="A66:B68" totalsRowShown="0" headerRowDxfId="2459" headerRowBorderDxfId="2458" tableBorderDxfId="2457" totalsRowBorderDxfId="2456">
  <autoFilter ref="A66:B68" xr:uid="{00000000-0009-0000-0100-0000CD000000}">
    <filterColumn colId="0" hiddenButton="1"/>
    <filterColumn colId="1" hiddenButton="1"/>
  </autoFilter>
  <tableColumns count="2">
    <tableColumn id="1" xr3:uid="{00000000-0010-0000-4800-000001000000}" name="Source" dataDxfId="2455" dataCellStyle="Normal 2"/>
    <tableColumn id="2" xr3:uid="{00000000-0010-0000-4800-000002000000}" name="Total" dataDxfId="2454"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3 Eligibility Standard" altTextSummary="This table displays the total projected exceptions entered for the eligibility standard for Year 3."/>
    </ext>
  </extLst>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F9000000}" name="ExcDDataYear11Budget" displayName="ExcDDataYear11Budget" ref="A47:B53" totalsRowShown="0" headerRowDxfId="898" dataDxfId="896" headerRowBorderDxfId="897" tableBorderDxfId="895">
  <tableColumns count="2">
    <tableColumn id="1" xr3:uid="{00000000-0010-0000-F900-000001000000}" name="Description" dataDxfId="894"/>
    <tableColumn id="2" xr3:uid="{00000000-0010-0000-F900-000002000000}" name="Budgeted Cost in Final Year" dataDxfId="893"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1 Eligiblity Standard" altTextSummary="Users can enter data in this table for the projected termination of costly expenditures for long-term purchases for Year 11. This table is for the eligiblity standard and is based on budget amounts."/>
    </ext>
  </extLst>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FA000000}" name="AdjDataYear11Budget" displayName="AdjDataYear11Budget" ref="A71:B72" totalsRowShown="0" headerRowDxfId="892" dataDxfId="890" headerRowBorderDxfId="891" tableBorderDxfId="889" totalsRowBorderDxfId="888">
  <tableColumns count="2">
    <tableColumn id="1" xr3:uid="{00000000-0010-0000-FA00-000001000000}" name="Column1" dataDxfId="887"/>
    <tableColumn id="2" xr3:uid="{00000000-0010-0000-FA00-000002000000}" name="Projected Adjustment" dataDxfId="886"/>
  </tableColumns>
  <tableStyleInfo name="TableStyleMedium9" showFirstColumn="0" showLastColumn="0" showRowStripes="0" showColumnStripes="0"/>
  <extLst>
    <ext xmlns:x14="http://schemas.microsoft.com/office/spreadsheetml/2009/9/main" uri="{504A1905-F514-4f6f-8877-14C23A59335A}">
      <x14:table altText="MOE Adjustment Data Entry for Year 11 Eligiblity Standard" altTextSummary="Users can enter data in this table for the projected Adjustment to MOE for Year 11. This table is for the eligiblity standard and is based on budget amounts. Use IDC's MOE Reduction Decision Tree and Calculator to determine the adjustment amount."/>
    </ext>
  </extLst>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FB000000}" name="ExcCDataYear11Budget" displayName="ExcCDataYear11Budget" ref="A37:C43" totalsRowShown="0" headerRowDxfId="885" dataDxfId="884" tableBorderDxfId="883">
  <tableColumns count="3">
    <tableColumn id="1" xr3:uid="{00000000-0010-0000-FB00-000001000000}" name="Student Identifier" dataDxfId="882"/>
    <tableColumn id="2" xr3:uid="{00000000-0010-0000-FB00-000002000000}" name="Reason" dataDxfId="881"/>
    <tableColumn id="3" xr3:uid="{00000000-0010-0000-FB00-000003000000}" name="Budgeted Cost" dataDxfId="880"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1 Eligiblity Standard" altTextSummary="Users can enter data in this table for the projected termination of the obligation to provide special education to a particular student that is an exceptionally costly program projected for Year 11. This table is for the eligiblity standard and is based on budget amounts."/>
    </ext>
  </extLst>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FC000000}" name="ExcEDataYear11Budget" displayName="ExcEDataYear11Budget" ref="A57:B63" totalsRowShown="0" headerRowDxfId="879" tableBorderDxfId="878">
  <tableColumns count="2">
    <tableColumn id="1" xr3:uid="{00000000-0010-0000-FC00-000001000000}" name="Student Identifier" dataDxfId="877"/>
    <tableColumn id="2" xr3:uid="{00000000-0010-0000-FC00-000002000000}" name="Budgeted Cost Assumed by SEA" dataDxfId="876"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1 Eligiblity Standard" altTextSummary="Users can enter data for the projected assumption of cost by the high cost fund operated by the SEA for Year 11. This table is for the eligibility standard and uses budget data. The table will not calculate a total if tab 3b indicates that the SEA does not have a high cost fund in Year 11."/>
    </ext>
  </extLst>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FD000000}" name="ExcBChildCountDataYear11Budget" displayName="ExcBChildCountDataYear11Budget" ref="A25:B29" totalsRowShown="0" headerRowDxfId="875" dataDxfId="874">
  <tableColumns count="2">
    <tableColumn id="1" xr3:uid="{00000000-0010-0000-FD00-000001000000}" name="Column1" dataDxfId="873"/>
    <tableColumn id="2" xr3:uid="{00000000-0010-0000-FD00-000002000000}" name="Column2" dataDxfId="872"/>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1 Eligibility Standard" altTextSummary="This table automatically calculates the change in enrollment for Year 11 to determine whether the LEA can apply exception (b). This table is for the eligibility standard."/>
    </ext>
  </extLst>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FE000000}" name="ExcBFundsDataYear11Budget" displayName="ExcBFundsDataYear11Budget" ref="A30:C32" totalsRowShown="0" headerRowDxfId="871" dataDxfId="869" headerRowBorderDxfId="870" tableBorderDxfId="868" totalsRowBorderDxfId="867">
  <tableColumns count="3">
    <tableColumn id="1" xr3:uid="{00000000-0010-0000-FE00-000001000000}" name="Column1" dataDxfId="866"/>
    <tableColumn id="2" xr3:uid="{00000000-0010-0000-FE00-000002000000}" name="Total Local Funds" dataDxfId="865">
      <calculatedColumnFormula>'2. Getting Started'!C17</calculatedColumnFormula>
    </tableColumn>
    <tableColumn id="3" xr3:uid="{00000000-0010-0000-FE00-000003000000}" name="Total State and Local Funds" dataDxfId="864">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1 Eligiblity Standard" altTextSummary="This table automatically calculates the projected reduction based on a decrease in enrollment for Year 11. This table is for the eligibility standard and uses budget data. The row for Projected Reduction will be blank if there is no decrease in child count."/>
    </ext>
  </extLst>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F000000}" name="TotalBudgetedExcYear11" displayName="TotalBudgetedExcYear11" ref="A66:B68" totalsRowShown="0" headerRowDxfId="863" headerRowBorderDxfId="862" tableBorderDxfId="861" totalsRowBorderDxfId="860">
  <autoFilter ref="A66:B68" xr:uid="{00000000-0009-0000-0100-0000F5000000}">
    <filterColumn colId="0" hiddenButton="1"/>
    <filterColumn colId="1" hiddenButton="1"/>
  </autoFilter>
  <tableColumns count="2">
    <tableColumn id="1" xr3:uid="{00000000-0010-0000-FF00-000001000000}" name="Source" dataDxfId="859" dataCellStyle="Normal 2"/>
    <tableColumn id="2" xr3:uid="{00000000-0010-0000-FF00-000002000000}" name="Total" dataDxfId="858"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11 Eligibility Standard" altTextSummary="This table displays the total projected exceptions entered for the eligibility standard for Year 11."/>
    </ext>
  </extLst>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00010000}" name="EligibilityYear11" displayName="EligibilityYear11" ref="A5:E10" totalsRowShown="0" headerRowDxfId="857" headerRowBorderDxfId="856" tableBorderDxfId="855" totalsRowBorderDxfId="854">
  <autoFilter ref="A5:E10" xr:uid="{00000000-0009-0000-0100-0000F6000000}">
    <filterColumn colId="0" hiddenButton="1"/>
    <filterColumn colId="1" hiddenButton="1"/>
    <filterColumn colId="2" hiddenButton="1"/>
    <filterColumn colId="3" hiddenButton="1"/>
    <filterColumn colId="4" hiddenButton="1"/>
  </autoFilter>
  <tableColumns count="5">
    <tableColumn id="1" xr3:uid="{00000000-0010-0000-0001-000001000000}" name="MOE Information" dataDxfId="853"/>
    <tableColumn id="2" xr3:uid="{00000000-0010-0000-0001-000002000000}" name="Total Local Funds"/>
    <tableColumn id="3" xr3:uid="{00000000-0010-0000-0001-000003000000}" name="Total State and Local Funds"/>
    <tableColumn id="4" xr3:uid="{00000000-0010-0000-0001-000004000000}" name="Local Funds Per Capita"/>
    <tableColumn id="5" xr3:uid="{00000000-0010-0000-0001-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11 Eligibility Standard" altTextSummary="This table displays MOE amounts and results for the eligibility standard for Year 11."/>
    </ext>
  </extLst>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01010000}" name="ComplianceYear11" displayName="ComplianceYear11" ref="A13:E18" totalsRowShown="0" headerRowDxfId="852" dataDxfId="850" headerRowBorderDxfId="851" tableBorderDxfId="849">
  <autoFilter ref="A13:E18" xr:uid="{00000000-0009-0000-0100-0000F7000000}">
    <filterColumn colId="0" hiddenButton="1"/>
    <filterColumn colId="1" hiddenButton="1"/>
    <filterColumn colId="2" hiddenButton="1"/>
    <filterColumn colId="3" hiddenButton="1"/>
    <filterColumn colId="4" hiddenButton="1"/>
  </autoFilter>
  <tableColumns count="5">
    <tableColumn id="1" xr3:uid="{00000000-0010-0000-0101-000001000000}" name="MOE Information" dataDxfId="848"/>
    <tableColumn id="2" xr3:uid="{00000000-0010-0000-0101-000002000000}" name="Total Local Funds" dataDxfId="847"/>
    <tableColumn id="3" xr3:uid="{00000000-0010-0000-0101-000003000000}" name="Total State and Local Funds" dataDxfId="846"/>
    <tableColumn id="4" xr3:uid="{00000000-0010-0000-0101-000004000000}" name="Local Funds Per Capita" dataDxfId="845"/>
    <tableColumn id="5" xr3:uid="{00000000-0010-0000-0101-000005000000}" name="State and Local Funds Per Capita" dataDxfId="844"/>
  </tableColumns>
  <tableStyleInfo name="TableStyleLight18" showFirstColumn="0" showLastColumn="0" showRowStripes="0" showColumnStripes="0"/>
  <extLst>
    <ext xmlns:x14="http://schemas.microsoft.com/office/spreadsheetml/2009/9/main" uri="{504A1905-F514-4f6f-8877-14C23A59335A}">
      <x14:table altTextSummary="Table is blank because the Compliance Standard is not calculated for Year 11."/>
    </ext>
  </extLst>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0000000-000C-0000-FFFF-FFFF02010000}" name="ExcAdjSummaryYear11" displayName="ExcAdjSummaryYear11" ref="A22:C29" totalsRowShown="0" headerRowBorderDxfId="843" tableBorderDxfId="842" totalsRowBorderDxfId="841">
  <autoFilter ref="A22:C29" xr:uid="{00000000-0009-0000-0100-00005B010000}">
    <filterColumn colId="0" hiddenButton="1"/>
    <filterColumn colId="1" hiddenButton="1"/>
    <filterColumn colId="2" hiddenButton="1"/>
  </autoFilter>
  <tableColumns count="3">
    <tableColumn id="1" xr3:uid="{00000000-0010-0000-0201-000001000000}" name="Exception or Adjustment" dataDxfId="840"/>
    <tableColumn id="2" xr3:uid="{00000000-0010-0000-0201-000002000000}" name="Projected Local Funds" dataDxfId="839"/>
    <tableColumn id="3" xr3:uid="{00000000-0010-0000-0201-000003000000}" name="Projected State and Local Funds" dataDxfId="838"/>
  </tableColumns>
  <tableStyleInfo name="TableStyleLight18" showFirstColumn="0" showLastColumn="0" showRowStripes="0" showColumnStripes="0"/>
  <extLst>
    <ext xmlns:x14="http://schemas.microsoft.com/office/spreadsheetml/2009/9/main" uri="{504A1905-F514-4f6f-8877-14C23A59335A}">
      <x14:table altText="Summary of Projected Exceptions and Adjustment for Year 11 Eligibility Standard" altTextSummary="This table presents a summary of all exceptions taken for Year 11. Detailed data on the exceptions are entered on the Exc &amp; Adj tab for Year 11."/>
    </ext>
  </extLst>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49000000}" name="TotalExpendituresExcYear3" displayName="TotalExpendituresExcYear3" ref="H66:I68" totalsRowShown="0" headerRowDxfId="2453" headerRowBorderDxfId="2452" tableBorderDxfId="2451" totalsRowBorderDxfId="2450">
  <autoFilter ref="H66:I68" xr:uid="{00000000-0009-0000-0100-0000CE000000}">
    <filterColumn colId="0" hiddenButton="1"/>
    <filterColumn colId="1" hiddenButton="1"/>
  </autoFilter>
  <tableColumns count="2">
    <tableColumn id="1" xr3:uid="{00000000-0010-0000-4900-000001000000}" name="Source" dataDxfId="2449" dataCellStyle="Normal 2"/>
    <tableColumn id="2" xr3:uid="{00000000-0010-0000-4900-000002000000}" name="Total" dataDxfId="2448"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3 Compliance Standard" altTextSummary="This table displays the total exceptions entered for the compliance standard for Year 3."/>
    </ext>
  </extLst>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03010000}" name="TotalLocalEligibilityPriorToYear1" displayName="TotalLocalEligibilityPriorToYear1" ref="A4:B6" headerRowCount="0" totalsRowShown="0" headerRowDxfId="837" headerRowBorderDxfId="836" tableBorderDxfId="835" totalsRowBorderDxfId="834">
  <tableColumns count="2">
    <tableColumn id="1" xr3:uid="{00000000-0010-0000-0301-000001000000}" name="Column1" headerRowDxfId="833"/>
    <tableColumn id="2" xr3:uid="{00000000-0010-0000-0301-000002000000}" name="Column2" headerRowDxfId="832"/>
  </tableColumns>
  <tableStyleInfo name="TableStyleLight18" showFirstColumn="0" showLastColumn="0" showRowStripes="0" showColumnStripes="0"/>
  <extLst>
    <ext xmlns:x14="http://schemas.microsoft.com/office/spreadsheetml/2009/9/main" uri="{504A1905-F514-4f6f-8877-14C23A59335A}">
      <x14:table altText="Prior to Year 1: Total Local Funds" altTextSummary="This table displays information for the period prior to Year 1 for the Total Local Funds method."/>
    </ext>
  </extLst>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04010000}" name="TotalLocalEligibilityYear2" displayName="TotalLocalEligibilityYear2" ref="A17:B22" headerRowCount="0" totalsRowShown="0" headerRowBorderDxfId="831" tableBorderDxfId="830" totalsRowBorderDxfId="829">
  <tableColumns count="2">
    <tableColumn id="1" xr3:uid="{00000000-0010-0000-0401-000001000000}" name="Column1" headerRowDxfId="828" dataDxfId="827"/>
    <tableColumn id="2" xr3:uid="{00000000-0010-0000-0401-000002000000}" name="Column2" headerRowDxfId="826" dataDxfId="825"/>
  </tableColumns>
  <tableStyleInfo name="TableStyleLight18" showFirstColumn="0" showLastColumn="0" showRowStripes="0" showColumnStripes="0"/>
  <extLst>
    <ext xmlns:x14="http://schemas.microsoft.com/office/spreadsheetml/2009/9/main" uri="{504A1905-F514-4f6f-8877-14C23A59335A}">
      <x14:table altText="Year 2 Eligibility: Total Local Funds" altTextSummary="This table displays information for Year 2 for the Eligibility Standard for the Total Local Funds method. The final row in the table displays the MOE result for Year 2."/>
    </ext>
  </extLst>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05010000}" name="TotalLocalEligibilityYear3" displayName="TotalLocalEligibilityYear3" ref="A25:B30" headerRowCount="0" totalsRowShown="0" headerRowBorderDxfId="824" tableBorderDxfId="823" totalsRowBorderDxfId="822">
  <tableColumns count="2">
    <tableColumn id="1" xr3:uid="{00000000-0010-0000-0501-000001000000}" name="Column1" headerRowDxfId="821" dataDxfId="820"/>
    <tableColumn id="2" xr3:uid="{00000000-0010-0000-0501-000002000000}" name="Column2" headerRowDxfId="819" dataDxfId="818"/>
  </tableColumns>
  <tableStyleInfo name="TableStyleLight18" showFirstColumn="0" showLastColumn="0" showRowStripes="0" showColumnStripes="0"/>
  <extLst>
    <ext xmlns:x14="http://schemas.microsoft.com/office/spreadsheetml/2009/9/main" uri="{504A1905-F514-4f6f-8877-14C23A59335A}">
      <x14:table altText="Year 3 Eligibility: Total Local Funds" altTextSummary="This table displays information for Year 3 for the Eligibility Standard for the Total Local Funds method. The final row in the table displays the MOE result for Year 3."/>
    </ext>
  </extLst>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6010000}" name="TotalLocalEligibilityYear4" displayName="TotalLocalEligibilityYear4" ref="A33:B38" headerRowCount="0" totalsRowShown="0" headerRowBorderDxfId="817" tableBorderDxfId="816" totalsRowBorderDxfId="815">
  <tableColumns count="2">
    <tableColumn id="1" xr3:uid="{00000000-0010-0000-0601-000001000000}" name="Column1" headerRowDxfId="814" dataDxfId="813"/>
    <tableColumn id="2" xr3:uid="{00000000-0010-0000-0601-000002000000}" name="Column2" headerRowDxfId="812" dataDxfId="811"/>
  </tableColumns>
  <tableStyleInfo name="TableStyleLight18" showFirstColumn="0" showLastColumn="0" showRowStripes="0" showColumnStripes="0"/>
  <extLst>
    <ext xmlns:x14="http://schemas.microsoft.com/office/spreadsheetml/2009/9/main" uri="{504A1905-F514-4f6f-8877-14C23A59335A}">
      <x14:table altText="Year 4 Eligibility: Total Local Funds" altTextSummary="This table displays information for Year 4 for the Eligibility Standard for the Total Local Funds method. The final row in the table displays the MOE result for Year 4."/>
    </ext>
  </extLst>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07010000}" name="TotalLocalEligibilityYear5" displayName="TotalLocalEligibilityYear5" ref="A41:B46" headerRowCount="0" totalsRowShown="0" headerRowBorderDxfId="810" tableBorderDxfId="809" totalsRowBorderDxfId="808">
  <tableColumns count="2">
    <tableColumn id="1" xr3:uid="{00000000-0010-0000-0701-000001000000}" name="Column1" headerRowDxfId="807" dataDxfId="806"/>
    <tableColumn id="2" xr3:uid="{00000000-0010-0000-0701-000002000000}" name="Column2" headerRowDxfId="805" dataDxfId="804"/>
  </tableColumns>
  <tableStyleInfo name="TableStyleLight18" showFirstColumn="0" showLastColumn="0" showRowStripes="0" showColumnStripes="0"/>
  <extLst>
    <ext xmlns:x14="http://schemas.microsoft.com/office/spreadsheetml/2009/9/main" uri="{504A1905-F514-4f6f-8877-14C23A59335A}">
      <x14:table altText="Year 5 Eligibility: Total Local Funds" altTextSummary="This table displays information for Year 5 for the Eligibility Standard for the Total Local Funds method. The final row in the table displays the MOE result for Year 5."/>
    </ext>
  </extLst>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08010000}" name="TotalLocalEligibilityYear6" displayName="TotalLocalEligibilityYear6" ref="A49:B54" headerRowCount="0" totalsRowShown="0" headerRowBorderDxfId="803" tableBorderDxfId="802" totalsRowBorderDxfId="801">
  <tableColumns count="2">
    <tableColumn id="1" xr3:uid="{00000000-0010-0000-0801-000001000000}" name="Column1" headerRowDxfId="800" dataDxfId="799"/>
    <tableColumn id="2" xr3:uid="{00000000-0010-0000-0801-000002000000}" name="Column2" headerRowDxfId="798" dataDxfId="797"/>
  </tableColumns>
  <tableStyleInfo name="TableStyleLight18" showFirstColumn="0" showLastColumn="0" showRowStripes="0" showColumnStripes="0"/>
  <extLst>
    <ext xmlns:x14="http://schemas.microsoft.com/office/spreadsheetml/2009/9/main" uri="{504A1905-F514-4f6f-8877-14C23A59335A}">
      <x14:table altText="Year 6 Eligibility: Total Local Funds" altTextSummary="This table displays information for Year 6 for the Eligibility Standard for the Total Local Funds method. The final row in the table displays the MOE result for Year 6."/>
    </ext>
  </extLst>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09010000}" name="TotalLocalEligibilityYear7" displayName="TotalLocalEligibilityYear7" ref="A57:B62" headerRowCount="0" totalsRowShown="0" headerRowBorderDxfId="796" tableBorderDxfId="795" totalsRowBorderDxfId="794">
  <tableColumns count="2">
    <tableColumn id="1" xr3:uid="{00000000-0010-0000-0901-000001000000}" name="Column1" headerRowDxfId="793" dataDxfId="792"/>
    <tableColumn id="2" xr3:uid="{00000000-0010-0000-0901-000002000000}" name="Column2" headerRowDxfId="791" dataDxfId="790"/>
  </tableColumns>
  <tableStyleInfo name="TableStyleLight18" showFirstColumn="0" showLastColumn="0" showRowStripes="0" showColumnStripes="0"/>
  <extLst>
    <ext xmlns:x14="http://schemas.microsoft.com/office/spreadsheetml/2009/9/main" uri="{504A1905-F514-4f6f-8877-14C23A59335A}">
      <x14:table altText="Year 7 Eligibility: Total Local Funds" altTextSummary="This table displays information for Year 7 for the Eligibility Standard for the Total Local Funds method. The final row in the table displays the MOE result for Year 7."/>
    </ext>
  </extLst>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0A010000}" name="TotalLocalEligibilityYear8" displayName="TotalLocalEligibilityYear8" ref="A65:B70" headerRowCount="0" totalsRowShown="0" headerRowBorderDxfId="789" tableBorderDxfId="788" totalsRowBorderDxfId="787">
  <tableColumns count="2">
    <tableColumn id="1" xr3:uid="{00000000-0010-0000-0A01-000001000000}" name="Column1" headerRowDxfId="786" dataDxfId="785"/>
    <tableColumn id="2" xr3:uid="{00000000-0010-0000-0A01-000002000000}" name="Column2" headerRowDxfId="784" dataDxfId="783"/>
  </tableColumns>
  <tableStyleInfo name="TableStyleLight18" showFirstColumn="0" showLastColumn="0" showRowStripes="0" showColumnStripes="0"/>
  <extLst>
    <ext xmlns:x14="http://schemas.microsoft.com/office/spreadsheetml/2009/9/main" uri="{504A1905-F514-4f6f-8877-14C23A59335A}">
      <x14:table altText="Year 8 Eligibility: Total Local Funds" altTextSummary="This table displays information for Year 8 for the Eligibility Standard for the Total Local Funds method. The final row in the table displays the MOE result for Year 8."/>
    </ext>
  </extLst>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0B010000}" name="TotalLocalEligibilityYear9" displayName="TotalLocalEligibilityYear9" ref="A73:B78" headerRowCount="0" totalsRowShown="0" headerRowBorderDxfId="782" tableBorderDxfId="781" totalsRowBorderDxfId="780">
  <tableColumns count="2">
    <tableColumn id="1" xr3:uid="{00000000-0010-0000-0B01-000001000000}" name="Column1" headerRowDxfId="779" dataDxfId="778"/>
    <tableColumn id="2" xr3:uid="{00000000-0010-0000-0B01-000002000000}" name="Column2" headerRowDxfId="777" dataDxfId="776"/>
  </tableColumns>
  <tableStyleInfo name="TableStyleLight18" showFirstColumn="0" showLastColumn="0" showRowStripes="0" showColumnStripes="0"/>
  <extLst>
    <ext xmlns:x14="http://schemas.microsoft.com/office/spreadsheetml/2009/9/main" uri="{504A1905-F514-4f6f-8877-14C23A59335A}">
      <x14:table altText="Year 9 Eligibility: Total Local Funds" altTextSummary="This table displays information for Year 9 for the Eligibility Standard for the Total Local Funds method. The final row in the table displays the MOE result for Year 9."/>
    </ext>
  </extLst>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0C010000}" name="TotalLocalEligibilityYear10" displayName="TotalLocalEligibilityYear10" ref="A81:B86" headerRowCount="0" totalsRowShown="0" headerRowBorderDxfId="775" tableBorderDxfId="774" totalsRowBorderDxfId="773">
  <tableColumns count="2">
    <tableColumn id="1" xr3:uid="{00000000-0010-0000-0C01-000001000000}" name="Column1" headerRowDxfId="772" dataDxfId="771"/>
    <tableColumn id="2" xr3:uid="{00000000-0010-0000-0C01-000002000000}" name="Column2" headerRowDxfId="770" dataDxfId="769"/>
  </tableColumns>
  <tableStyleInfo name="TableStyleLight18" showFirstColumn="0" showLastColumn="0" showRowStripes="0" showColumnStripes="0"/>
  <extLst>
    <ext xmlns:x14="http://schemas.microsoft.com/office/spreadsheetml/2009/9/main" uri="{504A1905-F514-4f6f-8877-14C23A59335A}">
      <x14:table altText="Year 10 Eligibility: Total Local Funds" altTextSummary="This table displays information for Year 10 for the Eligibility Standard for the Total Local Funds method. The final row in the table displays the MOE result for Year 10."/>
    </ext>
  </extLst>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E000000}" name="BudgetYear4" displayName="BudgetYear4" ref="A4:F31" totalsRowShown="0" headerRowDxfId="2447" tableBorderDxfId="2446">
  <tableColumns count="6">
    <tableColumn id="1" xr3:uid="{00000000-0010-0000-4E00-000001000000}" name="Object Description" dataDxfId="2445"/>
    <tableColumn id="2" xr3:uid="{00000000-0010-0000-4E00-000002000000}" name="Code 1" dataDxfId="2444"/>
    <tableColumn id="7" xr3:uid="{00000000-0010-0000-4E00-000007000000}" name="Code 2" dataDxfId="2443"/>
    <tableColumn id="3" xr3:uid="{00000000-0010-0000-4E00-000003000000}" name="Local" dataDxfId="2442" dataCellStyle="Currency"/>
    <tableColumn id="4" xr3:uid="{00000000-0010-0000-4E00-000004000000}" name="State" dataDxfId="2441" dataCellStyle="Currency"/>
    <tableColumn id="5" xr3:uid="{00000000-0010-0000-4E00-000005000000}" name="State and Local" dataDxfId="2440"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4" altTextSummary="In this table, users will enter their budget amounts for Year 4. The column headers for the first three columns are unlocked and can be edited. If the LEA cannot separately budget for state and local funds, leave the Local column blank."/>
    </ext>
  </extLst>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0D010000}" name="TotalLocalEligibilityYear11" displayName="TotalLocalEligibilityYear11" ref="A89:B94" headerRowCount="0" totalsRowShown="0" headerRowBorderDxfId="768" tableBorderDxfId="767" totalsRowBorderDxfId="766">
  <tableColumns count="2">
    <tableColumn id="1" xr3:uid="{00000000-0010-0000-0D01-000001000000}" name="Column1" headerRowDxfId="765" dataDxfId="764"/>
    <tableColumn id="2" xr3:uid="{00000000-0010-0000-0D01-000002000000}" name="Column2" headerRowDxfId="763" dataDxfId="762"/>
  </tableColumns>
  <tableStyleInfo name="TableStyleLight18" showFirstColumn="0" showLastColumn="0" showRowStripes="0" showColumnStripes="0"/>
  <extLst>
    <ext xmlns:x14="http://schemas.microsoft.com/office/spreadsheetml/2009/9/main" uri="{504A1905-F514-4f6f-8877-14C23A59335A}">
      <x14:table altText="Year 11 Eligibility: Total Local Funds" altTextSummary="This table displays information for Year 11 for the Eligibility Standard for the Total Local Funds method. The final row in the table displays the MOE result for Year 11."/>
    </ext>
  </extLst>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0E010000}" name="TotalLocalCompliancePriorToYear1" displayName="TotalLocalCompliancePriorToYear1" ref="E4:F6" headerRowCount="0" totalsRowShown="0" headerRowDxfId="761" headerRowBorderDxfId="760" tableBorderDxfId="759" totalsRowBorderDxfId="758">
  <tableColumns count="2">
    <tableColumn id="1" xr3:uid="{00000000-0010-0000-0E01-000001000000}" name="Column1" headerRowDxfId="757"/>
    <tableColumn id="2" xr3:uid="{00000000-0010-0000-0E01-000002000000}" name="Column2" headerRowDxfId="756"/>
  </tableColumns>
  <tableStyleInfo name="TableStyleLight18" showFirstColumn="0" showLastColumn="0" showRowStripes="0" showColumnStripes="0"/>
  <extLst>
    <ext xmlns:x14="http://schemas.microsoft.com/office/spreadsheetml/2009/9/main" uri="{504A1905-F514-4f6f-8877-14C23A59335A}">
      <x14:table altText="Prior to Year 1: Total Local Funds" altTextSummary="This table displays information for the period prior to Year 1 for the Total Local Funds method."/>
    </ext>
  </extLst>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0F010000}" name="TotalLocalComplianceYear1" displayName="TotalLocalComplianceYear1" ref="E9:F14" headerRowCount="0" totalsRowShown="0" headerRowBorderDxfId="755" tableBorderDxfId="754" totalsRowBorderDxfId="753">
  <tableColumns count="2">
    <tableColumn id="1" xr3:uid="{00000000-0010-0000-0F01-000001000000}" name="Column1" headerRowDxfId="752" dataDxfId="751"/>
    <tableColumn id="2" xr3:uid="{00000000-0010-0000-0F01-000002000000}" name="Column2" headerRowDxfId="750" dataDxfId="749"/>
  </tableColumns>
  <tableStyleInfo name="TableStyleLight18" showFirstColumn="0" showLastColumn="0" showRowStripes="0" showColumnStripes="0"/>
  <extLst>
    <ext xmlns:x14="http://schemas.microsoft.com/office/spreadsheetml/2009/9/main" uri="{504A1905-F514-4f6f-8877-14C23A59335A}">
      <x14:table altText="Year 1 Compliance: Total Local Funds" altTextSummary="This table displays information for Year 1 for the Compliance Standard for the Total Local Funds method. The final row in the table displays the MOE result for Year 1."/>
    </ext>
  </extLst>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10010000}" name="TotalLocalComplianceYear2" displayName="TotalLocalComplianceYear2" ref="E17:F22" headerRowCount="0" totalsRowShown="0" headerRowBorderDxfId="748" tableBorderDxfId="747" totalsRowBorderDxfId="746">
  <tableColumns count="2">
    <tableColumn id="1" xr3:uid="{00000000-0010-0000-1001-000001000000}" name="Column1" headerRowDxfId="745" dataDxfId="744"/>
    <tableColumn id="2" xr3:uid="{00000000-0010-0000-1001-000002000000}" name="Column2" headerRowDxfId="743" dataDxfId="742"/>
  </tableColumns>
  <tableStyleInfo name="TableStyleLight18" showFirstColumn="0" showLastColumn="0" showRowStripes="0" showColumnStripes="0"/>
  <extLst>
    <ext xmlns:x14="http://schemas.microsoft.com/office/spreadsheetml/2009/9/main" uri="{504A1905-F514-4f6f-8877-14C23A59335A}">
      <x14:table altText="Year 2 Compliance: Total Local Funds" altTextSummary="This table displays information for Year 2 for the Compliance Standard for the Total Local Funds method. The final row in the table displays the MOE result for Year 2."/>
    </ext>
  </extLst>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11010000}" name="TotalLocalComplianceYear3" displayName="TotalLocalComplianceYear3" ref="E25:F30" headerRowCount="0" totalsRowShown="0" headerRowBorderDxfId="741" tableBorderDxfId="740" totalsRowBorderDxfId="739">
  <tableColumns count="2">
    <tableColumn id="1" xr3:uid="{00000000-0010-0000-1101-000001000000}" name="Column1" headerRowDxfId="738" dataDxfId="737"/>
    <tableColumn id="2" xr3:uid="{00000000-0010-0000-1101-000002000000}" name="Column2" headerRowDxfId="736" dataDxfId="735"/>
  </tableColumns>
  <tableStyleInfo name="TableStyleLight18" showFirstColumn="0" showLastColumn="0" showRowStripes="0" showColumnStripes="0"/>
  <extLst>
    <ext xmlns:x14="http://schemas.microsoft.com/office/spreadsheetml/2009/9/main" uri="{504A1905-F514-4f6f-8877-14C23A59335A}">
      <x14:table altText="Year 3 Compliance: Total Local Funds" altTextSummary="This table displays information for Year 3 for the Compliance Standard for the Total Local Funds method. The final row in the table displays the MOE result for Year 3."/>
    </ext>
  </extLst>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12010000}" name="TotalLocalComplianceYear4" displayName="TotalLocalComplianceYear4" ref="E33:F38" headerRowCount="0" totalsRowShown="0" headerRowBorderDxfId="734" tableBorderDxfId="733" totalsRowBorderDxfId="732">
  <tableColumns count="2">
    <tableColumn id="1" xr3:uid="{00000000-0010-0000-1201-000001000000}" name="Column1" headerRowDxfId="731" dataDxfId="730"/>
    <tableColumn id="2" xr3:uid="{00000000-0010-0000-1201-000002000000}" name="Column2" headerRowDxfId="729" dataDxfId="728"/>
  </tableColumns>
  <tableStyleInfo name="TableStyleLight18" showFirstColumn="0" showLastColumn="0" showRowStripes="0" showColumnStripes="0"/>
  <extLst>
    <ext xmlns:x14="http://schemas.microsoft.com/office/spreadsheetml/2009/9/main" uri="{504A1905-F514-4f6f-8877-14C23A59335A}">
      <x14:table altText="Year 4 Compliance: Total Local Funds" altTextSummary="This table displays information for Year 4 for the Compliance Standard for the Total Local Funds method. The final row in the table displays the MOE result for Year 4."/>
    </ext>
  </extLst>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13010000}" name="TotalLocalComplianceYear5" displayName="TotalLocalComplianceYear5" ref="E41:F46" headerRowCount="0" totalsRowShown="0" headerRowBorderDxfId="727" tableBorderDxfId="726" totalsRowBorderDxfId="725">
  <tableColumns count="2">
    <tableColumn id="1" xr3:uid="{00000000-0010-0000-1301-000001000000}" name="Column1" headerRowDxfId="724" dataDxfId="723"/>
    <tableColumn id="2" xr3:uid="{00000000-0010-0000-1301-000002000000}" name="Column2" headerRowDxfId="722" dataDxfId="721"/>
  </tableColumns>
  <tableStyleInfo name="TableStyleLight18" showFirstColumn="0" showLastColumn="0" showRowStripes="0" showColumnStripes="0"/>
  <extLst>
    <ext xmlns:x14="http://schemas.microsoft.com/office/spreadsheetml/2009/9/main" uri="{504A1905-F514-4f6f-8877-14C23A59335A}">
      <x14:table altText="Year 5 Compliance: Total Local Funds" altTextSummary="This table displays information for Year 5 for the Compliance Standard for the Total Local Funds method. The final row in the table displays the MOE result for Year 5."/>
    </ext>
  </extLst>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14010000}" name="TotalLocalComplianceYear6" displayName="TotalLocalComplianceYear6" ref="E49:F54" headerRowCount="0" totalsRowShown="0" headerRowBorderDxfId="720" tableBorderDxfId="719" totalsRowBorderDxfId="718">
  <tableColumns count="2">
    <tableColumn id="1" xr3:uid="{00000000-0010-0000-1401-000001000000}" name="Column1" headerRowDxfId="717" dataDxfId="716"/>
    <tableColumn id="2" xr3:uid="{00000000-0010-0000-1401-000002000000}" name="Column2" headerRowDxfId="715" dataDxfId="714"/>
  </tableColumns>
  <tableStyleInfo name="TableStyleLight18" showFirstColumn="0" showLastColumn="0" showRowStripes="0" showColumnStripes="0"/>
  <extLst>
    <ext xmlns:x14="http://schemas.microsoft.com/office/spreadsheetml/2009/9/main" uri="{504A1905-F514-4f6f-8877-14C23A59335A}">
      <x14:table altText="Year 6 Compliance: Total Local Funds" altTextSummary="This table displays information for Year 6 for the Compliance Standard for the Total Local Funds method. The final row in the table displays the MOE result for Year 6."/>
    </ext>
  </extLst>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15010000}" name="TotalLocalComplianceYear7" displayName="TotalLocalComplianceYear7" ref="E57:F62" headerRowCount="0" totalsRowShown="0" headerRowBorderDxfId="713" tableBorderDxfId="712" totalsRowBorderDxfId="711">
  <tableColumns count="2">
    <tableColumn id="1" xr3:uid="{00000000-0010-0000-1501-000001000000}" name="Column1" headerRowDxfId="710" dataDxfId="709"/>
    <tableColumn id="2" xr3:uid="{00000000-0010-0000-1501-000002000000}" name="Column2" headerRowDxfId="708" dataDxfId="707"/>
  </tableColumns>
  <tableStyleInfo name="TableStyleLight18" showFirstColumn="0" showLastColumn="0" showRowStripes="0" showColumnStripes="0"/>
  <extLst>
    <ext xmlns:x14="http://schemas.microsoft.com/office/spreadsheetml/2009/9/main" uri="{504A1905-F514-4f6f-8877-14C23A59335A}">
      <x14:table altText="Year 7 Compliance: Total Local Funds" altTextSummary="This table displays information for Year 7 for the Compliance Standard for the Total Local Funds method. The final row in the table displays the MOE result for Year 7."/>
    </ext>
  </extLst>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16010000}" name="TotalLocalComplianceYear8" displayName="TotalLocalComplianceYear8" ref="E65:F70" headerRowCount="0" totalsRowShown="0" headerRowBorderDxfId="706" tableBorderDxfId="705" totalsRowBorderDxfId="704">
  <tableColumns count="2">
    <tableColumn id="1" xr3:uid="{00000000-0010-0000-1601-000001000000}" name="Column1" headerRowDxfId="703" dataDxfId="702"/>
    <tableColumn id="2" xr3:uid="{00000000-0010-0000-1601-000002000000}" name="Column2" headerRowDxfId="701" dataDxfId="700"/>
  </tableColumns>
  <tableStyleInfo name="TableStyleLight18" showFirstColumn="0" showLastColumn="0" showRowStripes="0" showColumnStripes="0"/>
  <extLst>
    <ext xmlns:x14="http://schemas.microsoft.com/office/spreadsheetml/2009/9/main" uri="{504A1905-F514-4f6f-8877-14C23A59335A}">
      <x14:table altText="Year 8 Compliance: Total Local Funds" altTextSummary="This table displays information for Year 8 for the Compliance Standard for the Total Local Funds method. The final row in the table displays the MOE result for Year 8."/>
    </ext>
  </extLst>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F000000}" name="ExpendituresYear4" displayName="ExpendituresYear4" ref="H4:M31" totalsRowShown="0" headerRowDxfId="2439" tableBorderDxfId="2438">
  <tableColumns count="6">
    <tableColumn id="1" xr3:uid="{00000000-0010-0000-4F00-000001000000}" name="Object Description" dataDxfId="2437"/>
    <tableColumn id="2" xr3:uid="{00000000-0010-0000-4F00-000002000000}" name="Code" dataDxfId="2436"/>
    <tableColumn id="6" xr3:uid="{00000000-0010-0000-4F00-000006000000}" name="Code 2" dataDxfId="2435"/>
    <tableColumn id="3" xr3:uid="{00000000-0010-0000-4F00-000003000000}" name="Local" dataDxfId="2434" dataCellStyle="Currency"/>
    <tableColumn id="4" xr3:uid="{00000000-0010-0000-4F00-000004000000}" name="State" dataDxfId="2433" dataCellStyle="Currency">
      <calculatedColumnFormula>IFERROR(VLOOKUP(I1,'42. SEA or LEA Worksheet'!$A$4:$AF$324,32,0),0)</calculatedColumnFormula>
    </tableColumn>
    <tableColumn id="5" xr3:uid="{00000000-0010-0000-4F00-000005000000}" name="State and Local" dataDxfId="2432"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4" altTextSummary="In this table, users will enter the LEA's final expenditures for Year 4. The column headers for the first three columns are unlocked and can be edited. If the LEA cannot separately budget for state and local funds, leave the Local column blank."/>
    </ext>
  </extLst>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17010000}" name="TotalLocalComplianceYear9" displayName="TotalLocalComplianceYear9" ref="E73:F78" headerRowCount="0" totalsRowShown="0" headerRowBorderDxfId="699" tableBorderDxfId="698" totalsRowBorderDxfId="697">
  <tableColumns count="2">
    <tableColumn id="1" xr3:uid="{00000000-0010-0000-1701-000001000000}" name="Column1" headerRowDxfId="696" dataDxfId="695"/>
    <tableColumn id="2" xr3:uid="{00000000-0010-0000-1701-000002000000}" name="Column2" headerRowDxfId="694" dataDxfId="693"/>
  </tableColumns>
  <tableStyleInfo name="TableStyleLight18" showFirstColumn="0" showLastColumn="0" showRowStripes="0" showColumnStripes="0"/>
  <extLst>
    <ext xmlns:x14="http://schemas.microsoft.com/office/spreadsheetml/2009/9/main" uri="{504A1905-F514-4f6f-8877-14C23A59335A}">
      <x14:table altText="Year 9 Compliance: Total Local Funds" altTextSummary="This table displays information for Year 9 for the Compliance Standard for the Total Local Funds method. The final row in the table displays the MOE result for Year 9."/>
    </ext>
  </extLst>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18010000}" name="TotalLocalComplianceYear10" displayName="TotalLocalComplianceYear10" ref="E81:F86" headerRowCount="0" totalsRowShown="0" headerRowBorderDxfId="692" tableBorderDxfId="691" totalsRowBorderDxfId="690">
  <tableColumns count="2">
    <tableColumn id="1" xr3:uid="{00000000-0010-0000-1801-000001000000}" name="Column1" headerRowDxfId="689" dataDxfId="688"/>
    <tableColumn id="2" xr3:uid="{00000000-0010-0000-1801-000002000000}" name="Column2" headerRowDxfId="687" dataDxfId="686"/>
  </tableColumns>
  <tableStyleInfo name="TableStyleLight18" showFirstColumn="0" showLastColumn="0" showRowStripes="0" showColumnStripes="0"/>
  <extLst>
    <ext xmlns:x14="http://schemas.microsoft.com/office/spreadsheetml/2009/9/main" uri="{504A1905-F514-4f6f-8877-14C23A59335A}">
      <x14:table altText="Year 10 Compliance: Total Local Funds" altTextSummary="This table displays information for Year 10 for the Compliance Standard for the Total Local Funds method. The final row in the table displays the MOE result for Year 10."/>
    </ext>
  </extLst>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19010000}" name="StateLocalEligibilityPriorToYear1" displayName="StateLocalEligibilityPriorToYear1" ref="A4:B6" headerRowCount="0" totalsRowShown="0" headerRowDxfId="685" headerRowBorderDxfId="684" tableBorderDxfId="683" totalsRowBorderDxfId="682">
  <tableColumns count="2">
    <tableColumn id="1" xr3:uid="{00000000-0010-0000-1901-000001000000}" name="Column1" headerRowDxfId="681"/>
    <tableColumn id="2" xr3:uid="{00000000-0010-0000-1901-000002000000}" name="Column2" headerRowDxfId="680"/>
  </tableColumns>
  <tableStyleInfo name="TableStyleLight18" showFirstColumn="0" showLastColumn="0" showRowStripes="0" showColumnStripes="0"/>
  <extLst>
    <ext xmlns:x14="http://schemas.microsoft.com/office/spreadsheetml/2009/9/main" uri="{504A1905-F514-4f6f-8877-14C23A59335A}">
      <x14:table altText="Prior to Year 1: Total State and Local Funds" altTextSummary="This table displays information for the period prior to Year 1 for the Total State &amp; Local Funds method."/>
    </ext>
  </extLst>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1A010000}" name="StateLocalEligibilityYear2" displayName="StateLocalEligibilityYear2" ref="A17:B22" headerRowCount="0" totalsRowShown="0" headerRowBorderDxfId="679" tableBorderDxfId="678" totalsRowBorderDxfId="677">
  <tableColumns count="2">
    <tableColumn id="1" xr3:uid="{00000000-0010-0000-1A01-000001000000}" name="Column1" headerRowDxfId="676" dataDxfId="675"/>
    <tableColumn id="2" xr3:uid="{00000000-0010-0000-1A01-000002000000}" name="Column2" headerRowDxfId="674" dataDxfId="673"/>
  </tableColumns>
  <tableStyleInfo name="TableStyleLight18" showFirstColumn="0" showLastColumn="0" showRowStripes="0" showColumnStripes="0"/>
  <extLst>
    <ext xmlns:x14="http://schemas.microsoft.com/office/spreadsheetml/2009/9/main" uri="{504A1905-F514-4f6f-8877-14C23A59335A}">
      <x14:table altText="Year 2 Eligibility: Total State &amp; Local Funds" altTextSummary="This table displays information for Year 2 for the Eligibility Standard for the Total State &amp; Local Funds method. The final row in the table displays the MOE result for Year 2."/>
    </ext>
  </extLst>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10000}" name="StateLocalEligbilityYear3" displayName="StateLocalEligbilityYear3" ref="A25:B30" headerRowCount="0" totalsRowShown="0" headerRowBorderDxfId="672" tableBorderDxfId="671" totalsRowBorderDxfId="670">
  <tableColumns count="2">
    <tableColumn id="1" xr3:uid="{00000000-0010-0000-1B01-000001000000}" name="Column1" headerRowDxfId="669" dataDxfId="668"/>
    <tableColumn id="2" xr3:uid="{00000000-0010-0000-1B01-000002000000}" name="Column2" headerRowDxfId="667" dataDxfId="666"/>
  </tableColumns>
  <tableStyleInfo name="TableStyleLight18" showFirstColumn="0" showLastColumn="0" showRowStripes="0" showColumnStripes="0"/>
  <extLst>
    <ext xmlns:x14="http://schemas.microsoft.com/office/spreadsheetml/2009/9/main" uri="{504A1905-F514-4f6f-8877-14C23A59335A}">
      <x14:table altText="Year 3 Eligibility: Total State &amp; Local Funds" altTextSummary="This table displays information for Year 3 for the Eligibility Standard for the Total State &amp; Local Funds method. The final row in the table displays the MOE result for Year 3."/>
    </ext>
  </extLst>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10000}" name="StateLocalEligibilityYear4" displayName="StateLocalEligibilityYear4" ref="A33:B38" headerRowCount="0" totalsRowShown="0" headerRowBorderDxfId="665" tableBorderDxfId="664" totalsRowBorderDxfId="663">
  <tableColumns count="2">
    <tableColumn id="1" xr3:uid="{00000000-0010-0000-1C01-000001000000}" name="Column1" headerRowDxfId="662" dataDxfId="661"/>
    <tableColumn id="2" xr3:uid="{00000000-0010-0000-1C01-000002000000}" name="Column2" headerRowDxfId="660" dataDxfId="659"/>
  </tableColumns>
  <tableStyleInfo name="TableStyleLight18" showFirstColumn="0" showLastColumn="0" showRowStripes="0" showColumnStripes="0"/>
  <extLst>
    <ext xmlns:x14="http://schemas.microsoft.com/office/spreadsheetml/2009/9/main" uri="{504A1905-F514-4f6f-8877-14C23A59335A}">
      <x14:table altText="Year 4 Eligibility: Total State &amp; Local Funds" altTextSummary="This table displays information for Year 3 for the Eligibility Standard for the Total State &amp; Local Funds method. The final row in the table displays the MOE result for Year 3."/>
    </ext>
  </extLst>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1D010000}" name="StateLocalEligibilityYear5" displayName="StateLocalEligibilityYear5" ref="A41:B46" headerRowCount="0" totalsRowShown="0" headerRowBorderDxfId="658" tableBorderDxfId="657" totalsRowBorderDxfId="656">
  <tableColumns count="2">
    <tableColumn id="1" xr3:uid="{00000000-0010-0000-1D01-000001000000}" name="Column1" headerRowDxfId="655" dataDxfId="654"/>
    <tableColumn id="2" xr3:uid="{00000000-0010-0000-1D01-000002000000}" name="Column2" headerRowDxfId="653" dataDxfId="652"/>
  </tableColumns>
  <tableStyleInfo name="TableStyleLight18" showFirstColumn="0" showLastColumn="0" showRowStripes="0" showColumnStripes="0"/>
  <extLst>
    <ext xmlns:x14="http://schemas.microsoft.com/office/spreadsheetml/2009/9/main" uri="{504A1905-F514-4f6f-8877-14C23A59335A}">
      <x14:table altText="Year 5 Eligibility: Total State &amp; Local Funds" altTextSummary="This table displays information for Year 5 for the Eligibility Standard for the Total State &amp; Local Funds method. The final row in the table displays the MOE result for Year 5."/>
    </ext>
  </extLst>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1E010000}" name="StateLocalEligibilityYear6" displayName="StateLocalEligibilityYear6" ref="A49:B54" headerRowCount="0" totalsRowShown="0" headerRowBorderDxfId="651" tableBorderDxfId="650" totalsRowBorderDxfId="649">
  <tableColumns count="2">
    <tableColumn id="1" xr3:uid="{00000000-0010-0000-1E01-000001000000}" name="Column1" headerRowDxfId="648" dataDxfId="647"/>
    <tableColumn id="2" xr3:uid="{00000000-0010-0000-1E01-000002000000}" name="Column2" headerRowDxfId="646" dataDxfId="645"/>
  </tableColumns>
  <tableStyleInfo name="TableStyleLight18" showFirstColumn="0" showLastColumn="0" showRowStripes="0" showColumnStripes="0"/>
  <extLst>
    <ext xmlns:x14="http://schemas.microsoft.com/office/spreadsheetml/2009/9/main" uri="{504A1905-F514-4f6f-8877-14C23A59335A}">
      <x14:table altText="Year 6 Eligibility: Total State &amp; Local Funds" altTextSummary="This table displays information for Year 6 for the Eligibility Standard for the Total State &amp; Local Funds method. The final row in the table displays the MOE result for Year 6."/>
    </ext>
  </extLst>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1F010000}" name="StateLocalEligibilityYear7" displayName="StateLocalEligibilityYear7" ref="A57:B62" headerRowCount="0" totalsRowShown="0" headerRowBorderDxfId="644" tableBorderDxfId="643" totalsRowBorderDxfId="642">
  <tableColumns count="2">
    <tableColumn id="1" xr3:uid="{00000000-0010-0000-1F01-000001000000}" name="Column1" headerRowDxfId="641" dataDxfId="640"/>
    <tableColumn id="2" xr3:uid="{00000000-0010-0000-1F01-000002000000}" name="Column2" headerRowDxfId="639" dataDxfId="638"/>
  </tableColumns>
  <tableStyleInfo name="TableStyleLight18" showFirstColumn="0" showLastColumn="0" showRowStripes="0" showColumnStripes="0"/>
  <extLst>
    <ext xmlns:x14="http://schemas.microsoft.com/office/spreadsheetml/2009/9/main" uri="{504A1905-F514-4f6f-8877-14C23A59335A}">
      <x14:table altText="Year 7 Eligibility: Total State &amp; Local Funds" altTextSummary="This table displays information for Year 7 for the Eligibility Standard for the Total State &amp; Local Funds method. The final row in the table displays the MOE result for Year 7."/>
    </ext>
  </extLst>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20010000}" name="StateLocalEligibilityYear8" displayName="StateLocalEligibilityYear8" ref="A65:B70" headerRowCount="0" totalsRowShown="0" headerRowBorderDxfId="637" tableBorderDxfId="636" totalsRowBorderDxfId="635">
  <tableColumns count="2">
    <tableColumn id="1" xr3:uid="{00000000-0010-0000-2001-000001000000}" name="Column1" headerRowDxfId="634" dataDxfId="633"/>
    <tableColumn id="2" xr3:uid="{00000000-0010-0000-2001-000002000000}" name="Column2" headerRowDxfId="632" dataDxfId="631"/>
  </tableColumns>
  <tableStyleInfo name="TableStyleLight18" showFirstColumn="0" showLastColumn="0" showRowStripes="0" showColumnStripes="0"/>
  <extLst>
    <ext xmlns:x14="http://schemas.microsoft.com/office/spreadsheetml/2009/9/main" uri="{504A1905-F514-4f6f-8877-14C23A59335A}">
      <x14:table altText="Year 8 Eligibility: Total State &amp; Local Funds" altTextSummary="This table displays information for Year 8 for the Eligibility Standard for the Total State &amp; Local Funds method. The final row in the table displays the MOE result for Year 8."/>
    </ext>
  </extLst>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0000000}" name="ExcADepartingDataYear4Budget" displayName="ExcADepartingDataYear4Budget" ref="A7:F13" totalsRowShown="0" headerRowDxfId="2431" dataDxfId="2429" headerRowBorderDxfId="2430" tableBorderDxfId="2428">
  <tableColumns count="6">
    <tableColumn id="1" xr3:uid="{00000000-0010-0000-5000-000001000000}" name="Position Title" dataDxfId="2427"/>
    <tableColumn id="2" xr3:uid="{00000000-0010-0000-5000-000002000000}" name="Employee Name" dataDxfId="2426"/>
    <tableColumn id="3" xr3:uid="{00000000-0010-0000-5000-000003000000}" name="Reason for Leaving" dataDxfId="2425"/>
    <tableColumn id="4" xr3:uid="{00000000-0010-0000-5000-000004000000}" name="Salary" dataDxfId="2424" dataCellStyle="Currency"/>
    <tableColumn id="5" xr3:uid="{00000000-0010-0000-5000-000005000000}" name="Benefits" dataDxfId="2423" dataCellStyle="Currency"/>
    <tableColumn id="8" xr3:uid="{00000000-0010-0000-5000-000008000000}" name="Total Budget" dataDxfId="2422"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4 Eligiblity Standard" altTextSummary="Users can enter data in this table for any departing personnel projected for Year 4. This table is for the eligiblity standard and is based on budget amounts."/>
    </ext>
  </extLst>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21010000}" name="StateLocalEligibilityYear9" displayName="StateLocalEligibilityYear9" ref="A73:B78" headerRowCount="0" totalsRowShown="0" headerRowBorderDxfId="630" tableBorderDxfId="629" totalsRowBorderDxfId="628">
  <tableColumns count="2">
    <tableColumn id="1" xr3:uid="{00000000-0010-0000-2101-000001000000}" name="Column1" headerRowDxfId="627" dataDxfId="626"/>
    <tableColumn id="2" xr3:uid="{00000000-0010-0000-2101-000002000000}" name="Column2" headerRowDxfId="625" dataDxfId="624"/>
  </tableColumns>
  <tableStyleInfo name="TableStyleLight18" showFirstColumn="0" showLastColumn="0" showRowStripes="0" showColumnStripes="0"/>
  <extLst>
    <ext xmlns:x14="http://schemas.microsoft.com/office/spreadsheetml/2009/9/main" uri="{504A1905-F514-4f6f-8877-14C23A59335A}">
      <x14:table altText="Year 9 Eligibility: Total State &amp; Local Funds" altTextSummary="This table displays information for Year 9 for the Eligibility Standard for the Total State &amp; Local Funds method. The final row in the table displays the MOE result for Year 9."/>
    </ext>
  </extLst>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22010000}" name="StateLocalEligibilityYear10" displayName="StateLocalEligibilityYear10" ref="A81:B86" headerRowCount="0" totalsRowShown="0" headerRowBorderDxfId="623" tableBorderDxfId="622" totalsRowBorderDxfId="621">
  <tableColumns count="2">
    <tableColumn id="1" xr3:uid="{00000000-0010-0000-2201-000001000000}" name="Column1" headerRowDxfId="620" dataDxfId="619"/>
    <tableColumn id="2" xr3:uid="{00000000-0010-0000-2201-000002000000}" name="Column2" headerRowDxfId="618" dataDxfId="617"/>
  </tableColumns>
  <tableStyleInfo name="TableStyleLight18" showFirstColumn="0" showLastColumn="0" showRowStripes="0" showColumnStripes="0"/>
  <extLst>
    <ext xmlns:x14="http://schemas.microsoft.com/office/spreadsheetml/2009/9/main" uri="{504A1905-F514-4f6f-8877-14C23A59335A}">
      <x14:table altText="Year 10 Eligibility: Total State &amp; Local Funds" altTextSummary="This table displays information for Year 10 for the Eligibility Standard for the Total State &amp; Local Funds method. The final row in the table displays the MOE result for Year 10."/>
    </ext>
  </extLst>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23010000}" name="StateLocalEligibilityYear11" displayName="StateLocalEligibilityYear11" ref="A89:B94" headerRowCount="0" totalsRowShown="0" headerRowBorderDxfId="616" tableBorderDxfId="615" totalsRowBorderDxfId="614">
  <tableColumns count="2">
    <tableColumn id="1" xr3:uid="{00000000-0010-0000-2301-000001000000}" name="Column1" headerRowDxfId="613" dataDxfId="612"/>
    <tableColumn id="2" xr3:uid="{00000000-0010-0000-2301-000002000000}" name="Column2" headerRowDxfId="611" dataDxfId="610"/>
  </tableColumns>
  <tableStyleInfo name="TableStyleLight18" showFirstColumn="0" showLastColumn="0" showRowStripes="0" showColumnStripes="0"/>
  <extLst>
    <ext xmlns:x14="http://schemas.microsoft.com/office/spreadsheetml/2009/9/main" uri="{504A1905-F514-4f6f-8877-14C23A59335A}">
      <x14:table altText="Year 11 Eligibility: Total State &amp; Local Funds" altTextSummary="This table displays information for Year 11 for the Eligibility Standard for the Total State &amp; Local Funds method. The final row in the table displays the MOE result for Year 11."/>
    </ext>
  </extLst>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24010000}" name="StateLocalCompliancePriorToYear1" displayName="StateLocalCompliancePriorToYear1" ref="E4:F6" headerRowCount="0" totalsRowShown="0" headerRowDxfId="609" headerRowBorderDxfId="608" tableBorderDxfId="607" totalsRowBorderDxfId="606">
  <tableColumns count="2">
    <tableColumn id="1" xr3:uid="{00000000-0010-0000-2401-000001000000}" name="Column1" headerRowDxfId="605"/>
    <tableColumn id="2" xr3:uid="{00000000-0010-0000-2401-000002000000}" name="Column2" headerRowDxfId="604"/>
  </tableColumns>
  <tableStyleInfo name="TableStyleLight18" showFirstColumn="0" showLastColumn="0" showRowStripes="0" showColumnStripes="0"/>
  <extLst>
    <ext xmlns:x14="http://schemas.microsoft.com/office/spreadsheetml/2009/9/main" uri="{504A1905-F514-4f6f-8877-14C23A59335A}">
      <x14:table altText="Prior to Year 1: Total State &amp; Local Funds" altTextSummary="This table displays information for the period prior to Year 1 for the Total State &amp; Local Funds method."/>
    </ext>
  </extLst>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25010000}" name="StateLocalComplianceYear1" displayName="StateLocalComplianceYear1" ref="E9:F14" headerRowCount="0" totalsRowShown="0" headerRowBorderDxfId="603" tableBorderDxfId="602" totalsRowBorderDxfId="601">
  <tableColumns count="2">
    <tableColumn id="1" xr3:uid="{00000000-0010-0000-2501-000001000000}" name="Column1" headerRowDxfId="600" dataDxfId="599"/>
    <tableColumn id="2" xr3:uid="{00000000-0010-0000-2501-000002000000}" name="Column2" headerRowDxfId="598" dataDxfId="597"/>
  </tableColumns>
  <tableStyleInfo name="TableStyleLight18" showFirstColumn="0" showLastColumn="0" showRowStripes="0" showColumnStripes="0"/>
  <extLst>
    <ext xmlns:x14="http://schemas.microsoft.com/office/spreadsheetml/2009/9/main" uri="{504A1905-F514-4f6f-8877-14C23A59335A}">
      <x14:table altText="Year 1 Compliance: Total State &amp; Local Funds" altTextSummary="This table displays information for Year 1 for the Compliance Standard for the Total State &amp; Local Funds method. The final row in the table displays the MOE result for Year 1."/>
    </ext>
  </extLst>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26010000}" name="StateLocalComplianceYear2" displayName="StateLocalComplianceYear2" ref="E17:F22" headerRowCount="0" totalsRowShown="0" headerRowBorderDxfId="596" tableBorderDxfId="595" totalsRowBorderDxfId="594">
  <tableColumns count="2">
    <tableColumn id="1" xr3:uid="{00000000-0010-0000-2601-000001000000}" name="Column1" headerRowDxfId="593" dataDxfId="592"/>
    <tableColumn id="2" xr3:uid="{00000000-0010-0000-2601-000002000000}" name="Column2" headerRowDxfId="591" dataDxfId="590"/>
  </tableColumns>
  <tableStyleInfo name="TableStyleLight18" showFirstColumn="0" showLastColumn="0" showRowStripes="0" showColumnStripes="0"/>
  <extLst>
    <ext xmlns:x14="http://schemas.microsoft.com/office/spreadsheetml/2009/9/main" uri="{504A1905-F514-4f6f-8877-14C23A59335A}">
      <x14:table altText="Year 2 Compliance: Total State &amp; Local Funds" altTextSummary="This table displays information for Year 2 for the Compliance Standard for the Total State &amp; Local Funds method. The final row in the table displays the MOE result for Year 2."/>
    </ext>
  </extLst>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27010000}" name="StateLocalComplianceYear3" displayName="StateLocalComplianceYear3" ref="E25:F30" headerRowCount="0" totalsRowShown="0" headerRowBorderDxfId="589" tableBorderDxfId="588" totalsRowBorderDxfId="587">
  <tableColumns count="2">
    <tableColumn id="1" xr3:uid="{00000000-0010-0000-2701-000001000000}" name="Column1" headerRowDxfId="586" dataDxfId="585"/>
    <tableColumn id="2" xr3:uid="{00000000-0010-0000-2701-000002000000}" name="Column2" headerRowDxfId="584" dataDxfId="583"/>
  </tableColumns>
  <tableStyleInfo name="TableStyleLight18" showFirstColumn="0" showLastColumn="0" showRowStripes="0" showColumnStripes="0"/>
  <extLst>
    <ext xmlns:x14="http://schemas.microsoft.com/office/spreadsheetml/2009/9/main" uri="{504A1905-F514-4f6f-8877-14C23A59335A}">
      <x14:table altText="Year 3 Compliance: Total State &amp; Local Funds" altTextSummary="This table displays information for Year 3 for the Compliance Standard for the Total State &amp; Local Funds method. The final row in the table displays the MOE result for Year 3."/>
    </ext>
  </extLst>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28010000}" name="StateLocalComplianceYear4" displayName="StateLocalComplianceYear4" ref="E33:F38" headerRowCount="0" totalsRowShown="0" headerRowBorderDxfId="582" tableBorderDxfId="581" totalsRowBorderDxfId="580">
  <tableColumns count="2">
    <tableColumn id="1" xr3:uid="{00000000-0010-0000-2801-000001000000}" name="Column1" headerRowDxfId="579" dataDxfId="578"/>
    <tableColumn id="2" xr3:uid="{00000000-0010-0000-2801-000002000000}" name="Column2" headerRowDxfId="577" dataDxfId="576"/>
  </tableColumns>
  <tableStyleInfo name="TableStyleLight18" showFirstColumn="0" showLastColumn="0" showRowStripes="0" showColumnStripes="0"/>
  <extLst>
    <ext xmlns:x14="http://schemas.microsoft.com/office/spreadsheetml/2009/9/main" uri="{504A1905-F514-4f6f-8877-14C23A59335A}">
      <x14:table altText="Year 4 Compliance: Total State &amp; Local Funds" altTextSummary="This table displays information for Year 4 for the Compliance Standard for the Total State &amp; Local Funds method. The final row in the table displays the MOE result for Year 4."/>
    </ext>
  </extLst>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29010000}" name="StateLocalComplianceYear5" displayName="StateLocalComplianceYear5" ref="E41:F46" headerRowCount="0" totalsRowShown="0" headerRowBorderDxfId="575" tableBorderDxfId="574" totalsRowBorderDxfId="573">
  <tableColumns count="2">
    <tableColumn id="1" xr3:uid="{00000000-0010-0000-2901-000001000000}" name="Column1" headerRowDxfId="572" dataDxfId="571"/>
    <tableColumn id="2" xr3:uid="{00000000-0010-0000-2901-000002000000}" name="Column2" headerRowDxfId="570" dataDxfId="569"/>
  </tableColumns>
  <tableStyleInfo name="TableStyleLight18" showFirstColumn="0" showLastColumn="0" showRowStripes="0" showColumnStripes="0"/>
  <extLst>
    <ext xmlns:x14="http://schemas.microsoft.com/office/spreadsheetml/2009/9/main" uri="{504A1905-F514-4f6f-8877-14C23A59335A}">
      <x14:table altText="Year 5 Compliance: Total State &amp; Local Funds" altTextSummary="This table displays information for Year 5 for the Compliance Standard for the Total State &amp; Local Funds method. The final row in the table displays the MOE result for Year 5."/>
    </ext>
  </extLst>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2A010000}" name="StateLocalComplianceYear6" displayName="StateLocalComplianceYear6" ref="E49:F54" headerRowCount="0" totalsRowShown="0" headerRowBorderDxfId="568" tableBorderDxfId="567" totalsRowBorderDxfId="566">
  <tableColumns count="2">
    <tableColumn id="1" xr3:uid="{00000000-0010-0000-2A01-000001000000}" name="Column1" headerRowDxfId="565" dataDxfId="564"/>
    <tableColumn id="2" xr3:uid="{00000000-0010-0000-2A01-000002000000}" name="Column2" headerRowDxfId="563" dataDxfId="562"/>
  </tableColumns>
  <tableStyleInfo name="TableStyleLight18" showFirstColumn="0" showLastColumn="0" showRowStripes="0" showColumnStripes="0"/>
  <extLst>
    <ext xmlns:x14="http://schemas.microsoft.com/office/spreadsheetml/2009/9/main" uri="{504A1905-F514-4f6f-8877-14C23A59335A}">
      <x14:table altText="Year 6 Compliance: Total State &amp; Local Funds" altTextSummary="This table displays information for Year 6 for the Compliance Standard for the Total State &amp; Local Funds method. The final row in the table displays the MOE result for Year 6."/>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2000000}" name="PriorFiscalYear" displayName="PriorFiscalYear" ref="A16:C19" totalsRowShown="0" headerRowDxfId="2619" headerRowBorderDxfId="2618" tableBorderDxfId="2617" totalsRowBorderDxfId="2616">
  <autoFilter ref="A16:C19" xr:uid="{00000000-0009-0000-0100-0000C3000000}">
    <filterColumn colId="0" hiddenButton="1"/>
    <filterColumn colId="1" hiddenButton="1"/>
    <filterColumn colId="2" hiddenButton="1"/>
  </autoFilter>
  <tableColumns count="3">
    <tableColumn id="1" xr3:uid="{00000000-0010-0000-0200-000001000000}" name="Information" dataDxfId="2615"/>
    <tableColumn id="2" xr3:uid="{00000000-0010-0000-0200-000002000000}" name="Projected (for eligibility standard)" dataDxfId="2614"/>
    <tableColumn id="3" xr3:uid="{00000000-0010-0000-0200-000003000000}" name="Final (for compliance standard)" dataDxfId="2613"/>
  </tableColumns>
  <tableStyleInfo name="TableStyleLight18" showFirstColumn="0" showLastColumn="0" showRowStripes="0" showColumnStripes="0"/>
  <extLst>
    <ext xmlns:x14="http://schemas.microsoft.com/office/spreadsheetml/2009/9/main" uri="{504A1905-F514-4f6f-8877-14C23A59335A}">
      <x14:table altText="Prior Fiscal Year Before Year 1" altTextSummary="Enter information for the fiscal year immediately prior to Year 1. The information entered here is required for proper calculation of exception (b)."/>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1000000}" name="ExcAReplaceDataYear4Budget" displayName="ExcAReplaceDataYear4Budget" ref="A15:F21" totalsRowShown="0" headerRowDxfId="2421" dataDxfId="2419" headerRowBorderDxfId="2420" tableBorderDxfId="2418">
  <tableColumns count="6">
    <tableColumn id="1" xr3:uid="{00000000-0010-0000-5100-000001000000}" name="Position Title" dataDxfId="2417"/>
    <tableColumn id="2" xr3:uid="{00000000-0010-0000-5100-000002000000}" name="Employee Name" dataDxfId="2416"/>
    <tableColumn id="3" xr3:uid="{00000000-0010-0000-5100-000003000000}" name="This column intentionally left blank" dataDxfId="2415"/>
    <tableColumn id="4" xr3:uid="{00000000-0010-0000-5100-000004000000}" name="Salary" dataDxfId="2414" dataCellStyle="Currency"/>
    <tableColumn id="5" xr3:uid="{00000000-0010-0000-5100-000005000000}" name="Benefits" dataDxfId="2413" dataCellStyle="Currency"/>
    <tableColumn id="8" xr3:uid="{00000000-0010-0000-5100-000008000000}" name="Total Budget" dataDxfId="2412"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4 Eligibility Standard" altTextSummary="Users can enter data in this table for any replacement personnel projected for Year 4. This table is for the eligiblity standard and is based on budget amounts."/>
    </ext>
  </extLst>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00000000-000C-0000-FFFF-FFFF2B010000}" name="StateLocalComplianceYear7" displayName="StateLocalComplianceYear7" ref="E57:F62" headerRowCount="0" totalsRowShown="0" headerRowBorderDxfId="561" tableBorderDxfId="560" totalsRowBorderDxfId="559">
  <tableColumns count="2">
    <tableColumn id="1" xr3:uid="{00000000-0010-0000-2B01-000001000000}" name="Column1" headerRowDxfId="558" dataDxfId="557"/>
    <tableColumn id="2" xr3:uid="{00000000-0010-0000-2B01-000002000000}" name="Column2" headerRowDxfId="556" dataDxfId="555"/>
  </tableColumns>
  <tableStyleInfo name="TableStyleLight18" showFirstColumn="0" showLastColumn="0" showRowStripes="0" showColumnStripes="0"/>
  <extLst>
    <ext xmlns:x14="http://schemas.microsoft.com/office/spreadsheetml/2009/9/main" uri="{504A1905-F514-4f6f-8877-14C23A59335A}">
      <x14:table altText="Year 7 Compliance: Total State &amp; Local Funds" altTextSummary="This table displays information for Year 7 for the Compliance Standard for the Total State &amp; Local Funds method. The final row in the table displays the MOE result for Year 7."/>
    </ext>
  </extLst>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0000000-000C-0000-FFFF-FFFF2C010000}" name="StateLocalComplianceYear8" displayName="StateLocalComplianceYear8" ref="E65:F70" headerRowCount="0" totalsRowShown="0" headerRowBorderDxfId="554" tableBorderDxfId="553" totalsRowBorderDxfId="552">
  <tableColumns count="2">
    <tableColumn id="1" xr3:uid="{00000000-0010-0000-2C01-000001000000}" name="Column1" headerRowDxfId="551" dataDxfId="550"/>
    <tableColumn id="2" xr3:uid="{00000000-0010-0000-2C01-000002000000}" name="Column2" headerRowDxfId="549" dataDxfId="548"/>
  </tableColumns>
  <tableStyleInfo name="TableStyleLight18" showFirstColumn="0" showLastColumn="0" showRowStripes="0" showColumnStripes="0"/>
  <extLst>
    <ext xmlns:x14="http://schemas.microsoft.com/office/spreadsheetml/2009/9/main" uri="{504A1905-F514-4f6f-8877-14C23A59335A}">
      <x14:table altText="Year 8 Compliance: Total State &amp; Local Funds" altTextSummary="This table displays information for Year 8 for the Compliance Standard for the Total State &amp; Local Funds method. The final row in the table displays the MOE result for Year 8."/>
    </ext>
  </extLst>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00000000-000C-0000-FFFF-FFFF2D010000}" name="StateLocalComplianceYear9" displayName="StateLocalComplianceYear9" ref="E73:F78" headerRowCount="0" totalsRowShown="0" headerRowBorderDxfId="547" tableBorderDxfId="546" totalsRowBorderDxfId="545">
  <tableColumns count="2">
    <tableColumn id="1" xr3:uid="{00000000-0010-0000-2D01-000001000000}" name="Column1" headerRowDxfId="544" dataDxfId="543"/>
    <tableColumn id="2" xr3:uid="{00000000-0010-0000-2D01-000002000000}" name="Column2" headerRowDxfId="542" dataDxfId="541"/>
  </tableColumns>
  <tableStyleInfo name="TableStyleLight18" showFirstColumn="0" showLastColumn="0" showRowStripes="0" showColumnStripes="0"/>
  <extLst>
    <ext xmlns:x14="http://schemas.microsoft.com/office/spreadsheetml/2009/9/main" uri="{504A1905-F514-4f6f-8877-14C23A59335A}">
      <x14:table altText="Year 9 Compliance: Total State &amp; Local Funds" altTextSummary="This table displays information for Year 9 for the Compliance Standard for the Total State &amp; Local Funds method. The final row in the table displays the MOE result for Year 9."/>
    </ext>
  </extLst>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00000000-000C-0000-FFFF-FFFF2E010000}" name="StateLocalComplianceYear10" displayName="StateLocalComplianceYear10" ref="E81:F86" headerRowCount="0" totalsRowShown="0" headerRowBorderDxfId="540" tableBorderDxfId="539" totalsRowBorderDxfId="538">
  <tableColumns count="2">
    <tableColumn id="1" xr3:uid="{00000000-0010-0000-2E01-000001000000}" name="Column1" headerRowDxfId="537" dataDxfId="536"/>
    <tableColumn id="2" xr3:uid="{00000000-0010-0000-2E01-000002000000}" name="Column2" headerRowDxfId="535" dataDxfId="534"/>
  </tableColumns>
  <tableStyleInfo name="TableStyleLight18" showFirstColumn="0" showLastColumn="0" showRowStripes="0" showColumnStripes="0"/>
  <extLst>
    <ext xmlns:x14="http://schemas.microsoft.com/office/spreadsheetml/2009/9/main" uri="{504A1905-F514-4f6f-8877-14C23A59335A}">
      <x14:table altText="Year 10 Compliance: Total State &amp; Local Funds" altTextSummary="This table displays information for Year 10 for the Compliance Standard for the Total State &amp; Local Funds method. The final row in the table displays the MOE result for Year 10."/>
    </ext>
  </extLst>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0000000-000C-0000-FFFF-FFFF2F010000}" name="LocalPerCapitaEligibilityPriorToYear1" displayName="LocalPerCapitaEligibilityPriorToYear1" ref="A4:B7" headerRowCount="0" totalsRowShown="0" headerRowDxfId="533" headerRowBorderDxfId="532" tableBorderDxfId="531" totalsRowBorderDxfId="530">
  <tableColumns count="2">
    <tableColumn id="1" xr3:uid="{00000000-0010-0000-2F01-000001000000}" name="Column1" headerRowDxfId="529"/>
    <tableColumn id="2" xr3:uid="{00000000-0010-0000-2F01-000002000000}" name="Column2" headerRowDxfId="528"/>
  </tableColumns>
  <tableStyleInfo name="TableStyleLight18" showFirstColumn="0" showLastColumn="0" showRowStripes="0" showColumnStripes="0"/>
  <extLst>
    <ext xmlns:x14="http://schemas.microsoft.com/office/spreadsheetml/2009/9/main" uri="{504A1905-F514-4f6f-8877-14C23A59335A}">
      <x14:table altText="Prior to Year 1: Local Funds Per Capita" altTextSummary="This table displays information for the period prior to Year 1 for the Local Funds Per Capita method."/>
    </ext>
  </extLst>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00000000-000C-0000-FFFF-FFFF30010000}" name="LocalPerCapitaCompliancePriorToYear1" displayName="LocalPerCapitaCompliancePriorToYear1" ref="E4:F7" headerRowCount="0" totalsRowShown="0" headerRowDxfId="527" headerRowBorderDxfId="526" tableBorderDxfId="525" totalsRowBorderDxfId="524">
  <tableColumns count="2">
    <tableColumn id="1" xr3:uid="{00000000-0010-0000-3001-000001000000}" name="Column1" headerRowDxfId="523"/>
    <tableColumn id="2" xr3:uid="{00000000-0010-0000-3001-000002000000}" name="Column2" headerRowDxfId="522"/>
  </tableColumns>
  <tableStyleInfo name="TableStyleLight18" showFirstColumn="0" showLastColumn="0" showRowStripes="0" showColumnStripes="0"/>
  <extLst>
    <ext xmlns:x14="http://schemas.microsoft.com/office/spreadsheetml/2009/9/main" uri="{504A1905-F514-4f6f-8877-14C23A59335A}">
      <x14:table altText="Prior to Year 1: Local Funds Per Capita" altTextSummary="This table displays information for the period prior to Year 1 for the Local Funds Per Capita method."/>
    </ext>
  </extLst>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0000000-000C-0000-FFFF-FFFF31010000}" name="LocalPerCapitaComplianceYear1" displayName="LocalPerCapitaComplianceYear1" ref="E10:F15" headerRowCount="0" totalsRowShown="0" headerRowBorderDxfId="521" tableBorderDxfId="520" totalsRowBorderDxfId="519">
  <tableColumns count="2">
    <tableColumn id="1" xr3:uid="{00000000-0010-0000-3101-000001000000}" name="Column1" headerRowDxfId="518" dataDxfId="517"/>
    <tableColumn id="2" xr3:uid="{00000000-0010-0000-3101-000002000000}" name="Column2" headerRowDxfId="516" dataDxfId="515"/>
  </tableColumns>
  <tableStyleInfo name="TableStyleLight18" showFirstColumn="0" showLastColumn="0" showRowStripes="0" showColumnStripes="0"/>
  <extLst>
    <ext xmlns:x14="http://schemas.microsoft.com/office/spreadsheetml/2009/9/main" uri="{504A1905-F514-4f6f-8877-14C23A59335A}">
      <x14:table altText="Year 1 Compliance: Local Funds Per Capita" altTextSummary="This table displays information for Year 1 for the Compliance Standard for the Local Funds Per Capita method. The final row in the table displays the MOE result for Year 1."/>
    </ext>
  </extLst>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00000000-000C-0000-FFFF-FFFF32010000}" name="LocalPerCapitaEligibilityYear2" displayName="LocalPerCapitaEligibilityYear2" ref="A18:B23" headerRowCount="0" totalsRowShown="0" headerRowBorderDxfId="514" tableBorderDxfId="513" totalsRowBorderDxfId="512">
  <tableColumns count="2">
    <tableColumn id="1" xr3:uid="{00000000-0010-0000-3201-000001000000}" name="Column1" headerRowDxfId="511" dataDxfId="510"/>
    <tableColumn id="2" xr3:uid="{00000000-0010-0000-3201-000002000000}" name="Column2" headerRowDxfId="509" dataDxfId="508"/>
  </tableColumns>
  <tableStyleInfo name="TableStyleLight18" showFirstColumn="0" showLastColumn="0" showRowStripes="0" showColumnStripes="0"/>
  <extLst>
    <ext xmlns:x14="http://schemas.microsoft.com/office/spreadsheetml/2009/9/main" uri="{504A1905-F514-4f6f-8877-14C23A59335A}">
      <x14:table altText="Year 2 Eligibility: Local Funds Per Capita" altTextSummary="This table displays information for Year 2 for the Eligibility Standard for the Local Funds Per Capita method. The final row in the table displays the MOE result for Year 2."/>
    </ext>
  </extLst>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00000000-000C-0000-FFFF-FFFF33010000}" name="LocalPerCapitaComplianceYear2" displayName="LocalPerCapitaComplianceYear2" ref="E18:F23" headerRowCount="0" totalsRowShown="0" headerRowBorderDxfId="507" tableBorderDxfId="506" totalsRowBorderDxfId="505">
  <tableColumns count="2">
    <tableColumn id="1" xr3:uid="{00000000-0010-0000-3301-000001000000}" name="Column1" headerRowDxfId="504" dataDxfId="503"/>
    <tableColumn id="2" xr3:uid="{00000000-0010-0000-3301-000002000000}" name="Column2" headerRowDxfId="502" dataDxfId="501"/>
  </tableColumns>
  <tableStyleInfo name="TableStyleLight18" showFirstColumn="0" showLastColumn="0" showRowStripes="0" showColumnStripes="0"/>
  <extLst>
    <ext xmlns:x14="http://schemas.microsoft.com/office/spreadsheetml/2009/9/main" uri="{504A1905-F514-4f6f-8877-14C23A59335A}">
      <x14:table altText="Year 2 Compliance: Local Funds Per Capita" altTextSummary="This table displays information for Year 2 for the Compliance Standard for the Local Funds Per Capita method. The final row in the table displays the MOE result for Year 2."/>
    </ext>
  </extLst>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000000-000C-0000-FFFF-FFFF34010000}" name="LocalPerCapitaEligibilityYear3" displayName="LocalPerCapitaEligibilityYear3" ref="A26:B31" headerRowCount="0" totalsRowShown="0" headerRowBorderDxfId="500" tableBorderDxfId="499" totalsRowBorderDxfId="498">
  <tableColumns count="2">
    <tableColumn id="1" xr3:uid="{00000000-0010-0000-3401-000001000000}" name="Column1" headerRowDxfId="497" dataDxfId="496"/>
    <tableColumn id="2" xr3:uid="{00000000-0010-0000-3401-000002000000}" name="Column2" headerRowDxfId="495" dataDxfId="494"/>
  </tableColumns>
  <tableStyleInfo name="TableStyleMedium2" showFirstColumn="0" showLastColumn="0" showRowStripes="0" showColumnStripes="0"/>
  <extLst>
    <ext xmlns:x14="http://schemas.microsoft.com/office/spreadsheetml/2009/9/main" uri="{504A1905-F514-4f6f-8877-14C23A59335A}">
      <x14:table altText="Year 3 Eligibility: Local Funds Per Capita" altTextSummary="This table displays information for Year 3 for the Eligibility Standard for the Local Funds Per Capita method. The final row in the table displays the MOE result for Year 3."/>
    </ext>
  </extLst>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2000000}" name="ExcDDataYear4Budget" displayName="ExcDDataYear4Budget" ref="A47:B53" totalsRowShown="0" headerRowDxfId="2411" dataDxfId="2409" headerRowBorderDxfId="2410" tableBorderDxfId="2408">
  <tableColumns count="2">
    <tableColumn id="1" xr3:uid="{00000000-0010-0000-5200-000001000000}" name="Description" dataDxfId="2407"/>
    <tableColumn id="2" xr3:uid="{00000000-0010-0000-5200-000002000000}" name="Budgeted Cost in Final Year" dataDxfId="2406"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4 Eligiblity Standard" altTextSummary="Users can enter data in this table for the projected termination of costly expenditures for long-term purchases for Year 4. This table is for the eligiblity standard and is based on budget amounts."/>
    </ext>
  </extLst>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00000000-000C-0000-FFFF-FFFF35010000}" name="LocalPerCapitaComplianceYear3" displayName="LocalPerCapitaComplianceYear3" ref="E26:F31" headerRowCount="0" totalsRowShown="0" headerRowBorderDxfId="493" tableBorderDxfId="492" totalsRowBorderDxfId="491">
  <tableColumns count="2">
    <tableColumn id="1" xr3:uid="{00000000-0010-0000-3501-000001000000}" name="Column1" headerRowDxfId="490" dataDxfId="489"/>
    <tableColumn id="2" xr3:uid="{00000000-0010-0000-3501-000002000000}" name="Column2" headerRowDxfId="488" dataDxfId="487"/>
  </tableColumns>
  <tableStyleInfo name="TableStyleLight18" showFirstColumn="0" showLastColumn="0" showRowStripes="0" showColumnStripes="0"/>
  <extLst>
    <ext xmlns:x14="http://schemas.microsoft.com/office/spreadsheetml/2009/9/main" uri="{504A1905-F514-4f6f-8877-14C23A59335A}">
      <x14:table altText="Year 3 Compliance: Local Funds Per Capita" altTextSummary="This table displays information for Year 3 for the Compliance Standard for the Local Funds Per Capita method. The final row in the table displays the MOE result for Year 3."/>
    </ext>
  </extLst>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00000000-000C-0000-FFFF-FFFF36010000}" name="LocalPerCapitaEligibilityYear4" displayName="LocalPerCapitaEligibilityYear4" ref="A34:B39" headerRowCount="0" totalsRowShown="0" headerRowBorderDxfId="486" tableBorderDxfId="485" totalsRowBorderDxfId="484">
  <tableColumns count="2">
    <tableColumn id="1" xr3:uid="{00000000-0010-0000-3601-000001000000}" name="Column1" headerRowDxfId="483" dataDxfId="482"/>
    <tableColumn id="2" xr3:uid="{00000000-0010-0000-3601-000002000000}" name="Column2" headerRowDxfId="481" dataDxfId="480"/>
  </tableColumns>
  <tableStyleInfo name="TableStyleLight18" showFirstColumn="0" showLastColumn="0" showRowStripes="0" showColumnStripes="0"/>
  <extLst>
    <ext xmlns:x14="http://schemas.microsoft.com/office/spreadsheetml/2009/9/main" uri="{504A1905-F514-4f6f-8877-14C23A59335A}">
      <x14:table altText="Year 4 Eligibility: Local Funds Per Capita" altTextSummary="This table displays information for Year 4 for the Eligibility Standard for the Local Funds Per Capita method. The final row in the table displays the MOE result for Year 4."/>
    </ext>
  </extLst>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00000000-000C-0000-FFFF-FFFF37010000}" name="LocalPerCapitaComplianceYear4" displayName="LocalPerCapitaComplianceYear4" ref="E34:F39" headerRowCount="0" totalsRowShown="0" headerRowBorderDxfId="479" tableBorderDxfId="478" totalsRowBorderDxfId="477">
  <tableColumns count="2">
    <tableColumn id="1" xr3:uid="{00000000-0010-0000-3701-000001000000}" name="Column1" headerRowDxfId="476" dataDxfId="475"/>
    <tableColumn id="2" xr3:uid="{00000000-0010-0000-3701-000002000000}" name="Column2" headerRowDxfId="474" dataDxfId="473"/>
  </tableColumns>
  <tableStyleInfo name="TableStyleLight18" showFirstColumn="0" showLastColumn="0" showRowStripes="0" showColumnStripes="0"/>
  <extLst>
    <ext xmlns:x14="http://schemas.microsoft.com/office/spreadsheetml/2009/9/main" uri="{504A1905-F514-4f6f-8877-14C23A59335A}">
      <x14:table altText="Year 4 Compliance: Local Funds Per Capita" altTextSummary="This table displays information for Year 4 for the Compliance Standard for the Local Funds Per Capita method. The final row in the table displays the MOE result for Year 4."/>
    </ext>
  </extLst>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00000000-000C-0000-FFFF-FFFF38010000}" name="LocalPerCapitaEligibilityYear5" displayName="LocalPerCapitaEligibilityYear5" ref="A42:B47" headerRowCount="0" totalsRowShown="0" headerRowBorderDxfId="472" tableBorderDxfId="471" totalsRowBorderDxfId="470">
  <tableColumns count="2">
    <tableColumn id="1" xr3:uid="{00000000-0010-0000-3801-000001000000}" name="Column1" headerRowDxfId="469" dataDxfId="468"/>
    <tableColumn id="2" xr3:uid="{00000000-0010-0000-3801-000002000000}" name="Column2" headerRowDxfId="467" dataDxfId="466"/>
  </tableColumns>
  <tableStyleInfo name="TableStyleLight18" showFirstColumn="0" showLastColumn="0" showRowStripes="0" showColumnStripes="0"/>
  <extLst>
    <ext xmlns:x14="http://schemas.microsoft.com/office/spreadsheetml/2009/9/main" uri="{504A1905-F514-4f6f-8877-14C23A59335A}">
      <x14:table altText="Year 5 Eligibility: Local Funds Per Capita" altTextSummary="This table displays information for Year 5 for the Eligibility Standard for the Local Funds Per Capita method. The final row in the table displays the MOE result for Year 5."/>
    </ext>
  </extLst>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00000000-000C-0000-FFFF-FFFF39010000}" name="LocalPerCapitaComplianceYear5" displayName="LocalPerCapitaComplianceYear5" ref="E42:F47" headerRowCount="0" totalsRowShown="0" headerRowBorderDxfId="465" tableBorderDxfId="464" totalsRowBorderDxfId="463">
  <tableColumns count="2">
    <tableColumn id="1" xr3:uid="{00000000-0010-0000-3901-000001000000}" name="Column1" headerRowDxfId="462" dataDxfId="461"/>
    <tableColumn id="2" xr3:uid="{00000000-0010-0000-3901-000002000000}" name="Column2" headerRowDxfId="460" dataDxfId="459"/>
  </tableColumns>
  <tableStyleInfo name="TableStyleLight18" showFirstColumn="0" showLastColumn="0" showRowStripes="0" showColumnStripes="0"/>
  <extLst>
    <ext xmlns:x14="http://schemas.microsoft.com/office/spreadsheetml/2009/9/main" uri="{504A1905-F514-4f6f-8877-14C23A59335A}">
      <x14:table altText="Year 5 Compliance: Local Funds Per Capita" altTextSummary="This table displays information for Year 5 for the Compliance Standard for the Local Funds Per Capita method. The final row in the table displays the MOE result for Year 5."/>
    </ext>
  </extLst>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000000-000C-0000-FFFF-FFFF3A010000}" name="LocalPerCapitaEligibilityYear6" displayName="LocalPerCapitaEligibilityYear6" ref="A50:B55" headerRowCount="0" totalsRowShown="0" headerRowBorderDxfId="458" tableBorderDxfId="457" totalsRowBorderDxfId="456">
  <tableColumns count="2">
    <tableColumn id="1" xr3:uid="{00000000-0010-0000-3A01-000001000000}" name="Column1" headerRowDxfId="455" dataDxfId="454"/>
    <tableColumn id="2" xr3:uid="{00000000-0010-0000-3A01-000002000000}" name="Column2" headerRowDxfId="453" dataDxfId="452"/>
  </tableColumns>
  <tableStyleInfo name="TableStyleLight18" showFirstColumn="0" showLastColumn="0" showRowStripes="0" showColumnStripes="0"/>
  <extLst>
    <ext xmlns:x14="http://schemas.microsoft.com/office/spreadsheetml/2009/9/main" uri="{504A1905-F514-4f6f-8877-14C23A59335A}">
      <x14:table altText="Year 6 Eligibility: Local Funds Per Capita" altTextSummary="This table displays information for Year 6 for the Eligibility Standard for the Local Funds Per Capita method. The final row in the table displays the MOE result for Year 6."/>
    </ext>
  </extLst>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00000000-000C-0000-FFFF-FFFF3B010000}" name="LocalPerCapitaComplianceYear6" displayName="LocalPerCapitaComplianceYear6" ref="E50:F55" headerRowCount="0" totalsRowShown="0" headerRowBorderDxfId="451" tableBorderDxfId="450" totalsRowBorderDxfId="449">
  <tableColumns count="2">
    <tableColumn id="1" xr3:uid="{00000000-0010-0000-3B01-000001000000}" name="Column1" headerRowDxfId="448" dataDxfId="447"/>
    <tableColumn id="2" xr3:uid="{00000000-0010-0000-3B01-000002000000}" name="Column2" headerRowDxfId="446" dataDxfId="445"/>
  </tableColumns>
  <tableStyleInfo name="TableStyleLight18" showFirstColumn="0" showLastColumn="0" showRowStripes="0" showColumnStripes="0"/>
  <extLst>
    <ext xmlns:x14="http://schemas.microsoft.com/office/spreadsheetml/2009/9/main" uri="{504A1905-F514-4f6f-8877-14C23A59335A}">
      <x14:table altText="Year 6 Compliance: Local Funds Per Capita" altTextSummary="This table displays information for Year 6 for the Compliance Standard for the Local Funds Per Capita method. The final row in the table displays the MOE result for Year 6."/>
    </ext>
  </extLst>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0000000-000C-0000-FFFF-FFFF3C010000}" name="LocalPerCapitaEligibilityYear7" displayName="LocalPerCapitaEligibilityYear7" ref="A58:B63" headerRowCount="0" totalsRowShown="0" headerRowBorderDxfId="444" tableBorderDxfId="443" totalsRowBorderDxfId="442">
  <tableColumns count="2">
    <tableColumn id="1" xr3:uid="{00000000-0010-0000-3C01-000001000000}" name="Column1" headerRowDxfId="441" dataDxfId="440"/>
    <tableColumn id="2" xr3:uid="{00000000-0010-0000-3C01-000002000000}" name="Column2" headerRowDxfId="439" dataDxfId="438"/>
  </tableColumns>
  <tableStyleInfo name="TableStyleLight18" showFirstColumn="0" showLastColumn="0" showRowStripes="0" showColumnStripes="0"/>
  <extLst>
    <ext xmlns:x14="http://schemas.microsoft.com/office/spreadsheetml/2009/9/main" uri="{504A1905-F514-4f6f-8877-14C23A59335A}">
      <x14:table altText="Year 7 Eligibility: Local Funds Per Capita" altTextSummary="This table displays information for Year 7 for the Eligibility Standard for the Local Funds Per Capita method. The final row in the table displays the MOE result for Year 7."/>
    </ext>
  </extLst>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00000000-000C-0000-FFFF-FFFF3D010000}" name="LocalPerCapitaComplianceYear7" displayName="LocalPerCapitaComplianceYear7" ref="E58:F63" headerRowCount="0" totalsRowShown="0" headerRowBorderDxfId="437" tableBorderDxfId="436" totalsRowBorderDxfId="435">
  <tableColumns count="2">
    <tableColumn id="1" xr3:uid="{00000000-0010-0000-3D01-000001000000}" name="Column1" headerRowDxfId="434" dataDxfId="433"/>
    <tableColumn id="2" xr3:uid="{00000000-0010-0000-3D01-000002000000}" name="Column2" headerRowDxfId="432" dataDxfId="431"/>
  </tableColumns>
  <tableStyleInfo name="TableStyleLight18" showFirstColumn="0" showLastColumn="0" showRowStripes="0" showColumnStripes="0"/>
  <extLst>
    <ext xmlns:x14="http://schemas.microsoft.com/office/spreadsheetml/2009/9/main" uri="{504A1905-F514-4f6f-8877-14C23A59335A}">
      <x14:table altText="Year 7 Compliance: Local Funds Per Capita" altTextSummary="This table displays information for Year 7 for the Compliance Standard for the Local Funds Per Capita method. The final row in the table displays the MOE result for Year 7."/>
    </ext>
  </extLst>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3E010000}" name="LocalPerCapitaEligibilityYear8" displayName="LocalPerCapitaEligibilityYear8" ref="A66:B71" headerRowCount="0" totalsRowShown="0" headerRowBorderDxfId="430" tableBorderDxfId="429" totalsRowBorderDxfId="428">
  <tableColumns count="2">
    <tableColumn id="1" xr3:uid="{00000000-0010-0000-3E01-000001000000}" name="Column1" headerRowDxfId="427" dataDxfId="426"/>
    <tableColumn id="2" xr3:uid="{00000000-0010-0000-3E01-000002000000}" name="Column2" headerRowDxfId="425" dataDxfId="424"/>
  </tableColumns>
  <tableStyleInfo name="TableStyleLight18" showFirstColumn="0" showLastColumn="0" showRowStripes="0" showColumnStripes="0"/>
  <extLst>
    <ext xmlns:x14="http://schemas.microsoft.com/office/spreadsheetml/2009/9/main" uri="{504A1905-F514-4f6f-8877-14C23A59335A}">
      <x14:table altText="Year 8 Eligibility: Local Funds Per Capita" altTextSummary="This table displays information for Year 8 for the Eligibility Standard for the Local Funds Per Capita method. The final row in the table displays the MOE result for Year 8."/>
    </ext>
  </extLst>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3000000}" name="AdjDataYear4Budget" displayName="AdjDataYear4Budget" ref="A71:B72" totalsRowShown="0" headerRowDxfId="2405" dataDxfId="2403" headerRowBorderDxfId="2404" tableBorderDxfId="2402" totalsRowBorderDxfId="2401">
  <tableColumns count="2">
    <tableColumn id="1" xr3:uid="{00000000-0010-0000-5300-000001000000}" name="Column1" dataDxfId="2400"/>
    <tableColumn id="2" xr3:uid="{00000000-0010-0000-5300-000002000000}" name="Projected Adjustment" dataDxfId="2399"/>
  </tableColumns>
  <tableStyleInfo name="TableStyleMedium9" showFirstColumn="0" showLastColumn="0" showRowStripes="0" showColumnStripes="0"/>
  <extLst>
    <ext xmlns:x14="http://schemas.microsoft.com/office/spreadsheetml/2009/9/main" uri="{504A1905-F514-4f6f-8877-14C23A59335A}">
      <x14:table altText="MOE Adjustment Data Entry for Year 4 Eligiblity Standard" altTextSummary="Users can enter data in this table for the projected Adjustment to MOE for Year 4. This table is for the eligiblity standard and is based on budget amounts. Use IDC's MOE Reduction Decision Tree and Calculator to determine the adjustment amount."/>
    </ext>
  </extLst>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3F010000}" name="LocalPerCapitaComplianceYear8" displayName="LocalPerCapitaComplianceYear8" ref="E66:F71" headerRowCount="0" totalsRowShown="0" headerRowBorderDxfId="423" tableBorderDxfId="422" totalsRowBorderDxfId="421">
  <tableColumns count="2">
    <tableColumn id="1" xr3:uid="{00000000-0010-0000-3F01-000001000000}" name="Column1" headerRowDxfId="420" dataDxfId="419"/>
    <tableColumn id="2" xr3:uid="{00000000-0010-0000-3F01-000002000000}" name="Column2" headerRowDxfId="418" dataDxfId="417"/>
  </tableColumns>
  <tableStyleInfo name="TableStyleLight18" showFirstColumn="0" showLastColumn="0" showRowStripes="0" showColumnStripes="0"/>
  <extLst>
    <ext xmlns:x14="http://schemas.microsoft.com/office/spreadsheetml/2009/9/main" uri="{504A1905-F514-4f6f-8877-14C23A59335A}">
      <x14:table altText="Year 8 Compliance: Local Funds Per Capita" altTextSummary="This table displays information for Year 8 for the Compliance Standard for the Local Funds Per Capita method. The final row in the table displays the MOE result for Year 8."/>
    </ext>
  </extLst>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40010000}" name="LocalPerCapitaEligibilityYear9" displayName="LocalPerCapitaEligibilityYear9" ref="A74:B79" headerRowCount="0" totalsRowShown="0" headerRowBorderDxfId="416" tableBorderDxfId="415" totalsRowBorderDxfId="414">
  <tableColumns count="2">
    <tableColumn id="1" xr3:uid="{00000000-0010-0000-4001-000001000000}" name="Column1" headerRowDxfId="413" dataDxfId="412"/>
    <tableColumn id="2" xr3:uid="{00000000-0010-0000-4001-000002000000}" name="Column2" headerRowDxfId="411" dataDxfId="410"/>
  </tableColumns>
  <tableStyleInfo name="TableStyleLight18" showFirstColumn="0" showLastColumn="0" showRowStripes="0" showColumnStripes="0"/>
  <extLst>
    <ext xmlns:x14="http://schemas.microsoft.com/office/spreadsheetml/2009/9/main" uri="{504A1905-F514-4f6f-8877-14C23A59335A}">
      <x14:table altText="Year 9 Eligibility: Local Funds Per Capita" altTextSummary="This table displays information for Year 9 for the Eligibility Standard for the Local Funds Per Capita method. The final row in the table displays the MOE result for Year 9."/>
    </ext>
  </extLst>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41010000}" name="LocalPerCapitaComplianceYear9" displayName="LocalPerCapitaComplianceYear9" ref="E74:F79" headerRowCount="0" totalsRowShown="0" headerRowBorderDxfId="409" tableBorderDxfId="408" totalsRowBorderDxfId="407">
  <tableColumns count="2">
    <tableColumn id="1" xr3:uid="{00000000-0010-0000-4101-000001000000}" name="Column1" headerRowDxfId="406" dataDxfId="405"/>
    <tableColumn id="2" xr3:uid="{00000000-0010-0000-4101-000002000000}" name="Column2" headerRowDxfId="404" dataDxfId="403"/>
  </tableColumns>
  <tableStyleInfo name="TableStyleLight18" showFirstColumn="0" showLastColumn="0" showRowStripes="0" showColumnStripes="0"/>
  <extLst>
    <ext xmlns:x14="http://schemas.microsoft.com/office/spreadsheetml/2009/9/main" uri="{504A1905-F514-4f6f-8877-14C23A59335A}">
      <x14:table altText="Year 9 Compliance: Local Funds Per Capita" altTextSummary="This table displays information for Year 9 for the Compliance Standard for the Local Funds Per Capita method. The final row in the table displays the MOE result for Year 9."/>
    </ext>
  </extLst>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42010000}" name="LocalPerCapitaEligibilityYear10" displayName="LocalPerCapitaEligibilityYear10" ref="A82:B87" headerRowCount="0" totalsRowShown="0" headerRowBorderDxfId="402" tableBorderDxfId="401" totalsRowBorderDxfId="400">
  <tableColumns count="2">
    <tableColumn id="1" xr3:uid="{00000000-0010-0000-4201-000001000000}" name="Column1" headerRowDxfId="399" dataDxfId="398"/>
    <tableColumn id="2" xr3:uid="{00000000-0010-0000-4201-000002000000}" name="Column2" headerRowDxfId="397" dataDxfId="396"/>
  </tableColumns>
  <tableStyleInfo name="TableStyleLight18" showFirstColumn="0" showLastColumn="0" showRowStripes="0" showColumnStripes="0"/>
  <extLst>
    <ext xmlns:x14="http://schemas.microsoft.com/office/spreadsheetml/2009/9/main" uri="{504A1905-F514-4f6f-8877-14C23A59335A}">
      <x14:table altText="Year 10 Eligibility: Local Funds Per Capita" altTextSummary="This table displays information for Year 10 for the Eligibility Standard for the Local Funds Per Capita method. The final row in the table displays the MOE result for Year 10."/>
    </ext>
  </extLst>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43010000}" name="LocalPerCapitaComplianceYear10" displayName="LocalPerCapitaComplianceYear10" ref="E82:F87" headerRowCount="0" totalsRowShown="0" headerRowBorderDxfId="395" tableBorderDxfId="394" totalsRowBorderDxfId="393">
  <tableColumns count="2">
    <tableColumn id="1" xr3:uid="{00000000-0010-0000-4301-000001000000}" name="Column1" headerRowDxfId="392" dataDxfId="391"/>
    <tableColumn id="2" xr3:uid="{00000000-0010-0000-4301-000002000000}" name="Column2" headerRowDxfId="390" dataDxfId="389"/>
  </tableColumns>
  <tableStyleInfo name="TableStyleLight18" showFirstColumn="0" showLastColumn="0" showRowStripes="0" showColumnStripes="0"/>
  <extLst>
    <ext xmlns:x14="http://schemas.microsoft.com/office/spreadsheetml/2009/9/main" uri="{504A1905-F514-4f6f-8877-14C23A59335A}">
      <x14:table altText="Year 10 Compliance: Local Funds Per Capita" altTextSummary="This table displays information for Year 10 for the Compliance Standard for the Local Funds Per Capita method. The final row in the table displays the MOE result for Year 10."/>
    </ext>
  </extLst>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44010000}" name="LocalPerCapitaEligibilityYear11" displayName="LocalPerCapitaEligibilityYear11" ref="A90:B95" headerRowCount="0" totalsRowShown="0" headerRowBorderDxfId="388" tableBorderDxfId="387" totalsRowBorderDxfId="386">
  <tableColumns count="2">
    <tableColumn id="1" xr3:uid="{00000000-0010-0000-4401-000001000000}" name="Column1" headerRowDxfId="385" dataDxfId="384"/>
    <tableColumn id="2" xr3:uid="{00000000-0010-0000-4401-000002000000}" name="Column2" headerRowDxfId="383" dataDxfId="382"/>
  </tableColumns>
  <tableStyleInfo name="TableStyleLight18" showFirstColumn="0" showLastColumn="0" showRowStripes="0" showColumnStripes="0"/>
  <extLst>
    <ext xmlns:x14="http://schemas.microsoft.com/office/spreadsheetml/2009/9/main" uri="{504A1905-F514-4f6f-8877-14C23A59335A}">
      <x14:table altText="Year 11 Eligibility: Local Funds Per Capita" altTextSummary="This table displays information for Year 11 for the Eligibility Standard for the Local Funds Per Capita method. The final row in the table displays the MOE result for Year 11."/>
    </ext>
  </extLst>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45010000}" name="StateLocalPerCapitaEligibilityPriorToYear1" displayName="StateLocalPerCapitaEligibilityPriorToYear1" ref="A4:B7" headerRowCount="0" totalsRowShown="0" headerRowDxfId="381" headerRowBorderDxfId="380" tableBorderDxfId="379" totalsRowBorderDxfId="378">
  <tableColumns count="2">
    <tableColumn id="1" xr3:uid="{00000000-0010-0000-4501-000001000000}" name="Column1" headerRowDxfId="377"/>
    <tableColumn id="2" xr3:uid="{00000000-0010-0000-4501-000002000000}" name="Column2" headerRowDxfId="376"/>
  </tableColumns>
  <tableStyleInfo name="TableStyleLight18" showFirstColumn="0" showLastColumn="0" showRowStripes="0" showColumnStripes="0"/>
  <extLst>
    <ext xmlns:x14="http://schemas.microsoft.com/office/spreadsheetml/2009/9/main" uri="{504A1905-F514-4f6f-8877-14C23A59335A}">
      <x14:table altText="Prior to Year 1: State &amp; Local Funds Per Capita" altTextSummary="This table displays information for the period prior to Year 1 for the State &amp; Local Funds Per Capita method."/>
    </ext>
  </extLst>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46010000}" name="StateLocalPerCapitaPriorToYear1" displayName="StateLocalPerCapitaPriorToYear1" ref="E4:F7" headerRowCount="0" totalsRowShown="0" headerRowDxfId="375" headerRowBorderDxfId="374" tableBorderDxfId="373" totalsRowBorderDxfId="372">
  <tableColumns count="2">
    <tableColumn id="1" xr3:uid="{00000000-0010-0000-4601-000001000000}" name="Column1" headerRowDxfId="371"/>
    <tableColumn id="2" xr3:uid="{00000000-0010-0000-4601-000002000000}" name="Column2" headerRowDxfId="370"/>
  </tableColumns>
  <tableStyleInfo name="TableStyleLight18" showFirstColumn="0" showLastColumn="0" showRowStripes="0" showColumnStripes="0"/>
  <extLst>
    <ext xmlns:x14="http://schemas.microsoft.com/office/spreadsheetml/2009/9/main" uri="{504A1905-F514-4f6f-8877-14C23A59335A}">
      <x14:table altText="Prior to Year 1: State &amp; Local Funds Per Capita" altTextSummary="This table displays information for the period prior to Year 1 for the State &amp; Local Funds Per Capita method."/>
    </ext>
  </extLst>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47010000}" name="StateLocalPerCapitaComplianceYear1" displayName="StateLocalPerCapitaComplianceYear1" ref="E10:F15" headerRowCount="0" totalsRowShown="0" headerRowBorderDxfId="369" tableBorderDxfId="368" totalsRowBorderDxfId="367">
  <tableColumns count="2">
    <tableColumn id="1" xr3:uid="{00000000-0010-0000-4701-000001000000}" name="Column1" headerRowDxfId="366" dataDxfId="365"/>
    <tableColumn id="2" xr3:uid="{00000000-0010-0000-4701-000002000000}" name="Column2" headerRowDxfId="364" dataDxfId="363"/>
  </tableColumns>
  <tableStyleInfo name="TableStyleLight18" showFirstColumn="0" showLastColumn="0" showRowStripes="0" showColumnStripes="0"/>
  <extLst>
    <ext xmlns:x14="http://schemas.microsoft.com/office/spreadsheetml/2009/9/main" uri="{504A1905-F514-4f6f-8877-14C23A59335A}">
      <x14:table altText="Year 1 Compliance: State &amp; Local Funds Per Capita" altTextSummary="This table displays information for Year 1 for the Compliance Standard for the State &amp; Local Funds Per Capita method. The final row in the table displays the MOE result for Year 1."/>
    </ext>
  </extLst>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48010000}" name="StateLocalPerCapitaEligibilityYear2" displayName="StateLocalPerCapitaEligibilityYear2" ref="A18:B23" headerRowCount="0" totalsRowShown="0" headerRowBorderDxfId="362" tableBorderDxfId="361" totalsRowBorderDxfId="360">
  <tableColumns count="2">
    <tableColumn id="1" xr3:uid="{00000000-0010-0000-4801-000001000000}" name="Column1" headerRowDxfId="359" dataDxfId="358"/>
    <tableColumn id="2" xr3:uid="{00000000-0010-0000-4801-000002000000}" name="Column2" headerRowDxfId="357" dataDxfId="356"/>
  </tableColumns>
  <tableStyleInfo name="TableStyleLight18" showFirstColumn="0" showLastColumn="0" showRowStripes="0" showColumnStripes="0"/>
  <extLst>
    <ext xmlns:x14="http://schemas.microsoft.com/office/spreadsheetml/2009/9/main" uri="{504A1905-F514-4f6f-8877-14C23A59335A}">
      <x14:table altText="Year 2 Eligibility: State &amp; Local Funds Per Capita" altTextSummary="This table displays information for Year 2 for the Eligibility Standard for the State &amp; Local Funds Per Capita method. The final row in the table displays the MOE result for Year 2."/>
    </ext>
  </extLst>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4000000}" name="ExcCDataYear4Budget" displayName="ExcCDataYear4Budget" ref="A37:C43" totalsRowShown="0" headerRowDxfId="2398" dataDxfId="2397" tableBorderDxfId="2396">
  <tableColumns count="3">
    <tableColumn id="1" xr3:uid="{00000000-0010-0000-5400-000001000000}" name="Student Identifier" dataDxfId="2395"/>
    <tableColumn id="2" xr3:uid="{00000000-0010-0000-5400-000002000000}" name="Reason" dataDxfId="2394"/>
    <tableColumn id="3" xr3:uid="{00000000-0010-0000-5400-000003000000}" name="Budgeted Cost" dataDxfId="2393"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4 Eligiblity Standard" altTextSummary="Users can enter data in this table for the projected termination of the obligation to provide special education to a particular student that is an exceptionally costly program projected for Year 4. This table is for the eligiblity standard and is based on budget amounts."/>
    </ext>
  </extLst>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49010000}" name="StateLocalPerCapitaComplianceYear2" displayName="StateLocalPerCapitaComplianceYear2" ref="E18:F23" headerRowCount="0" totalsRowShown="0" headerRowBorderDxfId="355" tableBorderDxfId="354" totalsRowBorderDxfId="353">
  <tableColumns count="2">
    <tableColumn id="1" xr3:uid="{00000000-0010-0000-4901-000001000000}" name="Column1" headerRowDxfId="352" dataDxfId="351"/>
    <tableColumn id="2" xr3:uid="{00000000-0010-0000-4901-000002000000}" name="Column2" headerRowDxfId="350" dataDxfId="349"/>
  </tableColumns>
  <tableStyleInfo name="TableStyleLight18" showFirstColumn="0" showLastColumn="0" showRowStripes="0" showColumnStripes="0"/>
  <extLst>
    <ext xmlns:x14="http://schemas.microsoft.com/office/spreadsheetml/2009/9/main" uri="{504A1905-F514-4f6f-8877-14C23A59335A}">
      <x14:table altText="Year 2 Compliance: State &amp; Local Funds Per Capita" altTextSummary="This table displays information for Year 2 for the Compliance Standard for the State &amp; Local Funds Per Capita method. The final row in the table displays the MOE result for Year 2."/>
    </ext>
  </extLst>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00000000-000C-0000-FFFF-FFFF4A010000}" name="StateLocalPerCapitaEligibilityYear3" displayName="StateLocalPerCapitaEligibilityYear3" ref="A26:B31" headerRowCount="0" totalsRowShown="0" headerRowBorderDxfId="348" tableBorderDxfId="347" totalsRowBorderDxfId="346">
  <tableColumns count="2">
    <tableColumn id="1" xr3:uid="{00000000-0010-0000-4A01-000001000000}" name="Column1" headerRowDxfId="345" dataDxfId="344"/>
    <tableColumn id="2" xr3:uid="{00000000-0010-0000-4A01-000002000000}" name="Column2" headerRowDxfId="343" dataDxfId="342"/>
  </tableColumns>
  <tableStyleInfo name="TableStyleLight18" showFirstColumn="0" showLastColumn="0" showRowStripes="0" showColumnStripes="0"/>
  <extLst>
    <ext xmlns:x14="http://schemas.microsoft.com/office/spreadsheetml/2009/9/main" uri="{504A1905-F514-4f6f-8877-14C23A59335A}">
      <x14:table altText="Year 3 Eligibility: State &amp; Local Funds Per Capita" altTextSummary="This table displays information for Year 3 for the Eligibility Standard for the State &amp; Local Funds Per Capita method. The final row in the table displays the MOE result for Year 3."/>
    </ext>
  </extLst>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00000000-000C-0000-FFFF-FFFF4B010000}" name="StateLocalPerCapitaComplianceYear3" displayName="StateLocalPerCapitaComplianceYear3" ref="E26:F31" headerRowCount="0" totalsRowShown="0" headerRowBorderDxfId="341" tableBorderDxfId="340" totalsRowBorderDxfId="339">
  <tableColumns count="2">
    <tableColumn id="1" xr3:uid="{00000000-0010-0000-4B01-000001000000}" name="Column1" headerRowDxfId="338" dataDxfId="337"/>
    <tableColumn id="2" xr3:uid="{00000000-0010-0000-4B01-000002000000}" name="Column2" headerRowDxfId="336" dataDxfId="335"/>
  </tableColumns>
  <tableStyleInfo name="TableStyleLight18" showFirstColumn="0" showLastColumn="0" showRowStripes="0" showColumnStripes="0"/>
  <extLst>
    <ext xmlns:x14="http://schemas.microsoft.com/office/spreadsheetml/2009/9/main" uri="{504A1905-F514-4f6f-8877-14C23A59335A}">
      <x14:table altText="Year 3 Compliance: State &amp; Local Funds Per Capita" altTextSummary="This table displays information for Year 3 for the Compliance Standard for the State &amp; Local Funds Per Capita method. The final row in the table displays the MOE result for Year 3."/>
    </ext>
  </extLst>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00000000-000C-0000-FFFF-FFFF4C010000}" name="StateLocalPerCapitaEligibilityYear4" displayName="StateLocalPerCapitaEligibilityYear4" ref="A34:B39" headerRowCount="0" totalsRowShown="0" headerRowBorderDxfId="334" tableBorderDxfId="333" totalsRowBorderDxfId="332">
  <tableColumns count="2">
    <tableColumn id="1" xr3:uid="{00000000-0010-0000-4C01-000001000000}" name="Column1" headerRowDxfId="331" dataDxfId="330"/>
    <tableColumn id="2" xr3:uid="{00000000-0010-0000-4C01-000002000000}" name="Column2" headerRowDxfId="329" dataDxfId="328"/>
  </tableColumns>
  <tableStyleInfo name="TableStyleLight18" showFirstColumn="0" showLastColumn="0" showRowStripes="0" showColumnStripes="0"/>
  <extLst>
    <ext xmlns:x14="http://schemas.microsoft.com/office/spreadsheetml/2009/9/main" uri="{504A1905-F514-4f6f-8877-14C23A59335A}">
      <x14:table altText="Year 4 Eligibility: State &amp; Local Funds Per Capita" altTextSummary="This table displays information for Year 4 for the Eligibility Standard for the State &amp; Local Funds Per Capita method. The final row in the table displays the MOE result for Year 4."/>
    </ext>
  </extLst>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0000000-000C-0000-FFFF-FFFF4D010000}" name="StateLocalPerCapitaComplianceYear4" displayName="StateLocalPerCapitaComplianceYear4" ref="E34:F39" headerRowCount="0" totalsRowShown="0" headerRowBorderDxfId="327" tableBorderDxfId="326" totalsRowBorderDxfId="325">
  <tableColumns count="2">
    <tableColumn id="1" xr3:uid="{00000000-0010-0000-4D01-000001000000}" name="Column1" headerRowDxfId="324" dataDxfId="323"/>
    <tableColumn id="2" xr3:uid="{00000000-0010-0000-4D01-000002000000}" name="Column2" headerRowDxfId="322" dataDxfId="321"/>
  </tableColumns>
  <tableStyleInfo name="TableStyleLight18" showFirstColumn="0" showLastColumn="0" showRowStripes="0" showColumnStripes="0"/>
  <extLst>
    <ext xmlns:x14="http://schemas.microsoft.com/office/spreadsheetml/2009/9/main" uri="{504A1905-F514-4f6f-8877-14C23A59335A}">
      <x14:table altText="Year 4 Compliance: State &amp; Local Funds Per Capita" altTextSummary="This table displays information for Year 4 for the Compliance Standard for the State &amp; Local Funds Per Capita method. The final row in the table displays the MOE result for Year 4."/>
    </ext>
  </extLst>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00000000-000C-0000-FFFF-FFFF4E010000}" name="StateLocalPerCapitaEligibilityYear5" displayName="StateLocalPerCapitaEligibilityYear5" ref="A42:B47" headerRowCount="0" totalsRowShown="0" headerRowBorderDxfId="320" tableBorderDxfId="319" totalsRowBorderDxfId="318">
  <tableColumns count="2">
    <tableColumn id="1" xr3:uid="{00000000-0010-0000-4E01-000001000000}" name="Column1" headerRowDxfId="317" dataDxfId="316"/>
    <tableColumn id="2" xr3:uid="{00000000-0010-0000-4E01-000002000000}" name="Column2" headerRowDxfId="315" dataDxfId="314"/>
  </tableColumns>
  <tableStyleInfo name="TableStyleLight18" showFirstColumn="0" showLastColumn="0" showRowStripes="0" showColumnStripes="0"/>
  <extLst>
    <ext xmlns:x14="http://schemas.microsoft.com/office/spreadsheetml/2009/9/main" uri="{504A1905-F514-4f6f-8877-14C23A59335A}">
      <x14:table altText="Year 5 Eligibility: State &amp; Local Funds Per Capita" altTextSummary="This table displays information for Year 5 for the Eligibility Standard for the State &amp; Local Funds Per Capita method. The final row in the table displays the MOE result for Year 5."/>
    </ext>
  </extLst>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00000000-000C-0000-FFFF-FFFF4F010000}" name="StateLocalPerCapitaComplianceYear5" displayName="StateLocalPerCapitaComplianceYear5" ref="E42:F47" headerRowCount="0" totalsRowShown="0" headerRowBorderDxfId="313" tableBorderDxfId="312" totalsRowBorderDxfId="311">
  <tableColumns count="2">
    <tableColumn id="1" xr3:uid="{00000000-0010-0000-4F01-000001000000}" name="Column1" headerRowDxfId="310" dataDxfId="309"/>
    <tableColumn id="2" xr3:uid="{00000000-0010-0000-4F01-000002000000}" name="Column2" headerRowDxfId="308" dataDxfId="307"/>
  </tableColumns>
  <tableStyleInfo name="TableStyleLight18" showFirstColumn="0" showLastColumn="0" showRowStripes="0" showColumnStripes="0"/>
  <extLst>
    <ext xmlns:x14="http://schemas.microsoft.com/office/spreadsheetml/2009/9/main" uri="{504A1905-F514-4f6f-8877-14C23A59335A}">
      <x14:table altText="Year 5 Compliance: State &amp; Local Funds Per Capita" altTextSummary="This table displays information for Year 5 for the Compliance Standard for the State &amp; Local Funds Per Capita method. The final row in the table displays the MOE result for Year 5."/>
    </ext>
  </extLst>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00000000-000C-0000-FFFF-FFFF50010000}" name="StateLocalPerCapitaEligibilityYear6" displayName="StateLocalPerCapitaEligibilityYear6" ref="A50:B55" headerRowCount="0" totalsRowShown="0" headerRowBorderDxfId="306" tableBorderDxfId="305" totalsRowBorderDxfId="304">
  <tableColumns count="2">
    <tableColumn id="1" xr3:uid="{00000000-0010-0000-5001-000001000000}" name="Column1" headerRowDxfId="303" dataDxfId="302"/>
    <tableColumn id="2" xr3:uid="{00000000-0010-0000-5001-000002000000}" name="Column2" headerRowDxfId="301" dataDxfId="300"/>
  </tableColumns>
  <tableStyleInfo name="TableStyleLight18" showFirstColumn="0" showLastColumn="0" showRowStripes="0" showColumnStripes="0"/>
  <extLst>
    <ext xmlns:x14="http://schemas.microsoft.com/office/spreadsheetml/2009/9/main" uri="{504A1905-F514-4f6f-8877-14C23A59335A}">
      <x14:table altText="Year 6 Eligibility: State &amp; Local Funds Per Capita" altTextSummary="This table displays information for Year 6 for the Eligibility Standard for the State &amp; Local Funds Per Capita method. The final row in the table displays the MOE result for Year 6."/>
    </ext>
  </extLst>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00000000-000C-0000-FFFF-FFFF51010000}" name="StateLocalPerCapitaComplianceYear6" displayName="StateLocalPerCapitaComplianceYear6" ref="E50:F55" headerRowCount="0" totalsRowShown="0" headerRowBorderDxfId="299" tableBorderDxfId="298" totalsRowBorderDxfId="297">
  <tableColumns count="2">
    <tableColumn id="1" xr3:uid="{00000000-0010-0000-5101-000001000000}" name="Column1" headerRowDxfId="296" dataDxfId="295"/>
    <tableColumn id="2" xr3:uid="{00000000-0010-0000-5101-000002000000}" name="Column2" headerRowDxfId="294" dataDxfId="293"/>
  </tableColumns>
  <tableStyleInfo name="TableStyleLight18" showFirstColumn="0" showLastColumn="0" showRowStripes="0" showColumnStripes="0"/>
  <extLst>
    <ext xmlns:x14="http://schemas.microsoft.com/office/spreadsheetml/2009/9/main" uri="{504A1905-F514-4f6f-8877-14C23A59335A}">
      <x14:table altText="Year 6 Compliance: State &amp; Local Funds Per Capita" altTextSummary="This table displays information for Year 6 for the Compliance Standard for the State &amp; Local Funds Per Capita method. The final row in the table displays the MOE result for Year 6."/>
    </ext>
  </extLst>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00000000-000C-0000-FFFF-FFFF52010000}" name="StateLocalPerCapitaEligibilityYear7" displayName="StateLocalPerCapitaEligibilityYear7" ref="A58:B63" headerRowCount="0" totalsRowShown="0" headerRowBorderDxfId="292" tableBorderDxfId="291" totalsRowBorderDxfId="290">
  <tableColumns count="2">
    <tableColumn id="1" xr3:uid="{00000000-0010-0000-5201-000001000000}" name="Column1" headerRowDxfId="289" dataDxfId="288"/>
    <tableColumn id="2" xr3:uid="{00000000-0010-0000-5201-000002000000}" name="Column2" headerRowDxfId="287" dataDxfId="286"/>
  </tableColumns>
  <tableStyleInfo name="TableStyleLight18" showFirstColumn="0" showLastColumn="0" showRowStripes="0" showColumnStripes="0"/>
  <extLst>
    <ext xmlns:x14="http://schemas.microsoft.com/office/spreadsheetml/2009/9/main" uri="{504A1905-F514-4f6f-8877-14C23A59335A}">
      <x14:table altText="Year 7 Eligibility: State &amp; Local Funds Per Capita" altTextSummary="This table displays information for Year 7 for the Eligibility Standard for the State &amp; Local Funds Per Capita method. The final row in the table displays the MOE result for Year 7."/>
    </ext>
  </extLst>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5000000}" name="ExcEDataYear4Budget" displayName="ExcEDataYear4Budget" ref="A57:B63" totalsRowShown="0" headerRowDxfId="2392" tableBorderDxfId="2391">
  <tableColumns count="2">
    <tableColumn id="1" xr3:uid="{00000000-0010-0000-5500-000001000000}" name="Student Identifier" dataDxfId="2390"/>
    <tableColumn id="2" xr3:uid="{00000000-0010-0000-5500-000002000000}" name="Budgeted Cost Assumed by SEA" dataDxfId="2389"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4 Eligiblity Standard" altTextSummary="Users can enter data for the projected assumption of cost by the high cost fund operated by the SEA for Year 4. This table is for the eligibility standard and uses budget data. The table will not calculate a total if tab 3b indicates that the SEA does not have a high cost fund in Year 4."/>
    </ext>
  </extLst>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0000000-000C-0000-FFFF-FFFF53010000}" name="StateLocalPerCapitaComplianceYear7" displayName="StateLocalPerCapitaComplianceYear7" ref="E58:F63" headerRowCount="0" totalsRowShown="0" headerRowBorderDxfId="285" tableBorderDxfId="284" totalsRowBorderDxfId="283">
  <tableColumns count="2">
    <tableColumn id="1" xr3:uid="{00000000-0010-0000-5301-000001000000}" name="Column1" headerRowDxfId="282" dataDxfId="281"/>
    <tableColumn id="2" xr3:uid="{00000000-0010-0000-5301-000002000000}" name="Column2" headerRowDxfId="280" dataDxfId="279"/>
  </tableColumns>
  <tableStyleInfo name="TableStyleLight18" showFirstColumn="0" showLastColumn="0" showRowStripes="0" showColumnStripes="0"/>
  <extLst>
    <ext xmlns:x14="http://schemas.microsoft.com/office/spreadsheetml/2009/9/main" uri="{504A1905-F514-4f6f-8877-14C23A59335A}">
      <x14:table altText="Year 7 Compliance: State &amp; Local Funds Per Capita" altTextSummary="This table displays information for Year 7 for the Compliance Standard for the State &amp; Local Funds Per Capita method. The final row in the table displays the MOE result for Year 7."/>
    </ext>
  </extLst>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00000000-000C-0000-FFFF-FFFF54010000}" name="StateLocalPerCapitaEligibilityYear8" displayName="StateLocalPerCapitaEligibilityYear8" ref="A66:B71" headerRowCount="0" totalsRowShown="0" headerRowBorderDxfId="278" tableBorderDxfId="277" totalsRowBorderDxfId="276">
  <tableColumns count="2">
    <tableColumn id="1" xr3:uid="{00000000-0010-0000-5401-000001000000}" name="Column1" headerRowDxfId="275" dataDxfId="274"/>
    <tableColumn id="2" xr3:uid="{00000000-0010-0000-5401-000002000000}" name="Column2" headerRowDxfId="273" dataDxfId="272"/>
  </tableColumns>
  <tableStyleInfo name="TableStyleLight18" showFirstColumn="0" showLastColumn="0" showRowStripes="0" showColumnStripes="0"/>
  <extLst>
    <ext xmlns:x14="http://schemas.microsoft.com/office/spreadsheetml/2009/9/main" uri="{504A1905-F514-4f6f-8877-14C23A59335A}">
      <x14:table altText="Year 8 Eligibility: State &amp; Local Funds Per Capita" altTextSummary="This table displays information for Year 8 for the Eligibility Standard for the State &amp; Local Funds Per Capita method. The final row in the table displays the MOE result for Year 8."/>
    </ext>
  </extLst>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00000000-000C-0000-FFFF-FFFF55010000}" name="StateLocalPerCapitaComplianceYear8" displayName="StateLocalPerCapitaComplianceYear8" ref="E66:F71" headerRowCount="0" totalsRowShown="0" headerRowBorderDxfId="271" tableBorderDxfId="270" totalsRowBorderDxfId="269">
  <tableColumns count="2">
    <tableColumn id="1" xr3:uid="{00000000-0010-0000-5501-000001000000}" name="Column1" headerRowDxfId="268" dataDxfId="267"/>
    <tableColumn id="2" xr3:uid="{00000000-0010-0000-5501-000002000000}" name="Column2" headerRowDxfId="266" dataDxfId="265"/>
  </tableColumns>
  <tableStyleInfo name="TableStyleLight18" showFirstColumn="0" showLastColumn="0" showRowStripes="0" showColumnStripes="0"/>
  <extLst>
    <ext xmlns:x14="http://schemas.microsoft.com/office/spreadsheetml/2009/9/main" uri="{504A1905-F514-4f6f-8877-14C23A59335A}">
      <x14:table altText="Year 8 Compliance: State &amp; Local Funds Per Capita" altTextSummary="This table displays information for Year 8 for the Compliance Standard for the State &amp; Local Funds Per Capita method. The final row in the table displays the MOE result for Year 8."/>
    </ext>
  </extLst>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00000000-000C-0000-FFFF-FFFF56010000}" name="StateLocalPerCapitaEligibilityYear9" displayName="StateLocalPerCapitaEligibilityYear9" ref="A74:B79" headerRowCount="0" totalsRowShown="0" headerRowBorderDxfId="264" tableBorderDxfId="263" totalsRowBorderDxfId="262">
  <tableColumns count="2">
    <tableColumn id="1" xr3:uid="{00000000-0010-0000-5601-000001000000}" name="Column1" headerRowDxfId="261" dataDxfId="260"/>
    <tableColumn id="2" xr3:uid="{00000000-0010-0000-5601-000002000000}" name="Column2" headerRowDxfId="259" dataDxfId="258"/>
  </tableColumns>
  <tableStyleInfo name="TableStyleLight18" showFirstColumn="0" showLastColumn="0" showRowStripes="0" showColumnStripes="0"/>
  <extLst>
    <ext xmlns:x14="http://schemas.microsoft.com/office/spreadsheetml/2009/9/main" uri="{504A1905-F514-4f6f-8877-14C23A59335A}">
      <x14:table altText="Year 9 Eligibility: State &amp; Local Funds Per Capita" altTextSummary="This table displays information for Year 9 for the Eligibility Standard for the State &amp; Local Funds Per Capita method. The final row in the table displays the MOE result for Year 9."/>
    </ext>
  </extLst>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00000000-000C-0000-FFFF-FFFF57010000}" name="StateLocalPerCapitaComplianceYear9" displayName="StateLocalPerCapitaComplianceYear9" ref="E74:F79" headerRowCount="0" totalsRowShown="0" headerRowBorderDxfId="257" tableBorderDxfId="256" totalsRowBorderDxfId="255">
  <tableColumns count="2">
    <tableColumn id="1" xr3:uid="{00000000-0010-0000-5701-000001000000}" name="Column1" headerRowDxfId="254" dataDxfId="253"/>
    <tableColumn id="2" xr3:uid="{00000000-0010-0000-5701-000002000000}" name="Column2" headerRowDxfId="252" dataDxfId="251"/>
  </tableColumns>
  <tableStyleInfo name="TableStyleLight18" showFirstColumn="0" showLastColumn="0" showRowStripes="0" showColumnStripes="0"/>
  <extLst>
    <ext xmlns:x14="http://schemas.microsoft.com/office/spreadsheetml/2009/9/main" uri="{504A1905-F514-4f6f-8877-14C23A59335A}">
      <x14:table altText="Year 9 Compliance: State &amp; Local Funds Per Capita" altTextSummary="This table displays information for Year 9 for the Compliance Standard for the State &amp; Local Funds Per Capita method. The final row in the table displays the MOE result for Year 9."/>
    </ext>
  </extLst>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00000000-000C-0000-FFFF-FFFF58010000}" name="StateLocalPerCapitaEligibilityYear10" displayName="StateLocalPerCapitaEligibilityYear10" ref="A82:B87" headerRowCount="0" totalsRowShown="0" headerRowBorderDxfId="250" tableBorderDxfId="249" totalsRowBorderDxfId="248">
  <tableColumns count="2">
    <tableColumn id="1" xr3:uid="{00000000-0010-0000-5801-000001000000}" name="Column1" headerRowDxfId="247" dataDxfId="246"/>
    <tableColumn id="2" xr3:uid="{00000000-0010-0000-5801-000002000000}" name="Column2" headerRowDxfId="245" dataDxfId="244"/>
  </tableColumns>
  <tableStyleInfo name="TableStyleLight18" showFirstColumn="0" showLastColumn="0" showRowStripes="0" showColumnStripes="0"/>
  <extLst>
    <ext xmlns:x14="http://schemas.microsoft.com/office/spreadsheetml/2009/9/main" uri="{504A1905-F514-4f6f-8877-14C23A59335A}">
      <x14:table altText="Year 10 Eligibility: State &amp; Local Funds Per Capita" altTextSummary="This table displays information for Year 10 for the Eligibility Standard for the State &amp; Local Funds Per Capita method. The final row in the table displays the MOE result for Year 10."/>
    </ext>
  </extLst>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00000000-000C-0000-FFFF-FFFF59010000}" name="StateLocalPerCapitaComplianceYear10" displayName="StateLocalPerCapitaComplianceYear10" ref="E82:F87" headerRowCount="0" totalsRowShown="0" headerRowBorderDxfId="243" tableBorderDxfId="242" totalsRowBorderDxfId="241">
  <tableColumns count="2">
    <tableColumn id="1" xr3:uid="{00000000-0010-0000-5901-000001000000}" name="Column1" headerRowDxfId="240" dataDxfId="239"/>
    <tableColumn id="2" xr3:uid="{00000000-0010-0000-5901-000002000000}" name="Column2" headerRowDxfId="238" dataDxfId="237"/>
  </tableColumns>
  <tableStyleInfo name="TableStyleLight18" showFirstColumn="0" showLastColumn="0" showRowStripes="0" showColumnStripes="0"/>
  <extLst>
    <ext xmlns:x14="http://schemas.microsoft.com/office/spreadsheetml/2009/9/main" uri="{504A1905-F514-4f6f-8877-14C23A59335A}">
      <x14:table altText="Year 10 Compliance: State &amp; Local Funds Per Capita" altTextSummary="This table displays information for Year 10 for the Compliance Standard for the State &amp; Local Funds Per Capita method. The final row in the table displays the MOE result for Year 10."/>
    </ext>
  </extLst>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00000000-000C-0000-FFFF-FFFF5A010000}" name="StateLocalPerCapitaEligibilityYear11" displayName="StateLocalPerCapitaEligibilityYear11" ref="A90:B95" headerRowCount="0" totalsRowShown="0" headerRowBorderDxfId="236" tableBorderDxfId="235" totalsRowBorderDxfId="234">
  <tableColumns count="2">
    <tableColumn id="1" xr3:uid="{00000000-0010-0000-5A01-000001000000}" name="Column1" headerRowDxfId="233" dataDxfId="232"/>
    <tableColumn id="2" xr3:uid="{00000000-0010-0000-5A01-000002000000}" name="Column2" headerRowDxfId="231" dataDxfId="230"/>
  </tableColumns>
  <tableStyleInfo name="TableStyleLight18" showFirstColumn="0" showLastColumn="0" showRowStripes="0" showColumnStripes="0"/>
  <extLst>
    <ext xmlns:x14="http://schemas.microsoft.com/office/spreadsheetml/2009/9/main" uri="{504A1905-F514-4f6f-8877-14C23A59335A}">
      <x14:table altText="Year 11 Eligibility: State &amp; Local Funds Per Capita" altTextSummary="This table displays information for Year 11 for the Eligibility Standard for the State &amp; Local Funds Per Capita method. The final row in the table displays the MOE result for Year 11."/>
    </ext>
  </extLst>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6000000}" name="ExcBChildCountDataYear4Budget" displayName="ExcBChildCountDataYear4Budget" ref="A25:B29" totalsRowShown="0" headerRowDxfId="2388" dataDxfId="2387">
  <tableColumns count="2">
    <tableColumn id="1" xr3:uid="{00000000-0010-0000-5600-000001000000}" name="Column1" dataDxfId="2386"/>
    <tableColumn id="2" xr3:uid="{00000000-0010-0000-5600-000002000000}" name="Column2" dataDxfId="2385"/>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4 Eligibility Standard" altTextSummary="This table automatically calculates the change in enrollment for Year 4 to determine whether the LEA can apply exception (b). This table is for the eligibility standard."/>
    </ext>
  </extLst>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7000000}" name="ExcBFundsDataYear4Budget" displayName="ExcBFundsDataYear4Budget" ref="A30:C32" totalsRowShown="0" headerRowDxfId="2384" dataDxfId="2382" headerRowBorderDxfId="2383" tableBorderDxfId="2381" totalsRowBorderDxfId="2380">
  <tableColumns count="3">
    <tableColumn id="1" xr3:uid="{00000000-0010-0000-5700-000001000000}" name="Column1" dataDxfId="2379"/>
    <tableColumn id="2" xr3:uid="{00000000-0010-0000-5700-000002000000}" name="Total Local Funds" dataDxfId="2378">
      <calculatedColumnFormula>'2. Getting Started'!C17</calculatedColumnFormula>
    </tableColumn>
    <tableColumn id="3" xr3:uid="{00000000-0010-0000-5700-000003000000}" name="Total State and Local Funds" dataDxfId="2377">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4 Eligiblity Standard" altTextSummary="This table automatically calculates the projected reduction based on a decrease in enrollment for Year 4. This table is for the eligibility standard and uses budget data. The row for Projected Reduction will be blank if there is no decrease in child count."/>
    </ext>
  </extLst>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8000000}" name="ExcADepartingDataYear4Expenditures314967" displayName="ExcADepartingDataYear4Expenditures314967" ref="H7:M13" totalsRowShown="0" headerRowDxfId="2376" dataDxfId="2374" headerRowBorderDxfId="2375" tableBorderDxfId="2373">
  <tableColumns count="6">
    <tableColumn id="1" xr3:uid="{00000000-0010-0000-5800-000001000000}" name="Position Title" dataDxfId="2372"/>
    <tableColumn id="2" xr3:uid="{00000000-0010-0000-5800-000002000000}" name="Employee Name" dataDxfId="2371"/>
    <tableColumn id="3" xr3:uid="{00000000-0010-0000-5800-000003000000}" name="Reason for Leaving" dataDxfId="2370"/>
    <tableColumn id="4" xr3:uid="{00000000-0010-0000-5800-000004000000}" name="Salary" dataDxfId="2369" dataCellStyle="Currency"/>
    <tableColumn id="5" xr3:uid="{00000000-0010-0000-5800-000005000000}" name="Benefits" dataDxfId="2368" dataCellStyle="Currency"/>
    <tableColumn id="8" xr3:uid="{00000000-0010-0000-5800-000008000000}" name="Total Expenditures" dataDxfId="2367"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4 Compliance Standard" altTextSummary="Users can enter data in this table for any departing personnel for Year 4. This table is for the compliance standard and is based on final expenditures."/>
    </ext>
  </extLst>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9000000}" name="ExcAReplaceDataYear4Expenditures" displayName="ExcAReplaceDataYear4Expenditures" ref="H15:M21" totalsRowShown="0" headerRowDxfId="2366" dataDxfId="2364" headerRowBorderDxfId="2365" tableBorderDxfId="2363">
  <tableColumns count="6">
    <tableColumn id="1" xr3:uid="{00000000-0010-0000-5900-000001000000}" name="Position Title" dataDxfId="2362"/>
    <tableColumn id="2" xr3:uid="{00000000-0010-0000-5900-000002000000}" name="Employee Name" dataDxfId="2361"/>
    <tableColumn id="3" xr3:uid="{00000000-0010-0000-5900-000003000000}" name="This column intentionally left blank" dataDxfId="2360"/>
    <tableColumn id="4" xr3:uid="{00000000-0010-0000-5900-000004000000}" name="Salary" dataDxfId="2359" dataCellStyle="Currency"/>
    <tableColumn id="5" xr3:uid="{00000000-0010-0000-5900-000005000000}" name="Benefits" dataDxfId="2358" dataCellStyle="Currency"/>
    <tableColumn id="8" xr3:uid="{00000000-0010-0000-5900-000008000000}" name="Total Expenditures" dataDxfId="2357"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4 Compliance Standard" altTextSummary="Users can enter data in this table for any replacement personnel for Year 4. This table is for the compliance standard and is based on final expenditures."/>
    </ext>
  </extLst>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A000000}" name="ExcDDataYear4Expenditures" displayName="ExcDDataYear4Expenditures" ref="H47:I53" totalsRowShown="0" headerRowDxfId="2356" dataDxfId="2354" headerRowBorderDxfId="2355" tableBorderDxfId="2353">
  <tableColumns count="2">
    <tableColumn id="1" xr3:uid="{00000000-0010-0000-5A00-000001000000}" name="Description" dataDxfId="2352"/>
    <tableColumn id="2" xr3:uid="{00000000-0010-0000-5A00-000002000000}" name="Cost in Final Year of Expenditure" dataDxfId="2351"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4 Compliance Standard" altTextSummary="Users can enter data in this table for the termination of costly expenditures for long-term purchases for Year 4. This table is for the compliance standard and is based on final expenditures."/>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03000000}" name="InterveningYears" displayName="InterveningYears" ref="A3:C23" totalsRowShown="0" tableBorderDxfId="2612">
  <autoFilter ref="A3:C23" xr:uid="{00000000-0009-0000-0100-0000C4000000}">
    <filterColumn colId="0" hiddenButton="1"/>
    <filterColumn colId="1" hiddenButton="1"/>
    <filterColumn colId="2" hiddenButton="1"/>
  </autoFilter>
  <tableColumns count="3">
    <tableColumn id="1" xr3:uid="{00000000-0010-0000-0300-000001000000}" name="Year" dataDxfId="2611"/>
    <tableColumn id="2" xr3:uid="{00000000-0010-0000-0300-000002000000}" name="Total taken Exceptions &amp; Adjustment: Local Funds Only" dataDxfId="2610"/>
    <tableColumn id="3" xr3:uid="{00000000-0010-0000-0300-000003000000}" name="Total taken Exceptions &amp; Adjustment: State and Local Funds" dataDxfId="2609">
      <calculatedColumnFormula array="1">AdjDataYear4Budget[Projected Adjustment]</calculatedColumnFormula>
    </tableColumn>
  </tableColumns>
  <tableStyleInfo name="TableStyleLight18" showFirstColumn="0" showLastColumn="0" showRowStripes="0" showColumnStripes="0"/>
  <extLst>
    <ext xmlns:x14="http://schemas.microsoft.com/office/spreadsheetml/2009/9/main" uri="{504A1905-F514-4f6f-8877-14C23A59335A}">
      <x14:table altText="Intervening Years Exceptions" altTextSummary="Enter data for exceptions for intervening years. Years will populate in the first column based on data entered on the Getting Started tab. For each year, enter total taken Exceptions and Adjustment."/>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5B000000}" name="AdjDataYear4Expenditures" displayName="AdjDataYear4Expenditures" ref="H71:I72" totalsRowShown="0" headerRowDxfId="2350" dataDxfId="2348" headerRowBorderDxfId="2349" tableBorderDxfId="2347" totalsRowBorderDxfId="2346">
  <tableColumns count="2">
    <tableColumn id="1" xr3:uid="{00000000-0010-0000-5B00-000001000000}" name="Column1" dataDxfId="2345"/>
    <tableColumn id="2" xr3:uid="{00000000-0010-0000-5B00-000002000000}" name="Adjustment " dataDxfId="2344">
      <calculatedColumnFormula>IF(I$28&gt;=0,(M$22+J$43+I$53+I$63),(M$22+J$43+I$53+I$63+J$32))</calculatedColumnFormula>
    </tableColumn>
  </tableColumns>
  <tableStyleInfo name="TableStyleMedium9" showFirstColumn="0" showLastColumn="0" showRowStripes="0" showColumnStripes="0"/>
  <extLst>
    <ext xmlns:x14="http://schemas.microsoft.com/office/spreadsheetml/2009/9/main" uri="{504A1905-F514-4f6f-8877-14C23A59335A}">
      <x14:table altText="MOE Adjustment Data Entry for Year 4 Compliance Standard" altTextSummary="Users can enter data in this table for the Adjustment to MOE for Year 4. This table is for the compliance standard and is based on final expenditures. Use IDC's MOE Reduction Decision Tree and Calculator to determine the adjustment amount."/>
    </ext>
  </extLst>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C000000}" name="ExcCDataYear4Expenditures" displayName="ExcCDataYear4Expenditures" ref="H37:J43" totalsRowShown="0" headerRowDxfId="2343" dataDxfId="2342" tableBorderDxfId="2341">
  <tableColumns count="3">
    <tableColumn id="1" xr3:uid="{00000000-0010-0000-5C00-000001000000}" name="Student Identifier" dataDxfId="2340"/>
    <tableColumn id="2" xr3:uid="{00000000-0010-0000-5C00-000002000000}" name="Reason" dataDxfId="2339"/>
    <tableColumn id="3" xr3:uid="{00000000-0010-0000-5C00-000003000000}" name="Expenditures" dataDxfId="2338"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4 Compliance Standard" altTextSummary="Users can enter data in this table for the termination of the obligation to provide special education to a particular student that is an exceptionally costly program projected for Year 4. This table is for the compliance standard and is based on final expenditures."/>
    </ext>
  </extLst>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D000000}" name="ExcEDataYear4Expenditures" displayName="ExcEDataYear4Expenditures" ref="H57:I63" totalsRowShown="0" headerRowDxfId="2337" tableBorderDxfId="2336">
  <tableColumns count="2">
    <tableColumn id="1" xr3:uid="{00000000-0010-0000-5D00-000001000000}" name="Student Identifier" dataDxfId="2335"/>
    <tableColumn id="2" xr3:uid="{00000000-0010-0000-5D00-000002000000}" name="Cost Assumed by SEA" dataDxfId="2334"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4 Compliance Standard" altTextSummary="Users can enter data for the assumption of cost by the high cost fund operated by the SEA for Year 4. This table is for the compliance standard and uses final expenditures. The table will not calculate a total if tab 3b indicates that the SEA does not have a high cost fund in Year 4."/>
    </ext>
  </extLst>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E000000}" name="ExcBChildCountDataYear4Expenditures" displayName="ExcBChildCountDataYear4Expenditures" ref="H25:I29" totalsRowShown="0" headerRowDxfId="2333" dataDxfId="2332">
  <tableColumns count="2">
    <tableColumn id="1" xr3:uid="{00000000-0010-0000-5E00-000001000000}" name="Column1" dataDxfId="2331"/>
    <tableColumn id="2" xr3:uid="{00000000-0010-0000-5E00-000002000000}" name="Column2" dataDxfId="2330"/>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4 Compliance Standard" altTextSummary="This table automatically calculates the change in enrollment for Year 4 to determine whether the LEA can apply exception (b). This table is for the compliance standard."/>
    </ext>
  </extLst>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F000000}" name="ExcBFundsDataYear4Expenditures" displayName="ExcBFundsDataYear4Expenditures" ref="H30:J32" totalsRowShown="0" headerRowDxfId="2329" dataDxfId="2327" headerRowBorderDxfId="2328" tableBorderDxfId="2326" totalsRowBorderDxfId="2325">
  <tableColumns count="3">
    <tableColumn id="1" xr3:uid="{00000000-0010-0000-5F00-000001000000}" name="Column1" dataDxfId="2324"/>
    <tableColumn id="2" xr3:uid="{00000000-0010-0000-5F00-000002000000}" name="Local Total" dataDxfId="2323"/>
    <tableColumn id="3" xr3:uid="{00000000-0010-0000-5F00-000003000000}" name="State and Local Total" dataDxfId="2322"/>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4 Compliance Standard" altTextSummary="This table automatically calculates the reduction based on a decrease in enrollment for Year 4. This table is for the compliance standard and uses final expenditures. The row for Allowed Reduction will be blank and blacked out if there is no decrease in child count."/>
    </ext>
  </extLst>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60000000}" name="TotalBudgetedExcYear4" displayName="TotalBudgetedExcYear4" ref="A66:B68" totalsRowShown="0" headerRowDxfId="2321" headerRowBorderDxfId="2320" tableBorderDxfId="2319" totalsRowBorderDxfId="2318">
  <autoFilter ref="A66:B68" xr:uid="{00000000-0009-0000-0100-0000D2000000}">
    <filterColumn colId="0" hiddenButton="1"/>
    <filterColumn colId="1" hiddenButton="1"/>
  </autoFilter>
  <tableColumns count="2">
    <tableColumn id="1" xr3:uid="{00000000-0010-0000-6000-000001000000}" name="Source" dataDxfId="2317" dataCellStyle="Normal 2"/>
    <tableColumn id="2" xr3:uid="{00000000-0010-0000-6000-000002000000}" name="Total" dataDxfId="2316" dataCellStyle="Currency 2">
      <calculatedColumnFormula>IF(B$28&gt;=0,(F$22+C$43+B$53+B$63),(F$22+C$43+B$53+B$63+C$32))</calculatedColumnFormula>
    </tableColumn>
  </tableColumns>
  <tableStyleInfo name="TableStyleMedium2" showFirstColumn="0" showLastColumn="0" showRowStripes="0" showColumnStripes="0"/>
  <extLst>
    <ext xmlns:x14="http://schemas.microsoft.com/office/spreadsheetml/2009/9/main" uri="{504A1905-F514-4f6f-8877-14C23A59335A}">
      <x14:table altText="Total Exceptions for Year 4 Eligibility Standard" altTextSummary="This table displays the total projected exceptions entered for the eligibility standard for Year 4."/>
    </ext>
  </extLst>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61000000}" name="TotalExpendituresExcYear4" displayName="TotalExpendituresExcYear4" ref="H66:I68" totalsRowShown="0" headerRowDxfId="2315" headerRowBorderDxfId="2314" tableBorderDxfId="2313" totalsRowBorderDxfId="2312">
  <autoFilter ref="H66:I68" xr:uid="{00000000-0009-0000-0100-0000D3000000}">
    <filterColumn colId="0" hiddenButton="1"/>
    <filterColumn colId="1" hiddenButton="1"/>
  </autoFilter>
  <tableColumns count="2">
    <tableColumn id="1" xr3:uid="{00000000-0010-0000-6100-000001000000}" name="Source" dataDxfId="2311" dataCellStyle="Normal 2"/>
    <tableColumn id="2" xr3:uid="{00000000-0010-0000-6100-000002000000}" name="Total" dataDxfId="2310"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4 Compliance Standard" altTextSummary="This table displays the total exceptions entered for the compliance standard for Year 4."/>
    </ext>
  </extLst>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BudgetYear1" displayName="BudgetYear1" ref="A4:F31" totalsRowShown="0" headerRowDxfId="2309" tableBorderDxfId="2308">
  <tableColumns count="6">
    <tableColumn id="1" xr3:uid="{00000000-0010-0000-0600-000001000000}" name="Object Description" dataDxfId="2307"/>
    <tableColumn id="2" xr3:uid="{00000000-0010-0000-0600-000002000000}" name="Code 1" dataDxfId="2306"/>
    <tableColumn id="7" xr3:uid="{00000000-0010-0000-0600-000007000000}" name="Code 2" dataDxfId="2305"/>
    <tableColumn id="3" xr3:uid="{00000000-0010-0000-0600-000003000000}" name="Local" dataDxfId="2304" dataCellStyle="Currency"/>
    <tableColumn id="4" xr3:uid="{00000000-0010-0000-0600-000004000000}" name="State" dataDxfId="2303" dataCellStyle="Currency"/>
    <tableColumn id="5" xr3:uid="{00000000-0010-0000-0600-000005000000}" name="State and Local" dataDxfId="2302"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1" altTextSummary="In this table, users will enter their budget amounts for Year 1. The column headers for the first three columns are unlocked and can be edited. If the LEA cannot separately budget for state and local funds, leave the Local column blank."/>
    </ext>
  </extLst>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ExpendituresYear1" displayName="ExpendituresYear1" ref="H4:M31" totalsRowShown="0" headerRowDxfId="2301" tableBorderDxfId="2300">
  <tableColumns count="6">
    <tableColumn id="1" xr3:uid="{00000000-0010-0000-0700-000001000000}" name="Object Description" dataDxfId="2299"/>
    <tableColumn id="2" xr3:uid="{00000000-0010-0000-0700-000002000000}" name="Code" dataDxfId="2298"/>
    <tableColumn id="6" xr3:uid="{00000000-0010-0000-0700-000006000000}" name="Code 2" dataDxfId="2297"/>
    <tableColumn id="3" xr3:uid="{00000000-0010-0000-0700-000003000000}" name="Local" dataDxfId="2296" dataCellStyle="Currency"/>
    <tableColumn id="4" xr3:uid="{00000000-0010-0000-0700-000004000000}" name="State" dataDxfId="2295" dataCellStyle="Currency">
      <calculatedColumnFormula>IFERROR(VLOOKUP('2. Getting Started'!B3,'42. SEA or LEA Worksheet'!A4:V324,22,0),0)</calculatedColumnFormula>
    </tableColumn>
    <tableColumn id="5" xr3:uid="{00000000-0010-0000-0700-000005000000}" name="State and Local" dataDxfId="2294"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1" altTextSummary="In this table, users will enter the LEA's final expenditures for Year 1. The column headers for the first three columns are unlocked and can be edited. If the LEA cannot separately budget for state and local funds, leave the Local column blank."/>
    </ext>
  </extLst>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ExcADepartingDataYear1Budget" displayName="ExcADepartingDataYear1Budget" ref="A7:F13" totalsRowShown="0" headerRowDxfId="2293" dataDxfId="2291" headerRowBorderDxfId="2292" tableBorderDxfId="2290">
  <tableColumns count="6">
    <tableColumn id="1" xr3:uid="{00000000-0010-0000-0800-000001000000}" name="Position Title" dataDxfId="2289"/>
    <tableColumn id="2" xr3:uid="{00000000-0010-0000-0800-000002000000}" name="Employee Name" dataDxfId="2288"/>
    <tableColumn id="3" xr3:uid="{00000000-0010-0000-0800-000003000000}" name="Reason for Leaving" dataDxfId="2287"/>
    <tableColumn id="4" xr3:uid="{00000000-0010-0000-0800-000004000000}" name="Salary" dataDxfId="2286" dataCellStyle="Currency"/>
    <tableColumn id="5" xr3:uid="{00000000-0010-0000-0800-000005000000}" name="Benefits" dataDxfId="2285" dataCellStyle="Currency"/>
    <tableColumn id="8" xr3:uid="{00000000-0010-0000-0800-000008000000}" name="Total Budget" dataDxfId="2284"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 Eligiblity Standard" altTextSummary="Users can enter data in this table for any departing personnel projected for Year 1. This table is for the eligiblity standard and is based on budget amounts."/>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00000000-000C-0000-FFFF-FFFF04000000}" name="HighCostFund" displayName="HighCostFund" ref="A2:B13" totalsRowShown="0" headerRowDxfId="2608" headerRowBorderDxfId="2607" tableBorderDxfId="2606" totalsRowBorderDxfId="2605">
  <autoFilter ref="A2:B13" xr:uid="{00000000-0009-0000-0100-00005C010000}">
    <filterColumn colId="0" hiddenButton="1"/>
    <filterColumn colId="1" hiddenButton="1"/>
  </autoFilter>
  <tableColumns count="2">
    <tableColumn id="1" xr3:uid="{00000000-0010-0000-0400-000001000000}" name="Fiscal Year" dataDxfId="2604"/>
    <tableColumn id="2" xr3:uid="{00000000-0010-0000-0400-000002000000}" name="Does your state have a high cost fund operated by the SEA under §300.704(c)? " dataDxfId="2603"/>
  </tableColumns>
  <tableStyleInfo name="TableStyleLight18" showFirstColumn="0" showLastColumn="0" showRowStripes="0" showColumnStripes="0"/>
  <extLst>
    <ext xmlns:x14="http://schemas.microsoft.com/office/spreadsheetml/2009/9/main" uri="{504A1905-F514-4f6f-8877-14C23A59335A}">
      <x14:table altText="High Cost Fund" altTextSummary="The years in the first column will populate based on Year 1 entered on the Getting Started tab. For each year, indicate whether or not the SEA has a high cost fund. The default for each year is &quot;no.&quot;"/>
    </ext>
  </extLst>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ExcAReplaceDataYear1Budget" displayName="ExcAReplaceDataYear1Budget" ref="A15:F21" totalsRowShown="0" headerRowDxfId="2283" dataDxfId="2281" headerRowBorderDxfId="2282" tableBorderDxfId="2280">
  <tableColumns count="6">
    <tableColumn id="1" xr3:uid="{00000000-0010-0000-0900-000001000000}" name="Position Title" dataDxfId="2279"/>
    <tableColumn id="2" xr3:uid="{00000000-0010-0000-0900-000002000000}" name="Employee Name" dataDxfId="2278"/>
    <tableColumn id="3" xr3:uid="{00000000-0010-0000-0900-000003000000}" name="This column intentionally left blank" dataDxfId="2277"/>
    <tableColumn id="4" xr3:uid="{00000000-0010-0000-0900-000004000000}" name="Salary" dataDxfId="2276" dataCellStyle="Currency"/>
    <tableColumn id="5" xr3:uid="{00000000-0010-0000-0900-000005000000}" name="Benefits" dataDxfId="2275" dataCellStyle="Currency"/>
    <tableColumn id="8" xr3:uid="{00000000-0010-0000-0900-000008000000}" name="Total Budget" dataDxfId="2274"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 Eligibility Standard" altTextSummary="Users can enter data in this table for any replacement personnel projected for Year 1. This table is for the eligiblity standard and is based on budget amounts."/>
    </ext>
  </extLst>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ExcDDataYear1Budget" displayName="ExcDDataYear1Budget" ref="A47:B53" totalsRowShown="0" headerRowDxfId="2273" dataDxfId="2271" headerRowBorderDxfId="2272" tableBorderDxfId="2270">
  <tableColumns count="2">
    <tableColumn id="1" xr3:uid="{00000000-0010-0000-0A00-000001000000}" name="Description" dataDxfId="2269"/>
    <tableColumn id="2" xr3:uid="{00000000-0010-0000-0A00-000002000000}" name="Budgeted Cost in Final Year" dataDxfId="2268"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 Eligiblity Standard" altTextSummary="Users can enter data in this table for the projected termination of costly expenditures for long-term purchases for Year 1. This table is for the eligiblity standard and is based on budget amounts."/>
    </ext>
  </extLst>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AdjDataYear1Budget" displayName="AdjDataYear1Budget" ref="A71:B72" totalsRowShown="0" headerRowDxfId="2267" dataDxfId="2265" headerRowBorderDxfId="2266" tableBorderDxfId="2264" totalsRowBorderDxfId="2263">
  <tableColumns count="2">
    <tableColumn id="1" xr3:uid="{00000000-0010-0000-0B00-000001000000}" name="Column1" dataDxfId="2262"/>
    <tableColumn id="2" xr3:uid="{00000000-0010-0000-0B00-000002000000}" name="Projected Adjustment" dataDxfId="2261"/>
  </tableColumns>
  <tableStyleInfo name="TableStyleMedium9" showFirstColumn="0" showLastColumn="0" showRowStripes="0" showColumnStripes="0"/>
  <extLst>
    <ext xmlns:x14="http://schemas.microsoft.com/office/spreadsheetml/2009/9/main" uri="{504A1905-F514-4f6f-8877-14C23A59335A}">
      <x14:table altText="MOE Adjustment Data Entry for Year 1 Eligiblity Standard" altTextSummary="Users can enter data in this table for the projected Adjustment to MOE for Year 1. This table is for the eligiblity standard and is based on budget amounts. Use IDC's MOE Reduction Decision Tree and Calculator to determine the adjustment amount."/>
    </ext>
  </extLst>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ExcCDataYear1Budget" displayName="ExcCDataYear1Budget" ref="A37:C43" totalsRowShown="0" headerRowDxfId="2260" dataDxfId="2259" tableBorderDxfId="2258">
  <tableColumns count="3">
    <tableColumn id="1" xr3:uid="{00000000-0010-0000-0C00-000001000000}" name="Student Identifier" dataDxfId="2257"/>
    <tableColumn id="2" xr3:uid="{00000000-0010-0000-0C00-000002000000}" name="Reason" dataDxfId="2256"/>
    <tableColumn id="3" xr3:uid="{00000000-0010-0000-0C00-000003000000}" name="Budgeted Cost" dataDxfId="2255"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 Eligiblity Standard" altTextSummary="Users can enter data in this table for the projected termination of the obligation to provide special education to a particular student that is an exceptionally costly program projected for Year 1. This table is for the eligiblity standard and is based on budget amounts."/>
    </ext>
  </extLst>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ExcEDataYear1Budget" displayName="ExcEDataYear1Budget" ref="A57:B63" totalsRowShown="0" headerRowDxfId="2254" tableBorderDxfId="2253">
  <tableColumns count="2">
    <tableColumn id="1" xr3:uid="{00000000-0010-0000-0D00-000001000000}" name="Student Identifier" dataDxfId="2252"/>
    <tableColumn id="2" xr3:uid="{00000000-0010-0000-0D00-000002000000}" name="Budgeted Cost Assumed by SEA" dataDxfId="2251"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 Eligiblity Standard" altTextSummary="Users can enter data for the projected assumption of cost by the high cost fund operated by the SEA for Year 1. This table is for the eligibility standard and uses budget data. The table will not calculate a total if tab 3b indicates that the SEA does not have a high cost fund in Year 1."/>
    </ext>
  </extLst>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ExcBChildCountDataYear1Budget" displayName="ExcBChildCountDataYear1Budget" ref="A25:B29" totalsRowShown="0" headerRowDxfId="2250" dataDxfId="2249">
  <tableColumns count="2">
    <tableColumn id="1" xr3:uid="{00000000-0010-0000-0E00-000001000000}" name="Column1" dataDxfId="2248"/>
    <tableColumn id="2" xr3:uid="{00000000-0010-0000-0E00-000002000000}" name="Column2" dataDxfId="2247"/>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 Eligibility Standard" altTextSummary="This table automatically calculates the change in enrollment for Year 1 to determine whether the LEA can apply exception (b). This table is for the eligibility standard."/>
    </ext>
  </extLst>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ExcBFundsDataYear1Budget" displayName="ExcBFundsDataYear1Budget" ref="A30:C32" totalsRowShown="0" headerRowDxfId="2246" dataDxfId="2244" headerRowBorderDxfId="2245" tableBorderDxfId="2243" totalsRowBorderDxfId="2242">
  <tableColumns count="3">
    <tableColumn id="1" xr3:uid="{00000000-0010-0000-0F00-000001000000}" name="Column1" dataDxfId="2241"/>
    <tableColumn id="2" xr3:uid="{00000000-0010-0000-0F00-000002000000}" name="Total Local Funds" dataDxfId="2240">
      <calculatedColumnFormula>'2. Getting Started'!C17</calculatedColumnFormula>
    </tableColumn>
    <tableColumn id="3" xr3:uid="{00000000-0010-0000-0F00-000003000000}" name="Total State and Local Funds" dataDxfId="2239">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 Eligiblity Standard" altTextSummary="This table automatically calculates the projected reduction based on a decrease in enrollment for Year 1. This table is for the eligibility standard and uses budget data. The row for Projected Reduction will be blank if there is no decrease in child count."/>
    </ext>
  </extLst>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0000000}" name="ExcADepartingDataYear1Expenditures" displayName="ExcADepartingDataYear1Expenditures" ref="H7:M13" totalsRowShown="0" headerRowDxfId="2238" dataDxfId="2236" headerRowBorderDxfId="2237" tableBorderDxfId="2235">
  <tableColumns count="6">
    <tableColumn id="1" xr3:uid="{00000000-0010-0000-1000-000001000000}" name="Position Title" dataDxfId="2234"/>
    <tableColumn id="2" xr3:uid="{00000000-0010-0000-1000-000002000000}" name="Employee Name" dataDxfId="2233"/>
    <tableColumn id="3" xr3:uid="{00000000-0010-0000-1000-000003000000}" name="Reason for Leaving" dataDxfId="2232"/>
    <tableColumn id="4" xr3:uid="{00000000-0010-0000-1000-000004000000}" name="Salary" dataDxfId="2231" dataCellStyle="Currency"/>
    <tableColumn id="5" xr3:uid="{00000000-0010-0000-1000-000005000000}" name="Benefits" dataDxfId="2230" dataCellStyle="Currency"/>
    <tableColumn id="8" xr3:uid="{00000000-0010-0000-1000-000008000000}" name="Total Expenditures" dataDxfId="2229"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 Compliance Standard" altTextSummary="Users can enter data in this table for any departing personnel for Year 1. This table is for the compliance standard and is based on final expenditures."/>
    </ext>
  </extLst>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1000000}" name="ExcAReplaceDataYear1Expenditures" displayName="ExcAReplaceDataYear1Expenditures" ref="H15:M21" totalsRowShown="0" headerRowDxfId="2228" dataDxfId="2226" headerRowBorderDxfId="2227" tableBorderDxfId="2225">
  <tableColumns count="6">
    <tableColumn id="1" xr3:uid="{00000000-0010-0000-1100-000001000000}" name="Position Title" dataDxfId="2224"/>
    <tableColumn id="2" xr3:uid="{00000000-0010-0000-1100-000002000000}" name="Employee Name" dataDxfId="2223"/>
    <tableColumn id="3" xr3:uid="{00000000-0010-0000-1100-000003000000}" name="This column intentionally left blank" dataDxfId="2222"/>
    <tableColumn id="4" xr3:uid="{00000000-0010-0000-1100-000004000000}" name="Salary" dataDxfId="2221" dataCellStyle="Currency"/>
    <tableColumn id="5" xr3:uid="{00000000-0010-0000-1100-000005000000}" name="Benefits" dataDxfId="2220" dataCellStyle="Currency"/>
    <tableColumn id="8" xr3:uid="{00000000-0010-0000-1100-000008000000}" name="Total Expenditures" dataDxfId="2219"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 Compliance Standard" altTextSummary="Users can enter data in this table for any replacement personnel for Year 1. This table is for the compliance standard and is based on final expenditures."/>
    </ext>
  </extLst>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2000000}" name="ExcDDataYear1Expenditures" displayName="ExcDDataYear1Expenditures" ref="H47:I53" totalsRowShown="0" headerRowDxfId="2218" dataDxfId="2216" headerRowBorderDxfId="2217" tableBorderDxfId="2215">
  <tableColumns count="2">
    <tableColumn id="1" xr3:uid="{00000000-0010-0000-1200-000001000000}" name="Description" dataDxfId="2214"/>
    <tableColumn id="2" xr3:uid="{00000000-0010-0000-1200-000002000000}" name="Cost in Final Year of Expenditure" dataDxfId="2213"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 Compliance Standard" altTextSummary="Users can enter data in this table for the termination of costly expenditures for long-term purchases for Year 1. This table is for the compliance standard and is based on final expenditures."/>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MultiYearSummary" displayName="MultiYearSummary" ref="A2:L13" totalsRowShown="0" headerRowDxfId="2602" dataDxfId="2600" headerRowBorderDxfId="2601" tableBorderDxfId="2599" totalsRowBorderDxfId="2598">
  <tableColumns count="12">
    <tableColumn id="24" xr3:uid="{00000000-0010-0000-0500-000018000000}" name="Year in Calculator" dataDxfId="2597" dataCellStyle="Normal 2"/>
    <tableColumn id="6" xr3:uid="{00000000-0010-0000-0500-000006000000}" name="Fiscal Year" dataDxfId="2596" dataCellStyle="Normal 2"/>
    <tableColumn id="1" xr3:uid="{00000000-0010-0000-0500-000001000000}" name="Standard" dataDxfId="2595"/>
    <tableColumn id="11" xr3:uid="{00000000-0010-0000-0500-00000B000000}" name="Child Count" dataDxfId="2594" dataCellStyle="Normal 2"/>
    <tableColumn id="2" xr3:uid="{00000000-0010-0000-0500-000002000000}" name="Total Local Funds" dataDxfId="2593"/>
    <tableColumn id="7" xr3:uid="{00000000-0010-0000-0500-000007000000}" name="Total Local Funds MOE Result" dataDxfId="2592"/>
    <tableColumn id="3" xr3:uid="{00000000-0010-0000-0500-000003000000}" name="Total State and Local Funds Amount" dataDxfId="2591" dataCellStyle="Currency"/>
    <tableColumn id="8" xr3:uid="{00000000-0010-0000-0500-000008000000}" name="Total State and Local Funds MOE Result" dataDxfId="2590"/>
    <tableColumn id="4" xr3:uid="{00000000-0010-0000-0500-000004000000}" name="Local Funds Per Capita Amount" dataDxfId="2589" dataCellStyle="Currency"/>
    <tableColumn id="9" xr3:uid="{00000000-0010-0000-0500-000009000000}" name="Local Funds Per Capita MOE Result" dataDxfId="2588"/>
    <tableColumn id="5" xr3:uid="{00000000-0010-0000-0500-000005000000}" name="State and Local Funds Per Capita Amount" dataDxfId="2587" dataCellStyle="Currency"/>
    <tableColumn id="10" xr3:uid="{00000000-0010-0000-0500-00000A000000}" name="State and Local Funds Per Capita MOE Result" dataDxfId="2586"/>
  </tableColumns>
  <tableStyleInfo name="TableStyleMedium9" showFirstColumn="0" showLastColumn="0" showRowStripes="0" showColumnStripes="0"/>
  <extLst>
    <ext xmlns:x14="http://schemas.microsoft.com/office/spreadsheetml/2009/9/main" uri="{504A1905-F514-4f6f-8877-14C23A59335A}">
      <x14:table altText="Multi-Year MOE Summary" altTextSummary="This table will display MOE amounts and results for all 10 years in the Calculator. The first row will display information for the last year met prior to Year 1. The second row displays data for Year 1. Users can use the dropdown in the third column to select which standard (eligibility or compliance) to display. The default is compliance."/>
    </ext>
  </extLst>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AdjDataYear1Expenditures" displayName="AdjDataYear1Expenditures" ref="H71:I72" totalsRowShown="0" headerRowDxfId="2212" dataDxfId="2210" headerRowBorderDxfId="2211" tableBorderDxfId="2209" totalsRowBorderDxfId="2208">
  <tableColumns count="2">
    <tableColumn id="1" xr3:uid="{00000000-0010-0000-1300-000001000000}" name="Column1" dataDxfId="2207"/>
    <tableColumn id="2" xr3:uid="{00000000-0010-0000-1300-000002000000}" name="Adjustment " dataDxfId="2206"/>
  </tableColumns>
  <tableStyleInfo name="TableStyleMedium9" showFirstColumn="0" showLastColumn="0" showRowStripes="0" showColumnStripes="0"/>
  <extLst>
    <ext xmlns:x14="http://schemas.microsoft.com/office/spreadsheetml/2009/9/main" uri="{504A1905-F514-4f6f-8877-14C23A59335A}">
      <x14:table altText="MOE Adjustment Data Entry for Year 1 Compliance Standard" altTextSummary="Users can enter data in this table for the Adjustment to MOE for Year 1. This table is for the compliance standard and is based on final expenditures. Use IDC's MOE Reduction Decision Tree and Calculator to determine the adjustment amount."/>
    </ext>
  </extLst>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4000000}" name="ExcCDataYear1Expenditures" displayName="ExcCDataYear1Expenditures" ref="H37:J43" totalsRowShown="0" headerRowDxfId="2205" dataDxfId="2204" tableBorderDxfId="2203">
  <tableColumns count="3">
    <tableColumn id="1" xr3:uid="{00000000-0010-0000-1400-000001000000}" name="Student Identifier" dataDxfId="2202"/>
    <tableColumn id="2" xr3:uid="{00000000-0010-0000-1400-000002000000}" name="Reason" dataDxfId="2201"/>
    <tableColumn id="3" xr3:uid="{00000000-0010-0000-1400-000003000000}" name="Expenditures" dataDxfId="2200"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 Compliance Standard" altTextSummary="Users can enter data in this table for the termination of the obligation to provide special education to a particular student that is an exceptionally costly program projected for Year 1. This table is for the compliance standard and is based on final expenditures."/>
    </ext>
  </extLst>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5000000}" name="ExcEDataYear1Expenditures" displayName="ExcEDataYear1Expenditures" ref="H57:I63" totalsRowShown="0" headerRowDxfId="2199" tableBorderDxfId="2198">
  <tableColumns count="2">
    <tableColumn id="1" xr3:uid="{00000000-0010-0000-1500-000001000000}" name="Student Identifier" dataDxfId="2197"/>
    <tableColumn id="2" xr3:uid="{00000000-0010-0000-1500-000002000000}" name="Cost Assumed by SEA" dataDxfId="2196"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 Compliance Standard" altTextSummary="Users can enter data for the assumption of cost by the high cost fund operated by the SEA for Year 1. This table is for the compliance standard and uses final expenditures. The table will not calculate a total if tab 3b indicates that the SEA does not have a high cost fund in Year 1."/>
    </ext>
  </extLst>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6000000}" name="ExcBChildCountDataYear1Expenditures" displayName="ExcBChildCountDataYear1Expenditures" ref="H25:I29" totalsRowShown="0" headerRowDxfId="2195" dataDxfId="2194">
  <tableColumns count="2">
    <tableColumn id="1" xr3:uid="{00000000-0010-0000-1600-000001000000}" name="Column1" dataDxfId="2193"/>
    <tableColumn id="2" xr3:uid="{00000000-0010-0000-1600-000002000000}" name="Column2" dataDxfId="2192"/>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 Compliance Standard" altTextSummary="This table automatically calculates the change in enrollment for Year 1 to determine whether the LEA can apply exception (b). This table is for the compliance standard."/>
    </ext>
  </extLst>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7000000}" name="ExcBFundsDataYear1Expenditures" displayName="ExcBFundsDataYear1Expenditures" ref="H30:J32" totalsRowShown="0" headerRowDxfId="2191" dataDxfId="2189" headerRowBorderDxfId="2190" tableBorderDxfId="2188" totalsRowBorderDxfId="2187">
  <tableColumns count="3">
    <tableColumn id="1" xr3:uid="{00000000-0010-0000-1700-000001000000}" name="Column1" dataDxfId="2186"/>
    <tableColumn id="2" xr3:uid="{00000000-0010-0000-1700-000002000000}" name="Local Total" dataDxfId="2185"/>
    <tableColumn id="3" xr3:uid="{00000000-0010-0000-1700-000003000000}" name="State and Local Total" dataDxfId="2184"/>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 Compliance Standard" altTextSummary="This table automatically calculates the reduction based on a decrease in enrollment for Year 1. This table is for the compliance standard and uses final expenditures. The row for Allowed Reduction will be blank and blacked out if there is no decrease in child count."/>
    </ext>
  </extLst>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18000000}" name="TotalBudgetedExcYear1" displayName="TotalBudgetedExcYear1" ref="A66:B68" totalsRowShown="0" headerRowDxfId="2183" headerRowBorderDxfId="2182" tableBorderDxfId="2181" totalsRowBorderDxfId="2180">
  <autoFilter ref="A66:B68" xr:uid="{00000000-0009-0000-0100-0000C5000000}">
    <filterColumn colId="0" hiddenButton="1"/>
    <filterColumn colId="1" hiddenButton="1"/>
  </autoFilter>
  <tableColumns count="2">
    <tableColumn id="1" xr3:uid="{00000000-0010-0000-1800-000001000000}" name="Source" dataDxfId="2179" dataCellStyle="Normal 2"/>
    <tableColumn id="2" xr3:uid="{00000000-0010-0000-1800-000002000000}" name="Total" dataDxfId="2178" dataCellStyle="Currency 2">
      <calculatedColumnFormula>IF(B$28&gt;=0,(F$22+C$43+B$53+B$63),(F$22+C$43+B$53+B$63+C$32))</calculatedColumnFormula>
    </tableColumn>
  </tableColumns>
  <tableStyleInfo name="TableStyleMedium2" showFirstColumn="0" showLastColumn="0" showRowStripes="1" showColumnStripes="0"/>
  <extLst>
    <ext xmlns:x14="http://schemas.microsoft.com/office/spreadsheetml/2009/9/main" uri="{504A1905-F514-4f6f-8877-14C23A59335A}">
      <x14:table altText="Total Budgeted Exceptions for Year 1 Eligibility Standard" altTextSummary="This table displays the total projected exceptions entered for the eligibility standard for Year 1."/>
    </ext>
  </extLst>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19000000}" name="TotalExpendituresExcYear1" displayName="TotalExpendituresExcYear1" ref="H66:I68" totalsRowShown="0" headerRowDxfId="2177" headerRowBorderDxfId="2176" tableBorderDxfId="2175" totalsRowBorderDxfId="2174">
  <autoFilter ref="H66:I68" xr:uid="{00000000-0009-0000-0100-0000C6000000}">
    <filterColumn colId="0" hiddenButton="1"/>
    <filterColumn colId="1" hiddenButton="1"/>
  </autoFilter>
  <tableColumns count="2">
    <tableColumn id="1" xr3:uid="{00000000-0010-0000-1900-000001000000}" name="Source" dataDxfId="2173" dataCellStyle="Normal 2"/>
    <tableColumn id="2" xr3:uid="{00000000-0010-0000-1900-000002000000}" name="Total" dataDxfId="2172" dataCellStyle="Currency 2">
      <calculatedColumnFormula>IF(I$28&gt;=0,(M$22+J$43+I$53+I$63),(M$22+J$43+I$53+I$63+J$32))</calculatedColumnFormula>
    </tableColumn>
  </tableColumns>
  <tableStyleInfo name="TableStyleMedium2" showFirstColumn="0" showLastColumn="0" showRowStripes="1" showColumnStripes="0"/>
  <extLst>
    <ext xmlns:x14="http://schemas.microsoft.com/office/spreadsheetml/2009/9/main" uri="{504A1905-F514-4f6f-8877-14C23A59335A}">
      <x14:table altText="Total Exceptions for Year 1 Compliance Standard" altTextSummary="This table displays the total exceptions entered for the compliance standard for Year 1."/>
    </ext>
  </extLst>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1A000000}" name="EligibilityYear1" displayName="EligibilityYear1" ref="A5:E10" totalsRowShown="0" headerRowDxfId="2171" dataDxfId="2169" headerRowBorderDxfId="2170" tableBorderDxfId="2168" totalsRowBorderDxfId="2167">
  <autoFilter ref="A5:E10" xr:uid="{00000000-0009-0000-0100-0000C7000000}">
    <filterColumn colId="0" hiddenButton="1"/>
    <filterColumn colId="1" hiddenButton="1"/>
    <filterColumn colId="2" hiddenButton="1"/>
    <filterColumn colId="3" hiddenButton="1"/>
    <filterColumn colId="4" hiddenButton="1"/>
  </autoFilter>
  <tableColumns count="5">
    <tableColumn id="1" xr3:uid="{00000000-0010-0000-1A00-000001000000}" name="MOE Information" dataDxfId="2166"/>
    <tableColumn id="2" xr3:uid="{00000000-0010-0000-1A00-000002000000}" name="Total Local Funds" dataDxfId="2165"/>
    <tableColumn id="3" xr3:uid="{00000000-0010-0000-1A00-000003000000}" name="Total State and Local Funds" dataDxfId="2164"/>
    <tableColumn id="4" xr3:uid="{00000000-0010-0000-1A00-000004000000}" name="Local Funds Per Capita" dataDxfId="2163"/>
    <tableColumn id="5" xr3:uid="{00000000-0010-0000-1A00-000005000000}" name="State and Local Funds Per Capita" dataDxfId="2162"/>
  </tableColumns>
  <tableStyleInfo name="TableStyleLight18" showFirstColumn="0" showLastColumn="0" showRowStripes="0" showColumnStripes="0"/>
  <extLst>
    <ext xmlns:x14="http://schemas.microsoft.com/office/spreadsheetml/2009/9/main" uri="{504A1905-F514-4f6f-8877-14C23A59335A}">
      <x14:table altText="Eligibility Standard Year 1" altTextSummary="This table is blank for Year 1 because the LEA MOE Calculator does not calculate the eligibility standard for Year 1."/>
    </ext>
  </extLst>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B000000}" name="ComplianceYear1" displayName="ComplianceYear1" ref="A13:E18" totalsRowShown="0" headerRowDxfId="2161" headerRowBorderDxfId="2160" tableBorderDxfId="2159" totalsRowBorderDxfId="2158">
  <autoFilter ref="A13:E18" xr:uid="{00000000-0009-0000-0100-0000C9000000}">
    <filterColumn colId="0" hiddenButton="1"/>
    <filterColumn colId="1" hiddenButton="1"/>
    <filterColumn colId="2" hiddenButton="1"/>
    <filterColumn colId="3" hiddenButton="1"/>
    <filterColumn colId="4" hiddenButton="1"/>
  </autoFilter>
  <tableColumns count="5">
    <tableColumn id="1" xr3:uid="{00000000-0010-0000-1B00-000001000000}" name="MOE Information" dataDxfId="2157"/>
    <tableColumn id="2" xr3:uid="{00000000-0010-0000-1B00-000002000000}" name="Total Local Funds" dataDxfId="2156"/>
    <tableColumn id="3" xr3:uid="{00000000-0010-0000-1B00-000003000000}" name="Total State and Local Funds" dataDxfId="2155"/>
    <tableColumn id="4" xr3:uid="{00000000-0010-0000-1B00-000004000000}" name="Local Funds Per Capita" dataDxfId="2154"/>
    <tableColumn id="5" xr3:uid="{00000000-0010-0000-1B00-000005000000}" name="State and Local Funds Per Capita" dataDxfId="2153"/>
  </tableColumns>
  <tableStyleInfo name="TableStyleLight18" showFirstColumn="0" showLastColumn="0" showRowStripes="0" showColumnStripes="0"/>
  <extLst>
    <ext xmlns:x14="http://schemas.microsoft.com/office/spreadsheetml/2009/9/main" uri="{504A1905-F514-4f6f-8877-14C23A59335A}">
      <x14:table altText="Compliance Standard Year 1" altTextSummary="This table displays MOE amounts and results for the compliance standard for Year 1."/>
    </ext>
  </extLst>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C000000}" name="RepaymentYear1" displayName="RepaymentYear1" ref="A21:B27" totalsRowShown="0" headerRowDxfId="2152" headerRowBorderDxfId="2151" tableBorderDxfId="2150" totalsRowBorderDxfId="2149">
  <autoFilter ref="A21:B27" xr:uid="{00000000-0009-0000-0100-0000CA000000}">
    <filterColumn colId="0" hiddenButton="1"/>
    <filterColumn colId="1" hiddenButton="1"/>
  </autoFilter>
  <tableColumns count="2">
    <tableColumn id="1" xr3:uid="{00000000-0010-0000-1C00-000001000000}" name="Repayment data" dataDxfId="2148"/>
    <tableColumn id="2" xr3:uid="{00000000-0010-0000-1C00-000002000000}" name="Data for Year 1" dataDxfId="2147"/>
  </tableColumns>
  <tableStyleInfo name="TableStyleLight18" showFirstColumn="0" showLastColumn="0" showRowStripes="0" showColumnStripes="0"/>
  <extLst>
    <ext xmlns:x14="http://schemas.microsoft.com/office/spreadsheetml/2009/9/main" uri="{504A1905-F514-4f6f-8877-14C23A59335A}">
      <x14:table altText="Repayment Year 1" altTextSummary="This table calculates the repayment amount for Year 1 if the LEA fails MOE by all four methods for the compliance standard. Users must enter data for IDEA allocations."/>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6000000}" name="BudgetYear3" displayName="BudgetYear3" ref="A4:F31" totalsRowShown="0" headerRowDxfId="2585" tableBorderDxfId="2584">
  <tableColumns count="6">
    <tableColumn id="1" xr3:uid="{00000000-0010-0000-3600-000001000000}" name="Object Description" dataDxfId="2583"/>
    <tableColumn id="2" xr3:uid="{00000000-0010-0000-3600-000002000000}" name="Code 1" dataDxfId="2582"/>
    <tableColumn id="7" xr3:uid="{00000000-0010-0000-3600-000007000000}" name="Code 2" dataDxfId="2581"/>
    <tableColumn id="3" xr3:uid="{00000000-0010-0000-3600-000003000000}" name="Local" dataDxfId="2580" dataCellStyle="Currency"/>
    <tableColumn id="4" xr3:uid="{00000000-0010-0000-3600-000004000000}" name="State" dataDxfId="2579" dataCellStyle="Currency"/>
    <tableColumn id="5" xr3:uid="{00000000-0010-0000-3600-000005000000}" name="State and Local" dataDxfId="2578"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3" altTextSummary="In this table, users will enter their budget amounts for Year 3. The column headers for the first three columns are unlocked and can be edited. If the LEA cannot separately budget for state and local funds, leave the Local column blank."/>
    </ext>
  </extLst>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0000000-000C-0000-FFFF-FFFF1D000000}" name="ExcAdjSummaryYear1" displayName="ExcAdjSummaryYear1" ref="A33:E40" totalsRowShown="0" headerRowDxfId="2146" headerRowBorderDxfId="2145" tableBorderDxfId="2144" totalsRowBorderDxfId="2143">
  <autoFilter ref="A33:E40" xr:uid="{00000000-0009-0000-0100-000051010000}">
    <filterColumn colId="0" hiddenButton="1"/>
    <filterColumn colId="1" hiddenButton="1"/>
    <filterColumn colId="2" hiddenButton="1"/>
    <filterColumn colId="3" hiddenButton="1"/>
    <filterColumn colId="4" hiddenButton="1"/>
  </autoFilter>
  <tableColumns count="5">
    <tableColumn id="1" xr3:uid="{00000000-0010-0000-1D00-000001000000}" name="Exception or Adjustment" dataDxfId="2142"/>
    <tableColumn id="2" xr3:uid="{00000000-0010-0000-1D00-000002000000}" name="Projected Local Funds" dataDxfId="2141"/>
    <tableColumn id="3" xr3:uid="{00000000-0010-0000-1D00-000003000000}" name="Projected State and Local Funds" dataDxfId="2140"/>
    <tableColumn id="4" xr3:uid="{00000000-0010-0000-1D00-000004000000}" name="Local Funds" dataDxfId="2139"/>
    <tableColumn id="5" xr3:uid="{00000000-0010-0000-1D00-000005000000}" name="State and Local Funds" dataDxfId="2138"/>
  </tableColumns>
  <tableStyleInfo name="TableStyleLight18" showFirstColumn="0" showLastColumn="0" showRowStripes="0" showColumnStripes="0"/>
  <extLst>
    <ext xmlns:x14="http://schemas.microsoft.com/office/spreadsheetml/2009/9/main" uri="{504A1905-F514-4f6f-8877-14C23A59335A}">
      <x14:table altText="Exceptions and Adjustment summary" altTextSummary="This table presents a summary of all exceptions taken for Year 1. Detailed data on the exceptions are entered on the Exc &amp; Adj tab for Year 1."/>
    </ext>
  </extLst>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BudgetYear2" displayName="BudgetYear2" ref="A4:F31" totalsRowShown="0" headerRowDxfId="2137" tableBorderDxfId="2136">
  <tableColumns count="6">
    <tableColumn id="1" xr3:uid="{00000000-0010-0000-1E00-000001000000}" name="Object Description" dataDxfId="2135"/>
    <tableColumn id="2" xr3:uid="{00000000-0010-0000-1E00-000002000000}" name="Code 1" dataDxfId="2134"/>
    <tableColumn id="7" xr3:uid="{00000000-0010-0000-1E00-000007000000}" name="Code 2" dataDxfId="2133"/>
    <tableColumn id="3" xr3:uid="{00000000-0010-0000-1E00-000003000000}" name="Local" dataDxfId="2132" dataCellStyle="Currency"/>
    <tableColumn id="4" xr3:uid="{00000000-0010-0000-1E00-000004000000}" name="State" dataDxfId="2131" dataCellStyle="Currency"/>
    <tableColumn id="5" xr3:uid="{00000000-0010-0000-1E00-000005000000}" name="State and Local" dataDxfId="2130"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2" altTextSummary="In this table, users will enter their budget amounts for Year 2. The column headers for the first three columns are unlocked and can be edited. If the LEA cannot separately budget for state and local funds, leave the Local column blank."/>
    </ext>
  </extLst>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F000000}" name="ExpendituresYear2" displayName="ExpendituresYear2" ref="H4:M31" totalsRowShown="0" headerRowDxfId="2129" tableBorderDxfId="2128">
  <tableColumns count="6">
    <tableColumn id="1" xr3:uid="{00000000-0010-0000-1F00-000001000000}" name="Object Description" dataDxfId="2127"/>
    <tableColumn id="2" xr3:uid="{00000000-0010-0000-1F00-000002000000}" name="Code" dataDxfId="2126"/>
    <tableColumn id="6" xr3:uid="{00000000-0010-0000-1F00-000006000000}" name="Code 2" dataDxfId="2125"/>
    <tableColumn id="3" xr3:uid="{00000000-0010-0000-1F00-000003000000}" name="Local" dataDxfId="2124" dataCellStyle="Currency"/>
    <tableColumn id="4" xr3:uid="{00000000-0010-0000-1F00-000004000000}" name="State" dataDxfId="2123" dataCellStyle="Currency">
      <calculatedColumnFormula>IFERROR(VLOOKUP('2. Getting Started'!B3,'42. SEA or LEA Worksheet'!A4:AA324,27,0),0)</calculatedColumnFormula>
    </tableColumn>
    <tableColumn id="5" xr3:uid="{00000000-0010-0000-1F00-000005000000}" name="State and Local" dataDxfId="2122"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2" altTextSummary="In this table, users will enter the LEA's final expenditures for Year 2. The column headers for the first three columns are unlocked and can be edited. If the LEA cannot separately budget for state and local funds, leave the Local column blank."/>
    </ext>
  </extLst>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0000000}" name="ExcADepartingDataYear2Budget" displayName="ExcADepartingDataYear2Budget" ref="A7:F13" totalsRowShown="0" headerRowDxfId="2121" dataDxfId="2119" headerRowBorderDxfId="2120" tableBorderDxfId="2118">
  <tableColumns count="6">
    <tableColumn id="1" xr3:uid="{00000000-0010-0000-2000-000001000000}" name="Position Title" dataDxfId="2117"/>
    <tableColumn id="2" xr3:uid="{00000000-0010-0000-2000-000002000000}" name="Employee Name" dataDxfId="2116"/>
    <tableColumn id="3" xr3:uid="{00000000-0010-0000-2000-000003000000}" name="Reason for Leaving" dataDxfId="2115"/>
    <tableColumn id="4" xr3:uid="{00000000-0010-0000-2000-000004000000}" name="Salary" dataDxfId="2114" dataCellStyle="Currency"/>
    <tableColumn id="5" xr3:uid="{00000000-0010-0000-2000-000005000000}" name="Benefits" dataDxfId="2113" dataCellStyle="Currency"/>
    <tableColumn id="8" xr3:uid="{00000000-0010-0000-2000-000008000000}" name="Total Budget" dataDxfId="2112"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2 Eligiblity Standard" altTextSummary="Users can enter data in this table for any departing personnel projected for Year 2. This table is for the eligiblity standard and is based on budget amounts."/>
    </ext>
  </extLst>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1000000}" name="ExcAReplaceDataYear2Budget" displayName="ExcAReplaceDataYear2Budget" ref="A15:F21" totalsRowShown="0" headerRowDxfId="2111" dataDxfId="2109" headerRowBorderDxfId="2110" tableBorderDxfId="2108">
  <tableColumns count="6">
    <tableColumn id="1" xr3:uid="{00000000-0010-0000-2100-000001000000}" name="Position Title" dataDxfId="2107"/>
    <tableColumn id="2" xr3:uid="{00000000-0010-0000-2100-000002000000}" name="Employee Name" dataDxfId="2106"/>
    <tableColumn id="3" xr3:uid="{00000000-0010-0000-2100-000003000000}" name="This column intentionally left blank" dataDxfId="2105"/>
    <tableColumn id="4" xr3:uid="{00000000-0010-0000-2100-000004000000}" name="Salary" dataDxfId="2104" dataCellStyle="Currency"/>
    <tableColumn id="5" xr3:uid="{00000000-0010-0000-2100-000005000000}" name="Benefits" dataDxfId="2103" dataCellStyle="Currency"/>
    <tableColumn id="8" xr3:uid="{00000000-0010-0000-2100-000008000000}" name="Total Budget" dataDxfId="2102"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2 Eligibility Standard" altTextSummary="Users can enter data in this table for any replacement personnel projected for Year 2. This table is for the eligiblity standard and is based on budget amounts."/>
    </ext>
  </extLst>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2000000}" name="ExcDDataYear2Budget" displayName="ExcDDataYear2Budget" ref="A47:B53" totalsRowShown="0" headerRowDxfId="2101" dataDxfId="2099" headerRowBorderDxfId="2100" tableBorderDxfId="2098">
  <tableColumns count="2">
    <tableColumn id="1" xr3:uid="{00000000-0010-0000-2200-000001000000}" name="Description" dataDxfId="2097"/>
    <tableColumn id="2" xr3:uid="{00000000-0010-0000-2200-000002000000}" name="Budgeted Cost in Final Year" dataDxfId="2096"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2 Eligiblity Standard" altTextSummary="Users can enter data in this table for the projected termination of costly expenditures for long-term purchases for Year 2. This table is for the eligiblity standard and is based on budget amounts."/>
    </ext>
  </extLst>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3000000}" name="AdjDataYear2Budget" displayName="AdjDataYear2Budget" ref="A71:B72" totalsRowShown="0" headerRowDxfId="2095" dataDxfId="2093" headerRowBorderDxfId="2094" tableBorderDxfId="2092" totalsRowBorderDxfId="2091">
  <tableColumns count="2">
    <tableColumn id="1" xr3:uid="{00000000-0010-0000-2300-000001000000}" name="Column1" dataDxfId="2090"/>
    <tableColumn id="2" xr3:uid="{00000000-0010-0000-2300-000002000000}" name="Projected Adjustment" dataDxfId="2089"/>
  </tableColumns>
  <tableStyleInfo name="TableStyleMedium9" showFirstColumn="0" showLastColumn="0" showRowStripes="0" showColumnStripes="0"/>
  <extLst>
    <ext xmlns:x14="http://schemas.microsoft.com/office/spreadsheetml/2009/9/main" uri="{504A1905-F514-4f6f-8877-14C23A59335A}">
      <x14:table altText="MOE Adjustment Data Entry for Year 2 Eligiblity Standard" altTextSummary="Users can enter data in this table for the projected Adjustment to MOE for Year 2. This table is for the eligiblity standard and is based on budget amounts. Use IDC's MOE Reduction Decision Tree and Calculator to determine the adjustment amount."/>
    </ext>
  </extLst>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4000000}" name="ExcCDataYear2Budget" displayName="ExcCDataYear2Budget" ref="A37:C43" totalsRowShown="0" headerRowDxfId="2088" dataDxfId="2087" tableBorderDxfId="2086">
  <tableColumns count="3">
    <tableColumn id="1" xr3:uid="{00000000-0010-0000-2400-000001000000}" name="Student Identifier" dataDxfId="2085"/>
    <tableColumn id="2" xr3:uid="{00000000-0010-0000-2400-000002000000}" name="Reason" dataDxfId="2084"/>
    <tableColumn id="3" xr3:uid="{00000000-0010-0000-2400-000003000000}" name="Budgeted Cost" dataDxfId="2083"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2 Eligiblity Standard" altTextSummary="Users can enter data in this table for the projected termination of the obligation to provide special education to a particular student that is an exceptionally costly program projected for Year 2. This table is for the eligiblity standard and is based on budget amounts."/>
    </ext>
  </extLst>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5000000}" name="ExcEDataYear2Budget" displayName="ExcEDataYear2Budget" ref="A57:B63" totalsRowShown="0" headerRowDxfId="2082" tableBorderDxfId="2081">
  <tableColumns count="2">
    <tableColumn id="1" xr3:uid="{00000000-0010-0000-2500-000001000000}" name="Student Identifier" dataDxfId="2080"/>
    <tableColumn id="2" xr3:uid="{00000000-0010-0000-2500-000002000000}" name="Budgeted Cost Assumed by SEA" dataDxfId="2079"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2 Eligiblity Standard" altTextSummary="Users can enter data for the projected assumption of cost by the high cost fund operated by the SEA for Year 2. This table is for the eligibility standard and uses budget data. The table will not calculate a total if tab 3b indicates that the SEA does not have a high cost fund in Year 2."/>
    </ext>
  </extLst>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6000000}" name="ExcBChildCountDataYear2Budget" displayName="ExcBChildCountDataYear2Budget" ref="A25:B29" totalsRowShown="0" headerRowDxfId="2078" dataDxfId="2077">
  <tableColumns count="2">
    <tableColumn id="1" xr3:uid="{00000000-0010-0000-2600-000001000000}" name="Column1" dataDxfId="2076"/>
    <tableColumn id="2" xr3:uid="{00000000-0010-0000-2600-000002000000}" name="Column2" dataDxfId="2075"/>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2 Eligibility Standard" altTextSummary="This table automatically calculates the change in enrollment for Year 2 to determine whether the LEA can apply exception (b). This table is for the eligibility standar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7000000}" name="ExpendituresYear3" displayName="ExpendituresYear3" ref="H4:M31" totalsRowShown="0" headerRowDxfId="2577" tableBorderDxfId="2576">
  <tableColumns count="6">
    <tableColumn id="1" xr3:uid="{00000000-0010-0000-3700-000001000000}" name="Object Description" dataDxfId="2575"/>
    <tableColumn id="2" xr3:uid="{00000000-0010-0000-3700-000002000000}" name="Code" dataDxfId="2574"/>
    <tableColumn id="6" xr3:uid="{00000000-0010-0000-3700-000006000000}" name="Code 2" dataDxfId="2573"/>
    <tableColumn id="3" xr3:uid="{00000000-0010-0000-3700-000003000000}" name="Local" dataDxfId="2572" dataCellStyle="Currency"/>
    <tableColumn id="4" xr3:uid="{00000000-0010-0000-3700-000004000000}" name="State" dataDxfId="2571" dataCellStyle="Currency">
      <calculatedColumnFormula>IFERROR(VLOOKUP('2. Getting Started'!B3,'42. SEA or LEA Worksheet'!$A$4:$AF$324,32,0),0)</calculatedColumnFormula>
    </tableColumn>
    <tableColumn id="5" xr3:uid="{00000000-0010-0000-3700-000005000000}" name="State and Local" dataDxfId="2570"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3" altTextSummary="In this table, users will enter the LEA's final expenditures for Year 3. The column headers for the first three columns are unlocked and can be edited. If the LEA cannot separately budget for state and local funds, leave the Local column blank."/>
    </ext>
  </extLst>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7000000}" name="ExcBFundsDataYear2Budget" displayName="ExcBFundsDataYear2Budget" ref="A30:C32" totalsRowShown="0" headerRowDxfId="2074" dataDxfId="2072" headerRowBorderDxfId="2073" tableBorderDxfId="2071" totalsRowBorderDxfId="2070">
  <tableColumns count="3">
    <tableColumn id="1" xr3:uid="{00000000-0010-0000-2700-000001000000}" name="Column1" dataDxfId="2069"/>
    <tableColumn id="2" xr3:uid="{00000000-0010-0000-2700-000002000000}" name="Total Local Funds" dataDxfId="2068">
      <calculatedColumnFormula>'2. Getting Started'!C17</calculatedColumnFormula>
    </tableColumn>
    <tableColumn id="3" xr3:uid="{00000000-0010-0000-2700-000003000000}" name="Total State and Local Funds" dataDxfId="2067">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2 Eligiblity Standard" altTextSummary="This table automatically calculates the projected reduction based on a decrease in enrollment for Year 2. This table is for the eligibility standard and uses budget data. The row for Projected Reduction will be blank if there is no decrease in child count."/>
    </ext>
  </extLst>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8000000}" name="ExcADepartingDataYear2Expenditures" displayName="ExcADepartingDataYear2Expenditures" ref="H7:M13" totalsRowShown="0" headerRowDxfId="2066" dataDxfId="2064" headerRowBorderDxfId="2065" tableBorderDxfId="2063">
  <tableColumns count="6">
    <tableColumn id="1" xr3:uid="{00000000-0010-0000-2800-000001000000}" name="Position Title" dataDxfId="2062"/>
    <tableColumn id="2" xr3:uid="{00000000-0010-0000-2800-000002000000}" name="Employee Name" dataDxfId="2061"/>
    <tableColumn id="3" xr3:uid="{00000000-0010-0000-2800-000003000000}" name="Reason for Leaving" dataDxfId="2060"/>
    <tableColumn id="4" xr3:uid="{00000000-0010-0000-2800-000004000000}" name="Salary" dataDxfId="2059" dataCellStyle="Currency"/>
    <tableColumn id="5" xr3:uid="{00000000-0010-0000-2800-000005000000}" name="Benefits" dataDxfId="2058" dataCellStyle="Currency"/>
    <tableColumn id="8" xr3:uid="{00000000-0010-0000-2800-000008000000}" name="Total Expenditures" dataDxfId="2057"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2 Compliance Standard" altTextSummary="Users can enter data in this table for any departing personnel for Year 2. This table is for the compliance standard and is based on final expenditures."/>
    </ext>
  </extLst>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9000000}" name="ExcAReplaceDataYear2Expenditures" displayName="ExcAReplaceDataYear2Expenditures" ref="H15:M21" totalsRowShown="0" headerRowDxfId="2056" dataDxfId="2054" headerRowBorderDxfId="2055" tableBorderDxfId="2053">
  <tableColumns count="6">
    <tableColumn id="1" xr3:uid="{00000000-0010-0000-2900-000001000000}" name="Position Title" dataDxfId="2052"/>
    <tableColumn id="2" xr3:uid="{00000000-0010-0000-2900-000002000000}" name="Employee Name" dataDxfId="2051"/>
    <tableColumn id="3" xr3:uid="{00000000-0010-0000-2900-000003000000}" name="This column intentionally left blank" dataDxfId="2050"/>
    <tableColumn id="4" xr3:uid="{00000000-0010-0000-2900-000004000000}" name="Salary" dataDxfId="2049" dataCellStyle="Currency"/>
    <tableColumn id="5" xr3:uid="{00000000-0010-0000-2900-000005000000}" name="Benefits" dataDxfId="2048" dataCellStyle="Currency"/>
    <tableColumn id="8" xr3:uid="{00000000-0010-0000-2900-000008000000}" name="Total Expenditures" dataDxfId="2047"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2 Compliance Standard" altTextSummary="Users can enter data in this table for any replacement personnel for Year 2. This table is for the compliance standard and is based on final expenditures."/>
    </ext>
  </extLst>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A000000}" name="ExcDDataYear2Expenditures" displayName="ExcDDataYear2Expenditures" ref="H47:I53" totalsRowShown="0" headerRowDxfId="2046" dataDxfId="2044" headerRowBorderDxfId="2045" tableBorderDxfId="2043">
  <tableColumns count="2">
    <tableColumn id="1" xr3:uid="{00000000-0010-0000-2A00-000001000000}" name="Description" dataDxfId="2042"/>
    <tableColumn id="2" xr3:uid="{00000000-0010-0000-2A00-000002000000}" name="Cost in Final Year of Expenditure" dataDxfId="2041"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2 Compliance Standard" altTextSummary="Users can enter data in this table for the termination of costly expenditures for long-term purchases for Year 2. This table is for the compliance standard and is based on final expenditures."/>
    </ext>
  </extLst>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B000000}" name="AdjDataYear2Expenditures" displayName="AdjDataYear2Expenditures" ref="H71:I72" totalsRowShown="0" headerRowDxfId="2040" dataDxfId="2038" headerRowBorderDxfId="2039" tableBorderDxfId="2037" totalsRowBorderDxfId="2036">
  <tableColumns count="2">
    <tableColumn id="1" xr3:uid="{00000000-0010-0000-2B00-000001000000}" name="Column1" dataDxfId="2035"/>
    <tableColumn id="2" xr3:uid="{00000000-0010-0000-2B00-000002000000}" name="Adjustment " dataDxfId="2034"/>
  </tableColumns>
  <tableStyleInfo name="TableStyleMedium9" showFirstColumn="0" showLastColumn="0" showRowStripes="0" showColumnStripes="0"/>
  <extLst>
    <ext xmlns:x14="http://schemas.microsoft.com/office/spreadsheetml/2009/9/main" uri="{504A1905-F514-4f6f-8877-14C23A59335A}">
      <x14:table altText="MOE Adjustment Data Entry for Year 2 Compliance Standard" altTextSummary="Users can enter data in this table for the Adjustment to MOE for Year 2. This table is for the compliance standard and is based on final expenditures. Use IDC's MOE Reduction Decision Tree and Calculator to determine the adjustment amount."/>
    </ext>
  </extLst>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C000000}" name="ExcCDataYear2Expenditures" displayName="ExcCDataYear2Expenditures" ref="H37:J43" totalsRowShown="0" headerRowDxfId="2033" dataDxfId="2032" tableBorderDxfId="2031">
  <tableColumns count="3">
    <tableColumn id="1" xr3:uid="{00000000-0010-0000-2C00-000001000000}" name="Student Identifier" dataDxfId="2030"/>
    <tableColumn id="2" xr3:uid="{00000000-0010-0000-2C00-000002000000}" name="Reason" dataDxfId="2029"/>
    <tableColumn id="3" xr3:uid="{00000000-0010-0000-2C00-000003000000}" name="Expenditures" dataDxfId="2028"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2 Compliance Standard" altTextSummary="Users can enter data in this table for the termination of the obligation to provide special education to a particular student that is an exceptionally costly program projected for Year 2. This table is for the compliance standard and is based on final expenditures."/>
    </ext>
  </extLst>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D000000}" name="ExcEDataYear2Expenditures" displayName="ExcEDataYear2Expenditures" ref="H57:I63" totalsRowShown="0" headerRowDxfId="2027" tableBorderDxfId="2026">
  <tableColumns count="2">
    <tableColumn id="1" xr3:uid="{00000000-0010-0000-2D00-000001000000}" name="Student Identifier" dataDxfId="2025"/>
    <tableColumn id="2" xr3:uid="{00000000-0010-0000-2D00-000002000000}" name="Cost Assumed by SEA" dataDxfId="2024"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2 Compliance Standard" altTextSummary="Users can enter data for the assumption of cost by the high cost fund operated by the SEA for Year 2. This table is for the compliance standard and uses final expenditures. The table will not calculate a total if tab 3b indicates that the SEA does not have a high cost fund in Year 2."/>
    </ext>
  </extLst>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E000000}" name="ExcBChildCountDataYear2Expenditures" displayName="ExcBChildCountDataYear2Expenditures" ref="H25:I29" totalsRowShown="0" headerRowDxfId="2023" dataDxfId="2022">
  <tableColumns count="2">
    <tableColumn id="1" xr3:uid="{00000000-0010-0000-2E00-000001000000}" name="Column1" dataDxfId="2021"/>
    <tableColumn id="2" xr3:uid="{00000000-0010-0000-2E00-000002000000}" name="Column2" dataDxfId="2020"/>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2 Compliance Standard" altTextSummary="This table automatically calculates the change in enrollment for Year 2 to determine whether the LEA can apply exception (b). This table is for the compliance standard."/>
    </ext>
  </extLst>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F000000}" name="ExcBFundsDataYear2Expenditures" displayName="ExcBFundsDataYear2Expenditures" ref="H30:J32" totalsRowShown="0" headerRowDxfId="2019" dataDxfId="2017" headerRowBorderDxfId="2018" tableBorderDxfId="2016" totalsRowBorderDxfId="2015">
  <tableColumns count="3">
    <tableColumn id="1" xr3:uid="{00000000-0010-0000-2F00-000001000000}" name="Column1" dataDxfId="2014"/>
    <tableColumn id="2" xr3:uid="{00000000-0010-0000-2F00-000002000000}" name="Local Total" dataDxfId="2013"/>
    <tableColumn id="3" xr3:uid="{00000000-0010-0000-2F00-000003000000}" name="State and Local Total" dataDxfId="2012"/>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2 Compliance Standard" altTextSummary="This table automatically calculates the reduction based on a decrease in enrollment for Year 2. This table is for the compliance standard and uses final expenditures. The row for Allowed Reduction will be blank and blacked out if there is no decrease in child count."/>
    </ext>
  </extLst>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30000000}" name="TotalBudgetedExcYear2" displayName="TotalBudgetedExcYear2" ref="A66:B68" totalsRowShown="0" headerRowDxfId="2011" headerRowBorderDxfId="2010" tableBorderDxfId="2009" totalsRowBorderDxfId="2008">
  <autoFilter ref="A66:B68" xr:uid="{00000000-0009-0000-0100-0000B7000000}">
    <filterColumn colId="0" hiddenButton="1"/>
    <filterColumn colId="1" hiddenButton="1"/>
  </autoFilter>
  <tableColumns count="2">
    <tableColumn id="1" xr3:uid="{00000000-0010-0000-3000-000001000000}" name="Source" dataDxfId="2007" dataCellStyle="Normal 2"/>
    <tableColumn id="2" xr3:uid="{00000000-0010-0000-3000-000002000000}" name="Total" dataDxfId="2006" dataCellStyle="Currency 2">
      <calculatedColumnFormula>IF(B$28&gt;=0,(F$22+C$43+B$53+B$63),(F$22+C$43+B$53+B$63+C$32))</calculatedColumnFormula>
    </tableColumn>
  </tableColumns>
  <tableStyleInfo name="TableStyleMedium2" showFirstColumn="0" showLastColumn="0" showRowStripes="0" showColumnStripes="0"/>
  <extLst>
    <ext xmlns:x14="http://schemas.microsoft.com/office/spreadsheetml/2009/9/main" uri="{504A1905-F514-4f6f-8877-14C23A59335A}">
      <x14:table altText="Total Projected Exceptions for Year 2" altTextSummary="This table displays the total projected exceptions entered for the eligibility standard for Year 2."/>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8000000}" name="ExcADepartingDataYear3Budget" displayName="ExcADepartingDataYear3Budget" ref="A7:F13" totalsRowShown="0" headerRowDxfId="2569" dataDxfId="2567" headerRowBorderDxfId="2568" tableBorderDxfId="2566">
  <tableColumns count="6">
    <tableColumn id="1" xr3:uid="{00000000-0010-0000-3800-000001000000}" name="Position Title" dataDxfId="2565"/>
    <tableColumn id="2" xr3:uid="{00000000-0010-0000-3800-000002000000}" name="Employee Name" dataDxfId="2564"/>
    <tableColumn id="3" xr3:uid="{00000000-0010-0000-3800-000003000000}" name="Reason for Leaving" dataDxfId="2563"/>
    <tableColumn id="4" xr3:uid="{00000000-0010-0000-3800-000004000000}" name="Salary" dataDxfId="2562" dataCellStyle="Currency"/>
    <tableColumn id="5" xr3:uid="{00000000-0010-0000-3800-000005000000}" name="Benefits" dataDxfId="2561" dataCellStyle="Currency"/>
    <tableColumn id="8" xr3:uid="{00000000-0010-0000-3800-000008000000}" name="Total Budget" dataDxfId="2560"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3 Eligiblity Standard" altTextSummary="Users can enter data in this table for any departing personnel projected for Year 3. This table is for the eligiblity standard and is based on budget amounts."/>
    </ext>
  </extLst>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31000000}" name="TotalExpendituresExcYear2" displayName="TotalExpendituresExcYear2" ref="H66:I68" totalsRowShown="0" headerRowDxfId="2005" headerRowBorderDxfId="2004" tableBorderDxfId="2003" totalsRowBorderDxfId="2002">
  <autoFilter ref="H66:I68" xr:uid="{00000000-0009-0000-0100-0000C1000000}">
    <filterColumn colId="0" hiddenButton="1"/>
    <filterColumn colId="1" hiddenButton="1"/>
  </autoFilter>
  <tableColumns count="2">
    <tableColumn id="1" xr3:uid="{00000000-0010-0000-3100-000001000000}" name="Source" dataDxfId="2001" dataCellStyle="Normal 2"/>
    <tableColumn id="2" xr3:uid="{00000000-0010-0000-3100-000002000000}" name="Total" dataDxfId="2000" dataCellStyle="Currency 2">
      <calculatedColumnFormula>IF(I$28&gt;=0,(M$22+J$43+I$53+I$63),(M$22+J$43+I$53+I$63+J$32))</calculatedColumnFormula>
    </tableColumn>
  </tableColumns>
  <tableStyleInfo name="TableStyleMedium2" showFirstColumn="0" showLastColumn="0" showRowStripes="0" showColumnStripes="0"/>
  <extLst>
    <ext xmlns:x14="http://schemas.microsoft.com/office/spreadsheetml/2009/9/main" uri="{504A1905-F514-4f6f-8877-14C23A59335A}">
      <x14:table altText="Total Exceptions for the Year 2 Compliance Standard" altTextSummary="This table displays the total exceptions entered for the compliance standard for Year 2."/>
    </ext>
  </extLst>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32000000}" name="EligibilityYear2" displayName="EligibilityYear2" ref="A5:E10" totalsRowShown="0" headerRowDxfId="1999" headerRowBorderDxfId="1998" tableBorderDxfId="1997" totalsRowBorderDxfId="1996">
  <autoFilter ref="A5:E10" xr:uid="{00000000-0009-0000-0100-0000C8000000}">
    <filterColumn colId="0" hiddenButton="1"/>
    <filterColumn colId="1" hiddenButton="1"/>
    <filterColumn colId="2" hiddenButton="1"/>
    <filterColumn colId="3" hiddenButton="1"/>
    <filterColumn colId="4" hiddenButton="1"/>
  </autoFilter>
  <tableColumns count="5">
    <tableColumn id="1" xr3:uid="{00000000-0010-0000-3200-000001000000}" name="MOE Information" dataDxfId="1995"/>
    <tableColumn id="2" xr3:uid="{00000000-0010-0000-3200-000002000000}" name="Total Local Funds"/>
    <tableColumn id="3" xr3:uid="{00000000-0010-0000-3200-000003000000}" name="Total State and Local Funds"/>
    <tableColumn id="4" xr3:uid="{00000000-0010-0000-3200-000004000000}" name="Local Funds Per Capita"/>
    <tableColumn id="5" xr3:uid="{00000000-0010-0000-3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Eligibility Standard for Year 2" altTextSummary="This table displays MOE amounts and results for the eligibility standard for Year 2."/>
    </ext>
  </extLst>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33000000}" name="ComplianceYear2" displayName="ComplianceYear2" ref="A13:E18" totalsRowShown="0" headerRowDxfId="1994" headerRowBorderDxfId="1993" tableBorderDxfId="1992" totalsRowBorderDxfId="1991">
  <autoFilter ref="A13:E18" xr:uid="{00000000-0009-0000-0100-0000CB000000}">
    <filterColumn colId="0" hiddenButton="1"/>
    <filterColumn colId="1" hiddenButton="1"/>
    <filterColumn colId="2" hiddenButton="1"/>
    <filterColumn colId="3" hiddenButton="1"/>
    <filterColumn colId="4" hiddenButton="1"/>
  </autoFilter>
  <tableColumns count="5">
    <tableColumn id="1" xr3:uid="{00000000-0010-0000-3300-000001000000}" name="MOE Information" dataDxfId="1990"/>
    <tableColumn id="2" xr3:uid="{00000000-0010-0000-3300-000002000000}" name="Total Local Funds" dataDxfId="1989"/>
    <tableColumn id="3" xr3:uid="{00000000-0010-0000-3300-000003000000}" name="Total State and Local Funds" dataDxfId="1988"/>
    <tableColumn id="4" xr3:uid="{00000000-0010-0000-3300-000004000000}" name="Local Funds Per Capita" dataDxfId="1987"/>
    <tableColumn id="5" xr3:uid="{00000000-0010-0000-3300-000005000000}" name="State and Local Funds Per Capita" dataDxfId="1986"/>
  </tableColumns>
  <tableStyleInfo name="TableStyleLight18" showFirstColumn="0" showLastColumn="0" showRowStripes="0" showColumnStripes="0"/>
  <extLst>
    <ext xmlns:x14="http://schemas.microsoft.com/office/spreadsheetml/2009/9/main" uri="{504A1905-F514-4f6f-8877-14C23A59335A}">
      <x14:table altText="Compliance Standard for Year 2" altTextSummary="This table displays MOE amounts and results for the compliance standard for Year 2."/>
    </ext>
  </extLst>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34000000}" name="RepaymentYear2" displayName="RepaymentYear2" ref="A21:B27" totalsRowShown="0" headerRowDxfId="1985" headerRowBorderDxfId="1984" tableBorderDxfId="1983" totalsRowBorderDxfId="1982">
  <autoFilter ref="A21:B27" xr:uid="{00000000-0009-0000-0100-0000CC000000}">
    <filterColumn colId="0" hiddenButton="1"/>
    <filterColumn colId="1" hiddenButton="1"/>
  </autoFilter>
  <tableColumns count="2">
    <tableColumn id="1" xr3:uid="{00000000-0010-0000-3400-000001000000}" name="Repayment data" dataDxfId="1981"/>
    <tableColumn id="2" xr3:uid="{00000000-0010-0000-3400-000002000000}" name="Data for Year 2" dataDxfId="1980"/>
  </tableColumns>
  <tableStyleInfo name="TableStyleLight18" showFirstColumn="0" showLastColumn="0" showRowStripes="0" showColumnStripes="0"/>
  <extLst>
    <ext xmlns:x14="http://schemas.microsoft.com/office/spreadsheetml/2009/9/main" uri="{504A1905-F514-4f6f-8877-14C23A59335A}">
      <x14:table altText="Repayment for Year 2" altTextSummary="This table calculates the repayment amount for Year 2 if the LEA fails MOE by all four methods for the compliance standard. Users must enter data for IDEA allocations."/>
    </ext>
  </extLst>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00000000-000C-0000-FFFF-FFFF35000000}" name="ExcAdjSummaryYear2" displayName="ExcAdjSummaryYear2" ref="A33:E40" totalsRowShown="0" headerRowDxfId="1979" headerRowBorderDxfId="1978" tableBorderDxfId="1977" totalsRowBorderDxfId="1976">
  <autoFilter ref="A33:E40" xr:uid="{00000000-0009-0000-0100-000052010000}">
    <filterColumn colId="0" hiddenButton="1"/>
    <filterColumn colId="1" hiddenButton="1"/>
    <filterColumn colId="2" hiddenButton="1"/>
    <filterColumn colId="3" hiddenButton="1"/>
    <filterColumn colId="4" hiddenButton="1"/>
  </autoFilter>
  <tableColumns count="5">
    <tableColumn id="1" xr3:uid="{00000000-0010-0000-3500-000001000000}" name="Exception or Adjustment" dataDxfId="1975"/>
    <tableColumn id="2" xr3:uid="{00000000-0010-0000-3500-000002000000}" name="Projected Local Funds" dataDxfId="1974"/>
    <tableColumn id="3" xr3:uid="{00000000-0010-0000-3500-000003000000}" name="Projected State and Local Funds" dataDxfId="1973"/>
    <tableColumn id="4" xr3:uid="{00000000-0010-0000-3500-000004000000}" name="Local Funds" dataDxfId="1972"/>
    <tableColumn id="5" xr3:uid="{00000000-0010-0000-3500-000005000000}" name="State and Local Funds" dataDxfId="1971"/>
  </tableColumns>
  <tableStyleInfo name="TableStyleLight18" showFirstColumn="0" showLastColumn="0" showRowStripes="0" showColumnStripes="0"/>
  <extLst>
    <ext xmlns:x14="http://schemas.microsoft.com/office/spreadsheetml/2009/9/main" uri="{504A1905-F514-4f6f-8877-14C23A59335A}">
      <x14:table altText="Exceptions and Adjustments summary for Year 2" altTextSummary="This table presents a summary of all exceptions taken for Year 2. Detailed data on the exceptions are entered on the Exc &amp; Adj tab for Year 2."/>
    </ext>
  </extLst>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A000000}" name="EligibilityYear3" displayName="EligibilityYear3" ref="A5:E10" totalsRowShown="0" headerRowDxfId="1970" headerRowBorderDxfId="1969" tableBorderDxfId="1968" totalsRowBorderDxfId="1967">
  <autoFilter ref="A5:E10" xr:uid="{00000000-0009-0000-0100-0000CF000000}">
    <filterColumn colId="0" hiddenButton="1"/>
    <filterColumn colId="1" hiddenButton="1"/>
    <filterColumn colId="2" hiddenButton="1"/>
    <filterColumn colId="3" hiddenButton="1"/>
    <filterColumn colId="4" hiddenButton="1"/>
  </autoFilter>
  <tableColumns count="5">
    <tableColumn id="1" xr3:uid="{00000000-0010-0000-4A00-000001000000}" name="MOE Information" dataDxfId="1966"/>
    <tableColumn id="2" xr3:uid="{00000000-0010-0000-4A00-000002000000}" name="Total Local Funds"/>
    <tableColumn id="3" xr3:uid="{00000000-0010-0000-4A00-000003000000}" name="Total State and Local Funds"/>
    <tableColumn id="4" xr3:uid="{00000000-0010-0000-4A00-000004000000}" name="Local Funds Per Capita"/>
    <tableColumn id="5" xr3:uid="{00000000-0010-0000-4A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3 Eligibility Standard" altTextSummary="This table displays MOE amounts and results for the eligibility standard for Year 3."/>
    </ext>
  </extLst>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B000000}" name="ComplianceYear3" displayName="ComplianceYear3" ref="A13:E18" totalsRowShown="0" headerRowDxfId="1965" headerRowBorderDxfId="1964" tableBorderDxfId="1963" totalsRowBorderDxfId="1962">
  <autoFilter ref="A13:E18" xr:uid="{00000000-0009-0000-0100-0000D0000000}">
    <filterColumn colId="0" hiddenButton="1"/>
    <filterColumn colId="1" hiddenButton="1"/>
    <filterColumn colId="2" hiddenButton="1"/>
    <filterColumn colId="3" hiddenButton="1"/>
    <filterColumn colId="4" hiddenButton="1"/>
  </autoFilter>
  <tableColumns count="5">
    <tableColumn id="1" xr3:uid="{00000000-0010-0000-4B00-000001000000}" name="MOE Information" dataDxfId="1961"/>
    <tableColumn id="2" xr3:uid="{00000000-0010-0000-4B00-000002000000}" name="Total Local Funds" dataDxfId="1960"/>
    <tableColumn id="3" xr3:uid="{00000000-0010-0000-4B00-000003000000}" name="Total State and Local Funds" dataDxfId="1959"/>
    <tableColumn id="4" xr3:uid="{00000000-0010-0000-4B00-000004000000}" name="Local Funds Per Capita" dataDxfId="1958"/>
    <tableColumn id="5" xr3:uid="{00000000-0010-0000-4B00-000005000000}" name="State and Local Funds Per Capita" dataDxfId="1957"/>
  </tableColumns>
  <tableStyleInfo name="TableStyleLight18" showFirstColumn="0" showLastColumn="0" showRowStripes="0" showColumnStripes="0"/>
  <extLst>
    <ext xmlns:x14="http://schemas.microsoft.com/office/spreadsheetml/2009/9/main" uri="{504A1905-F514-4f6f-8877-14C23A59335A}">
      <x14:table altText="Compliance Standard for Year 3" altTextSummary="This table displays MOE amounts and results for the compliance standard for Year 3."/>
    </ext>
  </extLst>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C000000}" name="RepaymentYear3" displayName="RepaymentYear3" ref="A21:B27" totalsRowShown="0" headerRowBorderDxfId="1956" tableBorderDxfId="1955" totalsRowBorderDxfId="1954">
  <autoFilter ref="A21:B27" xr:uid="{00000000-0009-0000-0100-0000D1000000}">
    <filterColumn colId="0" hiddenButton="1"/>
    <filterColumn colId="1" hiddenButton="1"/>
  </autoFilter>
  <tableColumns count="2">
    <tableColumn id="1" xr3:uid="{00000000-0010-0000-4C00-000001000000}" name="Repayment data" dataDxfId="1953"/>
    <tableColumn id="2" xr3:uid="{00000000-0010-0000-4C00-000002000000}" name="Data for Year 3"/>
  </tableColumns>
  <tableStyleInfo name="TableStyleLight18" showFirstColumn="0" showLastColumn="0" showRowStripes="0" showColumnStripes="0"/>
  <extLst>
    <ext xmlns:x14="http://schemas.microsoft.com/office/spreadsheetml/2009/9/main" uri="{504A1905-F514-4f6f-8877-14C23A59335A}">
      <x14:table altText="Repayment for Year 3" altTextSummary="This table calculates the repayment amount for Year 3 if the LEA fails MOE by all four methods for the compliance standard. Users must enter data for IDEA allocations."/>
    </ext>
  </extLst>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0000000-000C-0000-FFFF-FFFF4D000000}" name="ExcAdjSummaryYear3" displayName="ExcAdjSummaryYear3" ref="A33:E40" totalsRowShown="0" headerRowDxfId="1952" headerRowBorderDxfId="1951" tableBorderDxfId="1950" totalsRowBorderDxfId="1949">
  <autoFilter ref="A33:E40" xr:uid="{00000000-0009-0000-0100-000053010000}">
    <filterColumn colId="0" hiddenButton="1"/>
    <filterColumn colId="1" hiddenButton="1"/>
    <filterColumn colId="2" hiddenButton="1"/>
    <filterColumn colId="3" hiddenButton="1"/>
    <filterColumn colId="4" hiddenButton="1"/>
  </autoFilter>
  <tableColumns count="5">
    <tableColumn id="1" xr3:uid="{00000000-0010-0000-4D00-000001000000}" name="Exception or Adjustment" dataDxfId="1948"/>
    <tableColumn id="2" xr3:uid="{00000000-0010-0000-4D00-000002000000}" name="Projected Local Funds" dataDxfId="1947"/>
    <tableColumn id="3" xr3:uid="{00000000-0010-0000-4D00-000003000000}" name="Projected State and Local Funds" dataDxfId="1946"/>
    <tableColumn id="4" xr3:uid="{00000000-0010-0000-4D00-000004000000}" name="Local Funds" dataDxfId="1945"/>
    <tableColumn id="5" xr3:uid="{00000000-0010-0000-4D00-000005000000}" name="State and Local Funds" dataDxfId="1944"/>
  </tableColumns>
  <tableStyleInfo name="TableStyleLight18" showFirstColumn="0" showLastColumn="0" showRowStripes="0" showColumnStripes="0"/>
  <extLst>
    <ext xmlns:x14="http://schemas.microsoft.com/office/spreadsheetml/2009/9/main" uri="{504A1905-F514-4f6f-8877-14C23A59335A}">
      <x14:table altText="Exceptions and Adjustment for Year 3" altTextSummary="This table presents a summary of all exceptions taken for Year 3. Detailed data on the exceptions are entered on the Exc &amp; Adj tab for Year 3."/>
    </ext>
  </extLst>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62000000}" name="EligibilityYear4" displayName="EligibilityYear4" ref="A5:E10" totalsRowShown="0" headerRowDxfId="1943" headerRowBorderDxfId="1942" tableBorderDxfId="1941" totalsRowBorderDxfId="1940">
  <autoFilter ref="A5:E10" xr:uid="{00000000-0009-0000-0100-0000D4000000}">
    <filterColumn colId="0" hiddenButton="1"/>
    <filterColumn colId="1" hiddenButton="1"/>
    <filterColumn colId="2" hiddenButton="1"/>
    <filterColumn colId="3" hiddenButton="1"/>
    <filterColumn colId="4" hiddenButton="1"/>
  </autoFilter>
  <tableColumns count="5">
    <tableColumn id="1" xr3:uid="{00000000-0010-0000-6200-000001000000}" name="MOE Information" dataDxfId="1939"/>
    <tableColumn id="2" xr3:uid="{00000000-0010-0000-6200-000002000000}" name="Total Local Funds"/>
    <tableColumn id="3" xr3:uid="{00000000-0010-0000-6200-000003000000}" name="Total State and Local Funds"/>
    <tableColumn id="4" xr3:uid="{00000000-0010-0000-6200-000004000000}" name="Local Funds Per Capita"/>
    <tableColumn id="5" xr3:uid="{00000000-0010-0000-6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4 Eligibility Standard" altTextSummary="This table displays MOE amounts and results for the eligibility standard for Year 4."/>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J15" dT="2025-01-28T17:34:09.39" personId="{C4475578-1A93-4213-B872-53224336EB1B}" id="{A330F67A-1D4D-46D3-8D5D-8F927FA02CDC}">
    <text>Check in EGMS to see if they applied.</text>
  </threadedComment>
  <threadedComment ref="C251" dT="2025-01-28T17:38:55.79" personId="{C4475578-1A93-4213-B872-53224336EB1B}" id="{0AF13551-19EE-42C1-A454-557B273138AA}">
    <text>Closed</text>
  </threadedComment>
  <threadedComment ref="AJ319" dT="2025-01-28T17:40:09.77" personId="{C4475578-1A93-4213-B872-53224336EB1B}" id="{78157007-69D8-47F6-881B-13F3A8C7DE95}">
    <text>Only Part B</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8.bin"/><Relationship Id="rId1" Type="http://schemas.openxmlformats.org/officeDocument/2006/relationships/hyperlink" Target="https://cifr.wested.org/resource/lea-moe-calculator/" TargetMode="External"/><Relationship Id="rId4"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12.xml"/><Relationship Id="rId13" Type="http://schemas.openxmlformats.org/officeDocument/2006/relationships/table" Target="../tables/table17.xml"/><Relationship Id="rId18" Type="http://schemas.openxmlformats.org/officeDocument/2006/relationships/table" Target="../tables/table22.xml"/><Relationship Id="rId3" Type="http://schemas.openxmlformats.org/officeDocument/2006/relationships/hyperlink" Target="https://cifr.wested.org/resource/lea-moe-calculator/" TargetMode="External"/><Relationship Id="rId21" Type="http://schemas.openxmlformats.org/officeDocument/2006/relationships/table" Target="../tables/table25.xml"/><Relationship Id="rId7" Type="http://schemas.openxmlformats.org/officeDocument/2006/relationships/table" Target="../tables/table11.xml"/><Relationship Id="rId12" Type="http://schemas.openxmlformats.org/officeDocument/2006/relationships/table" Target="../tables/table16.xml"/><Relationship Id="rId17" Type="http://schemas.openxmlformats.org/officeDocument/2006/relationships/table" Target="../tables/table21.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20.xml"/><Relationship Id="rId20" Type="http://schemas.openxmlformats.org/officeDocument/2006/relationships/table" Target="../tables/table24.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0.xml"/><Relationship Id="rId11" Type="http://schemas.openxmlformats.org/officeDocument/2006/relationships/table" Target="../tables/table15.xml"/><Relationship Id="rId5" Type="http://schemas.openxmlformats.org/officeDocument/2006/relationships/table" Target="../tables/table9.xml"/><Relationship Id="rId15" Type="http://schemas.openxmlformats.org/officeDocument/2006/relationships/table" Target="../tables/table19.xml"/><Relationship Id="rId10" Type="http://schemas.openxmlformats.org/officeDocument/2006/relationships/table" Target="../tables/table14.xml"/><Relationship Id="rId19" Type="http://schemas.openxmlformats.org/officeDocument/2006/relationships/table" Target="../tables/table23.xml"/><Relationship Id="rId4" Type="http://schemas.openxmlformats.org/officeDocument/2006/relationships/printerSettings" Target="../printerSettings/printerSettings9.bin"/><Relationship Id="rId9" Type="http://schemas.openxmlformats.org/officeDocument/2006/relationships/table" Target="../tables/table13.xml"/><Relationship Id="rId14" Type="http://schemas.openxmlformats.org/officeDocument/2006/relationships/table" Target="../tables/table18.xml"/><Relationship Id="rId22" Type="http://schemas.openxmlformats.org/officeDocument/2006/relationships/table" Target="../tables/table26.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printerSettings" Target="../printerSettings/printerSettings10.bin"/><Relationship Id="rId1" Type="http://schemas.openxmlformats.org/officeDocument/2006/relationships/hyperlink" Target="https://cifr.wested.org/resource/lea-moe-calculator/" TargetMode="External"/><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32.xml"/><Relationship Id="rId13" Type="http://schemas.openxmlformats.org/officeDocument/2006/relationships/table" Target="../tables/table37.xml"/><Relationship Id="rId18" Type="http://schemas.openxmlformats.org/officeDocument/2006/relationships/table" Target="../tables/table42.xml"/><Relationship Id="rId3" Type="http://schemas.openxmlformats.org/officeDocument/2006/relationships/hyperlink" Target="https://cifr.wested.org/resource/lea-moe-calculator/" TargetMode="External"/><Relationship Id="rId21" Type="http://schemas.openxmlformats.org/officeDocument/2006/relationships/table" Target="../tables/table45.xml"/><Relationship Id="rId7" Type="http://schemas.openxmlformats.org/officeDocument/2006/relationships/table" Target="../tables/table31.xml"/><Relationship Id="rId12" Type="http://schemas.openxmlformats.org/officeDocument/2006/relationships/table" Target="../tables/table36.xml"/><Relationship Id="rId17" Type="http://schemas.openxmlformats.org/officeDocument/2006/relationships/table" Target="../tables/table41.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40.xml"/><Relationship Id="rId20" Type="http://schemas.openxmlformats.org/officeDocument/2006/relationships/table" Target="../tables/table44.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30.xml"/><Relationship Id="rId11" Type="http://schemas.openxmlformats.org/officeDocument/2006/relationships/table" Target="../tables/table35.xml"/><Relationship Id="rId5" Type="http://schemas.openxmlformats.org/officeDocument/2006/relationships/table" Target="../tables/table29.xml"/><Relationship Id="rId15" Type="http://schemas.openxmlformats.org/officeDocument/2006/relationships/table" Target="../tables/table39.xml"/><Relationship Id="rId10" Type="http://schemas.openxmlformats.org/officeDocument/2006/relationships/table" Target="../tables/table34.xml"/><Relationship Id="rId19" Type="http://schemas.openxmlformats.org/officeDocument/2006/relationships/table" Target="../tables/table43.xml"/><Relationship Id="rId4" Type="http://schemas.openxmlformats.org/officeDocument/2006/relationships/printerSettings" Target="../printerSettings/printerSettings11.bin"/><Relationship Id="rId9" Type="http://schemas.openxmlformats.org/officeDocument/2006/relationships/table" Target="../tables/table33.xml"/><Relationship Id="rId14" Type="http://schemas.openxmlformats.org/officeDocument/2006/relationships/table" Target="../tables/table38.xml"/><Relationship Id="rId22" Type="http://schemas.openxmlformats.org/officeDocument/2006/relationships/table" Target="../tables/table46.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printerSettings" Target="../printerSettings/printerSettings12.bin"/><Relationship Id="rId1" Type="http://schemas.openxmlformats.org/officeDocument/2006/relationships/hyperlink" Target="https://cifr.wested.org/resource/lea-moe-calculator/" TargetMode="External"/><Relationship Id="rId4" Type="http://schemas.openxmlformats.org/officeDocument/2006/relationships/table" Target="../tables/table48.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52.xml"/><Relationship Id="rId13" Type="http://schemas.openxmlformats.org/officeDocument/2006/relationships/table" Target="../tables/table57.xml"/><Relationship Id="rId18" Type="http://schemas.openxmlformats.org/officeDocument/2006/relationships/table" Target="../tables/table62.xml"/><Relationship Id="rId3" Type="http://schemas.openxmlformats.org/officeDocument/2006/relationships/hyperlink" Target="https://cifr.wested.org/resource/lea-moe-calculator/" TargetMode="External"/><Relationship Id="rId21" Type="http://schemas.openxmlformats.org/officeDocument/2006/relationships/table" Target="../tables/table65.xml"/><Relationship Id="rId7" Type="http://schemas.openxmlformats.org/officeDocument/2006/relationships/table" Target="../tables/table51.xml"/><Relationship Id="rId12" Type="http://schemas.openxmlformats.org/officeDocument/2006/relationships/table" Target="../tables/table56.xml"/><Relationship Id="rId17" Type="http://schemas.openxmlformats.org/officeDocument/2006/relationships/table" Target="../tables/table61.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60.xml"/><Relationship Id="rId20" Type="http://schemas.openxmlformats.org/officeDocument/2006/relationships/table" Target="../tables/table64.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50.xml"/><Relationship Id="rId11" Type="http://schemas.openxmlformats.org/officeDocument/2006/relationships/table" Target="../tables/table55.xml"/><Relationship Id="rId5" Type="http://schemas.openxmlformats.org/officeDocument/2006/relationships/table" Target="../tables/table49.xml"/><Relationship Id="rId15" Type="http://schemas.openxmlformats.org/officeDocument/2006/relationships/table" Target="../tables/table59.xml"/><Relationship Id="rId10" Type="http://schemas.openxmlformats.org/officeDocument/2006/relationships/table" Target="../tables/table54.xml"/><Relationship Id="rId19" Type="http://schemas.openxmlformats.org/officeDocument/2006/relationships/table" Target="../tables/table63.xml"/><Relationship Id="rId4" Type="http://schemas.openxmlformats.org/officeDocument/2006/relationships/printerSettings" Target="../printerSettings/printerSettings13.bin"/><Relationship Id="rId9" Type="http://schemas.openxmlformats.org/officeDocument/2006/relationships/table" Target="../tables/table53.xml"/><Relationship Id="rId14" Type="http://schemas.openxmlformats.org/officeDocument/2006/relationships/table" Target="../tables/table58.xml"/><Relationship Id="rId22" Type="http://schemas.openxmlformats.org/officeDocument/2006/relationships/table" Target="../tables/table6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printerSettings" Target="../printerSettings/printerSettings14.bin"/><Relationship Id="rId1" Type="http://schemas.openxmlformats.org/officeDocument/2006/relationships/hyperlink" Target="https://cifr.wested.org/resource/lea-moe-calculator/" TargetMode="External"/><Relationship Id="rId6" Type="http://schemas.openxmlformats.org/officeDocument/2006/relationships/table" Target="../tables/table70.xml"/><Relationship Id="rId5" Type="http://schemas.openxmlformats.org/officeDocument/2006/relationships/table" Target="../tables/table69.xml"/><Relationship Id="rId4" Type="http://schemas.openxmlformats.org/officeDocument/2006/relationships/table" Target="../tables/table68.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printerSettings" Target="../printerSettings/printerSettings15.bin"/><Relationship Id="rId1" Type="http://schemas.openxmlformats.org/officeDocument/2006/relationships/hyperlink" Target="https://cifr.wested.org/resource/lea-moe-calculator/" TargetMode="External"/><Relationship Id="rId4" Type="http://schemas.openxmlformats.org/officeDocument/2006/relationships/table" Target="../tables/table72.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76.xml"/><Relationship Id="rId13" Type="http://schemas.openxmlformats.org/officeDocument/2006/relationships/table" Target="../tables/table81.xml"/><Relationship Id="rId18" Type="http://schemas.openxmlformats.org/officeDocument/2006/relationships/table" Target="../tables/table86.xml"/><Relationship Id="rId3" Type="http://schemas.openxmlformats.org/officeDocument/2006/relationships/hyperlink" Target="https://cifr.wested.org/resource/lea-moe-calculator/" TargetMode="External"/><Relationship Id="rId21" Type="http://schemas.openxmlformats.org/officeDocument/2006/relationships/table" Target="../tables/table89.xml"/><Relationship Id="rId7" Type="http://schemas.openxmlformats.org/officeDocument/2006/relationships/table" Target="../tables/table75.xml"/><Relationship Id="rId12" Type="http://schemas.openxmlformats.org/officeDocument/2006/relationships/table" Target="../tables/table80.xml"/><Relationship Id="rId17" Type="http://schemas.openxmlformats.org/officeDocument/2006/relationships/table" Target="../tables/table85.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84.xml"/><Relationship Id="rId20" Type="http://schemas.openxmlformats.org/officeDocument/2006/relationships/table" Target="../tables/table88.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74.xml"/><Relationship Id="rId11" Type="http://schemas.openxmlformats.org/officeDocument/2006/relationships/table" Target="../tables/table79.xml"/><Relationship Id="rId5" Type="http://schemas.openxmlformats.org/officeDocument/2006/relationships/table" Target="../tables/table73.xml"/><Relationship Id="rId15" Type="http://schemas.openxmlformats.org/officeDocument/2006/relationships/table" Target="../tables/table83.xml"/><Relationship Id="rId10" Type="http://schemas.openxmlformats.org/officeDocument/2006/relationships/table" Target="../tables/table78.xml"/><Relationship Id="rId19" Type="http://schemas.openxmlformats.org/officeDocument/2006/relationships/table" Target="../tables/table87.xml"/><Relationship Id="rId4" Type="http://schemas.openxmlformats.org/officeDocument/2006/relationships/printerSettings" Target="../printerSettings/printerSettings16.bin"/><Relationship Id="rId9" Type="http://schemas.openxmlformats.org/officeDocument/2006/relationships/table" Target="../tables/table77.xml"/><Relationship Id="rId14" Type="http://schemas.openxmlformats.org/officeDocument/2006/relationships/table" Target="../tables/table82.xml"/><Relationship Id="rId22" Type="http://schemas.openxmlformats.org/officeDocument/2006/relationships/table" Target="../tables/table90.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printerSettings" Target="../printerSettings/printerSettings17.bin"/><Relationship Id="rId1" Type="http://schemas.openxmlformats.org/officeDocument/2006/relationships/hyperlink" Target="https://cifr.wested.org/resource/lea-moe-calculator/" TargetMode="External"/><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printerSettings" Target="../printerSettings/printerSettings18.bin"/><Relationship Id="rId1" Type="http://schemas.openxmlformats.org/officeDocument/2006/relationships/hyperlink" Target="https://cifr.wested.org/resource/lea-moe-calculator/" TargetMode="External"/><Relationship Id="rId6" Type="http://schemas.openxmlformats.org/officeDocument/2006/relationships/table" Target="../tables/table98.xml"/><Relationship Id="rId5" Type="http://schemas.openxmlformats.org/officeDocument/2006/relationships/table" Target="../tables/table97.xml"/><Relationship Id="rId4" Type="http://schemas.openxmlformats.org/officeDocument/2006/relationships/table" Target="../tables/table96.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99.xml"/><Relationship Id="rId2" Type="http://schemas.openxmlformats.org/officeDocument/2006/relationships/printerSettings" Target="../printerSettings/printerSettings19.bin"/><Relationship Id="rId1" Type="http://schemas.openxmlformats.org/officeDocument/2006/relationships/hyperlink" Target="https://cifr.wested.org/resource/lea-moe-calculator/" TargetMode="External"/><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03.xml"/><Relationship Id="rId2" Type="http://schemas.openxmlformats.org/officeDocument/2006/relationships/printerSettings" Target="../printerSettings/printerSettings20.bin"/><Relationship Id="rId1" Type="http://schemas.openxmlformats.org/officeDocument/2006/relationships/hyperlink" Target="https://cifr.wested.org/resource/lea-moe-calculator/" TargetMode="External"/><Relationship Id="rId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108.xml"/><Relationship Id="rId13" Type="http://schemas.openxmlformats.org/officeDocument/2006/relationships/table" Target="../tables/table113.xml"/><Relationship Id="rId18" Type="http://schemas.openxmlformats.org/officeDocument/2006/relationships/table" Target="../tables/table118.xml"/><Relationship Id="rId3" Type="http://schemas.openxmlformats.org/officeDocument/2006/relationships/hyperlink" Target="https://cifr.wested.org/resource/lea-moe-calculator/" TargetMode="External"/><Relationship Id="rId21" Type="http://schemas.openxmlformats.org/officeDocument/2006/relationships/table" Target="../tables/table121.xml"/><Relationship Id="rId7" Type="http://schemas.openxmlformats.org/officeDocument/2006/relationships/table" Target="../tables/table107.xml"/><Relationship Id="rId12" Type="http://schemas.openxmlformats.org/officeDocument/2006/relationships/table" Target="../tables/table112.xml"/><Relationship Id="rId17" Type="http://schemas.openxmlformats.org/officeDocument/2006/relationships/table" Target="../tables/table117.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16.xml"/><Relationship Id="rId20" Type="http://schemas.openxmlformats.org/officeDocument/2006/relationships/table" Target="../tables/table120.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5" Type="http://schemas.openxmlformats.org/officeDocument/2006/relationships/table" Target="../tables/table115.xml"/><Relationship Id="rId10" Type="http://schemas.openxmlformats.org/officeDocument/2006/relationships/table" Target="../tables/table110.xml"/><Relationship Id="rId19" Type="http://schemas.openxmlformats.org/officeDocument/2006/relationships/table" Target="../tables/table119.xml"/><Relationship Id="rId4" Type="http://schemas.openxmlformats.org/officeDocument/2006/relationships/printerSettings" Target="../printerSettings/printerSettings21.bin"/><Relationship Id="rId9" Type="http://schemas.openxmlformats.org/officeDocument/2006/relationships/table" Target="../tables/table109.xml"/><Relationship Id="rId14" Type="http://schemas.openxmlformats.org/officeDocument/2006/relationships/table" Target="../tables/table114.xml"/><Relationship Id="rId22" Type="http://schemas.openxmlformats.org/officeDocument/2006/relationships/table" Target="../tables/table122.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123.xml"/><Relationship Id="rId2" Type="http://schemas.openxmlformats.org/officeDocument/2006/relationships/printerSettings" Target="../printerSettings/printerSettings22.bin"/><Relationship Id="rId1" Type="http://schemas.openxmlformats.org/officeDocument/2006/relationships/hyperlink" Target="https://cifr.wested.org/resource/lea-moe-calculator/" TargetMode="External"/><Relationship Id="rId6" Type="http://schemas.openxmlformats.org/officeDocument/2006/relationships/table" Target="../tables/table126.xml"/><Relationship Id="rId5" Type="http://schemas.openxmlformats.org/officeDocument/2006/relationships/table" Target="../tables/table125.xml"/><Relationship Id="rId4" Type="http://schemas.openxmlformats.org/officeDocument/2006/relationships/table" Target="../tables/table124.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27.xml"/><Relationship Id="rId2" Type="http://schemas.openxmlformats.org/officeDocument/2006/relationships/printerSettings" Target="../printerSettings/printerSettings23.bin"/><Relationship Id="rId1" Type="http://schemas.openxmlformats.org/officeDocument/2006/relationships/hyperlink" Target="https://cifr.wested.org/resource/lea-moe-calculator/" TargetMode="External"/><Relationship Id="rId4" Type="http://schemas.openxmlformats.org/officeDocument/2006/relationships/table" Target="../tables/table128.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k12.wa.us/policy-funding/special-education-funding-and-finance/special-education-funding-washington-state"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132.xml"/><Relationship Id="rId13" Type="http://schemas.openxmlformats.org/officeDocument/2006/relationships/table" Target="../tables/table137.xml"/><Relationship Id="rId18" Type="http://schemas.openxmlformats.org/officeDocument/2006/relationships/table" Target="../tables/table142.xml"/><Relationship Id="rId3" Type="http://schemas.openxmlformats.org/officeDocument/2006/relationships/hyperlink" Target="https://cifr.wested.org/resource/lea-moe-calculator/" TargetMode="External"/><Relationship Id="rId21" Type="http://schemas.openxmlformats.org/officeDocument/2006/relationships/table" Target="../tables/table145.xml"/><Relationship Id="rId7" Type="http://schemas.openxmlformats.org/officeDocument/2006/relationships/table" Target="../tables/table131.xml"/><Relationship Id="rId12" Type="http://schemas.openxmlformats.org/officeDocument/2006/relationships/table" Target="../tables/table136.xml"/><Relationship Id="rId17" Type="http://schemas.openxmlformats.org/officeDocument/2006/relationships/table" Target="../tables/table141.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40.xml"/><Relationship Id="rId20" Type="http://schemas.openxmlformats.org/officeDocument/2006/relationships/table" Target="../tables/table144.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30.xml"/><Relationship Id="rId11" Type="http://schemas.openxmlformats.org/officeDocument/2006/relationships/table" Target="../tables/table135.xml"/><Relationship Id="rId5" Type="http://schemas.openxmlformats.org/officeDocument/2006/relationships/table" Target="../tables/table129.xml"/><Relationship Id="rId15" Type="http://schemas.openxmlformats.org/officeDocument/2006/relationships/table" Target="../tables/table139.xml"/><Relationship Id="rId10" Type="http://schemas.openxmlformats.org/officeDocument/2006/relationships/table" Target="../tables/table134.xml"/><Relationship Id="rId19" Type="http://schemas.openxmlformats.org/officeDocument/2006/relationships/table" Target="../tables/table143.xml"/><Relationship Id="rId4" Type="http://schemas.openxmlformats.org/officeDocument/2006/relationships/printerSettings" Target="../printerSettings/printerSettings24.bin"/><Relationship Id="rId9" Type="http://schemas.openxmlformats.org/officeDocument/2006/relationships/table" Target="../tables/table133.xml"/><Relationship Id="rId14" Type="http://schemas.openxmlformats.org/officeDocument/2006/relationships/table" Target="../tables/table138.xml"/><Relationship Id="rId22" Type="http://schemas.openxmlformats.org/officeDocument/2006/relationships/table" Target="../tables/table146.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47.xml"/><Relationship Id="rId2" Type="http://schemas.openxmlformats.org/officeDocument/2006/relationships/printerSettings" Target="../printerSettings/printerSettings25.bin"/><Relationship Id="rId1" Type="http://schemas.openxmlformats.org/officeDocument/2006/relationships/hyperlink" Target="https://cifr.wested.org/resource/lea-moe-calculator/" TargetMode="External"/><Relationship Id="rId6" Type="http://schemas.openxmlformats.org/officeDocument/2006/relationships/table" Target="../tables/table150.xml"/><Relationship Id="rId5" Type="http://schemas.openxmlformats.org/officeDocument/2006/relationships/table" Target="../tables/table149.xml"/><Relationship Id="rId4" Type="http://schemas.openxmlformats.org/officeDocument/2006/relationships/table" Target="../tables/table148.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51.xml"/><Relationship Id="rId2" Type="http://schemas.openxmlformats.org/officeDocument/2006/relationships/printerSettings" Target="../printerSettings/printerSettings26.bin"/><Relationship Id="rId1" Type="http://schemas.openxmlformats.org/officeDocument/2006/relationships/hyperlink" Target="https://cifr.wested.org/resource/lea-moe-calculator/" TargetMode="External"/><Relationship Id="rId4" Type="http://schemas.openxmlformats.org/officeDocument/2006/relationships/table" Target="../tables/table152.xml"/></Relationships>
</file>

<file path=xl/worksheets/_rels/sheet33.xml.rels><?xml version="1.0" encoding="UTF-8" standalone="yes"?>
<Relationships xmlns="http://schemas.openxmlformats.org/package/2006/relationships"><Relationship Id="rId8" Type="http://schemas.openxmlformats.org/officeDocument/2006/relationships/table" Target="../tables/table156.xml"/><Relationship Id="rId13" Type="http://schemas.openxmlformats.org/officeDocument/2006/relationships/table" Target="../tables/table161.xml"/><Relationship Id="rId18" Type="http://schemas.openxmlformats.org/officeDocument/2006/relationships/table" Target="../tables/table166.xml"/><Relationship Id="rId3" Type="http://schemas.openxmlformats.org/officeDocument/2006/relationships/hyperlink" Target="https://cifr.wested.org/resource/lea-moe-calculator/" TargetMode="External"/><Relationship Id="rId21" Type="http://schemas.openxmlformats.org/officeDocument/2006/relationships/table" Target="../tables/table169.xml"/><Relationship Id="rId7" Type="http://schemas.openxmlformats.org/officeDocument/2006/relationships/table" Target="../tables/table155.xml"/><Relationship Id="rId12" Type="http://schemas.openxmlformats.org/officeDocument/2006/relationships/table" Target="../tables/table160.xml"/><Relationship Id="rId17" Type="http://schemas.openxmlformats.org/officeDocument/2006/relationships/table" Target="../tables/table165.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64.xml"/><Relationship Id="rId20" Type="http://schemas.openxmlformats.org/officeDocument/2006/relationships/table" Target="../tables/table168.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54.xml"/><Relationship Id="rId11" Type="http://schemas.openxmlformats.org/officeDocument/2006/relationships/table" Target="../tables/table159.xml"/><Relationship Id="rId5" Type="http://schemas.openxmlformats.org/officeDocument/2006/relationships/table" Target="../tables/table153.xml"/><Relationship Id="rId15" Type="http://schemas.openxmlformats.org/officeDocument/2006/relationships/table" Target="../tables/table163.xml"/><Relationship Id="rId10" Type="http://schemas.openxmlformats.org/officeDocument/2006/relationships/table" Target="../tables/table158.xml"/><Relationship Id="rId19" Type="http://schemas.openxmlformats.org/officeDocument/2006/relationships/table" Target="../tables/table167.xml"/><Relationship Id="rId4" Type="http://schemas.openxmlformats.org/officeDocument/2006/relationships/printerSettings" Target="../printerSettings/printerSettings27.bin"/><Relationship Id="rId9" Type="http://schemas.openxmlformats.org/officeDocument/2006/relationships/table" Target="../tables/table157.xml"/><Relationship Id="rId14" Type="http://schemas.openxmlformats.org/officeDocument/2006/relationships/table" Target="../tables/table162.xml"/><Relationship Id="rId22" Type="http://schemas.openxmlformats.org/officeDocument/2006/relationships/table" Target="../tables/table170.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171.xml"/><Relationship Id="rId2" Type="http://schemas.openxmlformats.org/officeDocument/2006/relationships/printerSettings" Target="../printerSettings/printerSettings28.bin"/><Relationship Id="rId1" Type="http://schemas.openxmlformats.org/officeDocument/2006/relationships/hyperlink" Target="https://cifr.wested.org/resource/lea-moe-calculator/" TargetMode="External"/><Relationship Id="rId6" Type="http://schemas.openxmlformats.org/officeDocument/2006/relationships/table" Target="../tables/table174.xml"/><Relationship Id="rId5" Type="http://schemas.openxmlformats.org/officeDocument/2006/relationships/table" Target="../tables/table173.xml"/><Relationship Id="rId4" Type="http://schemas.openxmlformats.org/officeDocument/2006/relationships/table" Target="../tables/table172.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75.xml"/><Relationship Id="rId2" Type="http://schemas.openxmlformats.org/officeDocument/2006/relationships/printerSettings" Target="../printerSettings/printerSettings29.bin"/><Relationship Id="rId1" Type="http://schemas.openxmlformats.org/officeDocument/2006/relationships/hyperlink" Target="https://cifr.wested.org/resource/lea-moe-calculator/" TargetMode="External"/><Relationship Id="rId4" Type="http://schemas.openxmlformats.org/officeDocument/2006/relationships/table" Target="../tables/table176.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180.xml"/><Relationship Id="rId13" Type="http://schemas.openxmlformats.org/officeDocument/2006/relationships/table" Target="../tables/table185.xml"/><Relationship Id="rId18" Type="http://schemas.openxmlformats.org/officeDocument/2006/relationships/table" Target="../tables/table190.xml"/><Relationship Id="rId3" Type="http://schemas.openxmlformats.org/officeDocument/2006/relationships/hyperlink" Target="https://cifr.wested.org/resource/lea-moe-calculator/" TargetMode="External"/><Relationship Id="rId21" Type="http://schemas.openxmlformats.org/officeDocument/2006/relationships/table" Target="../tables/table193.xml"/><Relationship Id="rId7" Type="http://schemas.openxmlformats.org/officeDocument/2006/relationships/table" Target="../tables/table179.xml"/><Relationship Id="rId12" Type="http://schemas.openxmlformats.org/officeDocument/2006/relationships/table" Target="../tables/table184.xml"/><Relationship Id="rId17" Type="http://schemas.openxmlformats.org/officeDocument/2006/relationships/table" Target="../tables/table189.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88.xml"/><Relationship Id="rId20" Type="http://schemas.openxmlformats.org/officeDocument/2006/relationships/table" Target="../tables/table192.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78.xml"/><Relationship Id="rId11" Type="http://schemas.openxmlformats.org/officeDocument/2006/relationships/table" Target="../tables/table183.xml"/><Relationship Id="rId5" Type="http://schemas.openxmlformats.org/officeDocument/2006/relationships/table" Target="../tables/table177.xml"/><Relationship Id="rId15" Type="http://schemas.openxmlformats.org/officeDocument/2006/relationships/table" Target="../tables/table187.xml"/><Relationship Id="rId10" Type="http://schemas.openxmlformats.org/officeDocument/2006/relationships/table" Target="../tables/table182.xml"/><Relationship Id="rId19" Type="http://schemas.openxmlformats.org/officeDocument/2006/relationships/table" Target="../tables/table191.xml"/><Relationship Id="rId4" Type="http://schemas.openxmlformats.org/officeDocument/2006/relationships/printerSettings" Target="../printerSettings/printerSettings30.bin"/><Relationship Id="rId9" Type="http://schemas.openxmlformats.org/officeDocument/2006/relationships/table" Target="../tables/table181.xml"/><Relationship Id="rId14" Type="http://schemas.openxmlformats.org/officeDocument/2006/relationships/table" Target="../tables/table186.xml"/><Relationship Id="rId22" Type="http://schemas.openxmlformats.org/officeDocument/2006/relationships/table" Target="../tables/table194.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195.xml"/><Relationship Id="rId2" Type="http://schemas.openxmlformats.org/officeDocument/2006/relationships/printerSettings" Target="../printerSettings/printerSettings31.bin"/><Relationship Id="rId1" Type="http://schemas.openxmlformats.org/officeDocument/2006/relationships/hyperlink" Target="https://cifr.wested.org/resource/lea-moe-calculator/" TargetMode="External"/><Relationship Id="rId6" Type="http://schemas.openxmlformats.org/officeDocument/2006/relationships/table" Target="../tables/table198.xml"/><Relationship Id="rId5" Type="http://schemas.openxmlformats.org/officeDocument/2006/relationships/table" Target="../tables/table197.xml"/><Relationship Id="rId4" Type="http://schemas.openxmlformats.org/officeDocument/2006/relationships/table" Target="../tables/table196.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99.xml"/><Relationship Id="rId2" Type="http://schemas.openxmlformats.org/officeDocument/2006/relationships/printerSettings" Target="../printerSettings/printerSettings32.bin"/><Relationship Id="rId1" Type="http://schemas.openxmlformats.org/officeDocument/2006/relationships/hyperlink" Target="https://cifr.wested.org/resource/lea-moe-calculator/" TargetMode="External"/><Relationship Id="rId4" Type="http://schemas.openxmlformats.org/officeDocument/2006/relationships/table" Target="../tables/table200.xml"/></Relationships>
</file>

<file path=xl/worksheets/_rels/sheet39.xml.rels><?xml version="1.0" encoding="UTF-8" standalone="yes"?>
<Relationships xmlns="http://schemas.openxmlformats.org/package/2006/relationships"><Relationship Id="rId8" Type="http://schemas.openxmlformats.org/officeDocument/2006/relationships/table" Target="../tables/table204.xml"/><Relationship Id="rId13" Type="http://schemas.openxmlformats.org/officeDocument/2006/relationships/table" Target="../tables/table209.xml"/><Relationship Id="rId18" Type="http://schemas.openxmlformats.org/officeDocument/2006/relationships/table" Target="../tables/table214.xml"/><Relationship Id="rId3" Type="http://schemas.openxmlformats.org/officeDocument/2006/relationships/hyperlink" Target="https://cifr.wested.org/resource/lea-moe-calculator/" TargetMode="External"/><Relationship Id="rId21" Type="http://schemas.openxmlformats.org/officeDocument/2006/relationships/table" Target="../tables/table217.xml"/><Relationship Id="rId7" Type="http://schemas.openxmlformats.org/officeDocument/2006/relationships/table" Target="../tables/table203.xml"/><Relationship Id="rId12" Type="http://schemas.openxmlformats.org/officeDocument/2006/relationships/table" Target="../tables/table208.xml"/><Relationship Id="rId17" Type="http://schemas.openxmlformats.org/officeDocument/2006/relationships/table" Target="../tables/table213.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212.xml"/><Relationship Id="rId20" Type="http://schemas.openxmlformats.org/officeDocument/2006/relationships/table" Target="../tables/table216.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202.xml"/><Relationship Id="rId11" Type="http://schemas.openxmlformats.org/officeDocument/2006/relationships/table" Target="../tables/table207.xml"/><Relationship Id="rId5" Type="http://schemas.openxmlformats.org/officeDocument/2006/relationships/table" Target="../tables/table201.xml"/><Relationship Id="rId15" Type="http://schemas.openxmlformats.org/officeDocument/2006/relationships/table" Target="../tables/table211.xml"/><Relationship Id="rId10" Type="http://schemas.openxmlformats.org/officeDocument/2006/relationships/table" Target="../tables/table206.xml"/><Relationship Id="rId19" Type="http://schemas.openxmlformats.org/officeDocument/2006/relationships/table" Target="../tables/table215.xml"/><Relationship Id="rId4" Type="http://schemas.openxmlformats.org/officeDocument/2006/relationships/printerSettings" Target="../printerSettings/printerSettings33.bin"/><Relationship Id="rId9" Type="http://schemas.openxmlformats.org/officeDocument/2006/relationships/table" Target="../tables/table205.xml"/><Relationship Id="rId14" Type="http://schemas.openxmlformats.org/officeDocument/2006/relationships/table" Target="../tables/table210.xml"/><Relationship Id="rId22" Type="http://schemas.openxmlformats.org/officeDocument/2006/relationships/table" Target="../tables/table218.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https://cifr.wested.org/resource/lea-moe-calculator/" TargetMode="External"/><Relationship Id="rId5" Type="http://schemas.openxmlformats.org/officeDocument/2006/relationships/table" Target="../tables/table3.xml"/><Relationship Id="rId4"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219.xml"/><Relationship Id="rId2" Type="http://schemas.openxmlformats.org/officeDocument/2006/relationships/printerSettings" Target="../printerSettings/printerSettings34.bin"/><Relationship Id="rId1" Type="http://schemas.openxmlformats.org/officeDocument/2006/relationships/hyperlink" Target="https://cifr.wested.org/resource/lea-moe-calculator/" TargetMode="External"/><Relationship Id="rId6" Type="http://schemas.openxmlformats.org/officeDocument/2006/relationships/table" Target="../tables/table222.xml"/><Relationship Id="rId5" Type="http://schemas.openxmlformats.org/officeDocument/2006/relationships/table" Target="../tables/table221.xml"/><Relationship Id="rId4" Type="http://schemas.openxmlformats.org/officeDocument/2006/relationships/table" Target="../tables/table220.xml"/></Relationships>
</file>

<file path=xl/worksheets/_rels/sheet41.xml.rels><?xml version="1.0" encoding="UTF-8" standalone="yes"?>
<Relationships xmlns="http://schemas.openxmlformats.org/package/2006/relationships"><Relationship Id="rId3" Type="http://schemas.openxmlformats.org/officeDocument/2006/relationships/table" Target="../tables/table223.xml"/><Relationship Id="rId2" Type="http://schemas.openxmlformats.org/officeDocument/2006/relationships/printerSettings" Target="../printerSettings/printerSettings35.bin"/><Relationship Id="rId1" Type="http://schemas.openxmlformats.org/officeDocument/2006/relationships/hyperlink" Target="https://cifr.wested.org/resource/lea-moe-calculator/" TargetMode="External"/><Relationship Id="rId4" Type="http://schemas.openxmlformats.org/officeDocument/2006/relationships/table" Target="../tables/table224.xml"/></Relationships>
</file>

<file path=xl/worksheets/_rels/sheet42.xml.rels><?xml version="1.0" encoding="UTF-8" standalone="yes"?>
<Relationships xmlns="http://schemas.openxmlformats.org/package/2006/relationships"><Relationship Id="rId8" Type="http://schemas.openxmlformats.org/officeDocument/2006/relationships/table" Target="../tables/table228.xml"/><Relationship Id="rId13" Type="http://schemas.openxmlformats.org/officeDocument/2006/relationships/table" Target="../tables/table233.xml"/><Relationship Id="rId18" Type="http://schemas.openxmlformats.org/officeDocument/2006/relationships/table" Target="../tables/table238.xml"/><Relationship Id="rId3" Type="http://schemas.openxmlformats.org/officeDocument/2006/relationships/hyperlink" Target="https://cifr.wested.org/resource/lea-moe-calculator/" TargetMode="External"/><Relationship Id="rId21" Type="http://schemas.openxmlformats.org/officeDocument/2006/relationships/table" Target="../tables/table241.xml"/><Relationship Id="rId7" Type="http://schemas.openxmlformats.org/officeDocument/2006/relationships/table" Target="../tables/table227.xml"/><Relationship Id="rId12" Type="http://schemas.openxmlformats.org/officeDocument/2006/relationships/table" Target="../tables/table232.xml"/><Relationship Id="rId17" Type="http://schemas.openxmlformats.org/officeDocument/2006/relationships/table" Target="../tables/table237.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236.xml"/><Relationship Id="rId20" Type="http://schemas.openxmlformats.org/officeDocument/2006/relationships/table" Target="../tables/table240.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226.xml"/><Relationship Id="rId11" Type="http://schemas.openxmlformats.org/officeDocument/2006/relationships/table" Target="../tables/table231.xml"/><Relationship Id="rId5" Type="http://schemas.openxmlformats.org/officeDocument/2006/relationships/table" Target="../tables/table225.xml"/><Relationship Id="rId15" Type="http://schemas.openxmlformats.org/officeDocument/2006/relationships/table" Target="../tables/table235.xml"/><Relationship Id="rId10" Type="http://schemas.openxmlformats.org/officeDocument/2006/relationships/table" Target="../tables/table230.xml"/><Relationship Id="rId19" Type="http://schemas.openxmlformats.org/officeDocument/2006/relationships/table" Target="../tables/table239.xml"/><Relationship Id="rId4" Type="http://schemas.openxmlformats.org/officeDocument/2006/relationships/printerSettings" Target="../printerSettings/printerSettings36.bin"/><Relationship Id="rId9" Type="http://schemas.openxmlformats.org/officeDocument/2006/relationships/table" Target="../tables/table229.xml"/><Relationship Id="rId14" Type="http://schemas.openxmlformats.org/officeDocument/2006/relationships/table" Target="../tables/table234.xml"/><Relationship Id="rId22" Type="http://schemas.openxmlformats.org/officeDocument/2006/relationships/table" Target="../tables/table242.xml"/></Relationships>
</file>

<file path=xl/worksheets/_rels/sheet43.xml.rels><?xml version="1.0" encoding="UTF-8" standalone="yes"?>
<Relationships xmlns="http://schemas.openxmlformats.org/package/2006/relationships"><Relationship Id="rId3" Type="http://schemas.openxmlformats.org/officeDocument/2006/relationships/table" Target="../tables/table243.xml"/><Relationship Id="rId2" Type="http://schemas.openxmlformats.org/officeDocument/2006/relationships/printerSettings" Target="../printerSettings/printerSettings37.bin"/><Relationship Id="rId1" Type="http://schemas.openxmlformats.org/officeDocument/2006/relationships/hyperlink" Target="https://cifr.wested.org/resource/lea-moe-calculator/" TargetMode="External"/><Relationship Id="rId6" Type="http://schemas.openxmlformats.org/officeDocument/2006/relationships/table" Target="../tables/table246.xml"/><Relationship Id="rId5" Type="http://schemas.openxmlformats.org/officeDocument/2006/relationships/table" Target="../tables/table245.xml"/><Relationship Id="rId4" Type="http://schemas.openxmlformats.org/officeDocument/2006/relationships/table" Target="../tables/table244.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247.xml"/><Relationship Id="rId2" Type="http://schemas.openxmlformats.org/officeDocument/2006/relationships/printerSettings" Target="../printerSettings/printerSettings38.bin"/><Relationship Id="rId1" Type="http://schemas.openxmlformats.org/officeDocument/2006/relationships/hyperlink" Target="https://cifr.wested.org/resource/lea-moe-calculator/" TargetMode="External"/></Relationships>
</file>

<file path=xl/worksheets/_rels/sheet45.xml.rels><?xml version="1.0" encoding="UTF-8" standalone="yes"?>
<Relationships xmlns="http://schemas.openxmlformats.org/package/2006/relationships"><Relationship Id="rId8" Type="http://schemas.openxmlformats.org/officeDocument/2006/relationships/table" Target="../tables/table252.xml"/><Relationship Id="rId3" Type="http://schemas.openxmlformats.org/officeDocument/2006/relationships/printerSettings" Target="../printerSettings/printerSettings39.bin"/><Relationship Id="rId7" Type="http://schemas.openxmlformats.org/officeDocument/2006/relationships/table" Target="../tables/table251.xml"/><Relationship Id="rId12" Type="http://schemas.openxmlformats.org/officeDocument/2006/relationships/table" Target="../tables/table256.xml"/><Relationship Id="rId2" Type="http://schemas.openxmlformats.org/officeDocument/2006/relationships/hyperlink" Target="https://cifr.wested.org/resource/lea-moe-calculator/" TargetMode="Externa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250.xml"/><Relationship Id="rId11" Type="http://schemas.openxmlformats.org/officeDocument/2006/relationships/table" Target="../tables/table255.xml"/><Relationship Id="rId5" Type="http://schemas.openxmlformats.org/officeDocument/2006/relationships/table" Target="../tables/table249.xml"/><Relationship Id="rId10" Type="http://schemas.openxmlformats.org/officeDocument/2006/relationships/table" Target="../tables/table254.xml"/><Relationship Id="rId4" Type="http://schemas.openxmlformats.org/officeDocument/2006/relationships/table" Target="../tables/table248.xml"/><Relationship Id="rId9" Type="http://schemas.openxmlformats.org/officeDocument/2006/relationships/table" Target="../tables/table253.xml"/></Relationships>
</file>

<file path=xl/worksheets/_rels/sheet46.xml.rels><?xml version="1.0" encoding="UTF-8" standalone="yes"?>
<Relationships xmlns="http://schemas.openxmlformats.org/package/2006/relationships"><Relationship Id="rId3" Type="http://schemas.openxmlformats.org/officeDocument/2006/relationships/table" Target="../tables/table257.xml"/><Relationship Id="rId2" Type="http://schemas.openxmlformats.org/officeDocument/2006/relationships/printerSettings" Target="../printerSettings/printerSettings40.bin"/><Relationship Id="rId1" Type="http://schemas.openxmlformats.org/officeDocument/2006/relationships/hyperlink" Target="https://cifr.wested.org/resource/lea-moe-calculator/" TargetMode="External"/><Relationship Id="rId5" Type="http://schemas.openxmlformats.org/officeDocument/2006/relationships/table" Target="../tables/table259.xml"/><Relationship Id="rId4" Type="http://schemas.openxmlformats.org/officeDocument/2006/relationships/table" Target="../tables/table258.xml"/></Relationships>
</file>

<file path=xl/worksheets/_rels/sheet47.xml.rels><?xml version="1.0" encoding="UTF-8" standalone="yes"?>
<Relationships xmlns="http://schemas.openxmlformats.org/package/2006/relationships"><Relationship Id="rId8" Type="http://schemas.openxmlformats.org/officeDocument/2006/relationships/table" Target="../tables/table265.xml"/><Relationship Id="rId13" Type="http://schemas.openxmlformats.org/officeDocument/2006/relationships/table" Target="../tables/table270.xml"/><Relationship Id="rId18" Type="http://schemas.openxmlformats.org/officeDocument/2006/relationships/table" Target="../tables/table275.xml"/><Relationship Id="rId3" Type="http://schemas.openxmlformats.org/officeDocument/2006/relationships/table" Target="../tables/table260.xml"/><Relationship Id="rId21" Type="http://schemas.openxmlformats.org/officeDocument/2006/relationships/table" Target="../tables/table278.xml"/><Relationship Id="rId7" Type="http://schemas.openxmlformats.org/officeDocument/2006/relationships/table" Target="../tables/table264.xml"/><Relationship Id="rId12" Type="http://schemas.openxmlformats.org/officeDocument/2006/relationships/table" Target="../tables/table269.xml"/><Relationship Id="rId17" Type="http://schemas.openxmlformats.org/officeDocument/2006/relationships/table" Target="../tables/table274.xml"/><Relationship Id="rId2" Type="http://schemas.openxmlformats.org/officeDocument/2006/relationships/printerSettings" Target="../printerSettings/printerSettings41.bin"/><Relationship Id="rId16" Type="http://schemas.openxmlformats.org/officeDocument/2006/relationships/table" Target="../tables/table273.xml"/><Relationship Id="rId20" Type="http://schemas.openxmlformats.org/officeDocument/2006/relationships/table" Target="../tables/table277.xml"/><Relationship Id="rId1" Type="http://schemas.openxmlformats.org/officeDocument/2006/relationships/hyperlink" Target="https://cifr.wested.org/resource/lea-moe-calculator/" TargetMode="External"/><Relationship Id="rId6" Type="http://schemas.openxmlformats.org/officeDocument/2006/relationships/table" Target="../tables/table263.xml"/><Relationship Id="rId11" Type="http://schemas.openxmlformats.org/officeDocument/2006/relationships/table" Target="../tables/table268.xml"/><Relationship Id="rId24" Type="http://schemas.openxmlformats.org/officeDocument/2006/relationships/table" Target="../tables/table281.xml"/><Relationship Id="rId5" Type="http://schemas.openxmlformats.org/officeDocument/2006/relationships/table" Target="../tables/table262.xml"/><Relationship Id="rId15" Type="http://schemas.openxmlformats.org/officeDocument/2006/relationships/table" Target="../tables/table272.xml"/><Relationship Id="rId23" Type="http://schemas.openxmlformats.org/officeDocument/2006/relationships/table" Target="../tables/table280.xml"/><Relationship Id="rId10" Type="http://schemas.openxmlformats.org/officeDocument/2006/relationships/table" Target="../tables/table267.xml"/><Relationship Id="rId19" Type="http://schemas.openxmlformats.org/officeDocument/2006/relationships/table" Target="../tables/table276.xml"/><Relationship Id="rId4" Type="http://schemas.openxmlformats.org/officeDocument/2006/relationships/table" Target="../tables/table261.xml"/><Relationship Id="rId9" Type="http://schemas.openxmlformats.org/officeDocument/2006/relationships/table" Target="../tables/table266.xml"/><Relationship Id="rId14" Type="http://schemas.openxmlformats.org/officeDocument/2006/relationships/table" Target="../tables/table271.xml"/><Relationship Id="rId22" Type="http://schemas.openxmlformats.org/officeDocument/2006/relationships/table" Target="../tables/table279.xml"/></Relationships>
</file>

<file path=xl/worksheets/_rels/sheet48.xml.rels><?xml version="1.0" encoding="UTF-8" standalone="yes"?>
<Relationships xmlns="http://schemas.openxmlformats.org/package/2006/relationships"><Relationship Id="rId8" Type="http://schemas.openxmlformats.org/officeDocument/2006/relationships/table" Target="../tables/table287.xml"/><Relationship Id="rId13" Type="http://schemas.openxmlformats.org/officeDocument/2006/relationships/table" Target="../tables/table292.xml"/><Relationship Id="rId18" Type="http://schemas.openxmlformats.org/officeDocument/2006/relationships/table" Target="../tables/table297.xml"/><Relationship Id="rId3" Type="http://schemas.openxmlformats.org/officeDocument/2006/relationships/table" Target="../tables/table282.xml"/><Relationship Id="rId21" Type="http://schemas.openxmlformats.org/officeDocument/2006/relationships/table" Target="../tables/table300.xml"/><Relationship Id="rId7" Type="http://schemas.openxmlformats.org/officeDocument/2006/relationships/table" Target="../tables/table286.xml"/><Relationship Id="rId12" Type="http://schemas.openxmlformats.org/officeDocument/2006/relationships/table" Target="../tables/table291.xml"/><Relationship Id="rId17" Type="http://schemas.openxmlformats.org/officeDocument/2006/relationships/table" Target="../tables/table296.xml"/><Relationship Id="rId2" Type="http://schemas.openxmlformats.org/officeDocument/2006/relationships/printerSettings" Target="../printerSettings/printerSettings42.bin"/><Relationship Id="rId16" Type="http://schemas.openxmlformats.org/officeDocument/2006/relationships/table" Target="../tables/table295.xml"/><Relationship Id="rId20" Type="http://schemas.openxmlformats.org/officeDocument/2006/relationships/table" Target="../tables/table299.xml"/><Relationship Id="rId1" Type="http://schemas.openxmlformats.org/officeDocument/2006/relationships/hyperlink" Target="https://cifr.wested.org/resource/lea-moe-calculator/" TargetMode="External"/><Relationship Id="rId6" Type="http://schemas.openxmlformats.org/officeDocument/2006/relationships/table" Target="../tables/table285.xml"/><Relationship Id="rId11" Type="http://schemas.openxmlformats.org/officeDocument/2006/relationships/table" Target="../tables/table290.xml"/><Relationship Id="rId24" Type="http://schemas.openxmlformats.org/officeDocument/2006/relationships/table" Target="../tables/table303.xml"/><Relationship Id="rId5" Type="http://schemas.openxmlformats.org/officeDocument/2006/relationships/table" Target="../tables/table284.xml"/><Relationship Id="rId15" Type="http://schemas.openxmlformats.org/officeDocument/2006/relationships/table" Target="../tables/table294.xml"/><Relationship Id="rId23" Type="http://schemas.openxmlformats.org/officeDocument/2006/relationships/table" Target="../tables/table302.xml"/><Relationship Id="rId10" Type="http://schemas.openxmlformats.org/officeDocument/2006/relationships/table" Target="../tables/table289.xml"/><Relationship Id="rId19" Type="http://schemas.openxmlformats.org/officeDocument/2006/relationships/table" Target="../tables/table298.xml"/><Relationship Id="rId4" Type="http://schemas.openxmlformats.org/officeDocument/2006/relationships/table" Target="../tables/table283.xml"/><Relationship Id="rId9" Type="http://schemas.openxmlformats.org/officeDocument/2006/relationships/table" Target="../tables/table288.xml"/><Relationship Id="rId14" Type="http://schemas.openxmlformats.org/officeDocument/2006/relationships/table" Target="../tables/table293.xml"/><Relationship Id="rId22" Type="http://schemas.openxmlformats.org/officeDocument/2006/relationships/table" Target="../tables/table301.xml"/></Relationships>
</file>

<file path=xl/worksheets/_rels/sheet49.xml.rels><?xml version="1.0" encoding="UTF-8" standalone="yes"?>
<Relationships xmlns="http://schemas.openxmlformats.org/package/2006/relationships"><Relationship Id="rId8" Type="http://schemas.openxmlformats.org/officeDocument/2006/relationships/table" Target="../tables/table309.xml"/><Relationship Id="rId13" Type="http://schemas.openxmlformats.org/officeDocument/2006/relationships/table" Target="../tables/table314.xml"/><Relationship Id="rId18" Type="http://schemas.openxmlformats.org/officeDocument/2006/relationships/table" Target="../tables/table319.xml"/><Relationship Id="rId3" Type="http://schemas.openxmlformats.org/officeDocument/2006/relationships/table" Target="../tables/table304.xml"/><Relationship Id="rId21" Type="http://schemas.openxmlformats.org/officeDocument/2006/relationships/table" Target="../tables/table322.xml"/><Relationship Id="rId7" Type="http://schemas.openxmlformats.org/officeDocument/2006/relationships/table" Target="../tables/table308.xml"/><Relationship Id="rId12" Type="http://schemas.openxmlformats.org/officeDocument/2006/relationships/table" Target="../tables/table313.xml"/><Relationship Id="rId17" Type="http://schemas.openxmlformats.org/officeDocument/2006/relationships/table" Target="../tables/table318.xml"/><Relationship Id="rId2" Type="http://schemas.openxmlformats.org/officeDocument/2006/relationships/printerSettings" Target="../printerSettings/printerSettings43.bin"/><Relationship Id="rId16" Type="http://schemas.openxmlformats.org/officeDocument/2006/relationships/table" Target="../tables/table317.xml"/><Relationship Id="rId20" Type="http://schemas.openxmlformats.org/officeDocument/2006/relationships/table" Target="../tables/table321.xml"/><Relationship Id="rId1" Type="http://schemas.openxmlformats.org/officeDocument/2006/relationships/hyperlink" Target="https://cifr.wested.org/resource/lea-moe-calculator/" TargetMode="External"/><Relationship Id="rId6" Type="http://schemas.openxmlformats.org/officeDocument/2006/relationships/table" Target="../tables/table307.xml"/><Relationship Id="rId11" Type="http://schemas.openxmlformats.org/officeDocument/2006/relationships/table" Target="../tables/table312.xml"/><Relationship Id="rId24" Type="http://schemas.openxmlformats.org/officeDocument/2006/relationships/table" Target="../tables/table325.xml"/><Relationship Id="rId5" Type="http://schemas.openxmlformats.org/officeDocument/2006/relationships/table" Target="../tables/table306.xml"/><Relationship Id="rId15" Type="http://schemas.openxmlformats.org/officeDocument/2006/relationships/table" Target="../tables/table316.xml"/><Relationship Id="rId23" Type="http://schemas.openxmlformats.org/officeDocument/2006/relationships/table" Target="../tables/table324.xml"/><Relationship Id="rId10" Type="http://schemas.openxmlformats.org/officeDocument/2006/relationships/table" Target="../tables/table311.xml"/><Relationship Id="rId19" Type="http://schemas.openxmlformats.org/officeDocument/2006/relationships/table" Target="../tables/table320.xml"/><Relationship Id="rId4" Type="http://schemas.openxmlformats.org/officeDocument/2006/relationships/table" Target="../tables/table305.xml"/><Relationship Id="rId9" Type="http://schemas.openxmlformats.org/officeDocument/2006/relationships/table" Target="../tables/table310.xml"/><Relationship Id="rId14" Type="http://schemas.openxmlformats.org/officeDocument/2006/relationships/table" Target="../tables/table315.xml"/><Relationship Id="rId22" Type="http://schemas.openxmlformats.org/officeDocument/2006/relationships/table" Target="../tables/table32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5.bin"/><Relationship Id="rId1" Type="http://schemas.openxmlformats.org/officeDocument/2006/relationships/hyperlink" Target="https://cifr.wested.org/resource/lea-moe-calculator/" TargetMode="External"/></Relationships>
</file>

<file path=xl/worksheets/_rels/sheet50.xml.rels><?xml version="1.0" encoding="UTF-8" standalone="yes"?>
<Relationships xmlns="http://schemas.openxmlformats.org/package/2006/relationships"><Relationship Id="rId8" Type="http://schemas.openxmlformats.org/officeDocument/2006/relationships/table" Target="../tables/table331.xml"/><Relationship Id="rId13" Type="http://schemas.openxmlformats.org/officeDocument/2006/relationships/table" Target="../tables/table336.xml"/><Relationship Id="rId18" Type="http://schemas.openxmlformats.org/officeDocument/2006/relationships/table" Target="../tables/table341.xml"/><Relationship Id="rId3" Type="http://schemas.openxmlformats.org/officeDocument/2006/relationships/table" Target="../tables/table326.xml"/><Relationship Id="rId21" Type="http://schemas.openxmlformats.org/officeDocument/2006/relationships/table" Target="../tables/table344.xml"/><Relationship Id="rId7" Type="http://schemas.openxmlformats.org/officeDocument/2006/relationships/table" Target="../tables/table330.xml"/><Relationship Id="rId12" Type="http://schemas.openxmlformats.org/officeDocument/2006/relationships/table" Target="../tables/table335.xml"/><Relationship Id="rId17" Type="http://schemas.openxmlformats.org/officeDocument/2006/relationships/table" Target="../tables/table340.xml"/><Relationship Id="rId2" Type="http://schemas.openxmlformats.org/officeDocument/2006/relationships/printerSettings" Target="../printerSettings/printerSettings44.bin"/><Relationship Id="rId16" Type="http://schemas.openxmlformats.org/officeDocument/2006/relationships/table" Target="../tables/table339.xml"/><Relationship Id="rId20" Type="http://schemas.openxmlformats.org/officeDocument/2006/relationships/table" Target="../tables/table343.xml"/><Relationship Id="rId1" Type="http://schemas.openxmlformats.org/officeDocument/2006/relationships/hyperlink" Target="https://cifr.wested.org/resource/lea-moe-calculator/" TargetMode="External"/><Relationship Id="rId6" Type="http://schemas.openxmlformats.org/officeDocument/2006/relationships/table" Target="../tables/table329.xml"/><Relationship Id="rId11" Type="http://schemas.openxmlformats.org/officeDocument/2006/relationships/table" Target="../tables/table334.xml"/><Relationship Id="rId24" Type="http://schemas.openxmlformats.org/officeDocument/2006/relationships/table" Target="../tables/table347.xml"/><Relationship Id="rId5" Type="http://schemas.openxmlformats.org/officeDocument/2006/relationships/table" Target="../tables/table328.xml"/><Relationship Id="rId15" Type="http://schemas.openxmlformats.org/officeDocument/2006/relationships/table" Target="../tables/table338.xml"/><Relationship Id="rId23" Type="http://schemas.openxmlformats.org/officeDocument/2006/relationships/table" Target="../tables/table346.xml"/><Relationship Id="rId10" Type="http://schemas.openxmlformats.org/officeDocument/2006/relationships/table" Target="../tables/table333.xml"/><Relationship Id="rId19" Type="http://schemas.openxmlformats.org/officeDocument/2006/relationships/table" Target="../tables/table342.xml"/><Relationship Id="rId4" Type="http://schemas.openxmlformats.org/officeDocument/2006/relationships/table" Target="../tables/table327.xml"/><Relationship Id="rId9" Type="http://schemas.openxmlformats.org/officeDocument/2006/relationships/table" Target="../tables/table332.xml"/><Relationship Id="rId14" Type="http://schemas.openxmlformats.org/officeDocument/2006/relationships/table" Target="../tables/table337.xml"/><Relationship Id="rId22" Type="http://schemas.openxmlformats.org/officeDocument/2006/relationships/table" Target="../tables/table345.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9.bin"/><Relationship Id="rId4" Type="http://schemas.microsoft.com/office/2017/10/relationships/threadedComment" Target="../threadedComments/threadedComment1.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6.bin"/><Relationship Id="rId1" Type="http://schemas.openxmlformats.org/officeDocument/2006/relationships/hyperlink" Target="https://cifr.wested.org/resource/lea-moe-calculator/"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hyperlink" Target="https://cifr.wested.org/resource/lea-moe-calculator/" TargetMode="External"/><Relationship Id="rId5" Type="http://schemas.openxmlformats.org/officeDocument/2006/relationships/comments" Target="../comments1.xm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sheetPr>
  <dimension ref="A1:A10"/>
  <sheetViews>
    <sheetView showGridLines="0" zoomScaleNormal="100" workbookViewId="0">
      <selection activeCell="A2" sqref="A2"/>
    </sheetView>
  </sheetViews>
  <sheetFormatPr defaultColWidth="0" defaultRowHeight="15" zeroHeight="1" x14ac:dyDescent="0.25"/>
  <cols>
    <col min="1" max="1" width="140.5703125" customWidth="1"/>
    <col min="2" max="16384" width="9.140625" hidden="1"/>
  </cols>
  <sheetData>
    <row r="1" spans="1:1" ht="186" x14ac:dyDescent="0.25">
      <c r="A1" s="287" t="s">
        <v>181</v>
      </c>
    </row>
    <row r="2" spans="1:1" ht="51" customHeight="1" x14ac:dyDescent="0.25">
      <c r="A2" s="373" t="s">
        <v>169</v>
      </c>
    </row>
    <row r="3" spans="1:1" ht="60" x14ac:dyDescent="0.25">
      <c r="A3" s="288" t="s">
        <v>136</v>
      </c>
    </row>
    <row r="4" spans="1:1" x14ac:dyDescent="0.25"/>
    <row r="5" spans="1:1" ht="105" x14ac:dyDescent="0.25">
      <c r="A5" s="339" t="s">
        <v>172</v>
      </c>
    </row>
    <row r="6" spans="1:1" ht="158.25" customHeight="1" x14ac:dyDescent="0.25">
      <c r="A6" s="357" t="s">
        <v>182</v>
      </c>
    </row>
    <row r="7" spans="1:1" ht="15.75" x14ac:dyDescent="0.25">
      <c r="A7" s="359" t="s">
        <v>24</v>
      </c>
    </row>
    <row r="8" spans="1:1" ht="15.75" hidden="1" x14ac:dyDescent="0.25">
      <c r="A8" s="356"/>
    </row>
    <row r="9" spans="1:1" ht="15.75" hidden="1" x14ac:dyDescent="0.25">
      <c r="A9" s="356"/>
    </row>
    <row r="10" spans="1:1" ht="15.75" hidden="1" x14ac:dyDescent="0.25">
      <c r="A10" s="356"/>
    </row>
  </sheetData>
  <pageMargins left="0.7" right="0.7" top="0.75" bottom="0.75" header="0.3" footer="0.3"/>
  <pageSetup orientation="portrait"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0253-1561-482F-B64B-5D0DFBEAA7EA}">
  <sheetPr filterMode="1"/>
  <dimension ref="A1:H320"/>
  <sheetViews>
    <sheetView topLeftCell="A39" workbookViewId="0">
      <selection activeCell="A63" sqref="A63:XFD63"/>
    </sheetView>
  </sheetViews>
  <sheetFormatPr defaultRowHeight="15" x14ac:dyDescent="0.25"/>
  <cols>
    <col min="2" max="2" width="35" bestFit="1" customWidth="1"/>
    <col min="3" max="3" width="26.42578125" bestFit="1" customWidth="1"/>
    <col min="4" max="6" width="26.42578125" customWidth="1"/>
    <col min="7" max="7" width="22.85546875" customWidth="1"/>
    <col min="8" max="8" width="26.42578125" customWidth="1"/>
  </cols>
  <sheetData>
    <row r="1" spans="1:8" ht="20.25" x14ac:dyDescent="0.3">
      <c r="A1" s="481" t="s">
        <v>1383</v>
      </c>
    </row>
    <row r="2" spans="1:8" ht="20.25" x14ac:dyDescent="0.3">
      <c r="A2" s="481" t="s">
        <v>1384</v>
      </c>
    </row>
    <row r="3" spans="1:8" ht="20.25" x14ac:dyDescent="0.3">
      <c r="A3" s="481" t="s">
        <v>1434</v>
      </c>
    </row>
    <row r="4" spans="1:8" s="368" customFormat="1" ht="31.5" x14ac:dyDescent="0.25">
      <c r="C4" s="482" t="s">
        <v>1386</v>
      </c>
      <c r="D4" s="483" t="s">
        <v>1387</v>
      </c>
      <c r="E4" s="482" t="s">
        <v>1388</v>
      </c>
      <c r="F4" s="483" t="s">
        <v>1389</v>
      </c>
      <c r="G4" s="482" t="s">
        <v>1435</v>
      </c>
      <c r="H4" s="482" t="s">
        <v>1390</v>
      </c>
    </row>
    <row r="5" spans="1:8" ht="15.75" x14ac:dyDescent="0.25">
      <c r="A5" s="484">
        <v>310</v>
      </c>
      <c r="B5" s="485" t="s">
        <v>1391</v>
      </c>
      <c r="C5" s="486">
        <f>SUBTOTAL(9,C6:C319)</f>
        <v>2150174652.4400001</v>
      </c>
      <c r="D5" s="486">
        <f t="shared" ref="D5:H5" si="0">SUBTOTAL(9,D6:D319)</f>
        <v>1827242547.5800004</v>
      </c>
      <c r="E5" s="486">
        <f t="shared" si="0"/>
        <v>12685470.600000003</v>
      </c>
      <c r="F5" s="486">
        <f t="shared" si="0"/>
        <v>310244355.97000015</v>
      </c>
      <c r="G5" s="486">
        <f t="shared" si="0"/>
        <v>2137486903.5500002</v>
      </c>
      <c r="H5" s="486">
        <f t="shared" si="0"/>
        <v>2150172371.1500001</v>
      </c>
    </row>
    <row r="6" spans="1:8" ht="15.75" x14ac:dyDescent="0.25">
      <c r="A6" s="487" t="s">
        <v>188</v>
      </c>
      <c r="B6" s="487" t="s">
        <v>190</v>
      </c>
      <c r="C6" s="488">
        <v>5138175.2300000004</v>
      </c>
      <c r="D6" s="489">
        <v>5072277.54</v>
      </c>
      <c r="E6" s="488">
        <v>65897.69</v>
      </c>
      <c r="F6" s="489">
        <v>0</v>
      </c>
      <c r="G6" s="490">
        <f t="shared" ref="G6:G69" si="1">D6+F6</f>
        <v>5072277.54</v>
      </c>
      <c r="H6" s="488">
        <v>5138175.2300000004</v>
      </c>
    </row>
    <row r="7" spans="1:8" ht="15.75" x14ac:dyDescent="0.25">
      <c r="A7" s="487" t="s">
        <v>191</v>
      </c>
      <c r="B7" s="487" t="s">
        <v>192</v>
      </c>
      <c r="C7" s="488">
        <v>785112.96</v>
      </c>
      <c r="D7" s="489">
        <v>784195.14</v>
      </c>
      <c r="E7" s="488">
        <v>917.82</v>
      </c>
      <c r="F7" s="489">
        <v>0</v>
      </c>
      <c r="G7" s="490">
        <f t="shared" si="1"/>
        <v>784195.14</v>
      </c>
      <c r="H7" s="488">
        <v>785112.96</v>
      </c>
    </row>
    <row r="8" spans="1:8" ht="15.75" x14ac:dyDescent="0.25">
      <c r="A8" s="487" t="s">
        <v>193</v>
      </c>
      <c r="B8" s="487" t="s">
        <v>195</v>
      </c>
      <c r="C8" s="488">
        <v>86062.69</v>
      </c>
      <c r="D8" s="489">
        <v>86062.69</v>
      </c>
      <c r="E8" s="488">
        <v>0</v>
      </c>
      <c r="F8" s="489">
        <v>0</v>
      </c>
      <c r="G8" s="490">
        <f t="shared" si="1"/>
        <v>86062.69</v>
      </c>
      <c r="H8" s="488">
        <v>86062.69</v>
      </c>
    </row>
    <row r="9" spans="1:8" ht="15.75" x14ac:dyDescent="0.25">
      <c r="A9" s="487" t="s">
        <v>196</v>
      </c>
      <c r="B9" s="487" t="s">
        <v>198</v>
      </c>
      <c r="C9" s="488">
        <v>4124814.84</v>
      </c>
      <c r="D9" s="489">
        <v>4112687.36</v>
      </c>
      <c r="E9" s="488">
        <v>12127.48</v>
      </c>
      <c r="F9" s="489">
        <v>0</v>
      </c>
      <c r="G9" s="490">
        <f t="shared" si="1"/>
        <v>4112687.36</v>
      </c>
      <c r="H9" s="488">
        <v>4124814.84</v>
      </c>
    </row>
    <row r="10" spans="1:8" ht="15.75" x14ac:dyDescent="0.25">
      <c r="A10" s="487" t="s">
        <v>199</v>
      </c>
      <c r="B10" s="487" t="s">
        <v>200</v>
      </c>
      <c r="C10" s="488">
        <v>12255412.58</v>
      </c>
      <c r="D10" s="489">
        <v>12048523.16</v>
      </c>
      <c r="E10" s="488">
        <v>105887.42</v>
      </c>
      <c r="F10" s="489">
        <v>101002</v>
      </c>
      <c r="G10" s="490">
        <f t="shared" si="1"/>
        <v>12149525.16</v>
      </c>
      <c r="H10" s="488">
        <v>12255412.58</v>
      </c>
    </row>
    <row r="11" spans="1:8" ht="15.75" x14ac:dyDescent="0.25">
      <c r="A11" s="487" t="s">
        <v>201</v>
      </c>
      <c r="B11" s="487" t="s">
        <v>203</v>
      </c>
      <c r="C11" s="488">
        <v>888008.55</v>
      </c>
      <c r="D11" s="489">
        <v>871554.02</v>
      </c>
      <c r="E11" s="488">
        <v>12328.48</v>
      </c>
      <c r="F11" s="489">
        <v>4126.05</v>
      </c>
      <c r="G11" s="490">
        <f t="shared" si="1"/>
        <v>875680.07000000007</v>
      </c>
      <c r="H11" s="488">
        <v>888008.55</v>
      </c>
    </row>
    <row r="12" spans="1:8" ht="15.75" x14ac:dyDescent="0.25">
      <c r="A12" s="487" t="s">
        <v>204</v>
      </c>
      <c r="B12" s="487" t="s">
        <v>206</v>
      </c>
      <c r="C12" s="488">
        <v>32219116.620000001</v>
      </c>
      <c r="D12" s="489">
        <v>25301423.670000002</v>
      </c>
      <c r="E12" s="488">
        <v>0</v>
      </c>
      <c r="F12" s="489">
        <v>6917692.9500000002</v>
      </c>
      <c r="G12" s="490">
        <f t="shared" si="1"/>
        <v>32219116.620000001</v>
      </c>
      <c r="H12" s="488">
        <v>32219116.620000001</v>
      </c>
    </row>
    <row r="13" spans="1:8" ht="15.75" x14ac:dyDescent="0.25">
      <c r="A13" s="487" t="s">
        <v>207</v>
      </c>
      <c r="B13" s="487" t="s">
        <v>1184</v>
      </c>
      <c r="C13" s="488">
        <v>8098295.0700000003</v>
      </c>
      <c r="D13" s="489">
        <v>8094655.0700000003</v>
      </c>
      <c r="E13" s="488">
        <v>0</v>
      </c>
      <c r="F13" s="489">
        <v>3640</v>
      </c>
      <c r="G13" s="490">
        <f t="shared" si="1"/>
        <v>8098295.0700000003</v>
      </c>
      <c r="H13" s="488">
        <v>8098295.0700000003</v>
      </c>
    </row>
    <row r="14" spans="1:8" ht="15.75" x14ac:dyDescent="0.25">
      <c r="A14" s="487" t="s">
        <v>209</v>
      </c>
      <c r="B14" s="487" t="s">
        <v>211</v>
      </c>
      <c r="C14" s="488">
        <v>21892400.300000001</v>
      </c>
      <c r="D14" s="489">
        <v>18544954.789999999</v>
      </c>
      <c r="E14" s="488">
        <v>126392.2</v>
      </c>
      <c r="F14" s="489">
        <v>3221053.31</v>
      </c>
      <c r="G14" s="490">
        <f t="shared" si="1"/>
        <v>21766008.099999998</v>
      </c>
      <c r="H14" s="488">
        <v>21892400.300000001</v>
      </c>
    </row>
    <row r="15" spans="1:8" ht="15.75" x14ac:dyDescent="0.25">
      <c r="A15" s="487" t="s">
        <v>212</v>
      </c>
      <c r="B15" s="487" t="s">
        <v>213</v>
      </c>
      <c r="C15" s="488">
        <v>48986489.689999998</v>
      </c>
      <c r="D15" s="489">
        <v>47382813.030000001</v>
      </c>
      <c r="E15" s="488">
        <v>2608.7399999999998</v>
      </c>
      <c r="F15" s="489">
        <v>1601067.92</v>
      </c>
      <c r="G15" s="490">
        <f t="shared" si="1"/>
        <v>48983880.950000003</v>
      </c>
      <c r="H15" s="488">
        <v>48986489.689999998</v>
      </c>
    </row>
    <row r="16" spans="1:8" ht="15.75" x14ac:dyDescent="0.25">
      <c r="A16" s="487" t="s">
        <v>214</v>
      </c>
      <c r="B16" s="487" t="s">
        <v>215</v>
      </c>
      <c r="C16" s="488">
        <v>25672128.600000001</v>
      </c>
      <c r="D16" s="489">
        <v>19234497.870000001</v>
      </c>
      <c r="E16" s="488">
        <v>71616.56</v>
      </c>
      <c r="F16" s="489">
        <v>6366014.1699999999</v>
      </c>
      <c r="G16" s="490">
        <f t="shared" si="1"/>
        <v>25600512.039999999</v>
      </c>
      <c r="H16" s="488">
        <v>25672128.600000001</v>
      </c>
    </row>
    <row r="17" spans="1:8" ht="15.75" x14ac:dyDescent="0.25">
      <c r="A17" s="487" t="s">
        <v>216</v>
      </c>
      <c r="B17" s="487" t="s">
        <v>217</v>
      </c>
      <c r="C17" s="488">
        <v>9299.5</v>
      </c>
      <c r="D17" s="489">
        <v>9299.5</v>
      </c>
      <c r="E17" s="488">
        <v>0</v>
      </c>
      <c r="F17" s="489">
        <v>0</v>
      </c>
      <c r="G17" s="490">
        <f t="shared" si="1"/>
        <v>9299.5</v>
      </c>
      <c r="H17" s="488">
        <v>9299.5</v>
      </c>
    </row>
    <row r="18" spans="1:8" ht="15.75" x14ac:dyDescent="0.25">
      <c r="A18" s="487" t="s">
        <v>218</v>
      </c>
      <c r="B18" s="487" t="s">
        <v>219</v>
      </c>
      <c r="C18" s="488">
        <v>36105066.740000002</v>
      </c>
      <c r="D18" s="489">
        <v>31905481.559999999</v>
      </c>
      <c r="E18" s="488">
        <v>88423.38</v>
      </c>
      <c r="F18" s="489">
        <v>4111161.8</v>
      </c>
      <c r="G18" s="490">
        <f t="shared" si="1"/>
        <v>36016643.359999999</v>
      </c>
      <c r="H18" s="488">
        <v>36105066.739999995</v>
      </c>
    </row>
    <row r="19" spans="1:8" ht="15.75" x14ac:dyDescent="0.25">
      <c r="A19" s="487" t="s">
        <v>220</v>
      </c>
      <c r="B19" s="487" t="s">
        <v>222</v>
      </c>
      <c r="C19" s="488">
        <v>178889.17</v>
      </c>
      <c r="D19" s="489">
        <v>178889.17</v>
      </c>
      <c r="E19" s="488">
        <v>0</v>
      </c>
      <c r="F19" s="489">
        <v>0</v>
      </c>
      <c r="G19" s="490">
        <f t="shared" si="1"/>
        <v>178889.17</v>
      </c>
      <c r="H19" s="488">
        <v>178889.17</v>
      </c>
    </row>
    <row r="20" spans="1:8" ht="15.75" x14ac:dyDescent="0.25">
      <c r="A20" s="487" t="s">
        <v>223</v>
      </c>
      <c r="B20" s="487" t="s">
        <v>224</v>
      </c>
      <c r="C20" s="488">
        <v>4565171.3899999997</v>
      </c>
      <c r="D20" s="489">
        <v>4548412.3899999997</v>
      </c>
      <c r="E20" s="488">
        <v>16759</v>
      </c>
      <c r="F20" s="489">
        <v>0</v>
      </c>
      <c r="G20" s="490">
        <f t="shared" si="1"/>
        <v>4548412.3899999997</v>
      </c>
      <c r="H20" s="488">
        <v>4565171.3899999997</v>
      </c>
    </row>
    <row r="21" spans="1:8" ht="15.75" x14ac:dyDescent="0.25">
      <c r="A21" s="487" t="s">
        <v>225</v>
      </c>
      <c r="B21" s="487" t="s">
        <v>226</v>
      </c>
      <c r="C21" s="488">
        <v>342618.34</v>
      </c>
      <c r="D21" s="489">
        <v>342618.34</v>
      </c>
      <c r="E21" s="488">
        <v>0</v>
      </c>
      <c r="F21" s="489">
        <v>0</v>
      </c>
      <c r="G21" s="490">
        <f t="shared" si="1"/>
        <v>342618.34</v>
      </c>
      <c r="H21" s="488">
        <v>342618.34</v>
      </c>
    </row>
    <row r="22" spans="1:8" ht="15.75" x14ac:dyDescent="0.25">
      <c r="A22" s="487" t="s">
        <v>227</v>
      </c>
      <c r="B22" s="487" t="s">
        <v>229</v>
      </c>
      <c r="C22" s="488">
        <v>9570469.0899999999</v>
      </c>
      <c r="D22" s="489">
        <v>9570000</v>
      </c>
      <c r="E22" s="488">
        <v>0</v>
      </c>
      <c r="F22" s="489">
        <v>469.09</v>
      </c>
      <c r="G22" s="490">
        <f t="shared" si="1"/>
        <v>9570469.0899999999</v>
      </c>
      <c r="H22" s="488">
        <v>9570469.0899999999</v>
      </c>
    </row>
    <row r="23" spans="1:8" ht="15.75" x14ac:dyDescent="0.25">
      <c r="A23" s="487" t="s">
        <v>230</v>
      </c>
      <c r="B23" s="487" t="s">
        <v>232</v>
      </c>
      <c r="C23" s="488">
        <v>1272232.6599999999</v>
      </c>
      <c r="D23" s="489">
        <v>1066682.8600000001</v>
      </c>
      <c r="E23" s="488">
        <v>0</v>
      </c>
      <c r="F23" s="489">
        <v>205549.8</v>
      </c>
      <c r="G23" s="490">
        <f t="shared" si="1"/>
        <v>1272232.6600000001</v>
      </c>
      <c r="H23" s="488">
        <v>1272232.6600000001</v>
      </c>
    </row>
    <row r="24" spans="1:8" ht="15.75" x14ac:dyDescent="0.25">
      <c r="A24" s="487" t="s">
        <v>233</v>
      </c>
      <c r="B24" s="487" t="s">
        <v>234</v>
      </c>
      <c r="C24" s="488">
        <v>861436.46</v>
      </c>
      <c r="D24" s="489">
        <v>804978.2</v>
      </c>
      <c r="E24" s="488">
        <v>16853.900000000001</v>
      </c>
      <c r="F24" s="489">
        <v>39604.36</v>
      </c>
      <c r="G24" s="490">
        <f t="shared" si="1"/>
        <v>844582.55999999994</v>
      </c>
      <c r="H24" s="488">
        <v>861436.46</v>
      </c>
    </row>
    <row r="25" spans="1:8" ht="15.75" x14ac:dyDescent="0.25">
      <c r="A25" s="487" t="s">
        <v>235</v>
      </c>
      <c r="B25" s="487" t="s">
        <v>236</v>
      </c>
      <c r="C25" s="488">
        <v>83801.98</v>
      </c>
      <c r="D25" s="489">
        <v>83799.98</v>
      </c>
      <c r="E25" s="488">
        <v>0</v>
      </c>
      <c r="F25" s="489">
        <v>2</v>
      </c>
      <c r="G25" s="490">
        <f t="shared" si="1"/>
        <v>83801.98</v>
      </c>
      <c r="H25" s="488">
        <v>83801.98</v>
      </c>
    </row>
    <row r="26" spans="1:8" ht="15.75" x14ac:dyDescent="0.25">
      <c r="A26" s="487" t="s">
        <v>237</v>
      </c>
      <c r="B26" s="487" t="s">
        <v>1185</v>
      </c>
      <c r="C26" s="488">
        <v>7636920.2400000002</v>
      </c>
      <c r="D26" s="489">
        <v>7514100.2699999996</v>
      </c>
      <c r="E26" s="488">
        <v>122819.97</v>
      </c>
      <c r="F26" s="489">
        <v>0</v>
      </c>
      <c r="G26" s="490">
        <f t="shared" si="1"/>
        <v>7514100.2699999996</v>
      </c>
      <c r="H26" s="488">
        <v>7636920.2399999993</v>
      </c>
    </row>
    <row r="27" spans="1:8" ht="15.75" x14ac:dyDescent="0.25">
      <c r="A27" s="487" t="s">
        <v>239</v>
      </c>
      <c r="B27" s="487" t="s">
        <v>240</v>
      </c>
      <c r="C27" s="488">
        <v>11500200.09</v>
      </c>
      <c r="D27" s="489">
        <v>9723837.3300000001</v>
      </c>
      <c r="E27" s="488">
        <v>0</v>
      </c>
      <c r="F27" s="489">
        <v>1776362.76</v>
      </c>
      <c r="G27" s="490">
        <f t="shared" si="1"/>
        <v>11500200.09</v>
      </c>
      <c r="H27" s="488">
        <v>11500200.09</v>
      </c>
    </row>
    <row r="28" spans="1:8" ht="15.75" x14ac:dyDescent="0.25">
      <c r="A28" s="487" t="s">
        <v>241</v>
      </c>
      <c r="B28" s="487" t="s">
        <v>242</v>
      </c>
      <c r="C28" s="488">
        <v>1322377.52</v>
      </c>
      <c r="D28" s="489">
        <v>1322377.52</v>
      </c>
      <c r="E28" s="488">
        <v>0</v>
      </c>
      <c r="F28" s="489">
        <v>0</v>
      </c>
      <c r="G28" s="490">
        <f t="shared" si="1"/>
        <v>1322377.52</v>
      </c>
      <c r="H28" s="488">
        <v>1322377.52</v>
      </c>
    </row>
    <row r="29" spans="1:8" ht="15.75" x14ac:dyDescent="0.25">
      <c r="A29" s="487" t="s">
        <v>243</v>
      </c>
      <c r="B29" s="487" t="s">
        <v>244</v>
      </c>
      <c r="C29" s="488">
        <v>266687.75</v>
      </c>
      <c r="D29" s="489">
        <v>266687.75</v>
      </c>
      <c r="E29" s="488">
        <v>0</v>
      </c>
      <c r="F29" s="489">
        <v>0</v>
      </c>
      <c r="G29" s="490">
        <f t="shared" si="1"/>
        <v>266687.75</v>
      </c>
      <c r="H29" s="488">
        <v>266687.75</v>
      </c>
    </row>
    <row r="30" spans="1:8" ht="15.75" x14ac:dyDescent="0.25">
      <c r="A30" s="487" t="s">
        <v>245</v>
      </c>
      <c r="B30" s="487" t="s">
        <v>246</v>
      </c>
      <c r="C30" s="488">
        <v>1606040.08</v>
      </c>
      <c r="D30" s="489">
        <v>1565835.18</v>
      </c>
      <c r="E30" s="488">
        <v>17177.88</v>
      </c>
      <c r="F30" s="489">
        <v>23027.02</v>
      </c>
      <c r="G30" s="490">
        <f t="shared" si="1"/>
        <v>1588862.2</v>
      </c>
      <c r="H30" s="488">
        <v>1606040.0799999998</v>
      </c>
    </row>
    <row r="31" spans="1:8" ht="15.75" x14ac:dyDescent="0.25">
      <c r="A31" s="487" t="s">
        <v>248</v>
      </c>
      <c r="B31" s="487" t="s">
        <v>249</v>
      </c>
      <c r="C31" s="488">
        <v>2195166.88</v>
      </c>
      <c r="D31" s="489">
        <v>2179889.6</v>
      </c>
      <c r="E31" s="488">
        <v>15277.28</v>
      </c>
      <c r="F31" s="489">
        <v>0</v>
      </c>
      <c r="G31" s="490">
        <f t="shared" si="1"/>
        <v>2179889.6</v>
      </c>
      <c r="H31" s="488">
        <v>2195166.88</v>
      </c>
    </row>
    <row r="32" spans="1:8" ht="15.75" x14ac:dyDescent="0.25">
      <c r="A32" s="487" t="s">
        <v>250</v>
      </c>
      <c r="B32" s="487" t="s">
        <v>251</v>
      </c>
      <c r="C32" s="488">
        <v>2635223.4900000002</v>
      </c>
      <c r="D32" s="489">
        <v>2415383.67</v>
      </c>
      <c r="E32" s="488">
        <v>49562.48</v>
      </c>
      <c r="F32" s="489">
        <v>170277.34</v>
      </c>
      <c r="G32" s="490">
        <f t="shared" si="1"/>
        <v>2585661.0099999998</v>
      </c>
      <c r="H32" s="488">
        <v>2635223.4899999998</v>
      </c>
    </row>
    <row r="33" spans="1:8" ht="15.75" x14ac:dyDescent="0.25">
      <c r="A33" s="491" t="s">
        <v>252</v>
      </c>
      <c r="B33" s="487" t="s">
        <v>1342</v>
      </c>
      <c r="C33" s="488">
        <v>153461.20000000001</v>
      </c>
      <c r="D33" s="489">
        <v>153461.20000000001</v>
      </c>
      <c r="E33" s="488">
        <v>0</v>
      </c>
      <c r="F33" s="489">
        <v>0</v>
      </c>
      <c r="G33" s="490">
        <f t="shared" si="1"/>
        <v>153461.20000000001</v>
      </c>
      <c r="H33" s="488">
        <v>153461.20000000001</v>
      </c>
    </row>
    <row r="34" spans="1:8" ht="15.75" x14ac:dyDescent="0.25">
      <c r="A34" s="487" t="s">
        <v>254</v>
      </c>
      <c r="B34" s="487" t="s">
        <v>255</v>
      </c>
      <c r="C34" s="488">
        <v>52981.96</v>
      </c>
      <c r="D34" s="489">
        <v>52981.96</v>
      </c>
      <c r="E34" s="488">
        <v>0</v>
      </c>
      <c r="F34" s="489">
        <v>0</v>
      </c>
      <c r="G34" s="490">
        <f t="shared" si="1"/>
        <v>52981.96</v>
      </c>
      <c r="H34" s="488">
        <v>52981.96</v>
      </c>
    </row>
    <row r="35" spans="1:8" ht="15.75" x14ac:dyDescent="0.25">
      <c r="A35" s="487" t="s">
        <v>256</v>
      </c>
      <c r="B35" s="487" t="s">
        <v>257</v>
      </c>
      <c r="C35" s="488">
        <v>25041300.199999999</v>
      </c>
      <c r="D35" s="489">
        <v>21854235.420000002</v>
      </c>
      <c r="E35" s="488">
        <v>3174053.78</v>
      </c>
      <c r="F35" s="489">
        <v>13011</v>
      </c>
      <c r="G35" s="490">
        <f t="shared" si="1"/>
        <v>21867246.420000002</v>
      </c>
      <c r="H35" s="488">
        <v>25041300.200000003</v>
      </c>
    </row>
    <row r="36" spans="1:8" ht="15.75" x14ac:dyDescent="0.25">
      <c r="A36" s="487" t="s">
        <v>258</v>
      </c>
      <c r="B36" s="487" t="s">
        <v>259</v>
      </c>
      <c r="C36" s="488">
        <v>28725470.620000001</v>
      </c>
      <c r="D36" s="489">
        <v>23925568.449999999</v>
      </c>
      <c r="E36" s="488">
        <v>225802.62</v>
      </c>
      <c r="F36" s="489">
        <v>4574099.55</v>
      </c>
      <c r="G36" s="490">
        <f t="shared" si="1"/>
        <v>28499668</v>
      </c>
      <c r="H36" s="488">
        <v>28725470.619999997</v>
      </c>
    </row>
    <row r="37" spans="1:8" ht="15.75" x14ac:dyDescent="0.25">
      <c r="A37" s="487" t="s">
        <v>260</v>
      </c>
      <c r="B37" s="487" t="s">
        <v>261</v>
      </c>
      <c r="C37" s="488">
        <v>6259820.7999999998</v>
      </c>
      <c r="D37" s="489">
        <v>5136880.9800000004</v>
      </c>
      <c r="E37" s="488">
        <v>21829.78</v>
      </c>
      <c r="F37" s="489">
        <v>1101110.04</v>
      </c>
      <c r="G37" s="490">
        <f t="shared" si="1"/>
        <v>6237991.0200000005</v>
      </c>
      <c r="H37" s="488">
        <v>6259820.8000000007</v>
      </c>
    </row>
    <row r="38" spans="1:8" ht="15.75" x14ac:dyDescent="0.25">
      <c r="A38" s="487" t="s">
        <v>262</v>
      </c>
      <c r="B38" s="487" t="s">
        <v>263</v>
      </c>
      <c r="C38" s="488">
        <v>5838136.0499999998</v>
      </c>
      <c r="D38" s="489">
        <v>5832450.0899999999</v>
      </c>
      <c r="E38" s="488">
        <v>5685.96</v>
      </c>
      <c r="F38" s="489">
        <v>0</v>
      </c>
      <c r="G38" s="490">
        <f t="shared" si="1"/>
        <v>5832450.0899999999</v>
      </c>
      <c r="H38" s="488">
        <v>5838136.0499999998</v>
      </c>
    </row>
    <row r="39" spans="1:8" ht="15.75" x14ac:dyDescent="0.25">
      <c r="A39" s="487" t="s">
        <v>264</v>
      </c>
      <c r="B39" s="487" t="s">
        <v>265</v>
      </c>
      <c r="C39" s="488">
        <v>10043390.029999999</v>
      </c>
      <c r="D39" s="489">
        <v>8303260.75</v>
      </c>
      <c r="E39" s="488">
        <v>20861.080000000002</v>
      </c>
      <c r="F39" s="489">
        <v>1719268.2</v>
      </c>
      <c r="G39" s="490">
        <f t="shared" si="1"/>
        <v>10022528.949999999</v>
      </c>
      <c r="H39" s="488">
        <v>10043390.029999999</v>
      </c>
    </row>
    <row r="40" spans="1:8" ht="15.75" x14ac:dyDescent="0.25">
      <c r="A40" s="492" t="s">
        <v>266</v>
      </c>
      <c r="B40" s="487" t="s">
        <v>267</v>
      </c>
      <c r="C40" s="488">
        <v>1086601.7</v>
      </c>
      <c r="D40" s="489">
        <v>1078147.5</v>
      </c>
      <c r="E40" s="488">
        <v>5499.2</v>
      </c>
      <c r="F40" s="489">
        <v>2955</v>
      </c>
      <c r="G40" s="490">
        <f t="shared" si="1"/>
        <v>1081102.5</v>
      </c>
      <c r="H40" s="488">
        <v>1086601.7</v>
      </c>
    </row>
    <row r="41" spans="1:8" ht="15.75" x14ac:dyDescent="0.25">
      <c r="A41" s="491" t="s">
        <v>1301</v>
      </c>
      <c r="B41" s="487" t="s">
        <v>1423</v>
      </c>
      <c r="C41" s="488">
        <v>0</v>
      </c>
      <c r="D41" s="489">
        <v>0</v>
      </c>
      <c r="E41" s="488">
        <v>1</v>
      </c>
      <c r="F41" s="489">
        <v>0</v>
      </c>
      <c r="G41" s="490">
        <f t="shared" si="1"/>
        <v>0</v>
      </c>
      <c r="H41" s="488">
        <v>0</v>
      </c>
    </row>
    <row r="42" spans="1:8" ht="15.75" x14ac:dyDescent="0.25">
      <c r="A42" s="487" t="s">
        <v>268</v>
      </c>
      <c r="B42" s="487" t="s">
        <v>269</v>
      </c>
      <c r="C42" s="488">
        <v>1715576.77</v>
      </c>
      <c r="D42" s="489">
        <v>1669871.83</v>
      </c>
      <c r="E42" s="488">
        <v>45704.94</v>
      </c>
      <c r="F42" s="489">
        <v>0</v>
      </c>
      <c r="G42" s="490">
        <f t="shared" si="1"/>
        <v>1669871.83</v>
      </c>
      <c r="H42" s="488">
        <v>1715576.77</v>
      </c>
    </row>
    <row r="43" spans="1:8" ht="15.75" x14ac:dyDescent="0.25">
      <c r="A43" s="487" t="s">
        <v>270</v>
      </c>
      <c r="B43" s="487" t="s">
        <v>271</v>
      </c>
      <c r="C43" s="488">
        <v>3732380.28</v>
      </c>
      <c r="D43" s="489">
        <v>3732380.28</v>
      </c>
      <c r="E43" s="488">
        <v>0</v>
      </c>
      <c r="F43" s="489">
        <v>0</v>
      </c>
      <c r="G43" s="490">
        <f t="shared" si="1"/>
        <v>3732380.28</v>
      </c>
      <c r="H43" s="488">
        <v>3732380.28</v>
      </c>
    </row>
    <row r="44" spans="1:8" ht="15.75" x14ac:dyDescent="0.25">
      <c r="A44" s="487" t="s">
        <v>272</v>
      </c>
      <c r="B44" s="487" t="s">
        <v>273</v>
      </c>
      <c r="C44" s="488">
        <v>1234362.19</v>
      </c>
      <c r="D44" s="489">
        <v>1234362.19</v>
      </c>
      <c r="E44" s="488">
        <v>0</v>
      </c>
      <c r="F44" s="489">
        <v>0</v>
      </c>
      <c r="G44" s="490">
        <f t="shared" si="1"/>
        <v>1234362.19</v>
      </c>
      <c r="H44" s="488">
        <v>1234362.19</v>
      </c>
    </row>
    <row r="45" spans="1:8" ht="15.75" x14ac:dyDescent="0.25">
      <c r="A45" s="487" t="s">
        <v>274</v>
      </c>
      <c r="B45" s="487" t="s">
        <v>275</v>
      </c>
      <c r="C45" s="488">
        <v>26702624.27</v>
      </c>
      <c r="D45" s="489">
        <v>23877009.149999999</v>
      </c>
      <c r="E45" s="488">
        <v>33135.78</v>
      </c>
      <c r="F45" s="489">
        <v>2792479.34</v>
      </c>
      <c r="G45" s="490">
        <f t="shared" si="1"/>
        <v>26669488.489999998</v>
      </c>
      <c r="H45" s="488">
        <v>26702624.27</v>
      </c>
    </row>
    <row r="46" spans="1:8" ht="15.75" x14ac:dyDescent="0.25">
      <c r="A46" s="487" t="s">
        <v>276</v>
      </c>
      <c r="B46" s="487" t="s">
        <v>277</v>
      </c>
      <c r="C46" s="488">
        <v>732498.81</v>
      </c>
      <c r="D46" s="489">
        <v>732498.81</v>
      </c>
      <c r="E46" s="488">
        <v>0</v>
      </c>
      <c r="F46" s="489">
        <v>0</v>
      </c>
      <c r="G46" s="490">
        <f t="shared" si="1"/>
        <v>732498.81</v>
      </c>
      <c r="H46" s="488">
        <v>732498.81</v>
      </c>
    </row>
    <row r="47" spans="1:8" ht="15.75" x14ac:dyDescent="0.25">
      <c r="A47" s="487" t="s">
        <v>278</v>
      </c>
      <c r="B47" s="487" t="s">
        <v>279</v>
      </c>
      <c r="C47" s="488">
        <v>2737541.82</v>
      </c>
      <c r="D47" s="489">
        <v>2539017.2999999998</v>
      </c>
      <c r="E47" s="488">
        <v>0</v>
      </c>
      <c r="F47" s="489">
        <v>198524.52</v>
      </c>
      <c r="G47" s="490">
        <f t="shared" si="1"/>
        <v>2737541.82</v>
      </c>
      <c r="H47" s="488">
        <v>2737541.82</v>
      </c>
    </row>
    <row r="48" spans="1:8" ht="15.75" x14ac:dyDescent="0.25">
      <c r="A48" s="487" t="s">
        <v>280</v>
      </c>
      <c r="B48" s="487" t="s">
        <v>281</v>
      </c>
      <c r="C48" s="488">
        <v>212814.33</v>
      </c>
      <c r="D48" s="489">
        <v>212814.33</v>
      </c>
      <c r="E48" s="488">
        <v>0</v>
      </c>
      <c r="F48" s="489">
        <v>0</v>
      </c>
      <c r="G48" s="490">
        <f t="shared" si="1"/>
        <v>212814.33</v>
      </c>
      <c r="H48" s="488">
        <v>212814.33</v>
      </c>
    </row>
    <row r="49" spans="1:8" ht="15.75" x14ac:dyDescent="0.25">
      <c r="A49" s="487" t="s">
        <v>282</v>
      </c>
      <c r="B49" s="487" t="s">
        <v>1392</v>
      </c>
      <c r="C49" s="488">
        <v>149808.66</v>
      </c>
      <c r="D49" s="489">
        <v>140608.66</v>
      </c>
      <c r="E49" s="488">
        <v>0</v>
      </c>
      <c r="F49" s="489">
        <v>9200</v>
      </c>
      <c r="G49" s="490">
        <f t="shared" si="1"/>
        <v>149808.66</v>
      </c>
      <c r="H49" s="488">
        <v>149808.66</v>
      </c>
    </row>
    <row r="50" spans="1:8" ht="15.75" x14ac:dyDescent="0.25">
      <c r="A50" s="487" t="s">
        <v>284</v>
      </c>
      <c r="B50" s="487" t="s">
        <v>1393</v>
      </c>
      <c r="C50" s="488">
        <v>1165187.45</v>
      </c>
      <c r="D50" s="489">
        <v>1135330.92</v>
      </c>
      <c r="E50" s="488">
        <v>5472.6</v>
      </c>
      <c r="F50" s="489">
        <v>24383.93</v>
      </c>
      <c r="G50" s="490">
        <f t="shared" si="1"/>
        <v>1159714.8499999999</v>
      </c>
      <c r="H50" s="488">
        <v>1165187.45</v>
      </c>
    </row>
    <row r="51" spans="1:8" ht="15.75" x14ac:dyDescent="0.25">
      <c r="A51" s="487" t="s">
        <v>286</v>
      </c>
      <c r="B51" s="487" t="s">
        <v>287</v>
      </c>
      <c r="C51" s="488">
        <v>2630266.7999999998</v>
      </c>
      <c r="D51" s="489">
        <v>2630266.7999999998</v>
      </c>
      <c r="E51" s="488">
        <v>0</v>
      </c>
      <c r="F51" s="489">
        <v>0</v>
      </c>
      <c r="G51" s="490">
        <f t="shared" si="1"/>
        <v>2630266.7999999998</v>
      </c>
      <c r="H51" s="488">
        <v>2630266.7999999998</v>
      </c>
    </row>
    <row r="52" spans="1:8" ht="15.75" x14ac:dyDescent="0.25">
      <c r="A52" s="487" t="s">
        <v>288</v>
      </c>
      <c r="B52" s="487" t="s">
        <v>289</v>
      </c>
      <c r="C52" s="488">
        <v>1141205.28</v>
      </c>
      <c r="D52" s="489">
        <v>1046978.87</v>
      </c>
      <c r="E52" s="488">
        <v>91426.41</v>
      </c>
      <c r="F52" s="489">
        <v>2800</v>
      </c>
      <c r="G52" s="490">
        <f t="shared" si="1"/>
        <v>1049778.8700000001</v>
      </c>
      <c r="H52" s="488">
        <v>1141205.28</v>
      </c>
    </row>
    <row r="53" spans="1:8" ht="15.75" x14ac:dyDescent="0.25">
      <c r="A53" s="487" t="s">
        <v>290</v>
      </c>
      <c r="B53" s="487" t="s">
        <v>291</v>
      </c>
      <c r="C53" s="488">
        <v>643623</v>
      </c>
      <c r="D53" s="489">
        <v>636065.31999999995</v>
      </c>
      <c r="E53" s="488">
        <v>7557.68</v>
      </c>
      <c r="F53" s="489">
        <v>0</v>
      </c>
      <c r="G53" s="490">
        <f t="shared" si="1"/>
        <v>636065.31999999995</v>
      </c>
      <c r="H53" s="488">
        <v>643623</v>
      </c>
    </row>
    <row r="54" spans="1:8" ht="15.75" x14ac:dyDescent="0.25">
      <c r="A54" s="487" t="s">
        <v>292</v>
      </c>
      <c r="B54" s="487" t="s">
        <v>293</v>
      </c>
      <c r="C54" s="488">
        <v>273545.02</v>
      </c>
      <c r="D54" s="489">
        <v>273545.02</v>
      </c>
      <c r="E54" s="488">
        <v>0</v>
      </c>
      <c r="F54" s="489">
        <v>0</v>
      </c>
      <c r="G54" s="490">
        <f t="shared" si="1"/>
        <v>273545.02</v>
      </c>
      <c r="H54" s="488">
        <v>273545.02</v>
      </c>
    </row>
    <row r="55" spans="1:8" ht="15.75" x14ac:dyDescent="0.25">
      <c r="A55" s="487" t="s">
        <v>294</v>
      </c>
      <c r="B55" s="487" t="s">
        <v>295</v>
      </c>
      <c r="C55" s="488">
        <v>212134.08</v>
      </c>
      <c r="D55" s="489">
        <v>212134.08</v>
      </c>
      <c r="E55" s="488">
        <v>0</v>
      </c>
      <c r="F55" s="489">
        <v>0</v>
      </c>
      <c r="G55" s="490">
        <f t="shared" si="1"/>
        <v>212134.08</v>
      </c>
      <c r="H55" s="488">
        <v>212134.08</v>
      </c>
    </row>
    <row r="56" spans="1:8" ht="15.75" x14ac:dyDescent="0.25">
      <c r="A56" s="487" t="s">
        <v>296</v>
      </c>
      <c r="B56" s="487" t="s">
        <v>297</v>
      </c>
      <c r="C56" s="488">
        <v>1935971.82</v>
      </c>
      <c r="D56" s="489">
        <v>1920186.98</v>
      </c>
      <c r="E56" s="488">
        <v>15784.84</v>
      </c>
      <c r="F56" s="489">
        <v>0</v>
      </c>
      <c r="G56" s="490">
        <f t="shared" si="1"/>
        <v>1920186.98</v>
      </c>
      <c r="H56" s="488">
        <v>1935971.82</v>
      </c>
    </row>
    <row r="57" spans="1:8" ht="15.75" x14ac:dyDescent="0.25">
      <c r="A57" s="487" t="s">
        <v>298</v>
      </c>
      <c r="B57" s="487" t="s">
        <v>299</v>
      </c>
      <c r="C57" s="488">
        <v>399816.38</v>
      </c>
      <c r="D57" s="489">
        <v>295810.59000000003</v>
      </c>
      <c r="E57" s="488">
        <v>0</v>
      </c>
      <c r="F57" s="489">
        <v>104005.79</v>
      </c>
      <c r="G57" s="490">
        <f t="shared" si="1"/>
        <v>399816.38</v>
      </c>
      <c r="H57" s="488">
        <v>399816.38</v>
      </c>
    </row>
    <row r="58" spans="1:8" ht="15.75" x14ac:dyDescent="0.25">
      <c r="A58" s="487" t="s">
        <v>300</v>
      </c>
      <c r="B58" s="487" t="s">
        <v>301</v>
      </c>
      <c r="C58" s="488">
        <v>181471.87</v>
      </c>
      <c r="D58" s="489">
        <v>145471.87</v>
      </c>
      <c r="E58" s="488">
        <v>0</v>
      </c>
      <c r="F58" s="489">
        <v>36000</v>
      </c>
      <c r="G58" s="490">
        <f t="shared" si="1"/>
        <v>181471.87</v>
      </c>
      <c r="H58" s="488">
        <v>181471.87</v>
      </c>
    </row>
    <row r="59" spans="1:8" ht="15.75" x14ac:dyDescent="0.25">
      <c r="A59" s="487" t="s">
        <v>302</v>
      </c>
      <c r="B59" s="487" t="s">
        <v>303</v>
      </c>
      <c r="C59" s="488">
        <v>289855.90999999997</v>
      </c>
      <c r="D59" s="489">
        <v>289855.90999999997</v>
      </c>
      <c r="E59" s="488">
        <v>0</v>
      </c>
      <c r="F59" s="489">
        <v>0</v>
      </c>
      <c r="G59" s="490">
        <f t="shared" si="1"/>
        <v>289855.90999999997</v>
      </c>
      <c r="H59" s="488">
        <v>289855.90999999997</v>
      </c>
    </row>
    <row r="60" spans="1:8" ht="15.75" x14ac:dyDescent="0.25">
      <c r="A60" s="487" t="s">
        <v>304</v>
      </c>
      <c r="B60" s="487" t="s">
        <v>305</v>
      </c>
      <c r="C60" s="488">
        <v>337975.58</v>
      </c>
      <c r="D60" s="489">
        <v>337975.58</v>
      </c>
      <c r="E60" s="488">
        <v>0</v>
      </c>
      <c r="F60" s="489">
        <v>0</v>
      </c>
      <c r="G60" s="490">
        <f t="shared" si="1"/>
        <v>337975.58</v>
      </c>
      <c r="H60" s="488">
        <v>337975.58</v>
      </c>
    </row>
    <row r="61" spans="1:8" ht="15.75" x14ac:dyDescent="0.25">
      <c r="A61" s="487" t="s">
        <v>306</v>
      </c>
      <c r="B61" s="487" t="s">
        <v>307</v>
      </c>
      <c r="C61" s="488">
        <v>87728</v>
      </c>
      <c r="D61" s="489">
        <v>65777.279999999999</v>
      </c>
      <c r="E61" s="488">
        <v>0</v>
      </c>
      <c r="F61" s="489">
        <v>21950.720000000001</v>
      </c>
      <c r="G61" s="490">
        <f t="shared" si="1"/>
        <v>87728</v>
      </c>
      <c r="H61" s="488">
        <v>87728</v>
      </c>
    </row>
    <row r="62" spans="1:8" ht="15.75" x14ac:dyDescent="0.25">
      <c r="A62" s="487" t="s">
        <v>308</v>
      </c>
      <c r="B62" s="487" t="s">
        <v>309</v>
      </c>
      <c r="C62" s="488">
        <v>711617.94</v>
      </c>
      <c r="D62" s="489">
        <v>706788.42</v>
      </c>
      <c r="E62" s="488">
        <v>4829.5200000000004</v>
      </c>
      <c r="F62" s="489">
        <v>0</v>
      </c>
      <c r="G62" s="490">
        <f t="shared" si="1"/>
        <v>706788.42</v>
      </c>
      <c r="H62" s="488">
        <v>711617.94000000006</v>
      </c>
    </row>
    <row r="63" spans="1:8" ht="15.75" x14ac:dyDescent="0.25">
      <c r="A63" s="487" t="s">
        <v>310</v>
      </c>
      <c r="B63" s="487" t="s">
        <v>311</v>
      </c>
      <c r="C63" s="488">
        <v>626506.75</v>
      </c>
      <c r="D63" s="489">
        <v>620385.19999999995</v>
      </c>
      <c r="E63" s="488">
        <v>0</v>
      </c>
      <c r="F63" s="489">
        <v>6121.55</v>
      </c>
      <c r="G63" s="490">
        <f t="shared" si="1"/>
        <v>626506.75</v>
      </c>
      <c r="H63" s="488">
        <v>626506.75</v>
      </c>
    </row>
    <row r="64" spans="1:8" ht="15.75" x14ac:dyDescent="0.25">
      <c r="A64" s="487" t="s">
        <v>312</v>
      </c>
      <c r="B64" s="487" t="s">
        <v>313</v>
      </c>
      <c r="C64" s="488">
        <v>476915.78</v>
      </c>
      <c r="D64" s="489">
        <v>476915.78</v>
      </c>
      <c r="E64" s="488">
        <v>0</v>
      </c>
      <c r="F64" s="489">
        <v>0</v>
      </c>
      <c r="G64" s="490">
        <f t="shared" si="1"/>
        <v>476915.78</v>
      </c>
      <c r="H64" s="488">
        <v>476915.78</v>
      </c>
    </row>
    <row r="65" spans="1:8" ht="15.75" x14ac:dyDescent="0.25">
      <c r="A65" s="487" t="s">
        <v>314</v>
      </c>
      <c r="B65" s="487" t="s">
        <v>315</v>
      </c>
      <c r="C65" s="488">
        <v>3178772.97</v>
      </c>
      <c r="D65" s="489">
        <v>3178772.97</v>
      </c>
      <c r="E65" s="488">
        <v>0</v>
      </c>
      <c r="F65" s="489">
        <v>0</v>
      </c>
      <c r="G65" s="490">
        <f t="shared" si="1"/>
        <v>3178772.97</v>
      </c>
      <c r="H65" s="488">
        <v>3178772.97</v>
      </c>
    </row>
    <row r="66" spans="1:8" ht="15.75" x14ac:dyDescent="0.25">
      <c r="A66" s="487" t="s">
        <v>316</v>
      </c>
      <c r="B66" s="487" t="s">
        <v>317</v>
      </c>
      <c r="C66" s="488">
        <v>3489593.15</v>
      </c>
      <c r="D66" s="489">
        <v>3034231.91</v>
      </c>
      <c r="E66" s="488">
        <v>3151.87</v>
      </c>
      <c r="F66" s="489">
        <v>452209.37</v>
      </c>
      <c r="G66" s="490">
        <f t="shared" si="1"/>
        <v>3486441.2800000003</v>
      </c>
      <c r="H66" s="488">
        <v>3489593.1500000004</v>
      </c>
    </row>
    <row r="67" spans="1:8" ht="15.75" x14ac:dyDescent="0.25">
      <c r="A67" s="487" t="s">
        <v>318</v>
      </c>
      <c r="B67" s="487" t="s">
        <v>319</v>
      </c>
      <c r="C67" s="488">
        <v>24330.35</v>
      </c>
      <c r="D67" s="489">
        <v>24330.35</v>
      </c>
      <c r="E67" s="488">
        <v>0</v>
      </c>
      <c r="F67" s="489">
        <v>0</v>
      </c>
      <c r="G67" s="490">
        <f t="shared" si="1"/>
        <v>24330.35</v>
      </c>
      <c r="H67" s="488">
        <v>24330.35</v>
      </c>
    </row>
    <row r="68" spans="1:8" ht="15.75" x14ac:dyDescent="0.25">
      <c r="A68" s="487" t="s">
        <v>320</v>
      </c>
      <c r="B68" s="487" t="s">
        <v>1394</v>
      </c>
      <c r="C68" s="488">
        <v>7396387.7400000002</v>
      </c>
      <c r="D68" s="489">
        <v>6763644.9299999997</v>
      </c>
      <c r="E68" s="488">
        <v>3200.34</v>
      </c>
      <c r="F68" s="489">
        <v>629542.47</v>
      </c>
      <c r="G68" s="490">
        <f t="shared" si="1"/>
        <v>7393187.3999999994</v>
      </c>
      <c r="H68" s="488">
        <v>7396387.7399999993</v>
      </c>
    </row>
    <row r="69" spans="1:8" ht="15.75" x14ac:dyDescent="0.25">
      <c r="A69" s="487" t="s">
        <v>322</v>
      </c>
      <c r="B69" s="487" t="s">
        <v>1395</v>
      </c>
      <c r="C69" s="488">
        <v>4690544.2</v>
      </c>
      <c r="D69" s="489">
        <v>4335544.2</v>
      </c>
      <c r="E69" s="488">
        <v>0</v>
      </c>
      <c r="F69" s="489">
        <v>355000</v>
      </c>
      <c r="G69" s="490">
        <f t="shared" si="1"/>
        <v>4690544.2</v>
      </c>
      <c r="H69" s="488">
        <v>4690544.2</v>
      </c>
    </row>
    <row r="70" spans="1:8" ht="15.75" x14ac:dyDescent="0.25">
      <c r="A70" s="487" t="s">
        <v>324</v>
      </c>
      <c r="B70" s="487" t="s">
        <v>325</v>
      </c>
      <c r="C70" s="488">
        <v>8367278.7800000003</v>
      </c>
      <c r="D70" s="489">
        <v>7462883.5999999996</v>
      </c>
      <c r="E70" s="488">
        <v>0</v>
      </c>
      <c r="F70" s="489">
        <v>904395.18</v>
      </c>
      <c r="G70" s="490">
        <f t="shared" ref="G70:G133" si="2">D70+F70</f>
        <v>8367278.7799999993</v>
      </c>
      <c r="H70" s="488">
        <v>8367278.7799999993</v>
      </c>
    </row>
    <row r="71" spans="1:8" ht="15.75" x14ac:dyDescent="0.25">
      <c r="A71" s="487" t="s">
        <v>326</v>
      </c>
      <c r="B71" s="487" t="s">
        <v>327</v>
      </c>
      <c r="C71" s="488">
        <v>157715.76999999999</v>
      </c>
      <c r="D71" s="489">
        <v>129992.31</v>
      </c>
      <c r="E71" s="488">
        <v>0</v>
      </c>
      <c r="F71" s="489">
        <v>27723.46</v>
      </c>
      <c r="G71" s="490">
        <f t="shared" si="2"/>
        <v>157715.76999999999</v>
      </c>
      <c r="H71" s="488">
        <v>157715.76999999999</v>
      </c>
    </row>
    <row r="72" spans="1:8" ht="15.75" x14ac:dyDescent="0.25">
      <c r="A72" s="487" t="s">
        <v>328</v>
      </c>
      <c r="B72" s="487" t="s">
        <v>329</v>
      </c>
      <c r="C72" s="488">
        <v>2793991.99</v>
      </c>
      <c r="D72" s="489">
        <v>2789203.2</v>
      </c>
      <c r="E72" s="488">
        <v>4788.79</v>
      </c>
      <c r="F72" s="489">
        <v>0</v>
      </c>
      <c r="G72" s="490">
        <f t="shared" si="2"/>
        <v>2789203.2</v>
      </c>
      <c r="H72" s="488">
        <v>2793991.99</v>
      </c>
    </row>
    <row r="73" spans="1:8" ht="15.75" x14ac:dyDescent="0.25">
      <c r="A73" s="487" t="s">
        <v>330</v>
      </c>
      <c r="B73" s="487" t="s">
        <v>331</v>
      </c>
      <c r="C73" s="488">
        <v>45193644.060000002</v>
      </c>
      <c r="D73" s="489">
        <v>40368940.369999997</v>
      </c>
      <c r="E73" s="488">
        <v>210471.84</v>
      </c>
      <c r="F73" s="489">
        <v>4614231.8499999996</v>
      </c>
      <c r="G73" s="490">
        <f t="shared" si="2"/>
        <v>44983172.219999999</v>
      </c>
      <c r="H73" s="488">
        <v>45193644.059999995</v>
      </c>
    </row>
    <row r="74" spans="1:8" ht="15.75" x14ac:dyDescent="0.25">
      <c r="A74" s="487" t="s">
        <v>332</v>
      </c>
      <c r="B74" s="487" t="s">
        <v>333</v>
      </c>
      <c r="C74" s="488">
        <v>5096902.74</v>
      </c>
      <c r="D74" s="489">
        <v>4349020.1399999997</v>
      </c>
      <c r="E74" s="488">
        <v>12861.02</v>
      </c>
      <c r="F74" s="489">
        <v>735021.58</v>
      </c>
      <c r="G74" s="490">
        <f t="shared" si="2"/>
        <v>5084041.72</v>
      </c>
      <c r="H74" s="488">
        <v>5096902.7399999993</v>
      </c>
    </row>
    <row r="75" spans="1:8" ht="15.75" x14ac:dyDescent="0.25">
      <c r="A75" s="487" t="s">
        <v>334</v>
      </c>
      <c r="B75" s="487" t="s">
        <v>335</v>
      </c>
      <c r="C75" s="488">
        <v>2911334.26</v>
      </c>
      <c r="D75" s="489">
        <v>2903469.81</v>
      </c>
      <c r="E75" s="488">
        <v>7864.45</v>
      </c>
      <c r="F75" s="489">
        <v>0</v>
      </c>
      <c r="G75" s="490">
        <f t="shared" si="2"/>
        <v>2903469.81</v>
      </c>
      <c r="H75" s="488">
        <v>2911334.2600000002</v>
      </c>
    </row>
    <row r="76" spans="1:8" ht="15.75" x14ac:dyDescent="0.25">
      <c r="A76" s="487" t="s">
        <v>336</v>
      </c>
      <c r="B76" s="487" t="s">
        <v>337</v>
      </c>
      <c r="C76" s="488">
        <v>211307.29</v>
      </c>
      <c r="D76" s="489">
        <v>211307.29</v>
      </c>
      <c r="E76" s="488">
        <v>0</v>
      </c>
      <c r="F76" s="489">
        <v>0</v>
      </c>
      <c r="G76" s="490">
        <f t="shared" si="2"/>
        <v>211307.29</v>
      </c>
      <c r="H76" s="488">
        <v>211307.29</v>
      </c>
    </row>
    <row r="77" spans="1:8" ht="15.75" x14ac:dyDescent="0.25">
      <c r="A77" s="487" t="s">
        <v>338</v>
      </c>
      <c r="B77" s="487" t="s">
        <v>339</v>
      </c>
      <c r="C77" s="488">
        <v>319369.55</v>
      </c>
      <c r="D77" s="489">
        <v>319369.55</v>
      </c>
      <c r="E77" s="488">
        <v>0</v>
      </c>
      <c r="F77" s="489">
        <v>0</v>
      </c>
      <c r="G77" s="490">
        <f t="shared" si="2"/>
        <v>319369.55</v>
      </c>
      <c r="H77" s="488">
        <v>319369.55</v>
      </c>
    </row>
    <row r="78" spans="1:8" ht="15.75" x14ac:dyDescent="0.25">
      <c r="A78" s="487" t="s">
        <v>340</v>
      </c>
      <c r="B78" s="487" t="s">
        <v>341</v>
      </c>
      <c r="C78" s="488">
        <v>8309002.9400000004</v>
      </c>
      <c r="D78" s="489">
        <v>8281665.6399999997</v>
      </c>
      <c r="E78" s="488">
        <v>27337.3</v>
      </c>
      <c r="F78" s="489">
        <v>0</v>
      </c>
      <c r="G78" s="490">
        <f t="shared" si="2"/>
        <v>8281665.6399999997</v>
      </c>
      <c r="H78" s="488">
        <v>8309002.9399999995</v>
      </c>
    </row>
    <row r="79" spans="1:8" ht="15.75" x14ac:dyDescent="0.25">
      <c r="A79" s="487" t="s">
        <v>342</v>
      </c>
      <c r="B79" s="487" t="s">
        <v>343</v>
      </c>
      <c r="C79" s="488">
        <v>3387015.47</v>
      </c>
      <c r="D79" s="489">
        <v>3387015.47</v>
      </c>
      <c r="E79" s="488">
        <v>0</v>
      </c>
      <c r="F79" s="489">
        <v>0</v>
      </c>
      <c r="G79" s="490">
        <f t="shared" si="2"/>
        <v>3387015.47</v>
      </c>
      <c r="H79" s="488">
        <v>3387015.47</v>
      </c>
    </row>
    <row r="80" spans="1:8" ht="15.75" x14ac:dyDescent="0.25">
      <c r="A80" s="487" t="s">
        <v>344</v>
      </c>
      <c r="B80" s="487" t="s">
        <v>345</v>
      </c>
      <c r="C80" s="488">
        <v>87667.37</v>
      </c>
      <c r="D80" s="489">
        <v>84778.37</v>
      </c>
      <c r="E80" s="488">
        <v>0</v>
      </c>
      <c r="F80" s="489">
        <v>2889</v>
      </c>
      <c r="G80" s="490">
        <f t="shared" si="2"/>
        <v>87667.37</v>
      </c>
      <c r="H80" s="488">
        <v>87667.37</v>
      </c>
    </row>
    <row r="81" spans="1:8" ht="15.75" x14ac:dyDescent="0.25">
      <c r="A81" s="487" t="s">
        <v>346</v>
      </c>
      <c r="B81" s="487" t="s">
        <v>347</v>
      </c>
      <c r="C81" s="488">
        <v>44400903.469999999</v>
      </c>
      <c r="D81" s="489">
        <v>43162388.399999999</v>
      </c>
      <c r="E81" s="488">
        <v>0</v>
      </c>
      <c r="F81" s="489">
        <v>1238515.07</v>
      </c>
      <c r="G81" s="490">
        <f t="shared" si="2"/>
        <v>44400903.469999999</v>
      </c>
      <c r="H81" s="488">
        <v>44400903.469999999</v>
      </c>
    </row>
    <row r="82" spans="1:8" ht="15.75" x14ac:dyDescent="0.25">
      <c r="A82" s="487" t="s">
        <v>348</v>
      </c>
      <c r="B82" s="487" t="s">
        <v>1396</v>
      </c>
      <c r="C82" s="488">
        <v>48243777.210000001</v>
      </c>
      <c r="D82" s="489">
        <v>40270277.810000002</v>
      </c>
      <c r="E82" s="488">
        <v>192172.01</v>
      </c>
      <c r="F82" s="489">
        <v>7781327.3899999997</v>
      </c>
      <c r="G82" s="490">
        <f t="shared" si="2"/>
        <v>48051605.200000003</v>
      </c>
      <c r="H82" s="488">
        <v>48243777.210000001</v>
      </c>
    </row>
    <row r="83" spans="1:8" ht="15.75" x14ac:dyDescent="0.25">
      <c r="A83" s="487" t="s">
        <v>350</v>
      </c>
      <c r="B83" s="487" t="s">
        <v>1396</v>
      </c>
      <c r="C83" s="488">
        <v>33281.99</v>
      </c>
      <c r="D83" s="489">
        <v>33281.99</v>
      </c>
      <c r="E83" s="488">
        <v>0</v>
      </c>
      <c r="F83" s="489">
        <v>0</v>
      </c>
      <c r="G83" s="490">
        <f t="shared" si="2"/>
        <v>33281.99</v>
      </c>
      <c r="H83" s="488">
        <v>33281.99</v>
      </c>
    </row>
    <row r="84" spans="1:8" ht="15.75" x14ac:dyDescent="0.25">
      <c r="A84" s="487" t="s">
        <v>352</v>
      </c>
      <c r="B84" s="487" t="s">
        <v>353</v>
      </c>
      <c r="C84" s="488">
        <v>43821883.079999998</v>
      </c>
      <c r="D84" s="489">
        <v>43772852.810000002</v>
      </c>
      <c r="E84" s="488">
        <v>49030.27</v>
      </c>
      <c r="F84" s="489">
        <v>0</v>
      </c>
      <c r="G84" s="490">
        <f t="shared" si="2"/>
        <v>43772852.810000002</v>
      </c>
      <c r="H84" s="488">
        <v>43821883.080000006</v>
      </c>
    </row>
    <row r="85" spans="1:8" ht="15.75" x14ac:dyDescent="0.25">
      <c r="A85" s="487" t="s">
        <v>354</v>
      </c>
      <c r="B85" s="487" t="s">
        <v>355</v>
      </c>
      <c r="C85" s="488">
        <v>9156287.4700000007</v>
      </c>
      <c r="D85" s="489">
        <v>9156287.4700000007</v>
      </c>
      <c r="E85" s="488">
        <v>0</v>
      </c>
      <c r="F85" s="489">
        <v>0</v>
      </c>
      <c r="G85" s="490">
        <f t="shared" si="2"/>
        <v>9156287.4700000007</v>
      </c>
      <c r="H85" s="488">
        <v>9156287.4700000007</v>
      </c>
    </row>
    <row r="86" spans="1:8" ht="15.75" x14ac:dyDescent="0.25">
      <c r="A86" s="487" t="s">
        <v>356</v>
      </c>
      <c r="B86" s="487" t="s">
        <v>357</v>
      </c>
      <c r="C86" s="488">
        <v>6851532.5899999999</v>
      </c>
      <c r="D86" s="489">
        <v>6836381.79</v>
      </c>
      <c r="E86" s="488">
        <v>15150.8</v>
      </c>
      <c r="F86" s="489">
        <v>0</v>
      </c>
      <c r="G86" s="490">
        <f t="shared" si="2"/>
        <v>6836381.79</v>
      </c>
      <c r="H86" s="488">
        <v>6851532.5899999999</v>
      </c>
    </row>
    <row r="87" spans="1:8" ht="15.75" x14ac:dyDescent="0.25">
      <c r="A87" s="487" t="s">
        <v>358</v>
      </c>
      <c r="B87" s="487" t="s">
        <v>359</v>
      </c>
      <c r="C87" s="488">
        <v>1408200.26</v>
      </c>
      <c r="D87" s="489">
        <v>1156512.78</v>
      </c>
      <c r="E87" s="488">
        <v>29407.360000000001</v>
      </c>
      <c r="F87" s="489">
        <v>222280.12</v>
      </c>
      <c r="G87" s="490">
        <f t="shared" si="2"/>
        <v>1378792.9</v>
      </c>
      <c r="H87" s="488">
        <v>1408200.26</v>
      </c>
    </row>
    <row r="88" spans="1:8" ht="15.75" x14ac:dyDescent="0.25">
      <c r="A88" s="487" t="s">
        <v>360</v>
      </c>
      <c r="B88" s="487" t="s">
        <v>361</v>
      </c>
      <c r="C88" s="488">
        <v>17605548.899999999</v>
      </c>
      <c r="D88" s="489">
        <v>17486215.199999999</v>
      </c>
      <c r="E88" s="488">
        <v>119333.7</v>
      </c>
      <c r="F88" s="489">
        <v>0</v>
      </c>
      <c r="G88" s="490">
        <f t="shared" si="2"/>
        <v>17486215.199999999</v>
      </c>
      <c r="H88" s="488">
        <v>17605548.899999999</v>
      </c>
    </row>
    <row r="89" spans="1:8" ht="15.75" x14ac:dyDescent="0.25">
      <c r="A89" s="487" t="s">
        <v>362</v>
      </c>
      <c r="B89" s="487" t="s">
        <v>363</v>
      </c>
      <c r="C89" s="488">
        <v>966394.72</v>
      </c>
      <c r="D89" s="489">
        <v>966394.72</v>
      </c>
      <c r="E89" s="488">
        <v>0</v>
      </c>
      <c r="F89" s="489">
        <v>0</v>
      </c>
      <c r="G89" s="490">
        <f t="shared" si="2"/>
        <v>966394.72</v>
      </c>
      <c r="H89" s="488">
        <v>966394.72</v>
      </c>
    </row>
    <row r="90" spans="1:8" ht="15.75" x14ac:dyDescent="0.25">
      <c r="A90" s="487" t="s">
        <v>364</v>
      </c>
      <c r="B90" s="487" t="s">
        <v>365</v>
      </c>
      <c r="C90" s="488">
        <v>162913.78</v>
      </c>
      <c r="D90" s="489">
        <v>160000</v>
      </c>
      <c r="E90" s="488">
        <v>0</v>
      </c>
      <c r="F90" s="489">
        <v>2913.78</v>
      </c>
      <c r="G90" s="490">
        <f t="shared" si="2"/>
        <v>162913.78</v>
      </c>
      <c r="H90" s="488">
        <v>162913.78</v>
      </c>
    </row>
    <row r="91" spans="1:8" ht="15.75" x14ac:dyDescent="0.25">
      <c r="A91" s="487" t="s">
        <v>366</v>
      </c>
      <c r="B91" s="487" t="s">
        <v>367</v>
      </c>
      <c r="C91" s="488">
        <v>122245.78</v>
      </c>
      <c r="D91" s="489">
        <v>122245.78</v>
      </c>
      <c r="E91" s="488">
        <v>0</v>
      </c>
      <c r="F91" s="489">
        <v>0</v>
      </c>
      <c r="G91" s="490">
        <f t="shared" si="2"/>
        <v>122245.78</v>
      </c>
      <c r="H91" s="488">
        <v>122245.78</v>
      </c>
    </row>
    <row r="92" spans="1:8" ht="15.75" x14ac:dyDescent="0.25">
      <c r="A92" s="487" t="s">
        <v>368</v>
      </c>
      <c r="B92" s="487" t="s">
        <v>369</v>
      </c>
      <c r="C92" s="488">
        <v>2534143.91</v>
      </c>
      <c r="D92" s="489">
        <v>2534143.91</v>
      </c>
      <c r="E92" s="488">
        <v>0</v>
      </c>
      <c r="F92" s="489">
        <v>0</v>
      </c>
      <c r="G92" s="490">
        <f t="shared" si="2"/>
        <v>2534143.91</v>
      </c>
      <c r="H92" s="488">
        <v>2534143.91</v>
      </c>
    </row>
    <row r="93" spans="1:8" ht="15.75" x14ac:dyDescent="0.25">
      <c r="A93" s="487" t="s">
        <v>370</v>
      </c>
      <c r="B93" s="487" t="s">
        <v>371</v>
      </c>
      <c r="C93" s="488">
        <v>1108604.24</v>
      </c>
      <c r="D93" s="489">
        <v>986633.48</v>
      </c>
      <c r="E93" s="488">
        <v>110.27</v>
      </c>
      <c r="F93" s="489">
        <v>121860.49</v>
      </c>
      <c r="G93" s="490">
        <f t="shared" si="2"/>
        <v>1108493.97</v>
      </c>
      <c r="H93" s="488">
        <v>1108604.24</v>
      </c>
    </row>
    <row r="94" spans="1:8" ht="15.75" x14ac:dyDescent="0.25">
      <c r="A94" s="487" t="s">
        <v>372</v>
      </c>
      <c r="B94" s="487" t="s">
        <v>373</v>
      </c>
      <c r="C94" s="488">
        <v>5621644.7300000004</v>
      </c>
      <c r="D94" s="489">
        <v>5621644.7300000004</v>
      </c>
      <c r="E94" s="488">
        <v>0</v>
      </c>
      <c r="F94" s="489">
        <v>0</v>
      </c>
      <c r="G94" s="490">
        <f t="shared" si="2"/>
        <v>5621644.7300000004</v>
      </c>
      <c r="H94" s="488">
        <v>5621644.7300000004</v>
      </c>
    </row>
    <row r="95" spans="1:8" ht="15.75" x14ac:dyDescent="0.25">
      <c r="A95" s="487" t="s">
        <v>374</v>
      </c>
      <c r="B95" s="487" t="s">
        <v>375</v>
      </c>
      <c r="C95" s="488">
        <v>1935371.76</v>
      </c>
      <c r="D95" s="489">
        <v>1935371.76</v>
      </c>
      <c r="E95" s="488">
        <v>0</v>
      </c>
      <c r="F95" s="489">
        <v>0</v>
      </c>
      <c r="G95" s="490">
        <f t="shared" si="2"/>
        <v>1935371.76</v>
      </c>
      <c r="H95" s="488">
        <v>1935371.76</v>
      </c>
    </row>
    <row r="96" spans="1:8" ht="15.75" x14ac:dyDescent="0.25">
      <c r="A96" s="487" t="s">
        <v>376</v>
      </c>
      <c r="B96" s="487" t="s">
        <v>377</v>
      </c>
      <c r="C96" s="488">
        <v>5880700.21</v>
      </c>
      <c r="D96" s="489">
        <v>5880700.21</v>
      </c>
      <c r="E96" s="488">
        <v>0</v>
      </c>
      <c r="F96" s="489">
        <v>0</v>
      </c>
      <c r="G96" s="490">
        <f t="shared" si="2"/>
        <v>5880700.21</v>
      </c>
      <c r="H96" s="488">
        <v>5880700.21</v>
      </c>
    </row>
    <row r="97" spans="1:8" ht="15.75" x14ac:dyDescent="0.25">
      <c r="A97" s="487" t="s">
        <v>378</v>
      </c>
      <c r="B97" s="487" t="s">
        <v>379</v>
      </c>
      <c r="C97" s="488">
        <v>247206.53</v>
      </c>
      <c r="D97" s="489">
        <v>241380.82</v>
      </c>
      <c r="E97" s="488">
        <v>0</v>
      </c>
      <c r="F97" s="489">
        <v>5825.71</v>
      </c>
      <c r="G97" s="490">
        <f t="shared" si="2"/>
        <v>247206.53</v>
      </c>
      <c r="H97" s="488">
        <v>247206.53</v>
      </c>
    </row>
    <row r="98" spans="1:8" ht="15.75" x14ac:dyDescent="0.25">
      <c r="A98" s="487" t="s">
        <v>380</v>
      </c>
      <c r="B98" s="487" t="s">
        <v>381</v>
      </c>
      <c r="C98" s="488">
        <v>65931.03</v>
      </c>
      <c r="D98" s="489">
        <v>65931.03</v>
      </c>
      <c r="E98" s="488">
        <v>0</v>
      </c>
      <c r="F98" s="489">
        <v>0</v>
      </c>
      <c r="G98" s="490">
        <f t="shared" si="2"/>
        <v>65931.03</v>
      </c>
      <c r="H98" s="488">
        <v>65931.03</v>
      </c>
    </row>
    <row r="99" spans="1:8" ht="15.75" x14ac:dyDescent="0.25">
      <c r="A99" s="493" t="s">
        <v>620</v>
      </c>
      <c r="B99" s="494" t="s">
        <v>1422</v>
      </c>
      <c r="C99" s="488">
        <v>398592.29</v>
      </c>
      <c r="D99" s="489">
        <v>259285.03</v>
      </c>
      <c r="E99" s="488">
        <v>0</v>
      </c>
      <c r="F99" s="489">
        <v>139307.26</v>
      </c>
      <c r="G99" s="490">
        <f t="shared" si="2"/>
        <v>398592.29000000004</v>
      </c>
      <c r="H99" s="488">
        <v>398592.29000000004</v>
      </c>
    </row>
    <row r="100" spans="1:8" ht="15.75" x14ac:dyDescent="0.25">
      <c r="A100" s="487" t="s">
        <v>384</v>
      </c>
      <c r="B100" s="487" t="s">
        <v>385</v>
      </c>
      <c r="C100" s="488">
        <v>189322.61</v>
      </c>
      <c r="D100" s="489">
        <v>189322.61</v>
      </c>
      <c r="E100" s="488">
        <v>0</v>
      </c>
      <c r="F100" s="489">
        <v>0</v>
      </c>
      <c r="G100" s="490">
        <f t="shared" si="2"/>
        <v>189322.61</v>
      </c>
      <c r="H100" s="488">
        <v>189322.61</v>
      </c>
    </row>
    <row r="101" spans="1:8" ht="15.75" x14ac:dyDescent="0.25">
      <c r="A101" s="487" t="s">
        <v>386</v>
      </c>
      <c r="B101" s="487" t="s">
        <v>387</v>
      </c>
      <c r="C101" s="488">
        <v>1009901.01</v>
      </c>
      <c r="D101" s="489">
        <v>1003449.28</v>
      </c>
      <c r="E101" s="488">
        <v>6451.73</v>
      </c>
      <c r="F101" s="489">
        <v>0</v>
      </c>
      <c r="G101" s="490">
        <f t="shared" si="2"/>
        <v>1003449.28</v>
      </c>
      <c r="H101" s="488">
        <v>1009901.01</v>
      </c>
    </row>
    <row r="102" spans="1:8" ht="15.75" x14ac:dyDescent="0.25">
      <c r="A102" s="487" t="s">
        <v>388</v>
      </c>
      <c r="B102" s="487" t="s">
        <v>389</v>
      </c>
      <c r="C102" s="488">
        <v>223225.18</v>
      </c>
      <c r="D102" s="489">
        <v>218017.76</v>
      </c>
      <c r="E102" s="488">
        <v>0</v>
      </c>
      <c r="F102" s="489">
        <v>5207.42</v>
      </c>
      <c r="G102" s="490">
        <f t="shared" si="2"/>
        <v>223225.18000000002</v>
      </c>
      <c r="H102" s="488">
        <v>223225.18000000002</v>
      </c>
    </row>
    <row r="103" spans="1:8" ht="15.75" x14ac:dyDescent="0.25">
      <c r="A103" s="487" t="s">
        <v>390</v>
      </c>
      <c r="B103" s="487" t="s">
        <v>391</v>
      </c>
      <c r="C103" s="488">
        <v>1356056.94</v>
      </c>
      <c r="D103" s="489">
        <v>1356056.94</v>
      </c>
      <c r="E103" s="488">
        <v>0</v>
      </c>
      <c r="F103" s="489">
        <v>0</v>
      </c>
      <c r="G103" s="490">
        <f t="shared" si="2"/>
        <v>1356056.94</v>
      </c>
      <c r="H103" s="488">
        <v>1356056.94</v>
      </c>
    </row>
    <row r="104" spans="1:8" ht="15.75" x14ac:dyDescent="0.25">
      <c r="A104" s="487" t="s">
        <v>392</v>
      </c>
      <c r="B104" s="487" t="s">
        <v>393</v>
      </c>
      <c r="C104" s="488">
        <v>44332983.310000002</v>
      </c>
      <c r="D104" s="489">
        <v>33874873.439999998</v>
      </c>
      <c r="E104" s="488">
        <v>856899.13</v>
      </c>
      <c r="F104" s="489">
        <v>9601210.7400000002</v>
      </c>
      <c r="G104" s="490">
        <f t="shared" si="2"/>
        <v>43476084.18</v>
      </c>
      <c r="H104" s="488">
        <v>44332983.310000002</v>
      </c>
    </row>
    <row r="105" spans="1:8" ht="15.75" x14ac:dyDescent="0.25">
      <c r="A105" s="487" t="s">
        <v>394</v>
      </c>
      <c r="B105" s="487" t="s">
        <v>395</v>
      </c>
      <c r="C105" s="488">
        <v>2475793.94</v>
      </c>
      <c r="D105" s="489">
        <v>2137671.23</v>
      </c>
      <c r="E105" s="488">
        <v>9371.0499999999993</v>
      </c>
      <c r="F105" s="489">
        <v>328751.65999999997</v>
      </c>
      <c r="G105" s="490">
        <f t="shared" si="2"/>
        <v>2466422.89</v>
      </c>
      <c r="H105" s="488">
        <v>2475793.94</v>
      </c>
    </row>
    <row r="106" spans="1:8" ht="15.75" x14ac:dyDescent="0.25">
      <c r="A106" s="487" t="s">
        <v>396</v>
      </c>
      <c r="B106" s="487" t="s">
        <v>397</v>
      </c>
      <c r="C106" s="488">
        <v>740819.86</v>
      </c>
      <c r="D106" s="489">
        <v>740819.86</v>
      </c>
      <c r="E106" s="488">
        <v>0</v>
      </c>
      <c r="F106" s="489">
        <v>0</v>
      </c>
      <c r="G106" s="490">
        <f t="shared" si="2"/>
        <v>740819.86</v>
      </c>
      <c r="H106" s="488">
        <v>740819.86</v>
      </c>
    </row>
    <row r="107" spans="1:8" ht="15.75" x14ac:dyDescent="0.25">
      <c r="A107" s="487" t="s">
        <v>398</v>
      </c>
      <c r="B107" s="487" t="s">
        <v>399</v>
      </c>
      <c r="C107" s="488">
        <v>2427327.34</v>
      </c>
      <c r="D107" s="489">
        <v>2427327.34</v>
      </c>
      <c r="E107" s="488">
        <v>0</v>
      </c>
      <c r="F107" s="489">
        <v>0</v>
      </c>
      <c r="G107" s="490">
        <f t="shared" si="2"/>
        <v>2427327.34</v>
      </c>
      <c r="H107" s="488">
        <v>2427327.34</v>
      </c>
    </row>
    <row r="108" spans="1:8" ht="15.75" x14ac:dyDescent="0.25">
      <c r="A108" s="491" t="s">
        <v>400</v>
      </c>
      <c r="B108" s="487" t="s">
        <v>1193</v>
      </c>
      <c r="C108" s="488">
        <v>208479.7</v>
      </c>
      <c r="D108" s="489">
        <v>208479.7</v>
      </c>
      <c r="E108" s="488">
        <v>0</v>
      </c>
      <c r="F108" s="489">
        <v>0</v>
      </c>
      <c r="G108" s="490">
        <f t="shared" si="2"/>
        <v>208479.7</v>
      </c>
      <c r="H108" s="488">
        <v>208479.7</v>
      </c>
    </row>
    <row r="109" spans="1:8" ht="15.75" x14ac:dyDescent="0.25">
      <c r="A109" s="491" t="s">
        <v>401</v>
      </c>
      <c r="B109" s="487" t="s">
        <v>1436</v>
      </c>
      <c r="C109" s="488">
        <v>15280.85</v>
      </c>
      <c r="D109" s="489">
        <v>14305.84</v>
      </c>
      <c r="E109" s="488">
        <v>0</v>
      </c>
      <c r="F109" s="489">
        <v>975.01</v>
      </c>
      <c r="G109" s="490">
        <f t="shared" si="2"/>
        <v>15280.85</v>
      </c>
      <c r="H109" s="488">
        <v>15280.85</v>
      </c>
    </row>
    <row r="110" spans="1:8" ht="15.75" x14ac:dyDescent="0.25">
      <c r="A110" s="487" t="s">
        <v>403</v>
      </c>
      <c r="B110" s="487" t="s">
        <v>404</v>
      </c>
      <c r="C110" s="488">
        <v>341731.04</v>
      </c>
      <c r="D110" s="489">
        <v>341731.04</v>
      </c>
      <c r="E110" s="488">
        <v>0</v>
      </c>
      <c r="F110" s="489">
        <v>0</v>
      </c>
      <c r="G110" s="490">
        <f t="shared" si="2"/>
        <v>341731.04</v>
      </c>
      <c r="H110" s="488">
        <v>341731.04</v>
      </c>
    </row>
    <row r="111" spans="1:8" ht="15.75" x14ac:dyDescent="0.25">
      <c r="A111" s="487" t="s">
        <v>405</v>
      </c>
      <c r="B111" s="487" t="s">
        <v>406</v>
      </c>
      <c r="C111" s="488">
        <v>32473.5</v>
      </c>
      <c r="D111" s="489">
        <v>32330.15</v>
      </c>
      <c r="E111" s="488">
        <v>143.35</v>
      </c>
      <c r="F111" s="489">
        <v>0</v>
      </c>
      <c r="G111" s="490">
        <f t="shared" si="2"/>
        <v>32330.15</v>
      </c>
      <c r="H111" s="488">
        <v>32473.5</v>
      </c>
    </row>
    <row r="112" spans="1:8" ht="15.75" x14ac:dyDescent="0.25">
      <c r="A112" s="487" t="s">
        <v>407</v>
      </c>
      <c r="B112" s="487" t="s">
        <v>408</v>
      </c>
      <c r="C112" s="488">
        <v>31422514.170000002</v>
      </c>
      <c r="D112" s="489">
        <v>31248956.539999999</v>
      </c>
      <c r="E112" s="488">
        <v>597.9</v>
      </c>
      <c r="F112" s="489">
        <v>172959.73</v>
      </c>
      <c r="G112" s="490">
        <f t="shared" si="2"/>
        <v>31421916.27</v>
      </c>
      <c r="H112" s="488">
        <v>31422514.169999998</v>
      </c>
    </row>
    <row r="113" spans="1:8" ht="15.75" x14ac:dyDescent="0.25">
      <c r="A113" s="487" t="s">
        <v>409</v>
      </c>
      <c r="B113" s="487" t="s">
        <v>410</v>
      </c>
      <c r="C113" s="488">
        <v>55051.61</v>
      </c>
      <c r="D113" s="489">
        <v>55051.61</v>
      </c>
      <c r="E113" s="488">
        <v>0</v>
      </c>
      <c r="F113" s="489">
        <v>0</v>
      </c>
      <c r="G113" s="490">
        <f t="shared" si="2"/>
        <v>55051.61</v>
      </c>
      <c r="H113" s="488">
        <v>55051.61</v>
      </c>
    </row>
    <row r="114" spans="1:8" ht="15.75" x14ac:dyDescent="0.25">
      <c r="A114" s="487" t="s">
        <v>411</v>
      </c>
      <c r="B114" s="487" t="s">
        <v>412</v>
      </c>
      <c r="C114" s="488">
        <v>1835839.1</v>
      </c>
      <c r="D114" s="489">
        <v>1835839.1</v>
      </c>
      <c r="E114" s="488">
        <v>0</v>
      </c>
      <c r="F114" s="489">
        <v>0</v>
      </c>
      <c r="G114" s="490">
        <f t="shared" si="2"/>
        <v>1835839.1</v>
      </c>
      <c r="H114" s="488">
        <v>1835839.1</v>
      </c>
    </row>
    <row r="115" spans="1:8" ht="15.75" x14ac:dyDescent="0.25">
      <c r="A115" s="487" t="s">
        <v>413</v>
      </c>
      <c r="B115" s="487" t="s">
        <v>414</v>
      </c>
      <c r="C115" s="488">
        <v>38421</v>
      </c>
      <c r="D115" s="489">
        <v>38421</v>
      </c>
      <c r="E115" s="488">
        <v>0</v>
      </c>
      <c r="F115" s="489">
        <v>0</v>
      </c>
      <c r="G115" s="490">
        <f t="shared" si="2"/>
        <v>38421</v>
      </c>
      <c r="H115" s="488">
        <v>38421</v>
      </c>
    </row>
    <row r="116" spans="1:8" ht="15.75" x14ac:dyDescent="0.25">
      <c r="A116" s="487" t="s">
        <v>415</v>
      </c>
      <c r="B116" s="487" t="s">
        <v>416</v>
      </c>
      <c r="C116" s="488">
        <v>8527111.1099999994</v>
      </c>
      <c r="D116" s="489">
        <v>8032247.8499999996</v>
      </c>
      <c r="E116" s="488">
        <v>61981.66</v>
      </c>
      <c r="F116" s="489">
        <v>432881.6</v>
      </c>
      <c r="G116" s="490">
        <f t="shared" si="2"/>
        <v>8465129.4499999993</v>
      </c>
      <c r="H116" s="488">
        <v>8527111.1099999994</v>
      </c>
    </row>
    <row r="117" spans="1:8" ht="15.75" x14ac:dyDescent="0.25">
      <c r="A117" s="487" t="s">
        <v>417</v>
      </c>
      <c r="B117" s="487" t="s">
        <v>418</v>
      </c>
      <c r="C117" s="488">
        <v>26939942.109999999</v>
      </c>
      <c r="D117" s="489">
        <v>24329232.579999998</v>
      </c>
      <c r="E117" s="488">
        <v>137249.12</v>
      </c>
      <c r="F117" s="489">
        <v>2473460.41</v>
      </c>
      <c r="G117" s="490">
        <f t="shared" si="2"/>
        <v>26802692.989999998</v>
      </c>
      <c r="H117" s="488">
        <v>26939942.109999999</v>
      </c>
    </row>
    <row r="118" spans="1:8" ht="15.75" x14ac:dyDescent="0.25">
      <c r="A118" s="487" t="s">
        <v>419</v>
      </c>
      <c r="B118" s="487" t="s">
        <v>420</v>
      </c>
      <c r="C118" s="488">
        <v>56742862.039999999</v>
      </c>
      <c r="D118" s="489">
        <v>40823977.780000001</v>
      </c>
      <c r="E118" s="488">
        <v>6249.16</v>
      </c>
      <c r="F118" s="489">
        <v>15912635.1</v>
      </c>
      <c r="G118" s="490">
        <f t="shared" si="2"/>
        <v>56736612.880000003</v>
      </c>
      <c r="H118" s="488">
        <v>56742862.039999999</v>
      </c>
    </row>
    <row r="119" spans="1:8" ht="15.75" x14ac:dyDescent="0.25">
      <c r="A119" s="487" t="s">
        <v>421</v>
      </c>
      <c r="B119" s="487" t="s">
        <v>422</v>
      </c>
      <c r="C119" s="488">
        <v>1440966.91</v>
      </c>
      <c r="D119" s="489">
        <v>1429631.72</v>
      </c>
      <c r="E119" s="488">
        <v>11335.19</v>
      </c>
      <c r="F119" s="489">
        <v>0</v>
      </c>
      <c r="G119" s="490">
        <f t="shared" si="2"/>
        <v>1429631.72</v>
      </c>
      <c r="H119" s="488">
        <v>1440966.91</v>
      </c>
    </row>
    <row r="120" spans="1:8" ht="15.75" x14ac:dyDescent="0.25">
      <c r="A120" s="487" t="s">
        <v>423</v>
      </c>
      <c r="B120" s="487" t="s">
        <v>1399</v>
      </c>
      <c r="C120" s="488">
        <v>2047253.57</v>
      </c>
      <c r="D120" s="489">
        <v>2037964.32</v>
      </c>
      <c r="E120" s="488">
        <v>9289.25</v>
      </c>
      <c r="F120" s="489">
        <v>0</v>
      </c>
      <c r="G120" s="490">
        <f t="shared" si="2"/>
        <v>2037964.32</v>
      </c>
      <c r="H120" s="488">
        <v>2047253.57</v>
      </c>
    </row>
    <row r="121" spans="1:8" ht="15.75" x14ac:dyDescent="0.25">
      <c r="A121" s="487" t="s">
        <v>425</v>
      </c>
      <c r="B121" s="487" t="s">
        <v>426</v>
      </c>
      <c r="C121" s="488">
        <v>1010854.24</v>
      </c>
      <c r="D121" s="489">
        <v>1010854.24</v>
      </c>
      <c r="E121" s="488">
        <v>0</v>
      </c>
      <c r="F121" s="489">
        <v>0</v>
      </c>
      <c r="G121" s="490">
        <f t="shared" si="2"/>
        <v>1010854.24</v>
      </c>
      <c r="H121" s="488">
        <v>1010854.24</v>
      </c>
    </row>
    <row r="122" spans="1:8" ht="15.75" x14ac:dyDescent="0.25">
      <c r="A122" s="487" t="s">
        <v>427</v>
      </c>
      <c r="B122" s="487" t="s">
        <v>428</v>
      </c>
      <c r="C122" s="488">
        <v>77443.41</v>
      </c>
      <c r="D122" s="489">
        <v>77443.41</v>
      </c>
      <c r="E122" s="488">
        <v>0</v>
      </c>
      <c r="F122" s="489">
        <v>0</v>
      </c>
      <c r="G122" s="490">
        <f t="shared" si="2"/>
        <v>77443.41</v>
      </c>
      <c r="H122" s="488">
        <v>77443.41</v>
      </c>
    </row>
    <row r="123" spans="1:8" ht="15.75" x14ac:dyDescent="0.25">
      <c r="A123" s="487" t="s">
        <v>429</v>
      </c>
      <c r="B123" s="487" t="s">
        <v>430</v>
      </c>
      <c r="C123" s="488">
        <v>2692562.08</v>
      </c>
      <c r="D123" s="489">
        <v>2692562.08</v>
      </c>
      <c r="E123" s="488">
        <v>0</v>
      </c>
      <c r="F123" s="489">
        <v>0</v>
      </c>
      <c r="G123" s="490">
        <f t="shared" si="2"/>
        <v>2692562.08</v>
      </c>
      <c r="H123" s="488">
        <v>2692562.08</v>
      </c>
    </row>
    <row r="124" spans="1:8" ht="15.75" x14ac:dyDescent="0.25">
      <c r="A124" s="487" t="s">
        <v>431</v>
      </c>
      <c r="B124" s="487" t="s">
        <v>432</v>
      </c>
      <c r="C124" s="488">
        <v>1098569.6200000001</v>
      </c>
      <c r="D124" s="489">
        <v>1016543.84</v>
      </c>
      <c r="E124" s="488">
        <v>10597.91</v>
      </c>
      <c r="F124" s="489">
        <v>71427.87</v>
      </c>
      <c r="G124" s="490">
        <f t="shared" si="2"/>
        <v>1087971.71</v>
      </c>
      <c r="H124" s="488">
        <v>1098569.6199999999</v>
      </c>
    </row>
    <row r="125" spans="1:8" ht="15.75" x14ac:dyDescent="0.25">
      <c r="A125" s="487" t="s">
        <v>433</v>
      </c>
      <c r="B125" s="487" t="s">
        <v>1195</v>
      </c>
      <c r="C125" s="488">
        <v>171868.16</v>
      </c>
      <c r="D125" s="489">
        <v>171868.16</v>
      </c>
      <c r="E125" s="488">
        <v>0</v>
      </c>
      <c r="F125" s="489">
        <v>0</v>
      </c>
      <c r="G125" s="490">
        <f t="shared" si="2"/>
        <v>171868.16</v>
      </c>
      <c r="H125" s="488">
        <v>171868.16</v>
      </c>
    </row>
    <row r="126" spans="1:8" ht="15.75" x14ac:dyDescent="0.25">
      <c r="A126" s="487" t="s">
        <v>435</v>
      </c>
      <c r="B126" s="487" t="s">
        <v>436</v>
      </c>
      <c r="C126" s="488">
        <v>1574890.71</v>
      </c>
      <c r="D126" s="489">
        <v>1353257.24</v>
      </c>
      <c r="E126" s="488">
        <v>0</v>
      </c>
      <c r="F126" s="489">
        <v>221633.47</v>
      </c>
      <c r="G126" s="490">
        <f t="shared" si="2"/>
        <v>1574890.71</v>
      </c>
      <c r="H126" s="488">
        <v>1574890.71</v>
      </c>
    </row>
    <row r="127" spans="1:8" ht="15.75" x14ac:dyDescent="0.25">
      <c r="A127" s="487" t="s">
        <v>439</v>
      </c>
      <c r="B127" s="487" t="s">
        <v>440</v>
      </c>
      <c r="C127" s="488">
        <v>18250525.75</v>
      </c>
      <c r="D127" s="489">
        <v>18207624.390000001</v>
      </c>
      <c r="E127" s="488">
        <v>42901.36</v>
      </c>
      <c r="F127" s="489">
        <v>0</v>
      </c>
      <c r="G127" s="490">
        <f t="shared" si="2"/>
        <v>18207624.390000001</v>
      </c>
      <c r="H127" s="488">
        <v>18250525.75</v>
      </c>
    </row>
    <row r="128" spans="1:8" ht="15.75" x14ac:dyDescent="0.25">
      <c r="A128" s="487" t="s">
        <v>441</v>
      </c>
      <c r="B128" s="487" t="s">
        <v>442</v>
      </c>
      <c r="C128" s="488">
        <v>60905915.350000001</v>
      </c>
      <c r="D128" s="489">
        <v>44276945.229999997</v>
      </c>
      <c r="E128" s="488">
        <v>60530.42</v>
      </c>
      <c r="F128" s="489">
        <v>16568439.699999999</v>
      </c>
      <c r="G128" s="490">
        <f t="shared" si="2"/>
        <v>60845384.929999992</v>
      </c>
      <c r="H128" s="488">
        <v>60905915.349999994</v>
      </c>
    </row>
    <row r="129" spans="1:8" ht="15.75" x14ac:dyDescent="0.25">
      <c r="A129" s="487" t="s">
        <v>443</v>
      </c>
      <c r="B129" s="487" t="s">
        <v>444</v>
      </c>
      <c r="C129" s="488">
        <v>4876722.4400000004</v>
      </c>
      <c r="D129" s="489">
        <v>4869218.3099999996</v>
      </c>
      <c r="E129" s="488">
        <v>7504.13</v>
      </c>
      <c r="F129" s="489">
        <v>0</v>
      </c>
      <c r="G129" s="490">
        <f t="shared" si="2"/>
        <v>4869218.3099999996</v>
      </c>
      <c r="H129" s="488">
        <v>4876722.4399999995</v>
      </c>
    </row>
    <row r="130" spans="1:8" ht="15.75" x14ac:dyDescent="0.25">
      <c r="A130" s="487" t="s">
        <v>445</v>
      </c>
      <c r="B130" s="487" t="s">
        <v>446</v>
      </c>
      <c r="C130" s="488">
        <v>107231.62</v>
      </c>
      <c r="D130" s="489">
        <v>107231.62</v>
      </c>
      <c r="E130" s="488">
        <v>0</v>
      </c>
      <c r="F130" s="489">
        <v>0</v>
      </c>
      <c r="G130" s="490">
        <f t="shared" si="2"/>
        <v>107231.62</v>
      </c>
      <c r="H130" s="488">
        <v>107231.62</v>
      </c>
    </row>
    <row r="131" spans="1:8" ht="15.75" x14ac:dyDescent="0.25">
      <c r="A131" s="487" t="s">
        <v>447</v>
      </c>
      <c r="B131" s="487" t="s">
        <v>448</v>
      </c>
      <c r="C131" s="488">
        <v>583885.38</v>
      </c>
      <c r="D131" s="489">
        <v>583885.38</v>
      </c>
      <c r="E131" s="488">
        <v>0</v>
      </c>
      <c r="F131" s="489">
        <v>0</v>
      </c>
      <c r="G131" s="490">
        <f t="shared" si="2"/>
        <v>583885.38</v>
      </c>
      <c r="H131" s="488">
        <v>583885.38</v>
      </c>
    </row>
    <row r="132" spans="1:8" ht="15.75" x14ac:dyDescent="0.25">
      <c r="A132" s="487" t="s">
        <v>449</v>
      </c>
      <c r="B132" s="487" t="s">
        <v>450</v>
      </c>
      <c r="C132" s="488">
        <v>218222.54</v>
      </c>
      <c r="D132" s="489">
        <v>218222.54</v>
      </c>
      <c r="E132" s="488">
        <v>0</v>
      </c>
      <c r="F132" s="489">
        <v>0</v>
      </c>
      <c r="G132" s="490">
        <f t="shared" si="2"/>
        <v>218222.54</v>
      </c>
      <c r="H132" s="488">
        <v>218222.54</v>
      </c>
    </row>
    <row r="133" spans="1:8" ht="15.75" x14ac:dyDescent="0.25">
      <c r="A133" s="487" t="s">
        <v>451</v>
      </c>
      <c r="B133" s="487" t="s">
        <v>452</v>
      </c>
      <c r="C133" s="488">
        <v>12621413.77</v>
      </c>
      <c r="D133" s="489">
        <v>11700477.48</v>
      </c>
      <c r="E133" s="488">
        <v>123851.69</v>
      </c>
      <c r="F133" s="489">
        <v>797084.6</v>
      </c>
      <c r="G133" s="490">
        <f t="shared" si="2"/>
        <v>12497562.08</v>
      </c>
      <c r="H133" s="488">
        <v>12621413.77</v>
      </c>
    </row>
    <row r="134" spans="1:8" ht="15.75" x14ac:dyDescent="0.25">
      <c r="A134" s="487" t="s">
        <v>453</v>
      </c>
      <c r="B134" s="487" t="s">
        <v>454</v>
      </c>
      <c r="C134" s="488">
        <v>210160.43</v>
      </c>
      <c r="D134" s="489">
        <v>210160.43</v>
      </c>
      <c r="E134" s="488">
        <v>0</v>
      </c>
      <c r="F134" s="489">
        <v>0</v>
      </c>
      <c r="G134" s="490">
        <f t="shared" ref="G134:G197" si="3">D134+F134</f>
        <v>210160.43</v>
      </c>
      <c r="H134" s="488">
        <v>210160.43</v>
      </c>
    </row>
    <row r="135" spans="1:8" ht="15.75" x14ac:dyDescent="0.25">
      <c r="A135" s="487" t="s">
        <v>455</v>
      </c>
      <c r="B135" s="487" t="s">
        <v>456</v>
      </c>
      <c r="C135" s="488">
        <v>653181.64</v>
      </c>
      <c r="D135" s="489">
        <v>642169.52</v>
      </c>
      <c r="E135" s="488">
        <v>11012.12</v>
      </c>
      <c r="F135" s="489">
        <v>0</v>
      </c>
      <c r="G135" s="490">
        <f t="shared" si="3"/>
        <v>642169.52</v>
      </c>
      <c r="H135" s="488">
        <v>653181.64</v>
      </c>
    </row>
    <row r="136" spans="1:8" ht="15.75" x14ac:dyDescent="0.25">
      <c r="A136" s="491" t="s">
        <v>457</v>
      </c>
      <c r="B136" s="487" t="s">
        <v>1172</v>
      </c>
      <c r="C136" s="488">
        <v>84705.29</v>
      </c>
      <c r="D136" s="489">
        <v>84705.29</v>
      </c>
      <c r="E136" s="488">
        <v>0</v>
      </c>
      <c r="F136" s="489">
        <v>0</v>
      </c>
      <c r="G136" s="490">
        <f t="shared" si="3"/>
        <v>84705.29</v>
      </c>
      <c r="H136" s="488">
        <v>84705.29</v>
      </c>
    </row>
    <row r="137" spans="1:8" ht="15.75" hidden="1" x14ac:dyDescent="0.25">
      <c r="A137" s="487" t="s">
        <v>1314</v>
      </c>
      <c r="B137" s="487" t="s">
        <v>1400</v>
      </c>
      <c r="C137" s="488">
        <v>965122.96</v>
      </c>
      <c r="D137" s="489">
        <v>965122.96</v>
      </c>
      <c r="E137" s="488">
        <v>0</v>
      </c>
      <c r="F137" s="489">
        <v>0</v>
      </c>
      <c r="G137" s="490">
        <f t="shared" si="3"/>
        <v>965122.96</v>
      </c>
      <c r="H137" s="488">
        <v>965122.96</v>
      </c>
    </row>
    <row r="138" spans="1:8" ht="15.75" x14ac:dyDescent="0.25">
      <c r="A138" s="487" t="s">
        <v>458</v>
      </c>
      <c r="B138" s="487" t="s">
        <v>459</v>
      </c>
      <c r="C138" s="488">
        <v>393438.34</v>
      </c>
      <c r="D138" s="489">
        <v>0</v>
      </c>
      <c r="E138" s="488">
        <v>393438.34</v>
      </c>
      <c r="F138" s="489">
        <v>0</v>
      </c>
      <c r="G138" s="490">
        <f t="shared" si="3"/>
        <v>0</v>
      </c>
      <c r="H138" s="488">
        <v>393438.34</v>
      </c>
    </row>
    <row r="139" spans="1:8" ht="15.75" x14ac:dyDescent="0.25">
      <c r="A139" s="487" t="s">
        <v>460</v>
      </c>
      <c r="B139" s="487" t="s">
        <v>461</v>
      </c>
      <c r="C139" s="488">
        <v>7268205.7000000002</v>
      </c>
      <c r="D139" s="489">
        <v>6848145.7000000002</v>
      </c>
      <c r="E139" s="488">
        <v>0</v>
      </c>
      <c r="F139" s="489">
        <v>420060</v>
      </c>
      <c r="G139" s="490">
        <f t="shared" si="3"/>
        <v>7268205.7000000002</v>
      </c>
      <c r="H139" s="488">
        <v>7268205.7000000002</v>
      </c>
    </row>
    <row r="140" spans="1:8" ht="15.75" x14ac:dyDescent="0.25">
      <c r="A140" s="487" t="s">
        <v>462</v>
      </c>
      <c r="B140" s="487" t="s">
        <v>463</v>
      </c>
      <c r="C140" s="488">
        <v>964019.18</v>
      </c>
      <c r="D140" s="489">
        <v>964019.18</v>
      </c>
      <c r="E140" s="488">
        <v>0</v>
      </c>
      <c r="F140" s="489">
        <v>0</v>
      </c>
      <c r="G140" s="490">
        <f t="shared" si="3"/>
        <v>964019.18</v>
      </c>
      <c r="H140" s="488">
        <v>964019.18</v>
      </c>
    </row>
    <row r="141" spans="1:8" ht="15.75" x14ac:dyDescent="0.25">
      <c r="A141" s="487" t="s">
        <v>464</v>
      </c>
      <c r="B141" s="487" t="s">
        <v>465</v>
      </c>
      <c r="C141" s="488">
        <v>102490.89</v>
      </c>
      <c r="D141" s="489">
        <v>102490.89</v>
      </c>
      <c r="E141" s="488">
        <v>0</v>
      </c>
      <c r="F141" s="489">
        <v>0</v>
      </c>
      <c r="G141" s="490">
        <f t="shared" si="3"/>
        <v>102490.89</v>
      </c>
      <c r="H141" s="488">
        <v>102490.89</v>
      </c>
    </row>
    <row r="142" spans="1:8" ht="15.75" x14ac:dyDescent="0.25">
      <c r="A142" s="487" t="s">
        <v>466</v>
      </c>
      <c r="B142" s="487" t="s">
        <v>467</v>
      </c>
      <c r="C142" s="488">
        <v>816198.2</v>
      </c>
      <c r="D142" s="489">
        <v>801456.34</v>
      </c>
      <c r="E142" s="488">
        <v>0</v>
      </c>
      <c r="F142" s="489">
        <v>14741.86</v>
      </c>
      <c r="G142" s="490">
        <f t="shared" si="3"/>
        <v>816198.2</v>
      </c>
      <c r="H142" s="488">
        <v>816198.2</v>
      </c>
    </row>
    <row r="143" spans="1:8" ht="15.75" x14ac:dyDescent="0.25">
      <c r="A143" s="487" t="s">
        <v>468</v>
      </c>
      <c r="B143" s="487" t="s">
        <v>1196</v>
      </c>
      <c r="C143" s="488">
        <v>2774889.7</v>
      </c>
      <c r="D143" s="489">
        <v>2774889.7</v>
      </c>
      <c r="E143" s="488">
        <v>0</v>
      </c>
      <c r="F143" s="489">
        <v>0</v>
      </c>
      <c r="G143" s="490">
        <f t="shared" si="3"/>
        <v>2774889.7</v>
      </c>
      <c r="H143" s="488">
        <v>2774889.7</v>
      </c>
    </row>
    <row r="144" spans="1:8" ht="15.75" x14ac:dyDescent="0.25">
      <c r="A144" s="487" t="s">
        <v>470</v>
      </c>
      <c r="B144" s="487" t="s">
        <v>471</v>
      </c>
      <c r="C144" s="488">
        <v>521263.03</v>
      </c>
      <c r="D144" s="489">
        <v>520563.03</v>
      </c>
      <c r="E144" s="488">
        <v>0</v>
      </c>
      <c r="F144" s="489">
        <v>700</v>
      </c>
      <c r="G144" s="490">
        <f t="shared" si="3"/>
        <v>521263.03</v>
      </c>
      <c r="H144" s="488">
        <v>521263.03</v>
      </c>
    </row>
    <row r="145" spans="1:8" ht="15.75" x14ac:dyDescent="0.25">
      <c r="A145" s="487" t="s">
        <v>472</v>
      </c>
      <c r="B145" s="487" t="s">
        <v>473</v>
      </c>
      <c r="C145" s="488">
        <v>24300234.690000001</v>
      </c>
      <c r="D145" s="489">
        <v>24185096.239999998</v>
      </c>
      <c r="E145" s="488">
        <v>115138.45</v>
      </c>
      <c r="F145" s="489">
        <v>0</v>
      </c>
      <c r="G145" s="490">
        <f t="shared" si="3"/>
        <v>24185096.239999998</v>
      </c>
      <c r="H145" s="488">
        <v>24300234.689999998</v>
      </c>
    </row>
    <row r="146" spans="1:8" ht="15.75" x14ac:dyDescent="0.25">
      <c r="A146" s="487" t="s">
        <v>474</v>
      </c>
      <c r="B146" s="487" t="s">
        <v>1197</v>
      </c>
      <c r="C146" s="488">
        <v>654811.34</v>
      </c>
      <c r="D146" s="489">
        <v>654811.34</v>
      </c>
      <c r="E146" s="488">
        <v>0</v>
      </c>
      <c r="F146" s="489">
        <v>0</v>
      </c>
      <c r="G146" s="490">
        <f t="shared" si="3"/>
        <v>654811.34</v>
      </c>
      <c r="H146" s="488">
        <v>654811.34</v>
      </c>
    </row>
    <row r="147" spans="1:8" ht="15.75" x14ac:dyDescent="0.25">
      <c r="A147" s="487" t="s">
        <v>476</v>
      </c>
      <c r="B147" s="487" t="s">
        <v>477</v>
      </c>
      <c r="C147" s="488">
        <v>16263778.939999999</v>
      </c>
      <c r="D147" s="489">
        <v>15752938.619999999</v>
      </c>
      <c r="E147" s="488">
        <v>0</v>
      </c>
      <c r="F147" s="489">
        <v>510840.32000000001</v>
      </c>
      <c r="G147" s="490">
        <f t="shared" si="3"/>
        <v>16263778.939999999</v>
      </c>
      <c r="H147" s="488">
        <v>16263778.939999999</v>
      </c>
    </row>
    <row r="148" spans="1:8" ht="15.75" x14ac:dyDescent="0.25">
      <c r="A148" s="487" t="s">
        <v>478</v>
      </c>
      <c r="B148" s="487" t="s">
        <v>479</v>
      </c>
      <c r="C148" s="488">
        <v>2561345.08</v>
      </c>
      <c r="D148" s="489">
        <v>2546085.09</v>
      </c>
      <c r="E148" s="488">
        <v>15259.99</v>
      </c>
      <c r="F148" s="489">
        <v>0</v>
      </c>
      <c r="G148" s="490">
        <f t="shared" si="3"/>
        <v>2546085.09</v>
      </c>
      <c r="H148" s="488">
        <v>2561345.08</v>
      </c>
    </row>
    <row r="149" spans="1:8" ht="15.75" x14ac:dyDescent="0.25">
      <c r="A149" s="487" t="s">
        <v>480</v>
      </c>
      <c r="B149" s="487" t="s">
        <v>481</v>
      </c>
      <c r="C149" s="488">
        <v>9678495.0800000001</v>
      </c>
      <c r="D149" s="489">
        <v>6607648.9199999999</v>
      </c>
      <c r="E149" s="488">
        <v>0</v>
      </c>
      <c r="F149" s="489">
        <v>3070846.16</v>
      </c>
      <c r="G149" s="490">
        <f t="shared" si="3"/>
        <v>9678495.0800000001</v>
      </c>
      <c r="H149" s="488">
        <v>9678495.0800000001</v>
      </c>
    </row>
    <row r="150" spans="1:8" ht="15.75" x14ac:dyDescent="0.25">
      <c r="A150" s="487" t="s">
        <v>482</v>
      </c>
      <c r="B150" s="487" t="s">
        <v>483</v>
      </c>
      <c r="C150" s="488">
        <v>2729302.84</v>
      </c>
      <c r="D150" s="489">
        <v>2729302.84</v>
      </c>
      <c r="E150" s="488">
        <v>0</v>
      </c>
      <c r="F150" s="489">
        <v>0</v>
      </c>
      <c r="G150" s="490">
        <f t="shared" si="3"/>
        <v>2729302.84</v>
      </c>
      <c r="H150" s="488">
        <v>2729302.84</v>
      </c>
    </row>
    <row r="151" spans="1:8" ht="15.75" x14ac:dyDescent="0.25">
      <c r="A151" s="487" t="s">
        <v>484</v>
      </c>
      <c r="B151" s="487" t="s">
        <v>485</v>
      </c>
      <c r="C151" s="488">
        <v>810324.99</v>
      </c>
      <c r="D151" s="489">
        <v>810324.99</v>
      </c>
      <c r="E151" s="488">
        <v>0</v>
      </c>
      <c r="F151" s="489">
        <v>0</v>
      </c>
      <c r="G151" s="490">
        <f t="shared" si="3"/>
        <v>810324.99</v>
      </c>
      <c r="H151" s="488">
        <v>810324.99</v>
      </c>
    </row>
    <row r="152" spans="1:8" ht="15.75" x14ac:dyDescent="0.25">
      <c r="A152" s="487" t="s">
        <v>486</v>
      </c>
      <c r="B152" s="487" t="s">
        <v>487</v>
      </c>
      <c r="C152" s="488">
        <v>71452.929999999993</v>
      </c>
      <c r="D152" s="489">
        <v>71452.929999999993</v>
      </c>
      <c r="E152" s="488">
        <v>0</v>
      </c>
      <c r="F152" s="489">
        <v>0</v>
      </c>
      <c r="G152" s="490">
        <f t="shared" si="3"/>
        <v>71452.929999999993</v>
      </c>
      <c r="H152" s="488">
        <v>71452.929999999993</v>
      </c>
    </row>
    <row r="153" spans="1:8" ht="15.75" x14ac:dyDescent="0.25">
      <c r="A153" s="487" t="s">
        <v>488</v>
      </c>
      <c r="B153" s="487" t="s">
        <v>489</v>
      </c>
      <c r="C153" s="488">
        <v>10288702.6</v>
      </c>
      <c r="D153" s="489">
        <v>9879690.1600000001</v>
      </c>
      <c r="E153" s="488">
        <v>21122.07</v>
      </c>
      <c r="F153" s="489">
        <v>387890.37</v>
      </c>
      <c r="G153" s="490">
        <f t="shared" si="3"/>
        <v>10267580.529999999</v>
      </c>
      <c r="H153" s="488">
        <v>10288702.6</v>
      </c>
    </row>
    <row r="154" spans="1:8" ht="15.75" x14ac:dyDescent="0.25">
      <c r="A154" s="487" t="s">
        <v>490</v>
      </c>
      <c r="B154" s="487" t="s">
        <v>491</v>
      </c>
      <c r="C154" s="488">
        <v>2239857.4500000002</v>
      </c>
      <c r="D154" s="489">
        <v>2214285.75</v>
      </c>
      <c r="E154" s="488">
        <v>25571.7</v>
      </c>
      <c r="F154" s="489">
        <v>0</v>
      </c>
      <c r="G154" s="490">
        <f t="shared" si="3"/>
        <v>2214285.75</v>
      </c>
      <c r="H154" s="488">
        <v>2239857.4500000002</v>
      </c>
    </row>
    <row r="155" spans="1:8" ht="15.75" x14ac:dyDescent="0.25">
      <c r="A155" s="487" t="s">
        <v>492</v>
      </c>
      <c r="B155" s="487" t="s">
        <v>493</v>
      </c>
      <c r="C155" s="488">
        <v>797448.03</v>
      </c>
      <c r="D155" s="489">
        <v>664050.68999999994</v>
      </c>
      <c r="E155" s="488">
        <v>308.79000000000002</v>
      </c>
      <c r="F155" s="489">
        <v>133088.54999999999</v>
      </c>
      <c r="G155" s="490">
        <f t="shared" si="3"/>
        <v>797139.24</v>
      </c>
      <c r="H155" s="488">
        <v>797448.02999999991</v>
      </c>
    </row>
    <row r="156" spans="1:8" ht="15.75" x14ac:dyDescent="0.25">
      <c r="A156" s="487" t="s">
        <v>494</v>
      </c>
      <c r="B156" s="487" t="s">
        <v>495</v>
      </c>
      <c r="C156" s="488">
        <v>12839380.880000001</v>
      </c>
      <c r="D156" s="489">
        <v>12646807.029999999</v>
      </c>
      <c r="E156" s="488">
        <v>0</v>
      </c>
      <c r="F156" s="489">
        <v>190292.56</v>
      </c>
      <c r="G156" s="490">
        <f t="shared" si="3"/>
        <v>12837099.59</v>
      </c>
      <c r="H156" s="488">
        <v>12837099.59</v>
      </c>
    </row>
    <row r="157" spans="1:8" ht="15.75" x14ac:dyDescent="0.25">
      <c r="A157" s="487" t="s">
        <v>496</v>
      </c>
      <c r="B157" s="487" t="s">
        <v>497</v>
      </c>
      <c r="C157" s="488">
        <v>918446.2</v>
      </c>
      <c r="D157" s="489">
        <v>917146.2</v>
      </c>
      <c r="E157" s="488">
        <v>0</v>
      </c>
      <c r="F157" s="489">
        <v>1300</v>
      </c>
      <c r="G157" s="490">
        <f t="shared" si="3"/>
        <v>918446.2</v>
      </c>
      <c r="H157" s="488">
        <v>918446.2</v>
      </c>
    </row>
    <row r="158" spans="1:8" ht="15.75" x14ac:dyDescent="0.25">
      <c r="A158" s="487" t="s">
        <v>498</v>
      </c>
      <c r="B158" s="487" t="s">
        <v>499</v>
      </c>
      <c r="C158" s="488">
        <v>1120695.96</v>
      </c>
      <c r="D158" s="489">
        <v>980435.96</v>
      </c>
      <c r="E158" s="488">
        <v>0</v>
      </c>
      <c r="F158" s="489">
        <v>140260</v>
      </c>
      <c r="G158" s="490">
        <f t="shared" si="3"/>
        <v>1120695.96</v>
      </c>
      <c r="H158" s="488">
        <v>1120695.96</v>
      </c>
    </row>
    <row r="159" spans="1:8" ht="15.75" x14ac:dyDescent="0.25">
      <c r="A159" s="487" t="s">
        <v>500</v>
      </c>
      <c r="B159" s="487" t="s">
        <v>501</v>
      </c>
      <c r="C159" s="488">
        <v>4213963.6399999997</v>
      </c>
      <c r="D159" s="489">
        <v>3134788.27</v>
      </c>
      <c r="E159" s="488">
        <v>61006.35</v>
      </c>
      <c r="F159" s="489">
        <v>1018169.02</v>
      </c>
      <c r="G159" s="490">
        <f t="shared" si="3"/>
        <v>4152957.29</v>
      </c>
      <c r="H159" s="488">
        <v>4213963.6400000006</v>
      </c>
    </row>
    <row r="160" spans="1:8" ht="15.75" x14ac:dyDescent="0.25">
      <c r="A160" s="487" t="s">
        <v>502</v>
      </c>
      <c r="B160" s="487" t="s">
        <v>503</v>
      </c>
      <c r="C160" s="488">
        <v>69221.289999999994</v>
      </c>
      <c r="D160" s="489">
        <v>69221.289999999994</v>
      </c>
      <c r="E160" s="488">
        <v>0</v>
      </c>
      <c r="F160" s="489">
        <v>0</v>
      </c>
      <c r="G160" s="490">
        <f t="shared" si="3"/>
        <v>69221.289999999994</v>
      </c>
      <c r="H160" s="488">
        <v>69221.289999999994</v>
      </c>
    </row>
    <row r="161" spans="1:8" ht="15.75" x14ac:dyDescent="0.25">
      <c r="A161" s="487" t="s">
        <v>504</v>
      </c>
      <c r="B161" s="487" t="s">
        <v>1198</v>
      </c>
      <c r="C161" s="488">
        <v>14760974.57</v>
      </c>
      <c r="D161" s="489">
        <v>11382429.710000001</v>
      </c>
      <c r="E161" s="488">
        <v>161542.6</v>
      </c>
      <c r="F161" s="489">
        <v>3217002.26</v>
      </c>
      <c r="G161" s="490">
        <f t="shared" si="3"/>
        <v>14599431.970000001</v>
      </c>
      <c r="H161" s="488">
        <v>14760974.57</v>
      </c>
    </row>
    <row r="162" spans="1:8" ht="15.75" hidden="1" x14ac:dyDescent="0.25">
      <c r="A162" s="487" t="s">
        <v>1370</v>
      </c>
      <c r="B162" s="487" t="s">
        <v>1401</v>
      </c>
      <c r="C162" s="488">
        <v>0</v>
      </c>
      <c r="D162" s="489">
        <v>0</v>
      </c>
      <c r="E162" s="488">
        <v>1</v>
      </c>
      <c r="F162" s="489">
        <v>0</v>
      </c>
      <c r="G162" s="490">
        <f t="shared" si="3"/>
        <v>0</v>
      </c>
      <c r="H162" s="488">
        <v>0</v>
      </c>
    </row>
    <row r="163" spans="1:8" ht="15.75" x14ac:dyDescent="0.25">
      <c r="A163" s="487" t="s">
        <v>506</v>
      </c>
      <c r="B163" s="487" t="s">
        <v>507</v>
      </c>
      <c r="C163" s="488">
        <v>33916883.68</v>
      </c>
      <c r="D163" s="489">
        <v>27029305.760000002</v>
      </c>
      <c r="E163" s="488">
        <v>0</v>
      </c>
      <c r="F163" s="489">
        <v>6887577.9199999999</v>
      </c>
      <c r="G163" s="490">
        <f t="shared" si="3"/>
        <v>33916883.68</v>
      </c>
      <c r="H163" s="488">
        <v>33916883.68</v>
      </c>
    </row>
    <row r="164" spans="1:8" ht="15.75" x14ac:dyDescent="0.25">
      <c r="A164" s="487" t="s">
        <v>508</v>
      </c>
      <c r="B164" s="487" t="s">
        <v>509</v>
      </c>
      <c r="C164" s="488">
        <v>1550306.81</v>
      </c>
      <c r="D164" s="489">
        <v>1550306.81</v>
      </c>
      <c r="E164" s="488">
        <v>0</v>
      </c>
      <c r="F164" s="489">
        <v>0</v>
      </c>
      <c r="G164" s="490">
        <f t="shared" si="3"/>
        <v>1550306.81</v>
      </c>
      <c r="H164" s="488">
        <v>1550306.81</v>
      </c>
    </row>
    <row r="165" spans="1:8" ht="15.75" x14ac:dyDescent="0.25">
      <c r="A165" s="487" t="s">
        <v>510</v>
      </c>
      <c r="B165" s="487" t="s">
        <v>511</v>
      </c>
      <c r="C165" s="488">
        <v>1284877.76</v>
      </c>
      <c r="D165" s="489">
        <v>1281510.48</v>
      </c>
      <c r="E165" s="488">
        <v>3367.28</v>
      </c>
      <c r="F165" s="489">
        <v>0</v>
      </c>
      <c r="G165" s="490">
        <f t="shared" si="3"/>
        <v>1281510.48</v>
      </c>
      <c r="H165" s="488">
        <v>1284877.76</v>
      </c>
    </row>
    <row r="166" spans="1:8" ht="15.75" x14ac:dyDescent="0.25">
      <c r="A166" s="487" t="s">
        <v>512</v>
      </c>
      <c r="B166" s="487" t="s">
        <v>1199</v>
      </c>
      <c r="C166" s="488">
        <v>461393.21</v>
      </c>
      <c r="D166" s="489">
        <v>461393.21</v>
      </c>
      <c r="E166" s="488">
        <v>0</v>
      </c>
      <c r="F166" s="489">
        <v>0</v>
      </c>
      <c r="G166" s="490">
        <f t="shared" si="3"/>
        <v>461393.21</v>
      </c>
      <c r="H166" s="488">
        <v>461393.21</v>
      </c>
    </row>
    <row r="167" spans="1:8" ht="15.75" x14ac:dyDescent="0.25">
      <c r="A167" s="487" t="s">
        <v>514</v>
      </c>
      <c r="B167" s="487" t="s">
        <v>515</v>
      </c>
      <c r="C167" s="488">
        <v>204565.61</v>
      </c>
      <c r="D167" s="489">
        <v>204565.61</v>
      </c>
      <c r="E167" s="488">
        <v>0</v>
      </c>
      <c r="F167" s="489">
        <v>0</v>
      </c>
      <c r="G167" s="490">
        <f t="shared" si="3"/>
        <v>204565.61</v>
      </c>
      <c r="H167" s="488">
        <v>204565.61</v>
      </c>
    </row>
    <row r="168" spans="1:8" ht="15.75" x14ac:dyDescent="0.25">
      <c r="A168" s="487" t="s">
        <v>516</v>
      </c>
      <c r="B168" s="487" t="s">
        <v>517</v>
      </c>
      <c r="C168" s="488">
        <v>1657098.57</v>
      </c>
      <c r="D168" s="489">
        <v>1657098.57</v>
      </c>
      <c r="E168" s="488">
        <v>0</v>
      </c>
      <c r="F168" s="489">
        <v>0</v>
      </c>
      <c r="G168" s="490">
        <f t="shared" si="3"/>
        <v>1657098.57</v>
      </c>
      <c r="H168" s="488">
        <v>1657098.57</v>
      </c>
    </row>
    <row r="169" spans="1:8" ht="15.75" x14ac:dyDescent="0.25">
      <c r="A169" s="487" t="s">
        <v>518</v>
      </c>
      <c r="B169" s="487" t="s">
        <v>519</v>
      </c>
      <c r="C169" s="488">
        <v>1942455.87</v>
      </c>
      <c r="D169" s="489">
        <v>1942455.87</v>
      </c>
      <c r="E169" s="488">
        <v>0</v>
      </c>
      <c r="F169" s="489">
        <v>0</v>
      </c>
      <c r="G169" s="490">
        <f t="shared" si="3"/>
        <v>1942455.87</v>
      </c>
      <c r="H169" s="488">
        <v>1942455.87</v>
      </c>
    </row>
    <row r="170" spans="1:8" ht="15.75" x14ac:dyDescent="0.25">
      <c r="A170" s="487" t="s">
        <v>520</v>
      </c>
      <c r="B170" s="487" t="s">
        <v>521</v>
      </c>
      <c r="C170" s="488">
        <v>3176273.98</v>
      </c>
      <c r="D170" s="489">
        <v>3125034.88</v>
      </c>
      <c r="E170" s="488">
        <v>51239.1</v>
      </c>
      <c r="F170" s="489">
        <v>0</v>
      </c>
      <c r="G170" s="490">
        <f t="shared" si="3"/>
        <v>3125034.88</v>
      </c>
      <c r="H170" s="488">
        <v>3176273.98</v>
      </c>
    </row>
    <row r="171" spans="1:8" ht="15.75" x14ac:dyDescent="0.25">
      <c r="A171" s="487" t="s">
        <v>522</v>
      </c>
      <c r="B171" s="487" t="s">
        <v>523</v>
      </c>
      <c r="C171" s="488">
        <v>1564894.29</v>
      </c>
      <c r="D171" s="489">
        <v>1185585.97</v>
      </c>
      <c r="E171" s="488">
        <v>0</v>
      </c>
      <c r="F171" s="489">
        <v>379308.32</v>
      </c>
      <c r="G171" s="490">
        <f t="shared" si="3"/>
        <v>1564894.29</v>
      </c>
      <c r="H171" s="488">
        <v>1564894.29</v>
      </c>
    </row>
    <row r="172" spans="1:8" ht="15.75" x14ac:dyDescent="0.25">
      <c r="A172" s="487" t="s">
        <v>524</v>
      </c>
      <c r="B172" s="487" t="s">
        <v>525</v>
      </c>
      <c r="C172" s="488">
        <v>3024631.78</v>
      </c>
      <c r="D172" s="489">
        <v>3024631.78</v>
      </c>
      <c r="E172" s="488">
        <v>0</v>
      </c>
      <c r="F172" s="489">
        <v>0</v>
      </c>
      <c r="G172" s="490">
        <f t="shared" si="3"/>
        <v>3024631.78</v>
      </c>
      <c r="H172" s="488">
        <v>3024631.78</v>
      </c>
    </row>
    <row r="173" spans="1:8" ht="15.75" x14ac:dyDescent="0.25">
      <c r="A173" s="487" t="s">
        <v>526</v>
      </c>
      <c r="B173" s="487" t="s">
        <v>527</v>
      </c>
      <c r="C173" s="488">
        <v>11620482.4</v>
      </c>
      <c r="D173" s="489">
        <v>9604541.4299999997</v>
      </c>
      <c r="E173" s="488">
        <v>0</v>
      </c>
      <c r="F173" s="489">
        <v>2015940.97</v>
      </c>
      <c r="G173" s="490">
        <f t="shared" si="3"/>
        <v>11620482.4</v>
      </c>
      <c r="H173" s="488">
        <v>11620482.4</v>
      </c>
    </row>
    <row r="174" spans="1:8" ht="15.75" x14ac:dyDescent="0.25">
      <c r="A174" s="487" t="s">
        <v>528</v>
      </c>
      <c r="B174" s="487" t="s">
        <v>529</v>
      </c>
      <c r="C174" s="488">
        <v>3235330.34</v>
      </c>
      <c r="D174" s="489">
        <v>3235330.34</v>
      </c>
      <c r="E174" s="488">
        <v>0</v>
      </c>
      <c r="F174" s="489">
        <v>0</v>
      </c>
      <c r="G174" s="490">
        <f t="shared" si="3"/>
        <v>3235330.34</v>
      </c>
      <c r="H174" s="488">
        <v>3235330.34</v>
      </c>
    </row>
    <row r="175" spans="1:8" ht="15.75" x14ac:dyDescent="0.25">
      <c r="A175" s="487" t="s">
        <v>530</v>
      </c>
      <c r="B175" s="487" t="s">
        <v>531</v>
      </c>
      <c r="C175" s="488">
        <v>144878.89000000001</v>
      </c>
      <c r="D175" s="489">
        <v>144878.89000000001</v>
      </c>
      <c r="E175" s="488">
        <v>0</v>
      </c>
      <c r="F175" s="489">
        <v>0</v>
      </c>
      <c r="G175" s="490">
        <f t="shared" si="3"/>
        <v>144878.89000000001</v>
      </c>
      <c r="H175" s="488">
        <v>144878.89000000001</v>
      </c>
    </row>
    <row r="176" spans="1:8" ht="15.75" x14ac:dyDescent="0.25">
      <c r="A176" s="487" t="s">
        <v>532</v>
      </c>
      <c r="B176" s="487" t="s">
        <v>533</v>
      </c>
      <c r="C176" s="488">
        <v>33743352.43</v>
      </c>
      <c r="D176" s="489">
        <v>25770932.120000001</v>
      </c>
      <c r="E176" s="488">
        <v>89117.36</v>
      </c>
      <c r="F176" s="489">
        <v>7883302.9500000002</v>
      </c>
      <c r="G176" s="490">
        <f t="shared" si="3"/>
        <v>33654235.07</v>
      </c>
      <c r="H176" s="488">
        <v>33743352.43</v>
      </c>
    </row>
    <row r="177" spans="1:8" ht="15.75" x14ac:dyDescent="0.25">
      <c r="A177" s="487" t="s">
        <v>534</v>
      </c>
      <c r="B177" s="487" t="s">
        <v>535</v>
      </c>
      <c r="C177" s="488">
        <v>364263.52</v>
      </c>
      <c r="D177" s="489">
        <v>364263.52</v>
      </c>
      <c r="E177" s="488">
        <v>0</v>
      </c>
      <c r="F177" s="489">
        <v>0</v>
      </c>
      <c r="G177" s="490">
        <f t="shared" si="3"/>
        <v>364263.52</v>
      </c>
      <c r="H177" s="488">
        <v>364263.52</v>
      </c>
    </row>
    <row r="178" spans="1:8" ht="15.75" x14ac:dyDescent="0.25">
      <c r="A178" s="487" t="s">
        <v>536</v>
      </c>
      <c r="B178" s="487" t="s">
        <v>537</v>
      </c>
      <c r="C178" s="488">
        <v>62124031.240000002</v>
      </c>
      <c r="D178" s="489">
        <v>38902120.350000001</v>
      </c>
      <c r="E178" s="488">
        <v>45667.97</v>
      </c>
      <c r="F178" s="489">
        <v>23176242.920000002</v>
      </c>
      <c r="G178" s="490">
        <f t="shared" si="3"/>
        <v>62078363.270000003</v>
      </c>
      <c r="H178" s="488">
        <v>62124031.240000002</v>
      </c>
    </row>
    <row r="179" spans="1:8" ht="15.75" x14ac:dyDescent="0.25">
      <c r="A179" s="487" t="s">
        <v>538</v>
      </c>
      <c r="B179" s="487" t="s">
        <v>539</v>
      </c>
      <c r="C179" s="488">
        <v>13551593.560000001</v>
      </c>
      <c r="D179" s="489">
        <v>12020285.369999999</v>
      </c>
      <c r="E179" s="488">
        <v>943338.17</v>
      </c>
      <c r="F179" s="489">
        <v>587970.02</v>
      </c>
      <c r="G179" s="490">
        <f t="shared" si="3"/>
        <v>12608255.389999999</v>
      </c>
      <c r="H179" s="488">
        <v>13551593.559999999</v>
      </c>
    </row>
    <row r="180" spans="1:8" ht="15.75" x14ac:dyDescent="0.25">
      <c r="A180" s="487" t="s">
        <v>540</v>
      </c>
      <c r="B180" s="487" t="s">
        <v>541</v>
      </c>
      <c r="C180" s="488">
        <v>171737.39</v>
      </c>
      <c r="D180" s="489">
        <v>171737.39</v>
      </c>
      <c r="E180" s="488">
        <v>0</v>
      </c>
      <c r="F180" s="489">
        <v>0</v>
      </c>
      <c r="G180" s="490">
        <f t="shared" si="3"/>
        <v>171737.39</v>
      </c>
      <c r="H180" s="488">
        <v>171737.39</v>
      </c>
    </row>
    <row r="181" spans="1:8" ht="15.75" x14ac:dyDescent="0.25">
      <c r="A181" s="487" t="s">
        <v>542</v>
      </c>
      <c r="B181" s="487" t="s">
        <v>543</v>
      </c>
      <c r="C181" s="488">
        <v>462024.23</v>
      </c>
      <c r="D181" s="489">
        <v>461854.73</v>
      </c>
      <c r="E181" s="488">
        <v>169.5</v>
      </c>
      <c r="F181" s="489">
        <v>0</v>
      </c>
      <c r="G181" s="490">
        <f t="shared" si="3"/>
        <v>461854.73</v>
      </c>
      <c r="H181" s="488">
        <v>462024.23</v>
      </c>
    </row>
    <row r="182" spans="1:8" ht="15.75" x14ac:dyDescent="0.25">
      <c r="A182" s="487" t="s">
        <v>544</v>
      </c>
      <c r="B182" s="487" t="s">
        <v>545</v>
      </c>
      <c r="C182" s="488">
        <v>2360942.59</v>
      </c>
      <c r="D182" s="489">
        <v>2360942.59</v>
      </c>
      <c r="E182" s="488">
        <v>0</v>
      </c>
      <c r="F182" s="489">
        <v>0</v>
      </c>
      <c r="G182" s="490">
        <f t="shared" si="3"/>
        <v>2360942.59</v>
      </c>
      <c r="H182" s="488">
        <v>2360942.59</v>
      </c>
    </row>
    <row r="183" spans="1:8" ht="15.75" x14ac:dyDescent="0.25">
      <c r="A183" s="487" t="s">
        <v>546</v>
      </c>
      <c r="B183" s="487" t="s">
        <v>547</v>
      </c>
      <c r="C183" s="488">
        <v>842610.79</v>
      </c>
      <c r="D183" s="489">
        <v>842610.79</v>
      </c>
      <c r="E183" s="488">
        <v>0</v>
      </c>
      <c r="F183" s="489">
        <v>0</v>
      </c>
      <c r="G183" s="490">
        <f t="shared" si="3"/>
        <v>842610.79</v>
      </c>
      <c r="H183" s="488">
        <v>842610.79</v>
      </c>
    </row>
    <row r="184" spans="1:8" ht="15.75" x14ac:dyDescent="0.25">
      <c r="A184" s="487" t="s">
        <v>548</v>
      </c>
      <c r="B184" s="487" t="s">
        <v>549</v>
      </c>
      <c r="C184" s="488">
        <v>260539.32</v>
      </c>
      <c r="D184" s="489">
        <v>260539.32</v>
      </c>
      <c r="E184" s="488">
        <v>0</v>
      </c>
      <c r="F184" s="489">
        <v>0</v>
      </c>
      <c r="G184" s="490">
        <f t="shared" si="3"/>
        <v>260539.32</v>
      </c>
      <c r="H184" s="488">
        <v>260539.32</v>
      </c>
    </row>
    <row r="185" spans="1:8" ht="15.75" x14ac:dyDescent="0.25">
      <c r="A185" s="487" t="s">
        <v>550</v>
      </c>
      <c r="B185" s="487" t="s">
        <v>551</v>
      </c>
      <c r="C185" s="488">
        <v>1560675.25</v>
      </c>
      <c r="D185" s="489">
        <v>1560675.25</v>
      </c>
      <c r="E185" s="488">
        <v>0</v>
      </c>
      <c r="F185" s="489">
        <v>0</v>
      </c>
      <c r="G185" s="490">
        <f t="shared" si="3"/>
        <v>1560675.25</v>
      </c>
      <c r="H185" s="488">
        <v>1560675.25</v>
      </c>
    </row>
    <row r="186" spans="1:8" ht="15.75" x14ac:dyDescent="0.25">
      <c r="A186" s="487" t="s">
        <v>552</v>
      </c>
      <c r="B186" s="487" t="s">
        <v>553</v>
      </c>
      <c r="C186" s="488">
        <v>23343287.989999998</v>
      </c>
      <c r="D186" s="489">
        <v>18106016.940000001</v>
      </c>
      <c r="E186" s="488">
        <v>6893.28</v>
      </c>
      <c r="F186" s="489">
        <v>5230377.7699999996</v>
      </c>
      <c r="G186" s="490">
        <f t="shared" si="3"/>
        <v>23336394.710000001</v>
      </c>
      <c r="H186" s="488">
        <v>23343287.990000002</v>
      </c>
    </row>
    <row r="187" spans="1:8" ht="15.75" x14ac:dyDescent="0.25">
      <c r="A187" s="487" t="s">
        <v>554</v>
      </c>
      <c r="B187" s="487" t="s">
        <v>555</v>
      </c>
      <c r="C187" s="488">
        <v>9796912.8399999999</v>
      </c>
      <c r="D187" s="489">
        <v>9756912.8399999999</v>
      </c>
      <c r="E187" s="488">
        <v>0</v>
      </c>
      <c r="F187" s="489">
        <v>40000</v>
      </c>
      <c r="G187" s="490">
        <f t="shared" si="3"/>
        <v>9796912.8399999999</v>
      </c>
      <c r="H187" s="488">
        <v>9796912.8399999999</v>
      </c>
    </row>
    <row r="188" spans="1:8" ht="15.75" x14ac:dyDescent="0.25">
      <c r="A188" s="487" t="s">
        <v>556</v>
      </c>
      <c r="B188" s="487" t="s">
        <v>557</v>
      </c>
      <c r="C188" s="488">
        <v>1430348.99</v>
      </c>
      <c r="D188" s="489">
        <v>1348908.5</v>
      </c>
      <c r="E188" s="488">
        <v>1758.04</v>
      </c>
      <c r="F188" s="489">
        <v>79682.45</v>
      </c>
      <c r="G188" s="490">
        <f t="shared" si="3"/>
        <v>1428590.95</v>
      </c>
      <c r="H188" s="488">
        <v>1430348.99</v>
      </c>
    </row>
    <row r="189" spans="1:8" ht="15.75" x14ac:dyDescent="0.25">
      <c r="A189" s="487" t="s">
        <v>558</v>
      </c>
      <c r="B189" s="487" t="s">
        <v>559</v>
      </c>
      <c r="C189" s="488">
        <v>33395.51</v>
      </c>
      <c r="D189" s="489">
        <v>33395.51</v>
      </c>
      <c r="E189" s="488">
        <v>0</v>
      </c>
      <c r="F189" s="489">
        <v>0</v>
      </c>
      <c r="G189" s="490">
        <f t="shared" si="3"/>
        <v>33395.51</v>
      </c>
      <c r="H189" s="488">
        <v>33395.51</v>
      </c>
    </row>
    <row r="190" spans="1:8" ht="15.75" x14ac:dyDescent="0.25">
      <c r="A190" s="487" t="s">
        <v>560</v>
      </c>
      <c r="B190" s="487" t="s">
        <v>1200</v>
      </c>
      <c r="C190" s="488">
        <v>1269739.67</v>
      </c>
      <c r="D190" s="489">
        <v>1174754.02</v>
      </c>
      <c r="E190" s="488">
        <v>27497.58</v>
      </c>
      <c r="F190" s="489">
        <v>67488.070000000007</v>
      </c>
      <c r="G190" s="490">
        <f t="shared" si="3"/>
        <v>1242242.0900000001</v>
      </c>
      <c r="H190" s="488">
        <v>1269739.67</v>
      </c>
    </row>
    <row r="191" spans="1:8" ht="15.75" x14ac:dyDescent="0.25">
      <c r="A191" s="487" t="s">
        <v>562</v>
      </c>
      <c r="B191" s="487" t="s">
        <v>563</v>
      </c>
      <c r="C191" s="488">
        <v>67825.67</v>
      </c>
      <c r="D191" s="489">
        <v>67825.67</v>
      </c>
      <c r="E191" s="488">
        <v>0</v>
      </c>
      <c r="F191" s="489">
        <v>0</v>
      </c>
      <c r="G191" s="490">
        <f t="shared" si="3"/>
        <v>67825.67</v>
      </c>
      <c r="H191" s="488">
        <v>67825.67</v>
      </c>
    </row>
    <row r="192" spans="1:8" ht="15.75" x14ac:dyDescent="0.25">
      <c r="A192" s="487" t="s">
        <v>564</v>
      </c>
      <c r="B192" s="487" t="s">
        <v>565</v>
      </c>
      <c r="C192" s="488">
        <v>107572.82</v>
      </c>
      <c r="D192" s="489">
        <v>107572.82</v>
      </c>
      <c r="E192" s="488">
        <v>0</v>
      </c>
      <c r="F192" s="489">
        <v>0</v>
      </c>
      <c r="G192" s="490">
        <f t="shared" si="3"/>
        <v>107572.82</v>
      </c>
      <c r="H192" s="488">
        <v>107572.82</v>
      </c>
    </row>
    <row r="193" spans="1:8" ht="15.75" x14ac:dyDescent="0.25">
      <c r="A193" s="487" t="s">
        <v>566</v>
      </c>
      <c r="B193" s="487" t="s">
        <v>567</v>
      </c>
      <c r="C193" s="488">
        <v>165855.29999999999</v>
      </c>
      <c r="D193" s="489">
        <v>165855.29999999999</v>
      </c>
      <c r="E193" s="488">
        <v>0</v>
      </c>
      <c r="F193" s="489">
        <v>0</v>
      </c>
      <c r="G193" s="490">
        <f t="shared" si="3"/>
        <v>165855.29999999999</v>
      </c>
      <c r="H193" s="488">
        <v>165855.29999999999</v>
      </c>
    </row>
    <row r="194" spans="1:8" ht="15.75" x14ac:dyDescent="0.25">
      <c r="A194" s="487" t="s">
        <v>568</v>
      </c>
      <c r="B194" s="487" t="s">
        <v>569</v>
      </c>
      <c r="C194" s="488">
        <v>746856.44</v>
      </c>
      <c r="D194" s="489">
        <v>746856.44</v>
      </c>
      <c r="E194" s="488">
        <v>0</v>
      </c>
      <c r="F194" s="489">
        <v>0</v>
      </c>
      <c r="G194" s="490">
        <f t="shared" si="3"/>
        <v>746856.44</v>
      </c>
      <c r="H194" s="488">
        <v>746856.44</v>
      </c>
    </row>
    <row r="195" spans="1:8" ht="15.75" x14ac:dyDescent="0.25">
      <c r="A195" s="487" t="s">
        <v>570</v>
      </c>
      <c r="B195" s="487" t="s">
        <v>571</v>
      </c>
      <c r="C195" s="488">
        <v>5549533.6399999997</v>
      </c>
      <c r="D195" s="489">
        <v>5523853.3799999999</v>
      </c>
      <c r="E195" s="488">
        <v>25680.26</v>
      </c>
      <c r="F195" s="489">
        <v>0</v>
      </c>
      <c r="G195" s="490">
        <f t="shared" si="3"/>
        <v>5523853.3799999999</v>
      </c>
      <c r="H195" s="488">
        <v>5549533.6399999997</v>
      </c>
    </row>
    <row r="196" spans="1:8" ht="15.75" x14ac:dyDescent="0.25">
      <c r="A196" s="487" t="s">
        <v>572</v>
      </c>
      <c r="B196" s="487" t="s">
        <v>573</v>
      </c>
      <c r="C196" s="488">
        <v>6212611.4100000001</v>
      </c>
      <c r="D196" s="489">
        <v>6212611.4100000001</v>
      </c>
      <c r="E196" s="488">
        <v>0</v>
      </c>
      <c r="F196" s="489">
        <v>0</v>
      </c>
      <c r="G196" s="490">
        <f t="shared" si="3"/>
        <v>6212611.4100000001</v>
      </c>
      <c r="H196" s="488">
        <v>6212611.4100000001</v>
      </c>
    </row>
    <row r="197" spans="1:8" ht="15.75" x14ac:dyDescent="0.25">
      <c r="A197" s="487" t="s">
        <v>574</v>
      </c>
      <c r="B197" s="487" t="s">
        <v>575</v>
      </c>
      <c r="C197" s="488">
        <v>24840.58</v>
      </c>
      <c r="D197" s="489">
        <v>24840.58</v>
      </c>
      <c r="E197" s="488">
        <v>0</v>
      </c>
      <c r="F197" s="489">
        <v>0</v>
      </c>
      <c r="G197" s="490">
        <f t="shared" si="3"/>
        <v>24840.58</v>
      </c>
      <c r="H197" s="488">
        <v>24840.58</v>
      </c>
    </row>
    <row r="198" spans="1:8" ht="15.75" x14ac:dyDescent="0.25">
      <c r="A198" s="487" t="s">
        <v>576</v>
      </c>
      <c r="B198" s="487" t="s">
        <v>577</v>
      </c>
      <c r="C198" s="488">
        <v>240239.7</v>
      </c>
      <c r="D198" s="489">
        <v>237739.7</v>
      </c>
      <c r="E198" s="488">
        <v>0</v>
      </c>
      <c r="F198" s="489">
        <v>2500</v>
      </c>
      <c r="G198" s="490">
        <f t="shared" ref="G198:G261" si="4">D198+F198</f>
        <v>240239.7</v>
      </c>
      <c r="H198" s="488">
        <v>240239.7</v>
      </c>
    </row>
    <row r="199" spans="1:8" ht="15.75" x14ac:dyDescent="0.25">
      <c r="A199" s="487" t="s">
        <v>578</v>
      </c>
      <c r="B199" s="487" t="s">
        <v>579</v>
      </c>
      <c r="C199" s="488">
        <v>27458966.949999999</v>
      </c>
      <c r="D199" s="489">
        <v>26164256.489999998</v>
      </c>
      <c r="E199" s="488">
        <v>183177.21</v>
      </c>
      <c r="F199" s="489">
        <v>1111533.25</v>
      </c>
      <c r="G199" s="490">
        <f t="shared" si="4"/>
        <v>27275789.739999998</v>
      </c>
      <c r="H199" s="488">
        <v>27458966.949999999</v>
      </c>
    </row>
    <row r="200" spans="1:8" ht="15.75" x14ac:dyDescent="0.25">
      <c r="A200" s="487" t="s">
        <v>580</v>
      </c>
      <c r="B200" s="487" t="s">
        <v>581</v>
      </c>
      <c r="C200" s="488">
        <v>391225.98</v>
      </c>
      <c r="D200" s="489">
        <v>391225.98</v>
      </c>
      <c r="E200" s="488">
        <v>0</v>
      </c>
      <c r="F200" s="489">
        <v>0</v>
      </c>
      <c r="G200" s="490">
        <f t="shared" si="4"/>
        <v>391225.98</v>
      </c>
      <c r="H200" s="488">
        <v>391225.98</v>
      </c>
    </row>
    <row r="201" spans="1:8" ht="15.75" x14ac:dyDescent="0.25">
      <c r="A201" s="487" t="s">
        <v>582</v>
      </c>
      <c r="B201" s="487" t="s">
        <v>583</v>
      </c>
      <c r="C201" s="488">
        <v>157980.21</v>
      </c>
      <c r="D201" s="489">
        <v>157980.21</v>
      </c>
      <c r="E201" s="488">
        <v>0</v>
      </c>
      <c r="F201" s="489">
        <v>0</v>
      </c>
      <c r="G201" s="490">
        <f t="shared" si="4"/>
        <v>157980.21</v>
      </c>
      <c r="H201" s="488">
        <v>157980.21</v>
      </c>
    </row>
    <row r="202" spans="1:8" ht="15.75" x14ac:dyDescent="0.25">
      <c r="A202" s="487" t="s">
        <v>584</v>
      </c>
      <c r="B202" s="487" t="s">
        <v>585</v>
      </c>
      <c r="C202" s="488">
        <v>449109.83</v>
      </c>
      <c r="D202" s="489">
        <v>448831.43</v>
      </c>
      <c r="E202" s="488">
        <v>278.39999999999998</v>
      </c>
      <c r="F202" s="489">
        <v>0</v>
      </c>
      <c r="G202" s="490">
        <f t="shared" si="4"/>
        <v>448831.43</v>
      </c>
      <c r="H202" s="488">
        <v>449109.83</v>
      </c>
    </row>
    <row r="203" spans="1:8" ht="15.75" x14ac:dyDescent="0.25">
      <c r="A203" s="487" t="s">
        <v>586</v>
      </c>
      <c r="B203" s="487" t="s">
        <v>587</v>
      </c>
      <c r="C203" s="488">
        <v>19522035.260000002</v>
      </c>
      <c r="D203" s="489">
        <v>19522035.260000002</v>
      </c>
      <c r="E203" s="488">
        <v>0</v>
      </c>
      <c r="F203" s="489">
        <v>0</v>
      </c>
      <c r="G203" s="490">
        <f t="shared" si="4"/>
        <v>19522035.260000002</v>
      </c>
      <c r="H203" s="488">
        <v>19522035.260000002</v>
      </c>
    </row>
    <row r="204" spans="1:8" ht="15.75" x14ac:dyDescent="0.25">
      <c r="A204" s="487" t="s">
        <v>588</v>
      </c>
      <c r="B204" s="487" t="s">
        <v>589</v>
      </c>
      <c r="C204" s="488">
        <v>1718802.05</v>
      </c>
      <c r="D204" s="489">
        <v>1718274.19</v>
      </c>
      <c r="E204" s="488">
        <v>527.86</v>
      </c>
      <c r="F204" s="489">
        <v>0</v>
      </c>
      <c r="G204" s="490">
        <f t="shared" si="4"/>
        <v>1718274.19</v>
      </c>
      <c r="H204" s="488">
        <v>1718802.05</v>
      </c>
    </row>
    <row r="205" spans="1:8" ht="15.75" x14ac:dyDescent="0.25">
      <c r="A205" s="487" t="s">
        <v>590</v>
      </c>
      <c r="B205" s="487" t="s">
        <v>591</v>
      </c>
      <c r="C205" s="488">
        <v>526170.46</v>
      </c>
      <c r="D205" s="489">
        <v>491334.15</v>
      </c>
      <c r="E205" s="488">
        <v>0</v>
      </c>
      <c r="F205" s="489">
        <v>34836.31</v>
      </c>
      <c r="G205" s="490">
        <f t="shared" si="4"/>
        <v>526170.46</v>
      </c>
      <c r="H205" s="488">
        <v>526170.46</v>
      </c>
    </row>
    <row r="206" spans="1:8" ht="15.75" x14ac:dyDescent="0.25">
      <c r="A206" s="487" t="s">
        <v>592</v>
      </c>
      <c r="B206" s="487" t="s">
        <v>593</v>
      </c>
      <c r="C206" s="488">
        <v>6918030.0999999996</v>
      </c>
      <c r="D206" s="489">
        <v>5845851.8300000001</v>
      </c>
      <c r="E206" s="488">
        <v>0</v>
      </c>
      <c r="F206" s="489">
        <v>1072178.27</v>
      </c>
      <c r="G206" s="490">
        <f t="shared" si="4"/>
        <v>6918030.0999999996</v>
      </c>
      <c r="H206" s="488">
        <v>6918030.0999999996</v>
      </c>
    </row>
    <row r="207" spans="1:8" ht="15.75" x14ac:dyDescent="0.25">
      <c r="A207" s="487" t="s">
        <v>594</v>
      </c>
      <c r="B207" s="487" t="s">
        <v>595</v>
      </c>
      <c r="C207" s="488">
        <v>2454504.83</v>
      </c>
      <c r="D207" s="489">
        <v>2400691.4</v>
      </c>
      <c r="E207" s="488">
        <v>52540.03</v>
      </c>
      <c r="F207" s="489">
        <v>1273.4000000000001</v>
      </c>
      <c r="G207" s="490">
        <f t="shared" si="4"/>
        <v>2401964.7999999998</v>
      </c>
      <c r="H207" s="488">
        <v>2454504.83</v>
      </c>
    </row>
    <row r="208" spans="1:8" ht="15.75" x14ac:dyDescent="0.25">
      <c r="A208" s="487" t="s">
        <v>596</v>
      </c>
      <c r="B208" s="487" t="s">
        <v>597</v>
      </c>
      <c r="C208" s="488">
        <v>321331.53000000003</v>
      </c>
      <c r="D208" s="489">
        <v>321331.53000000003</v>
      </c>
      <c r="E208" s="488">
        <v>0</v>
      </c>
      <c r="F208" s="489">
        <v>0</v>
      </c>
      <c r="G208" s="490">
        <f t="shared" si="4"/>
        <v>321331.53000000003</v>
      </c>
      <c r="H208" s="488">
        <v>321331.53000000003</v>
      </c>
    </row>
    <row r="209" spans="1:8" ht="15.75" x14ac:dyDescent="0.25">
      <c r="A209" s="494" t="s">
        <v>598</v>
      </c>
      <c r="B209" s="494" t="s">
        <v>599</v>
      </c>
      <c r="C209" s="488">
        <v>835250.05</v>
      </c>
      <c r="D209" s="489">
        <v>835250.05</v>
      </c>
      <c r="E209" s="488">
        <v>0</v>
      </c>
      <c r="F209" s="489">
        <v>0</v>
      </c>
      <c r="G209" s="490">
        <f t="shared" si="4"/>
        <v>835250.05</v>
      </c>
      <c r="H209" s="488">
        <v>835250.05</v>
      </c>
    </row>
    <row r="210" spans="1:8" ht="15.75" x14ac:dyDescent="0.25">
      <c r="A210" s="487" t="s">
        <v>600</v>
      </c>
      <c r="B210" s="487" t="s">
        <v>601</v>
      </c>
      <c r="C210" s="488">
        <v>3327521.51</v>
      </c>
      <c r="D210" s="489">
        <v>3325485.19</v>
      </c>
      <c r="E210" s="488">
        <v>2036.32</v>
      </c>
      <c r="F210" s="489">
        <v>0</v>
      </c>
      <c r="G210" s="490">
        <f t="shared" si="4"/>
        <v>3325485.19</v>
      </c>
      <c r="H210" s="488">
        <v>3327521.51</v>
      </c>
    </row>
    <row r="211" spans="1:8" ht="15.75" x14ac:dyDescent="0.25">
      <c r="A211" s="487" t="s">
        <v>602</v>
      </c>
      <c r="B211" s="487" t="s">
        <v>603</v>
      </c>
      <c r="C211" s="488">
        <v>3574638.4</v>
      </c>
      <c r="D211" s="489">
        <v>3524599.57</v>
      </c>
      <c r="E211" s="488">
        <v>50038.83</v>
      </c>
      <c r="F211" s="489">
        <v>0</v>
      </c>
      <c r="G211" s="490">
        <f t="shared" si="4"/>
        <v>3524599.57</v>
      </c>
      <c r="H211" s="488">
        <v>3574638.4</v>
      </c>
    </row>
    <row r="212" spans="1:8" ht="15.75" x14ac:dyDescent="0.25">
      <c r="A212" s="487" t="s">
        <v>604</v>
      </c>
      <c r="B212" s="487" t="s">
        <v>605</v>
      </c>
      <c r="C212" s="488">
        <v>39124743.689999998</v>
      </c>
      <c r="D212" s="489">
        <v>32871471.640000001</v>
      </c>
      <c r="E212" s="488">
        <v>279924.69</v>
      </c>
      <c r="F212" s="489">
        <v>5973347.3600000003</v>
      </c>
      <c r="G212" s="490">
        <f t="shared" si="4"/>
        <v>38844819</v>
      </c>
      <c r="H212" s="488">
        <v>39124743.689999998</v>
      </c>
    </row>
    <row r="213" spans="1:8" ht="15.75" x14ac:dyDescent="0.25">
      <c r="A213" s="487" t="s">
        <v>606</v>
      </c>
      <c r="B213" s="487" t="s">
        <v>607</v>
      </c>
      <c r="C213" s="488">
        <v>62587.39</v>
      </c>
      <c r="D213" s="489">
        <v>62587.39</v>
      </c>
      <c r="E213" s="488">
        <v>0</v>
      </c>
      <c r="F213" s="489">
        <v>0</v>
      </c>
      <c r="G213" s="490">
        <f t="shared" si="4"/>
        <v>62587.39</v>
      </c>
      <c r="H213" s="488">
        <v>62587.39</v>
      </c>
    </row>
    <row r="214" spans="1:8" ht="15.75" x14ac:dyDescent="0.25">
      <c r="A214" s="487" t="s">
        <v>608</v>
      </c>
      <c r="B214" s="487" t="s">
        <v>609</v>
      </c>
      <c r="C214" s="488">
        <v>917405.55</v>
      </c>
      <c r="D214" s="489">
        <v>917405.55</v>
      </c>
      <c r="E214" s="488">
        <v>0</v>
      </c>
      <c r="F214" s="489">
        <v>0</v>
      </c>
      <c r="G214" s="490">
        <f t="shared" si="4"/>
        <v>917405.55</v>
      </c>
      <c r="H214" s="488">
        <v>917405.55</v>
      </c>
    </row>
    <row r="215" spans="1:8" ht="15.75" hidden="1" x14ac:dyDescent="0.25">
      <c r="A215" s="487" t="s">
        <v>610</v>
      </c>
      <c r="B215" s="487" t="s">
        <v>1402</v>
      </c>
      <c r="C215" s="488">
        <v>38984.050000000003</v>
      </c>
      <c r="D215" s="489">
        <v>38984.050000000003</v>
      </c>
      <c r="E215" s="488">
        <v>0</v>
      </c>
      <c r="F215" s="489">
        <v>0</v>
      </c>
      <c r="G215" s="490">
        <f t="shared" si="4"/>
        <v>38984.050000000003</v>
      </c>
      <c r="H215" s="488">
        <v>38984.050000000003</v>
      </c>
    </row>
    <row r="216" spans="1:8" ht="15.75" x14ac:dyDescent="0.25">
      <c r="A216" s="487" t="s">
        <v>612</v>
      </c>
      <c r="B216" s="487" t="s">
        <v>613</v>
      </c>
      <c r="C216" s="488">
        <v>5264103.99</v>
      </c>
      <c r="D216" s="489">
        <v>5264103.99</v>
      </c>
      <c r="E216" s="488">
        <v>0</v>
      </c>
      <c r="F216" s="489">
        <v>0</v>
      </c>
      <c r="G216" s="490">
        <f t="shared" si="4"/>
        <v>5264103.99</v>
      </c>
      <c r="H216" s="488">
        <v>5264103.99</v>
      </c>
    </row>
    <row r="217" spans="1:8" ht="15.75" x14ac:dyDescent="0.25">
      <c r="A217" s="487" t="s">
        <v>437</v>
      </c>
      <c r="B217" s="487" t="s">
        <v>1418</v>
      </c>
      <c r="C217" s="488">
        <v>293938.23</v>
      </c>
      <c r="D217" s="489">
        <v>293938.23</v>
      </c>
      <c r="E217" s="488">
        <v>0</v>
      </c>
      <c r="F217" s="489">
        <v>0</v>
      </c>
      <c r="G217" s="490">
        <f t="shared" si="4"/>
        <v>293938.23</v>
      </c>
      <c r="H217" s="488">
        <v>293938.23</v>
      </c>
    </row>
    <row r="218" spans="1:8" ht="15.75" x14ac:dyDescent="0.25">
      <c r="A218" s="487" t="s">
        <v>614</v>
      </c>
      <c r="B218" s="487" t="s">
        <v>615</v>
      </c>
      <c r="C218" s="488">
        <v>4594378.17</v>
      </c>
      <c r="D218" s="489">
        <v>4284655.55</v>
      </c>
      <c r="E218" s="488">
        <v>0</v>
      </c>
      <c r="F218" s="489">
        <v>309722.62</v>
      </c>
      <c r="G218" s="490">
        <f t="shared" si="4"/>
        <v>4594378.17</v>
      </c>
      <c r="H218" s="488">
        <v>4594378.17</v>
      </c>
    </row>
    <row r="219" spans="1:8" ht="15.75" x14ac:dyDescent="0.25">
      <c r="A219" s="487" t="s">
        <v>616</v>
      </c>
      <c r="B219" s="487" t="s">
        <v>617</v>
      </c>
      <c r="C219" s="488">
        <v>1124807.1499999999</v>
      </c>
      <c r="D219" s="489">
        <v>1124546.1499999999</v>
      </c>
      <c r="E219" s="488">
        <v>261</v>
      </c>
      <c r="F219" s="489">
        <v>0</v>
      </c>
      <c r="G219" s="490">
        <f t="shared" si="4"/>
        <v>1124546.1499999999</v>
      </c>
      <c r="H219" s="488">
        <v>1124807.1499999999</v>
      </c>
    </row>
    <row r="220" spans="1:8" ht="15.75" x14ac:dyDescent="0.25">
      <c r="A220" s="494" t="s">
        <v>618</v>
      </c>
      <c r="B220" s="494" t="s">
        <v>619</v>
      </c>
      <c r="C220" s="488">
        <v>281275.31</v>
      </c>
      <c r="D220" s="489">
        <v>281275.31</v>
      </c>
      <c r="E220" s="488">
        <v>0</v>
      </c>
      <c r="F220" s="489">
        <v>0</v>
      </c>
      <c r="G220" s="490">
        <f t="shared" si="4"/>
        <v>281275.31</v>
      </c>
      <c r="H220" s="488">
        <v>281275.31</v>
      </c>
    </row>
    <row r="221" spans="1:8" ht="15.75" x14ac:dyDescent="0.25">
      <c r="A221" s="487" t="s">
        <v>621</v>
      </c>
      <c r="B221" s="487" t="s">
        <v>622</v>
      </c>
      <c r="C221" s="488">
        <v>856302.19</v>
      </c>
      <c r="D221" s="489">
        <v>856302.19</v>
      </c>
      <c r="E221" s="488">
        <v>0</v>
      </c>
      <c r="F221" s="489">
        <v>0</v>
      </c>
      <c r="G221" s="490">
        <f t="shared" si="4"/>
        <v>856302.19</v>
      </c>
      <c r="H221" s="488">
        <v>856302.19</v>
      </c>
    </row>
    <row r="222" spans="1:8" ht="15.75" x14ac:dyDescent="0.25">
      <c r="A222" s="487" t="s">
        <v>623</v>
      </c>
      <c r="B222" s="487" t="s">
        <v>624</v>
      </c>
      <c r="C222" s="488">
        <v>724421.79</v>
      </c>
      <c r="D222" s="489">
        <v>724421.79</v>
      </c>
      <c r="E222" s="488">
        <v>0</v>
      </c>
      <c r="F222" s="489">
        <v>0</v>
      </c>
      <c r="G222" s="490">
        <f t="shared" si="4"/>
        <v>724421.79</v>
      </c>
      <c r="H222" s="488">
        <v>724421.79</v>
      </c>
    </row>
    <row r="223" spans="1:8" ht="15.75" x14ac:dyDescent="0.25">
      <c r="A223" s="487" t="s">
        <v>625</v>
      </c>
      <c r="B223" s="487" t="s">
        <v>626</v>
      </c>
      <c r="C223" s="488">
        <v>40365725.990000002</v>
      </c>
      <c r="D223" s="489">
        <v>30472672.859999999</v>
      </c>
      <c r="E223" s="488">
        <v>0</v>
      </c>
      <c r="F223" s="489">
        <v>9893053.1300000008</v>
      </c>
      <c r="G223" s="490">
        <f t="shared" si="4"/>
        <v>40365725.990000002</v>
      </c>
      <c r="H223" s="488">
        <v>40365725.990000002</v>
      </c>
    </row>
    <row r="224" spans="1:8" ht="15.75" x14ac:dyDescent="0.25">
      <c r="A224" s="487" t="s">
        <v>627</v>
      </c>
      <c r="B224" s="487" t="s">
        <v>628</v>
      </c>
      <c r="C224" s="488">
        <v>425650.74</v>
      </c>
      <c r="D224" s="489">
        <v>425650.74</v>
      </c>
      <c r="E224" s="488">
        <v>0</v>
      </c>
      <c r="F224" s="489">
        <v>0</v>
      </c>
      <c r="G224" s="490">
        <f t="shared" si="4"/>
        <v>425650.74</v>
      </c>
      <c r="H224" s="488">
        <v>425650.74</v>
      </c>
    </row>
    <row r="225" spans="1:8" ht="15.75" x14ac:dyDescent="0.25">
      <c r="A225" s="487" t="s">
        <v>629</v>
      </c>
      <c r="B225" s="487" t="s">
        <v>630</v>
      </c>
      <c r="C225" s="488">
        <v>20949834.57</v>
      </c>
      <c r="D225" s="489">
        <v>18614863.41</v>
      </c>
      <c r="E225" s="488">
        <v>129243.03</v>
      </c>
      <c r="F225" s="489">
        <v>2205728.13</v>
      </c>
      <c r="G225" s="490">
        <f t="shared" si="4"/>
        <v>20820591.539999999</v>
      </c>
      <c r="H225" s="488">
        <v>20949834.57</v>
      </c>
    </row>
    <row r="226" spans="1:8" ht="15.75" x14ac:dyDescent="0.25">
      <c r="A226" s="487" t="s">
        <v>631</v>
      </c>
      <c r="B226" s="487" t="s">
        <v>632</v>
      </c>
      <c r="C226" s="488">
        <v>4459727.34</v>
      </c>
      <c r="D226" s="489">
        <v>4123235.46</v>
      </c>
      <c r="E226" s="488">
        <v>8645.59</v>
      </c>
      <c r="F226" s="489">
        <v>327846.28999999998</v>
      </c>
      <c r="G226" s="490">
        <f t="shared" si="4"/>
        <v>4451081.75</v>
      </c>
      <c r="H226" s="488">
        <v>4459727.34</v>
      </c>
    </row>
    <row r="227" spans="1:8" ht="15.75" x14ac:dyDescent="0.25">
      <c r="A227" s="487" t="s">
        <v>633</v>
      </c>
      <c r="B227" s="487" t="s">
        <v>634</v>
      </c>
      <c r="C227" s="488">
        <v>361955.72</v>
      </c>
      <c r="D227" s="489">
        <v>361955.72</v>
      </c>
      <c r="E227" s="488">
        <v>0</v>
      </c>
      <c r="F227" s="489">
        <v>0</v>
      </c>
      <c r="G227" s="490">
        <f t="shared" si="4"/>
        <v>361955.72</v>
      </c>
      <c r="H227" s="488">
        <v>361955.72</v>
      </c>
    </row>
    <row r="228" spans="1:8" ht="15.75" x14ac:dyDescent="0.25">
      <c r="A228" s="487" t="s">
        <v>635</v>
      </c>
      <c r="B228" s="487" t="s">
        <v>636</v>
      </c>
      <c r="C228" s="488">
        <v>2073027.6</v>
      </c>
      <c r="D228" s="489">
        <v>2072511.95</v>
      </c>
      <c r="E228" s="488">
        <v>515.65</v>
      </c>
      <c r="F228" s="489">
        <v>0</v>
      </c>
      <c r="G228" s="490">
        <f t="shared" si="4"/>
        <v>2072511.95</v>
      </c>
      <c r="H228" s="488">
        <v>2073027.5999999999</v>
      </c>
    </row>
    <row r="229" spans="1:8" ht="15.75" x14ac:dyDescent="0.25">
      <c r="A229" s="487" t="s">
        <v>637</v>
      </c>
      <c r="B229" s="487" t="s">
        <v>638</v>
      </c>
      <c r="C229" s="488">
        <v>4797466.8899999997</v>
      </c>
      <c r="D229" s="489">
        <v>4539421.53</v>
      </c>
      <c r="E229" s="488">
        <v>727.98</v>
      </c>
      <c r="F229" s="489">
        <v>257317.38</v>
      </c>
      <c r="G229" s="490">
        <f t="shared" si="4"/>
        <v>4796738.91</v>
      </c>
      <c r="H229" s="488">
        <v>4797466.8900000006</v>
      </c>
    </row>
    <row r="230" spans="1:8" ht="15.75" x14ac:dyDescent="0.25">
      <c r="A230" s="487" t="s">
        <v>639</v>
      </c>
      <c r="B230" s="487" t="s">
        <v>640</v>
      </c>
      <c r="C230" s="488">
        <v>4662006.3099999996</v>
      </c>
      <c r="D230" s="489">
        <v>3551108.5</v>
      </c>
      <c r="E230" s="488">
        <v>48779.41</v>
      </c>
      <c r="F230" s="489">
        <v>1062118.3999999999</v>
      </c>
      <c r="G230" s="490">
        <f t="shared" si="4"/>
        <v>4613226.9000000004</v>
      </c>
      <c r="H230" s="488">
        <v>4662006.3099999996</v>
      </c>
    </row>
    <row r="231" spans="1:8" ht="15.75" x14ac:dyDescent="0.25">
      <c r="A231" s="487" t="s">
        <v>641</v>
      </c>
      <c r="B231" s="487" t="s">
        <v>642</v>
      </c>
      <c r="C231" s="488">
        <v>61134.8</v>
      </c>
      <c r="D231" s="489">
        <v>61134.8</v>
      </c>
      <c r="E231" s="488">
        <v>0</v>
      </c>
      <c r="F231" s="489">
        <v>0</v>
      </c>
      <c r="G231" s="490">
        <f t="shared" si="4"/>
        <v>61134.8</v>
      </c>
      <c r="H231" s="488">
        <v>61134.8</v>
      </c>
    </row>
    <row r="232" spans="1:8" ht="15.75" x14ac:dyDescent="0.25">
      <c r="A232" s="487" t="s">
        <v>643</v>
      </c>
      <c r="B232" s="487" t="s">
        <v>644</v>
      </c>
      <c r="C232" s="488">
        <v>244739.59</v>
      </c>
      <c r="D232" s="489">
        <v>244739.59</v>
      </c>
      <c r="E232" s="488">
        <v>0</v>
      </c>
      <c r="F232" s="489">
        <v>0</v>
      </c>
      <c r="G232" s="490">
        <f t="shared" si="4"/>
        <v>244739.59</v>
      </c>
      <c r="H232" s="488">
        <v>244739.59</v>
      </c>
    </row>
    <row r="233" spans="1:8" ht="15.75" x14ac:dyDescent="0.25">
      <c r="A233" s="487" t="s">
        <v>645</v>
      </c>
      <c r="B233" s="487" t="s">
        <v>646</v>
      </c>
      <c r="C233" s="488">
        <v>2217358.44</v>
      </c>
      <c r="D233" s="489">
        <v>2217358.44</v>
      </c>
      <c r="E233" s="488">
        <v>0</v>
      </c>
      <c r="F233" s="489">
        <v>0</v>
      </c>
      <c r="G233" s="490">
        <f t="shared" si="4"/>
        <v>2217358.44</v>
      </c>
      <c r="H233" s="488">
        <v>2217358.44</v>
      </c>
    </row>
    <row r="234" spans="1:8" ht="15.75" x14ac:dyDescent="0.25">
      <c r="A234" s="487" t="s">
        <v>647</v>
      </c>
      <c r="B234" s="487" t="s">
        <v>648</v>
      </c>
      <c r="C234" s="488">
        <v>1954279.88</v>
      </c>
      <c r="D234" s="489">
        <v>1940040.6</v>
      </c>
      <c r="E234" s="488">
        <v>9735.8799999999992</v>
      </c>
      <c r="F234" s="489">
        <v>4503.3999999999996</v>
      </c>
      <c r="G234" s="490">
        <f t="shared" si="4"/>
        <v>1944544</v>
      </c>
      <c r="H234" s="488">
        <v>1954279.8800000001</v>
      </c>
    </row>
    <row r="235" spans="1:8" ht="15.75" x14ac:dyDescent="0.25">
      <c r="A235" s="487" t="s">
        <v>649</v>
      </c>
      <c r="B235" s="487" t="s">
        <v>650</v>
      </c>
      <c r="C235" s="488">
        <v>108169.74</v>
      </c>
      <c r="D235" s="489">
        <v>108169.74</v>
      </c>
      <c r="E235" s="488">
        <v>0</v>
      </c>
      <c r="F235" s="489">
        <v>0</v>
      </c>
      <c r="G235" s="490">
        <f t="shared" si="4"/>
        <v>108169.74</v>
      </c>
      <c r="H235" s="488">
        <v>108169.74</v>
      </c>
    </row>
    <row r="236" spans="1:8" ht="15.75" x14ac:dyDescent="0.25">
      <c r="A236" s="487" t="s">
        <v>655</v>
      </c>
      <c r="B236" s="487" t="s">
        <v>656</v>
      </c>
      <c r="C236" s="488">
        <v>173258501.30000001</v>
      </c>
      <c r="D236" s="489">
        <v>94735663.989999995</v>
      </c>
      <c r="E236" s="488">
        <v>141510.34</v>
      </c>
      <c r="F236" s="489">
        <v>78381326.969999999</v>
      </c>
      <c r="G236" s="490">
        <f t="shared" si="4"/>
        <v>173116990.95999998</v>
      </c>
      <c r="H236" s="488">
        <v>173258501.30000001</v>
      </c>
    </row>
    <row r="237" spans="1:8" ht="15.75" x14ac:dyDescent="0.25">
      <c r="A237" s="487" t="s">
        <v>657</v>
      </c>
      <c r="B237" s="487" t="s">
        <v>658</v>
      </c>
      <c r="C237" s="488">
        <v>11717005.449999999</v>
      </c>
      <c r="D237" s="489">
        <v>11442858.039999999</v>
      </c>
      <c r="E237" s="488">
        <v>74621.73</v>
      </c>
      <c r="F237" s="489">
        <v>199525.68</v>
      </c>
      <c r="G237" s="490">
        <f t="shared" si="4"/>
        <v>11642383.719999999</v>
      </c>
      <c r="H237" s="488">
        <v>11717005.449999999</v>
      </c>
    </row>
    <row r="238" spans="1:8" ht="15.75" x14ac:dyDescent="0.25">
      <c r="A238" s="487" t="s">
        <v>659</v>
      </c>
      <c r="B238" s="487" t="s">
        <v>660</v>
      </c>
      <c r="C238" s="488">
        <v>4954076.6100000003</v>
      </c>
      <c r="D238" s="489">
        <v>4954076.6100000003</v>
      </c>
      <c r="E238" s="488">
        <v>0</v>
      </c>
      <c r="F238" s="489">
        <v>0</v>
      </c>
      <c r="G238" s="490">
        <f t="shared" si="4"/>
        <v>4954076.6100000003</v>
      </c>
      <c r="H238" s="488">
        <v>4954076.6100000003</v>
      </c>
    </row>
    <row r="239" spans="1:8" ht="15.75" x14ac:dyDescent="0.25">
      <c r="A239" s="487" t="s">
        <v>661</v>
      </c>
      <c r="B239" s="487" t="s">
        <v>662</v>
      </c>
      <c r="C239" s="488">
        <v>402410.23</v>
      </c>
      <c r="D239" s="489">
        <v>402410.23</v>
      </c>
      <c r="E239" s="488">
        <v>0</v>
      </c>
      <c r="F239" s="489">
        <v>0</v>
      </c>
      <c r="G239" s="490">
        <f t="shared" si="4"/>
        <v>402410.23</v>
      </c>
      <c r="H239" s="488">
        <v>402410.23</v>
      </c>
    </row>
    <row r="240" spans="1:8" ht="15.75" x14ac:dyDescent="0.25">
      <c r="A240" s="487" t="s">
        <v>663</v>
      </c>
      <c r="B240" s="487" t="s">
        <v>664</v>
      </c>
      <c r="C240" s="488">
        <v>5109792.01</v>
      </c>
      <c r="D240" s="489">
        <v>4909692.1900000004</v>
      </c>
      <c r="E240" s="488">
        <v>150807.99</v>
      </c>
      <c r="F240" s="489">
        <v>49291.83</v>
      </c>
      <c r="G240" s="490">
        <f t="shared" si="4"/>
        <v>4958984.0200000005</v>
      </c>
      <c r="H240" s="488">
        <v>5109792.0100000007</v>
      </c>
    </row>
    <row r="241" spans="1:8" ht="15.75" x14ac:dyDescent="0.25">
      <c r="A241" s="487" t="s">
        <v>665</v>
      </c>
      <c r="B241" s="487" t="s">
        <v>1403</v>
      </c>
      <c r="C241" s="488">
        <v>2299.06</v>
      </c>
      <c r="D241" s="489">
        <v>2299.06</v>
      </c>
      <c r="E241" s="488">
        <v>0</v>
      </c>
      <c r="F241" s="489">
        <v>0</v>
      </c>
      <c r="G241" s="490">
        <f t="shared" si="4"/>
        <v>2299.06</v>
      </c>
      <c r="H241" s="488">
        <v>2299.06</v>
      </c>
    </row>
    <row r="242" spans="1:8" ht="15.75" x14ac:dyDescent="0.25">
      <c r="A242" s="487" t="s">
        <v>667</v>
      </c>
      <c r="B242" s="487" t="s">
        <v>668</v>
      </c>
      <c r="C242" s="488">
        <v>7891591.5199999996</v>
      </c>
      <c r="D242" s="489">
        <v>6781519.7000000002</v>
      </c>
      <c r="E242" s="488">
        <v>0</v>
      </c>
      <c r="F242" s="489">
        <v>1110071.82</v>
      </c>
      <c r="G242" s="490">
        <f t="shared" si="4"/>
        <v>7891591.5200000005</v>
      </c>
      <c r="H242" s="488">
        <v>7891591.5200000005</v>
      </c>
    </row>
    <row r="243" spans="1:8" ht="15.75" x14ac:dyDescent="0.25">
      <c r="A243" s="487" t="s">
        <v>669</v>
      </c>
      <c r="B243" s="487" t="s">
        <v>670</v>
      </c>
      <c r="C243" s="488">
        <v>21735231.02</v>
      </c>
      <c r="D243" s="489">
        <v>14855149.66</v>
      </c>
      <c r="E243" s="488">
        <v>14411.86</v>
      </c>
      <c r="F243" s="489">
        <v>6865669.5</v>
      </c>
      <c r="G243" s="490">
        <f t="shared" si="4"/>
        <v>21720819.16</v>
      </c>
      <c r="H243" s="488">
        <v>21735231.02</v>
      </c>
    </row>
    <row r="244" spans="1:8" ht="15.75" x14ac:dyDescent="0.25">
      <c r="A244" s="487" t="s">
        <v>671</v>
      </c>
      <c r="B244" s="487" t="s">
        <v>672</v>
      </c>
      <c r="C244" s="488">
        <v>78454.92</v>
      </c>
      <c r="D244" s="489">
        <v>78454.92</v>
      </c>
      <c r="E244" s="488">
        <v>0</v>
      </c>
      <c r="F244" s="489">
        <v>0</v>
      </c>
      <c r="G244" s="490">
        <f t="shared" si="4"/>
        <v>78454.92</v>
      </c>
      <c r="H244" s="488">
        <v>78454.92</v>
      </c>
    </row>
    <row r="245" spans="1:8" ht="15.75" x14ac:dyDescent="0.25">
      <c r="A245" s="487" t="s">
        <v>673</v>
      </c>
      <c r="B245" s="487" t="s">
        <v>674</v>
      </c>
      <c r="C245" s="488">
        <v>228084.95</v>
      </c>
      <c r="D245" s="489">
        <v>228084.95</v>
      </c>
      <c r="E245" s="488">
        <v>0</v>
      </c>
      <c r="F245" s="489">
        <v>0</v>
      </c>
      <c r="G245" s="490">
        <f t="shared" si="4"/>
        <v>228084.95</v>
      </c>
      <c r="H245" s="488">
        <v>228084.95</v>
      </c>
    </row>
    <row r="246" spans="1:8" ht="15.75" x14ac:dyDescent="0.25">
      <c r="A246" s="487" t="s">
        <v>675</v>
      </c>
      <c r="B246" s="487" t="s">
        <v>676</v>
      </c>
      <c r="C246" s="488">
        <v>18978925.949999999</v>
      </c>
      <c r="D246" s="489">
        <v>18950982.18</v>
      </c>
      <c r="E246" s="488">
        <v>27943.77</v>
      </c>
      <c r="F246" s="489">
        <v>0</v>
      </c>
      <c r="G246" s="490">
        <f t="shared" si="4"/>
        <v>18950982.18</v>
      </c>
      <c r="H246" s="488">
        <v>18978925.949999999</v>
      </c>
    </row>
    <row r="247" spans="1:8" ht="15.75" x14ac:dyDescent="0.25">
      <c r="A247" s="487" t="s">
        <v>677</v>
      </c>
      <c r="B247" s="487" t="s">
        <v>678</v>
      </c>
      <c r="C247" s="488">
        <v>12609756.449999999</v>
      </c>
      <c r="D247" s="489">
        <v>9846100.3699999992</v>
      </c>
      <c r="E247" s="488">
        <v>0</v>
      </c>
      <c r="F247" s="489">
        <v>2763656.08</v>
      </c>
      <c r="G247" s="490">
        <f t="shared" si="4"/>
        <v>12609756.449999999</v>
      </c>
      <c r="H247" s="488">
        <v>12609756.449999999</v>
      </c>
    </row>
    <row r="248" spans="1:8" ht="15.75" x14ac:dyDescent="0.25">
      <c r="A248" s="487" t="s">
        <v>679</v>
      </c>
      <c r="B248" s="487" t="s">
        <v>680</v>
      </c>
      <c r="C248" s="488">
        <v>773340.54</v>
      </c>
      <c r="D248" s="489">
        <v>773340.54</v>
      </c>
      <c r="E248" s="488">
        <v>0</v>
      </c>
      <c r="F248" s="489">
        <v>0</v>
      </c>
      <c r="G248" s="490">
        <f t="shared" si="4"/>
        <v>773340.54</v>
      </c>
      <c r="H248" s="488">
        <v>773340.54</v>
      </c>
    </row>
    <row r="249" spans="1:8" ht="15.75" x14ac:dyDescent="0.25">
      <c r="A249" s="487" t="s">
        <v>682</v>
      </c>
      <c r="B249" s="487" t="s">
        <v>683</v>
      </c>
      <c r="C249" s="488">
        <v>853360.43</v>
      </c>
      <c r="D249" s="489">
        <v>835596.03</v>
      </c>
      <c r="E249" s="488">
        <v>0</v>
      </c>
      <c r="F249" s="489">
        <v>17764.400000000001</v>
      </c>
      <c r="G249" s="490">
        <f t="shared" si="4"/>
        <v>853360.43</v>
      </c>
      <c r="H249" s="488">
        <v>853360.43</v>
      </c>
    </row>
    <row r="250" spans="1:8" ht="15.75" x14ac:dyDescent="0.25">
      <c r="A250" s="487" t="s">
        <v>684</v>
      </c>
      <c r="B250" s="487" t="s">
        <v>685</v>
      </c>
      <c r="C250" s="488">
        <v>22286001.98</v>
      </c>
      <c r="D250" s="489">
        <v>18035184.629999999</v>
      </c>
      <c r="E250" s="488">
        <v>0</v>
      </c>
      <c r="F250" s="489">
        <v>4250817.3499999996</v>
      </c>
      <c r="G250" s="490">
        <f t="shared" si="4"/>
        <v>22286001.979999997</v>
      </c>
      <c r="H250" s="488">
        <v>22286001.979999997</v>
      </c>
    </row>
    <row r="251" spans="1:8" ht="15.75" x14ac:dyDescent="0.25">
      <c r="A251" s="487" t="s">
        <v>686</v>
      </c>
      <c r="B251" s="487" t="s">
        <v>687</v>
      </c>
      <c r="C251" s="488">
        <v>2403087.79</v>
      </c>
      <c r="D251" s="489">
        <v>2403087.79</v>
      </c>
      <c r="E251" s="488">
        <v>0</v>
      </c>
      <c r="F251" s="489">
        <v>0</v>
      </c>
      <c r="G251" s="490">
        <f t="shared" si="4"/>
        <v>2403087.79</v>
      </c>
      <c r="H251" s="488">
        <v>2403087.79</v>
      </c>
    </row>
    <row r="252" spans="1:8" ht="15.75" x14ac:dyDescent="0.25">
      <c r="A252" s="487" t="s">
        <v>688</v>
      </c>
      <c r="B252" s="487" t="s">
        <v>689</v>
      </c>
      <c r="C252" s="488">
        <v>247390</v>
      </c>
      <c r="D252" s="489">
        <v>247390</v>
      </c>
      <c r="E252" s="488">
        <v>0</v>
      </c>
      <c r="F252" s="489">
        <v>0</v>
      </c>
      <c r="G252" s="490">
        <f t="shared" si="4"/>
        <v>247390</v>
      </c>
      <c r="H252" s="488">
        <v>247390</v>
      </c>
    </row>
    <row r="253" spans="1:8" ht="15.75" x14ac:dyDescent="0.25">
      <c r="A253" s="487" t="s">
        <v>690</v>
      </c>
      <c r="B253" s="487" t="s">
        <v>691</v>
      </c>
      <c r="C253" s="488">
        <v>58288470.920000002</v>
      </c>
      <c r="D253" s="489">
        <v>48122097.590000004</v>
      </c>
      <c r="E253" s="488">
        <v>1215178.48</v>
      </c>
      <c r="F253" s="489">
        <v>8951194.8499999996</v>
      </c>
      <c r="G253" s="490">
        <f t="shared" si="4"/>
        <v>57073292.440000005</v>
      </c>
      <c r="H253" s="488">
        <v>58288470.920000002</v>
      </c>
    </row>
    <row r="254" spans="1:8" ht="15.75" x14ac:dyDescent="0.25">
      <c r="A254" s="494" t="s">
        <v>692</v>
      </c>
      <c r="B254" s="494" t="s">
        <v>693</v>
      </c>
      <c r="C254" s="488">
        <v>551642.74</v>
      </c>
      <c r="D254" s="489">
        <v>551642.74</v>
      </c>
      <c r="E254" s="488">
        <v>0</v>
      </c>
      <c r="F254" s="489">
        <v>0</v>
      </c>
      <c r="G254" s="490">
        <f t="shared" si="4"/>
        <v>551642.74</v>
      </c>
      <c r="H254" s="488">
        <v>551642.74</v>
      </c>
    </row>
    <row r="255" spans="1:8" ht="15.75" x14ac:dyDescent="0.25">
      <c r="A255" s="487" t="s">
        <v>694</v>
      </c>
      <c r="B255" s="487" t="s">
        <v>695</v>
      </c>
      <c r="C255" s="488">
        <v>135764.09</v>
      </c>
      <c r="D255" s="489">
        <v>135764.09</v>
      </c>
      <c r="E255" s="488">
        <v>0</v>
      </c>
      <c r="F255" s="489">
        <v>0</v>
      </c>
      <c r="G255" s="490">
        <f t="shared" si="4"/>
        <v>135764.09</v>
      </c>
      <c r="H255" s="488">
        <v>135764.09</v>
      </c>
    </row>
    <row r="256" spans="1:8" ht="15.75" x14ac:dyDescent="0.25">
      <c r="A256" s="487" t="s">
        <v>696</v>
      </c>
      <c r="B256" s="487" t="s">
        <v>1204</v>
      </c>
      <c r="C256" s="488">
        <v>163928.12</v>
      </c>
      <c r="D256" s="489">
        <v>163928.12</v>
      </c>
      <c r="E256" s="488">
        <v>0</v>
      </c>
      <c r="F256" s="489">
        <v>0</v>
      </c>
      <c r="G256" s="490">
        <f t="shared" si="4"/>
        <v>163928.12</v>
      </c>
      <c r="H256" s="488">
        <v>163928.12</v>
      </c>
    </row>
    <row r="257" spans="1:8" ht="15.75" x14ac:dyDescent="0.25">
      <c r="A257" s="487" t="s">
        <v>698</v>
      </c>
      <c r="B257" s="487" t="s">
        <v>1405</v>
      </c>
      <c r="C257" s="488">
        <v>11227348.35</v>
      </c>
      <c r="D257" s="489">
        <v>11227348.35</v>
      </c>
      <c r="E257" s="488">
        <v>0</v>
      </c>
      <c r="F257" s="489">
        <v>0</v>
      </c>
      <c r="G257" s="490">
        <f t="shared" si="4"/>
        <v>11227348.35</v>
      </c>
      <c r="H257" s="488">
        <v>11227348.35</v>
      </c>
    </row>
    <row r="258" spans="1:8" ht="15.75" x14ac:dyDescent="0.25">
      <c r="A258" s="487" t="s">
        <v>700</v>
      </c>
      <c r="B258" s="487" t="s">
        <v>701</v>
      </c>
      <c r="C258" s="488">
        <v>0</v>
      </c>
      <c r="D258" s="489">
        <v>0</v>
      </c>
      <c r="E258" s="488">
        <v>1</v>
      </c>
      <c r="F258" s="489">
        <v>0</v>
      </c>
      <c r="G258" s="490">
        <f t="shared" si="4"/>
        <v>0</v>
      </c>
      <c r="H258" s="488">
        <v>0</v>
      </c>
    </row>
    <row r="259" spans="1:8" ht="15.75" x14ac:dyDescent="0.25">
      <c r="A259" s="487" t="s">
        <v>702</v>
      </c>
      <c r="B259" s="487" t="s">
        <v>703</v>
      </c>
      <c r="C259" s="488">
        <v>39613.370000000003</v>
      </c>
      <c r="D259" s="489">
        <v>39613.370000000003</v>
      </c>
      <c r="E259" s="488">
        <v>0</v>
      </c>
      <c r="F259" s="489">
        <v>0</v>
      </c>
      <c r="G259" s="490">
        <f t="shared" si="4"/>
        <v>39613.370000000003</v>
      </c>
      <c r="H259" s="488">
        <v>39613.370000000003</v>
      </c>
    </row>
    <row r="260" spans="1:8" ht="15.75" x14ac:dyDescent="0.25">
      <c r="A260" s="487" t="s">
        <v>704</v>
      </c>
      <c r="B260" s="487" t="s">
        <v>705</v>
      </c>
      <c r="C260" s="488">
        <v>0</v>
      </c>
      <c r="D260" s="489">
        <v>0</v>
      </c>
      <c r="E260" s="488">
        <v>1</v>
      </c>
      <c r="F260" s="489">
        <v>0</v>
      </c>
      <c r="G260" s="490">
        <f t="shared" si="4"/>
        <v>0</v>
      </c>
      <c r="H260" s="488">
        <v>0</v>
      </c>
    </row>
    <row r="261" spans="1:8" ht="15.75" x14ac:dyDescent="0.25">
      <c r="A261" s="487" t="s">
        <v>706</v>
      </c>
      <c r="B261" s="487" t="s">
        <v>707</v>
      </c>
      <c r="C261" s="488">
        <v>5170377.45</v>
      </c>
      <c r="D261" s="489">
        <v>4694247.47</v>
      </c>
      <c r="E261" s="488">
        <v>157.55000000000001</v>
      </c>
      <c r="F261" s="489">
        <v>475972.43</v>
      </c>
      <c r="G261" s="490">
        <f t="shared" si="4"/>
        <v>5170219.8999999994</v>
      </c>
      <c r="H261" s="488">
        <v>5170377.4499999993</v>
      </c>
    </row>
    <row r="262" spans="1:8" ht="15.75" x14ac:dyDescent="0.25">
      <c r="A262" s="487" t="s">
        <v>708</v>
      </c>
      <c r="B262" s="487" t="s">
        <v>709</v>
      </c>
      <c r="C262" s="488">
        <v>52175.06</v>
      </c>
      <c r="D262" s="489">
        <v>52175.06</v>
      </c>
      <c r="E262" s="488">
        <v>0</v>
      </c>
      <c r="F262" s="489">
        <v>0</v>
      </c>
      <c r="G262" s="490">
        <f t="shared" ref="G262:G319" si="5">D262+F262</f>
        <v>52175.06</v>
      </c>
      <c r="H262" s="488">
        <v>52175.06</v>
      </c>
    </row>
    <row r="263" spans="1:8" ht="15.75" x14ac:dyDescent="0.25">
      <c r="A263" s="487" t="s">
        <v>710</v>
      </c>
      <c r="B263" s="487" t="s">
        <v>711</v>
      </c>
      <c r="C263" s="488">
        <v>1401999.4</v>
      </c>
      <c r="D263" s="489">
        <v>1401999.4</v>
      </c>
      <c r="E263" s="488">
        <v>0</v>
      </c>
      <c r="F263" s="489">
        <v>0</v>
      </c>
      <c r="G263" s="490">
        <f t="shared" si="5"/>
        <v>1401999.4</v>
      </c>
      <c r="H263" s="488">
        <v>1401999.4</v>
      </c>
    </row>
    <row r="264" spans="1:8" ht="15.75" x14ac:dyDescent="0.25">
      <c r="A264" s="487" t="s">
        <v>712</v>
      </c>
      <c r="B264" s="487" t="s">
        <v>713</v>
      </c>
      <c r="C264" s="488">
        <v>4348867.32</v>
      </c>
      <c r="D264" s="489">
        <v>4347305.05</v>
      </c>
      <c r="E264" s="488">
        <v>0</v>
      </c>
      <c r="F264" s="489">
        <v>1562.27</v>
      </c>
      <c r="G264" s="490">
        <f t="shared" si="5"/>
        <v>4348867.3199999994</v>
      </c>
      <c r="H264" s="488">
        <v>4348867.3199999994</v>
      </c>
    </row>
    <row r="265" spans="1:8" ht="15.75" x14ac:dyDescent="0.25">
      <c r="A265" s="487" t="s">
        <v>720</v>
      </c>
      <c r="B265" s="487" t="s">
        <v>721</v>
      </c>
      <c r="C265" s="488">
        <v>70143.759999999995</v>
      </c>
      <c r="D265" s="489">
        <v>70143.759999999995</v>
      </c>
      <c r="E265" s="488">
        <v>0</v>
      </c>
      <c r="F265" s="489">
        <v>0</v>
      </c>
      <c r="G265" s="490">
        <f t="shared" si="5"/>
        <v>70143.759999999995</v>
      </c>
      <c r="H265" s="488">
        <v>70143.759999999995</v>
      </c>
    </row>
    <row r="266" spans="1:8" ht="15.75" x14ac:dyDescent="0.25">
      <c r="A266" s="494" t="s">
        <v>716</v>
      </c>
      <c r="B266" s="494" t="s">
        <v>1424</v>
      </c>
      <c r="C266" s="488">
        <v>364178.59</v>
      </c>
      <c r="D266" s="489">
        <v>364178.59</v>
      </c>
      <c r="E266" s="488">
        <v>0</v>
      </c>
      <c r="F266" s="489">
        <v>0</v>
      </c>
      <c r="G266" s="490">
        <f t="shared" si="5"/>
        <v>364178.59</v>
      </c>
      <c r="H266" s="488">
        <v>364178.59</v>
      </c>
    </row>
    <row r="267" spans="1:8" ht="15.75" x14ac:dyDescent="0.25">
      <c r="A267" s="494" t="s">
        <v>718</v>
      </c>
      <c r="B267" s="494" t="s">
        <v>1419</v>
      </c>
      <c r="C267" s="488">
        <v>565374.4</v>
      </c>
      <c r="D267" s="489">
        <v>565374.4</v>
      </c>
      <c r="E267" s="488">
        <v>0</v>
      </c>
      <c r="F267" s="489">
        <v>0</v>
      </c>
      <c r="G267" s="490">
        <f t="shared" si="5"/>
        <v>565374.4</v>
      </c>
      <c r="H267" s="488">
        <v>565374.4</v>
      </c>
    </row>
    <row r="268" spans="1:8" ht="15.75" x14ac:dyDescent="0.25">
      <c r="A268" s="493" t="s">
        <v>714</v>
      </c>
      <c r="B268" s="494" t="s">
        <v>1420</v>
      </c>
      <c r="C268" s="488">
        <v>837294.65</v>
      </c>
      <c r="D268" s="489">
        <v>837294.65</v>
      </c>
      <c r="E268" s="488">
        <v>0</v>
      </c>
      <c r="F268" s="489">
        <v>0</v>
      </c>
      <c r="G268" s="490">
        <f t="shared" si="5"/>
        <v>837294.65</v>
      </c>
      <c r="H268" s="488">
        <v>837294.65</v>
      </c>
    </row>
    <row r="269" spans="1:8" ht="15.75" x14ac:dyDescent="0.25">
      <c r="A269" s="487" t="s">
        <v>722</v>
      </c>
      <c r="B269" s="487" t="s">
        <v>723</v>
      </c>
      <c r="C269" s="488">
        <v>17460441.780000001</v>
      </c>
      <c r="D269" s="489">
        <v>14594317.039999999</v>
      </c>
      <c r="E269" s="488">
        <v>27875.08</v>
      </c>
      <c r="F269" s="489">
        <v>2838249.66</v>
      </c>
      <c r="G269" s="490">
        <f t="shared" si="5"/>
        <v>17432566.699999999</v>
      </c>
      <c r="H269" s="488">
        <v>17460441.780000001</v>
      </c>
    </row>
    <row r="270" spans="1:8" ht="15.75" x14ac:dyDescent="0.25">
      <c r="A270" s="487" t="s">
        <v>724</v>
      </c>
      <c r="B270" s="487" t="s">
        <v>725</v>
      </c>
      <c r="C270" s="488">
        <v>10026366.710000001</v>
      </c>
      <c r="D270" s="489">
        <v>10026366.710000001</v>
      </c>
      <c r="E270" s="488">
        <v>0</v>
      </c>
      <c r="F270" s="489">
        <v>0</v>
      </c>
      <c r="G270" s="490">
        <f t="shared" si="5"/>
        <v>10026366.710000001</v>
      </c>
      <c r="H270" s="488">
        <v>10026366.710000001</v>
      </c>
    </row>
    <row r="271" spans="1:8" ht="15.75" x14ac:dyDescent="0.25">
      <c r="A271" s="495" t="s">
        <v>726</v>
      </c>
      <c r="B271" s="496" t="s">
        <v>1409</v>
      </c>
      <c r="C271" s="488">
        <v>131233.5</v>
      </c>
      <c r="D271" s="489">
        <v>131233.5</v>
      </c>
      <c r="E271" s="488">
        <v>0</v>
      </c>
      <c r="F271" s="489">
        <v>0</v>
      </c>
      <c r="G271" s="490">
        <f t="shared" si="5"/>
        <v>131233.5</v>
      </c>
      <c r="H271" s="488">
        <v>131233.5</v>
      </c>
    </row>
    <row r="272" spans="1:8" ht="15.75" x14ac:dyDescent="0.25">
      <c r="A272" s="487" t="s">
        <v>728</v>
      </c>
      <c r="B272" s="487" t="s">
        <v>729</v>
      </c>
      <c r="C272" s="488">
        <v>53108843.479999997</v>
      </c>
      <c r="D272" s="489">
        <v>48457632.850000001</v>
      </c>
      <c r="E272" s="488">
        <v>171418.49</v>
      </c>
      <c r="F272" s="489">
        <v>4479792.1399999997</v>
      </c>
      <c r="G272" s="490">
        <f t="shared" si="5"/>
        <v>52937424.990000002</v>
      </c>
      <c r="H272" s="488">
        <v>53108843.480000004</v>
      </c>
    </row>
    <row r="273" spans="1:8" ht="15.75" x14ac:dyDescent="0.25">
      <c r="A273" s="487" t="s">
        <v>730</v>
      </c>
      <c r="B273" s="487" t="s">
        <v>731</v>
      </c>
      <c r="C273" s="488">
        <v>355998.75</v>
      </c>
      <c r="D273" s="489">
        <v>247338.69</v>
      </c>
      <c r="E273" s="488">
        <v>108660.06</v>
      </c>
      <c r="F273" s="489">
        <v>0</v>
      </c>
      <c r="G273" s="490">
        <f t="shared" si="5"/>
        <v>247338.69</v>
      </c>
      <c r="H273" s="488">
        <v>355998.75</v>
      </c>
    </row>
    <row r="274" spans="1:8" ht="15.75" x14ac:dyDescent="0.25">
      <c r="A274" s="487" t="s">
        <v>732</v>
      </c>
      <c r="B274" s="487" t="s">
        <v>733</v>
      </c>
      <c r="C274" s="488">
        <v>18312958.989999998</v>
      </c>
      <c r="D274" s="489">
        <v>14786511.42</v>
      </c>
      <c r="E274" s="488">
        <v>3127.98</v>
      </c>
      <c r="F274" s="489">
        <v>3523319.59</v>
      </c>
      <c r="G274" s="490">
        <f t="shared" si="5"/>
        <v>18309831.009999998</v>
      </c>
      <c r="H274" s="488">
        <v>18312958.989999998</v>
      </c>
    </row>
    <row r="275" spans="1:8" ht="15.75" x14ac:dyDescent="0.25">
      <c r="A275" s="487" t="s">
        <v>734</v>
      </c>
      <c r="B275" s="487" t="s">
        <v>735</v>
      </c>
      <c r="C275" s="488">
        <v>459231.91</v>
      </c>
      <c r="D275" s="489">
        <v>453041.53</v>
      </c>
      <c r="E275" s="488">
        <v>6190.38</v>
      </c>
      <c r="F275" s="489">
        <v>0</v>
      </c>
      <c r="G275" s="490">
        <f t="shared" si="5"/>
        <v>453041.53</v>
      </c>
      <c r="H275" s="488">
        <v>459231.91000000003</v>
      </c>
    </row>
    <row r="276" spans="1:8" ht="15.75" x14ac:dyDescent="0.25">
      <c r="A276" s="487" t="s">
        <v>736</v>
      </c>
      <c r="B276" s="487" t="s">
        <v>737</v>
      </c>
      <c r="C276" s="488">
        <v>2126961.88</v>
      </c>
      <c r="D276" s="489">
        <v>2108953.7400000002</v>
      </c>
      <c r="E276" s="488">
        <v>18008.14</v>
      </c>
      <c r="F276" s="489">
        <v>0</v>
      </c>
      <c r="G276" s="490">
        <f t="shared" si="5"/>
        <v>2108953.7400000002</v>
      </c>
      <c r="H276" s="488">
        <v>2126961.8800000004</v>
      </c>
    </row>
    <row r="277" spans="1:8" ht="15.75" x14ac:dyDescent="0.25">
      <c r="A277" s="487" t="s">
        <v>738</v>
      </c>
      <c r="B277" s="487" t="s">
        <v>739</v>
      </c>
      <c r="C277" s="488">
        <v>395555.41</v>
      </c>
      <c r="D277" s="489">
        <v>395555.41</v>
      </c>
      <c r="E277" s="488">
        <v>0</v>
      </c>
      <c r="F277" s="489">
        <v>0</v>
      </c>
      <c r="G277" s="490">
        <f t="shared" si="5"/>
        <v>395555.41</v>
      </c>
      <c r="H277" s="488">
        <v>395555.41</v>
      </c>
    </row>
    <row r="278" spans="1:8" ht="15.75" x14ac:dyDescent="0.25">
      <c r="A278" s="487" t="s">
        <v>740</v>
      </c>
      <c r="B278" s="487" t="s">
        <v>741</v>
      </c>
      <c r="C278" s="488">
        <v>1769887.03</v>
      </c>
      <c r="D278" s="489">
        <v>1715455.17</v>
      </c>
      <c r="E278" s="488">
        <v>895.49</v>
      </c>
      <c r="F278" s="489">
        <v>53536.37</v>
      </c>
      <c r="G278" s="490">
        <f t="shared" si="5"/>
        <v>1768991.54</v>
      </c>
      <c r="H278" s="488">
        <v>1769887.03</v>
      </c>
    </row>
    <row r="279" spans="1:8" ht="15.75" x14ac:dyDescent="0.25">
      <c r="A279" s="487" t="s">
        <v>742</v>
      </c>
      <c r="B279" s="487" t="s">
        <v>743</v>
      </c>
      <c r="C279" s="488">
        <v>1356198.71</v>
      </c>
      <c r="D279" s="489">
        <v>1351785.53</v>
      </c>
      <c r="E279" s="488">
        <v>4413.18</v>
      </c>
      <c r="F279" s="489">
        <v>0</v>
      </c>
      <c r="G279" s="490">
        <f t="shared" si="5"/>
        <v>1351785.53</v>
      </c>
      <c r="H279" s="488">
        <v>1356198.71</v>
      </c>
    </row>
    <row r="280" spans="1:8" ht="15.75" x14ac:dyDescent="0.25">
      <c r="A280" s="487" t="s">
        <v>744</v>
      </c>
      <c r="B280" s="487" t="s">
        <v>745</v>
      </c>
      <c r="C280" s="488">
        <v>4868571.6900000004</v>
      </c>
      <c r="D280" s="489">
        <v>4868571.6900000004</v>
      </c>
      <c r="E280" s="488">
        <v>0</v>
      </c>
      <c r="F280" s="489">
        <v>0</v>
      </c>
      <c r="G280" s="490">
        <f t="shared" si="5"/>
        <v>4868571.6900000004</v>
      </c>
      <c r="H280" s="488">
        <v>4868571.6900000004</v>
      </c>
    </row>
    <row r="281" spans="1:8" ht="15.75" x14ac:dyDescent="0.25">
      <c r="A281" s="487" t="s">
        <v>746</v>
      </c>
      <c r="B281" s="487" t="s">
        <v>747</v>
      </c>
      <c r="C281" s="488">
        <v>248271.13</v>
      </c>
      <c r="D281" s="489">
        <v>248271.13</v>
      </c>
      <c r="E281" s="488">
        <v>0</v>
      </c>
      <c r="F281" s="489">
        <v>0</v>
      </c>
      <c r="G281" s="490">
        <f t="shared" si="5"/>
        <v>248271.13</v>
      </c>
      <c r="H281" s="488">
        <v>248271.13</v>
      </c>
    </row>
    <row r="282" spans="1:8" ht="15.75" x14ac:dyDescent="0.25">
      <c r="A282" s="487" t="s">
        <v>748</v>
      </c>
      <c r="B282" s="487" t="s">
        <v>749</v>
      </c>
      <c r="C282" s="488">
        <v>1086222.47</v>
      </c>
      <c r="D282" s="489">
        <v>1086222.47</v>
      </c>
      <c r="E282" s="488">
        <v>0</v>
      </c>
      <c r="F282" s="489">
        <v>0</v>
      </c>
      <c r="G282" s="490">
        <f t="shared" si="5"/>
        <v>1086222.47</v>
      </c>
      <c r="H282" s="488">
        <v>1086222.47</v>
      </c>
    </row>
    <row r="283" spans="1:8" ht="15.75" x14ac:dyDescent="0.25">
      <c r="A283" s="487" t="s">
        <v>750</v>
      </c>
      <c r="B283" s="487" t="s">
        <v>751</v>
      </c>
      <c r="C283" s="488">
        <v>149228.26</v>
      </c>
      <c r="D283" s="489">
        <v>149228.26</v>
      </c>
      <c r="E283" s="488">
        <v>0</v>
      </c>
      <c r="F283" s="489">
        <v>0</v>
      </c>
      <c r="G283" s="490">
        <f t="shared" si="5"/>
        <v>149228.26</v>
      </c>
      <c r="H283" s="488">
        <v>149228.26</v>
      </c>
    </row>
    <row r="284" spans="1:8" ht="15.75" x14ac:dyDescent="0.25">
      <c r="A284" s="487" t="s">
        <v>752</v>
      </c>
      <c r="B284" s="487" t="s">
        <v>753</v>
      </c>
      <c r="C284" s="488">
        <v>5750530.4000000004</v>
      </c>
      <c r="D284" s="489">
        <v>4180303.04</v>
      </c>
      <c r="E284" s="488">
        <v>115935.35</v>
      </c>
      <c r="F284" s="489">
        <v>1454292.01</v>
      </c>
      <c r="G284" s="490">
        <f t="shared" si="5"/>
        <v>5634595.0499999998</v>
      </c>
      <c r="H284" s="488">
        <v>5750530.4000000004</v>
      </c>
    </row>
    <row r="285" spans="1:8" ht="15.75" x14ac:dyDescent="0.25">
      <c r="A285" s="487" t="s">
        <v>754</v>
      </c>
      <c r="B285" s="487" t="s">
        <v>755</v>
      </c>
      <c r="C285" s="488">
        <v>10915515.6</v>
      </c>
      <c r="D285" s="489">
        <v>8621375.4600000009</v>
      </c>
      <c r="E285" s="488">
        <v>0</v>
      </c>
      <c r="F285" s="489">
        <v>2294140.14</v>
      </c>
      <c r="G285" s="490">
        <f t="shared" si="5"/>
        <v>10915515.600000001</v>
      </c>
      <c r="H285" s="488">
        <v>10915515.600000001</v>
      </c>
    </row>
    <row r="286" spans="1:8" ht="15.75" x14ac:dyDescent="0.25">
      <c r="A286" s="487" t="s">
        <v>756</v>
      </c>
      <c r="B286" s="487" t="s">
        <v>757</v>
      </c>
      <c r="C286" s="488">
        <v>623891.54</v>
      </c>
      <c r="D286" s="489">
        <v>623891.54</v>
      </c>
      <c r="E286" s="488">
        <v>0</v>
      </c>
      <c r="F286" s="489">
        <v>0</v>
      </c>
      <c r="G286" s="490">
        <f t="shared" si="5"/>
        <v>623891.54</v>
      </c>
      <c r="H286" s="488">
        <v>623891.54</v>
      </c>
    </row>
    <row r="287" spans="1:8" ht="15.75" x14ac:dyDescent="0.25">
      <c r="A287" s="487" t="s">
        <v>758</v>
      </c>
      <c r="B287" s="487" t="s">
        <v>759</v>
      </c>
      <c r="C287" s="488">
        <v>9897756.7899999991</v>
      </c>
      <c r="D287" s="489">
        <v>9804721.4199999999</v>
      </c>
      <c r="E287" s="488">
        <v>92437.86</v>
      </c>
      <c r="F287" s="489">
        <v>597.51</v>
      </c>
      <c r="G287" s="490">
        <f t="shared" si="5"/>
        <v>9805318.9299999997</v>
      </c>
      <c r="H287" s="488">
        <v>9897756.7899999991</v>
      </c>
    </row>
    <row r="288" spans="1:8" ht="15.75" x14ac:dyDescent="0.25">
      <c r="A288" s="487" t="s">
        <v>760</v>
      </c>
      <c r="B288" s="487" t="s">
        <v>761</v>
      </c>
      <c r="C288" s="488">
        <v>971683.32</v>
      </c>
      <c r="D288" s="489">
        <v>971683.32</v>
      </c>
      <c r="E288" s="488">
        <v>0</v>
      </c>
      <c r="F288" s="489">
        <v>0</v>
      </c>
      <c r="G288" s="490">
        <f t="shared" si="5"/>
        <v>971683.32</v>
      </c>
      <c r="H288" s="488">
        <v>971683.32</v>
      </c>
    </row>
    <row r="289" spans="1:8" ht="15.75" x14ac:dyDescent="0.25">
      <c r="A289" s="487" t="s">
        <v>762</v>
      </c>
      <c r="B289" s="487" t="s">
        <v>763</v>
      </c>
      <c r="C289" s="488">
        <v>40817189.25</v>
      </c>
      <c r="D289" s="489">
        <v>35920356.420000002</v>
      </c>
      <c r="E289" s="488">
        <v>539332.51</v>
      </c>
      <c r="F289" s="489">
        <v>4357500.32</v>
      </c>
      <c r="G289" s="490">
        <f t="shared" si="5"/>
        <v>40277856.740000002</v>
      </c>
      <c r="H289" s="488">
        <v>40817189.25</v>
      </c>
    </row>
    <row r="290" spans="1:8" ht="15.75" x14ac:dyDescent="0.25">
      <c r="A290" s="487" t="s">
        <v>764</v>
      </c>
      <c r="B290" s="487" t="s">
        <v>765</v>
      </c>
      <c r="C290" s="488">
        <v>2725376.54</v>
      </c>
      <c r="D290" s="489">
        <v>2589566.0699999998</v>
      </c>
      <c r="E290" s="488">
        <v>14874</v>
      </c>
      <c r="F290" s="489">
        <v>120936.47</v>
      </c>
      <c r="G290" s="490">
        <f t="shared" si="5"/>
        <v>2710502.54</v>
      </c>
      <c r="H290" s="488">
        <v>2725376.54</v>
      </c>
    </row>
    <row r="291" spans="1:8" ht="15.75" hidden="1" x14ac:dyDescent="0.25">
      <c r="A291" s="494" t="s">
        <v>1334</v>
      </c>
      <c r="B291" s="494" t="s">
        <v>1425</v>
      </c>
      <c r="C291" s="488">
        <v>0</v>
      </c>
      <c r="D291" s="489">
        <v>0</v>
      </c>
      <c r="E291" s="488">
        <v>1</v>
      </c>
      <c r="F291" s="489">
        <v>0</v>
      </c>
      <c r="G291" s="490">
        <f t="shared" si="5"/>
        <v>0</v>
      </c>
      <c r="H291" s="488">
        <v>0</v>
      </c>
    </row>
    <row r="292" spans="1:8" ht="15.75" x14ac:dyDescent="0.25">
      <c r="A292" s="487" t="s">
        <v>766</v>
      </c>
      <c r="B292" s="487" t="s">
        <v>767</v>
      </c>
      <c r="C292" s="488">
        <v>830324.99</v>
      </c>
      <c r="D292" s="489">
        <v>830324.99</v>
      </c>
      <c r="E292" s="488">
        <v>0</v>
      </c>
      <c r="F292" s="489">
        <v>0</v>
      </c>
      <c r="G292" s="490">
        <f t="shared" si="5"/>
        <v>830324.99</v>
      </c>
      <c r="H292" s="488">
        <v>830324.99</v>
      </c>
    </row>
    <row r="293" spans="1:8" ht="15.75" x14ac:dyDescent="0.25">
      <c r="A293" s="487" t="s">
        <v>768</v>
      </c>
      <c r="B293" s="487" t="s">
        <v>769</v>
      </c>
      <c r="C293" s="488">
        <v>3114699.25</v>
      </c>
      <c r="D293" s="489">
        <v>3114699.25</v>
      </c>
      <c r="E293" s="488">
        <v>0</v>
      </c>
      <c r="F293" s="489">
        <v>0</v>
      </c>
      <c r="G293" s="490">
        <f t="shared" si="5"/>
        <v>3114699.25</v>
      </c>
      <c r="H293" s="488">
        <v>3114699.25</v>
      </c>
    </row>
    <row r="294" spans="1:8" ht="15.75" x14ac:dyDescent="0.25">
      <c r="A294" s="487" t="s">
        <v>770</v>
      </c>
      <c r="B294" s="487" t="s">
        <v>771</v>
      </c>
      <c r="C294" s="488">
        <v>210788.07</v>
      </c>
      <c r="D294" s="489">
        <v>210788.07</v>
      </c>
      <c r="E294" s="488">
        <v>0</v>
      </c>
      <c r="F294" s="489">
        <v>0</v>
      </c>
      <c r="G294" s="490">
        <f t="shared" si="5"/>
        <v>210788.07</v>
      </c>
      <c r="H294" s="488">
        <v>210788.07</v>
      </c>
    </row>
    <row r="295" spans="1:8" ht="15.75" x14ac:dyDescent="0.25">
      <c r="A295" s="487" t="s">
        <v>772</v>
      </c>
      <c r="B295" s="487" t="s">
        <v>773</v>
      </c>
      <c r="C295" s="488">
        <v>8410279.3499999996</v>
      </c>
      <c r="D295" s="489">
        <v>8410279.3499999996</v>
      </c>
      <c r="E295" s="488">
        <v>0</v>
      </c>
      <c r="F295" s="489">
        <v>0</v>
      </c>
      <c r="G295" s="490">
        <f t="shared" si="5"/>
        <v>8410279.3499999996</v>
      </c>
      <c r="H295" s="488">
        <v>8410279.3499999996</v>
      </c>
    </row>
    <row r="296" spans="1:8" ht="15.75" x14ac:dyDescent="0.25">
      <c r="A296" s="487" t="s">
        <v>774</v>
      </c>
      <c r="B296" s="487" t="s">
        <v>775</v>
      </c>
      <c r="C296" s="488">
        <v>4103783.58</v>
      </c>
      <c r="D296" s="489">
        <v>4103783.58</v>
      </c>
      <c r="E296" s="488">
        <v>0</v>
      </c>
      <c r="F296" s="489">
        <v>0</v>
      </c>
      <c r="G296" s="490">
        <f t="shared" si="5"/>
        <v>4103783.58</v>
      </c>
      <c r="H296" s="488">
        <v>4103783.58</v>
      </c>
    </row>
    <row r="297" spans="1:8" ht="15.75" x14ac:dyDescent="0.25">
      <c r="A297" s="487" t="s">
        <v>776</v>
      </c>
      <c r="B297" s="487" t="s">
        <v>777</v>
      </c>
      <c r="C297" s="488">
        <v>1427424.61</v>
      </c>
      <c r="D297" s="489">
        <v>1319839.98</v>
      </c>
      <c r="E297" s="488">
        <v>21050.53</v>
      </c>
      <c r="F297" s="489">
        <v>86534.1</v>
      </c>
      <c r="G297" s="490">
        <f t="shared" si="5"/>
        <v>1406374.08</v>
      </c>
      <c r="H297" s="488">
        <v>1427424.6099999999</v>
      </c>
    </row>
    <row r="298" spans="1:8" ht="15.75" x14ac:dyDescent="0.25">
      <c r="A298" s="487" t="s">
        <v>778</v>
      </c>
      <c r="B298" s="487" t="s">
        <v>779</v>
      </c>
      <c r="C298" s="488">
        <v>6908769.1299999999</v>
      </c>
      <c r="D298" s="489">
        <v>6519449.3099999996</v>
      </c>
      <c r="E298" s="488">
        <v>30730.47</v>
      </c>
      <c r="F298" s="489">
        <v>358589.35</v>
      </c>
      <c r="G298" s="490">
        <f t="shared" si="5"/>
        <v>6878038.6599999992</v>
      </c>
      <c r="H298" s="488">
        <v>6908769.1299999999</v>
      </c>
    </row>
    <row r="299" spans="1:8" ht="15.75" x14ac:dyDescent="0.25">
      <c r="A299" s="487" t="s">
        <v>780</v>
      </c>
      <c r="B299" s="487" t="s">
        <v>781</v>
      </c>
      <c r="C299" s="488">
        <v>90933.52</v>
      </c>
      <c r="D299" s="489">
        <v>90933.52</v>
      </c>
      <c r="E299" s="488">
        <v>0</v>
      </c>
      <c r="F299" s="489">
        <v>0</v>
      </c>
      <c r="G299" s="490">
        <f t="shared" si="5"/>
        <v>90933.52</v>
      </c>
      <c r="H299" s="488">
        <v>90933.52</v>
      </c>
    </row>
    <row r="300" spans="1:8" ht="15.75" x14ac:dyDescent="0.25">
      <c r="A300" s="487" t="s">
        <v>782</v>
      </c>
      <c r="B300" s="487" t="s">
        <v>783</v>
      </c>
      <c r="C300" s="488">
        <v>406377.91</v>
      </c>
      <c r="D300" s="489">
        <v>406377.91</v>
      </c>
      <c r="E300" s="488">
        <v>0</v>
      </c>
      <c r="F300" s="489">
        <v>0</v>
      </c>
      <c r="G300" s="490">
        <f t="shared" si="5"/>
        <v>406377.91</v>
      </c>
      <c r="H300" s="488">
        <v>406377.91</v>
      </c>
    </row>
    <row r="301" spans="1:8" ht="15.75" x14ac:dyDescent="0.25">
      <c r="A301" s="487" t="s">
        <v>784</v>
      </c>
      <c r="B301" s="487" t="s">
        <v>785</v>
      </c>
      <c r="C301" s="488">
        <v>784179.75</v>
      </c>
      <c r="D301" s="489">
        <v>784179.75</v>
      </c>
      <c r="E301" s="488">
        <v>0</v>
      </c>
      <c r="F301" s="489">
        <v>0</v>
      </c>
      <c r="G301" s="490">
        <f t="shared" si="5"/>
        <v>784179.75</v>
      </c>
      <c r="H301" s="488">
        <v>784179.75</v>
      </c>
    </row>
    <row r="302" spans="1:8" ht="15.75" x14ac:dyDescent="0.25">
      <c r="A302" s="487" t="s">
        <v>786</v>
      </c>
      <c r="B302" s="487" t="s">
        <v>787</v>
      </c>
      <c r="C302" s="488">
        <v>11755407.51</v>
      </c>
      <c r="D302" s="489">
        <v>11633960.390000001</v>
      </c>
      <c r="E302" s="488">
        <v>121447.12</v>
      </c>
      <c r="F302" s="489">
        <v>0</v>
      </c>
      <c r="G302" s="490">
        <f t="shared" si="5"/>
        <v>11633960.390000001</v>
      </c>
      <c r="H302" s="488">
        <v>11755407.51</v>
      </c>
    </row>
    <row r="303" spans="1:8" ht="15.75" x14ac:dyDescent="0.25">
      <c r="A303" s="487" t="s">
        <v>790</v>
      </c>
      <c r="B303" s="487" t="s">
        <v>1411</v>
      </c>
      <c r="C303" s="488">
        <v>4858502.66</v>
      </c>
      <c r="D303" s="489">
        <v>4800566.2</v>
      </c>
      <c r="E303" s="488">
        <v>57936.46</v>
      </c>
      <c r="F303" s="489">
        <v>0</v>
      </c>
      <c r="G303" s="490">
        <f t="shared" si="5"/>
        <v>4800566.2</v>
      </c>
      <c r="H303" s="488">
        <v>4858502.66</v>
      </c>
    </row>
    <row r="304" spans="1:8" ht="15.75" x14ac:dyDescent="0.25">
      <c r="A304" s="487" t="s">
        <v>788</v>
      </c>
      <c r="B304" s="487" t="s">
        <v>1412</v>
      </c>
      <c r="C304" s="488">
        <v>7626166.4900000002</v>
      </c>
      <c r="D304" s="489">
        <v>7626166.4900000002</v>
      </c>
      <c r="E304" s="488">
        <v>0</v>
      </c>
      <c r="F304" s="489">
        <v>0</v>
      </c>
      <c r="G304" s="490">
        <f t="shared" si="5"/>
        <v>7626166.4900000002</v>
      </c>
      <c r="H304" s="488">
        <v>7626166.4900000002</v>
      </c>
    </row>
    <row r="305" spans="1:8" ht="15.75" x14ac:dyDescent="0.25">
      <c r="A305" s="487" t="s">
        <v>792</v>
      </c>
      <c r="B305" s="487" t="s">
        <v>793</v>
      </c>
      <c r="C305" s="488">
        <v>539303.38</v>
      </c>
      <c r="D305" s="489">
        <v>534754.49</v>
      </c>
      <c r="E305" s="488">
        <v>363.1</v>
      </c>
      <c r="F305" s="489">
        <v>4185.79</v>
      </c>
      <c r="G305" s="490">
        <f t="shared" si="5"/>
        <v>538940.28</v>
      </c>
      <c r="H305" s="488">
        <v>539303.38</v>
      </c>
    </row>
    <row r="306" spans="1:8" ht="15.75" x14ac:dyDescent="0.25">
      <c r="A306" s="487" t="s">
        <v>794</v>
      </c>
      <c r="B306" s="487" t="s">
        <v>795</v>
      </c>
      <c r="C306" s="488">
        <v>7247897.8899999997</v>
      </c>
      <c r="D306" s="489">
        <v>6196495.3399999999</v>
      </c>
      <c r="E306" s="488">
        <v>10325.879999999999</v>
      </c>
      <c r="F306" s="489">
        <v>1041076.67</v>
      </c>
      <c r="G306" s="490">
        <f t="shared" si="5"/>
        <v>7237572.0099999998</v>
      </c>
      <c r="H306" s="488">
        <v>7247897.8899999997</v>
      </c>
    </row>
    <row r="307" spans="1:8" ht="15.75" x14ac:dyDescent="0.25">
      <c r="A307" s="487" t="s">
        <v>796</v>
      </c>
      <c r="B307" s="487" t="s">
        <v>797</v>
      </c>
      <c r="C307" s="488">
        <v>1606299.87</v>
      </c>
      <c r="D307" s="489">
        <v>1606299.87</v>
      </c>
      <c r="E307" s="488">
        <v>0</v>
      </c>
      <c r="F307" s="489">
        <v>0</v>
      </c>
      <c r="G307" s="490">
        <f t="shared" si="5"/>
        <v>1606299.87</v>
      </c>
      <c r="H307" s="488">
        <v>1606299.87</v>
      </c>
    </row>
    <row r="308" spans="1:8" ht="15.75" x14ac:dyDescent="0.25">
      <c r="A308" s="487" t="s">
        <v>798</v>
      </c>
      <c r="B308" s="487" t="s">
        <v>799</v>
      </c>
      <c r="C308" s="488">
        <v>385478.53</v>
      </c>
      <c r="D308" s="489">
        <v>322550.84999999998</v>
      </c>
      <c r="E308" s="488">
        <v>0</v>
      </c>
      <c r="F308" s="489">
        <v>62927.68</v>
      </c>
      <c r="G308" s="490">
        <f t="shared" si="5"/>
        <v>385478.52999999997</v>
      </c>
      <c r="H308" s="488">
        <v>385478.52999999997</v>
      </c>
    </row>
    <row r="309" spans="1:8" ht="15.75" x14ac:dyDescent="0.25">
      <c r="A309" s="487" t="s">
        <v>800</v>
      </c>
      <c r="B309" s="487" t="s">
        <v>801</v>
      </c>
      <c r="C309" s="488">
        <v>756151.07</v>
      </c>
      <c r="D309" s="489">
        <v>756151.07</v>
      </c>
      <c r="E309" s="488">
        <v>0</v>
      </c>
      <c r="F309" s="489">
        <v>0</v>
      </c>
      <c r="G309" s="490">
        <f t="shared" si="5"/>
        <v>756151.07</v>
      </c>
      <c r="H309" s="488">
        <v>756151.07</v>
      </c>
    </row>
    <row r="310" spans="1:8" ht="15.75" x14ac:dyDescent="0.25">
      <c r="A310" s="491" t="s">
        <v>1426</v>
      </c>
      <c r="B310" s="487" t="s">
        <v>1427</v>
      </c>
      <c r="C310" s="488">
        <v>87367.05</v>
      </c>
      <c r="D310" s="489">
        <v>72328.42</v>
      </c>
      <c r="E310" s="488">
        <v>0</v>
      </c>
      <c r="F310" s="489">
        <v>15038.63</v>
      </c>
      <c r="G310" s="490">
        <f t="shared" si="5"/>
        <v>87367.05</v>
      </c>
      <c r="H310" s="488">
        <v>87367.05</v>
      </c>
    </row>
    <row r="311" spans="1:8" ht="15.75" x14ac:dyDescent="0.25">
      <c r="A311" s="487" t="s">
        <v>802</v>
      </c>
      <c r="B311" s="487" t="s">
        <v>803</v>
      </c>
      <c r="C311" s="488">
        <v>223162.84</v>
      </c>
      <c r="D311" s="489">
        <v>172042.33</v>
      </c>
      <c r="E311" s="488">
        <v>0</v>
      </c>
      <c r="F311" s="489">
        <v>51120.51</v>
      </c>
      <c r="G311" s="490">
        <f t="shared" si="5"/>
        <v>223162.84</v>
      </c>
      <c r="H311" s="488">
        <v>223162.84</v>
      </c>
    </row>
    <row r="312" spans="1:8" ht="15.75" x14ac:dyDescent="0.25">
      <c r="A312" s="487" t="s">
        <v>804</v>
      </c>
      <c r="B312" s="487" t="s">
        <v>805</v>
      </c>
      <c r="C312" s="488">
        <v>1659079.2</v>
      </c>
      <c r="D312" s="489">
        <v>1659079.2</v>
      </c>
      <c r="E312" s="488">
        <v>0</v>
      </c>
      <c r="F312" s="489">
        <v>0</v>
      </c>
      <c r="G312" s="490">
        <f t="shared" si="5"/>
        <v>1659079.2</v>
      </c>
      <c r="H312" s="488">
        <v>1659079.2</v>
      </c>
    </row>
    <row r="313" spans="1:8" ht="15.75" x14ac:dyDescent="0.25">
      <c r="A313" s="487" t="s">
        <v>806</v>
      </c>
      <c r="B313" s="487" t="s">
        <v>807</v>
      </c>
      <c r="C313" s="488">
        <v>204031.16</v>
      </c>
      <c r="D313" s="489">
        <v>204031.16</v>
      </c>
      <c r="E313" s="488">
        <v>0</v>
      </c>
      <c r="F313" s="489">
        <v>0</v>
      </c>
      <c r="G313" s="490">
        <f t="shared" si="5"/>
        <v>204031.16</v>
      </c>
      <c r="H313" s="488">
        <v>204031.16</v>
      </c>
    </row>
    <row r="314" spans="1:8" ht="15.75" x14ac:dyDescent="0.25">
      <c r="A314" s="487" t="s">
        <v>808</v>
      </c>
      <c r="B314" s="487" t="s">
        <v>809</v>
      </c>
      <c r="C314" s="488">
        <v>78424.41</v>
      </c>
      <c r="D314" s="489">
        <v>78424.41</v>
      </c>
      <c r="E314" s="488">
        <v>0</v>
      </c>
      <c r="F314" s="489">
        <v>0</v>
      </c>
      <c r="G314" s="490">
        <f t="shared" si="5"/>
        <v>78424.41</v>
      </c>
      <c r="H314" s="488">
        <v>78424.41</v>
      </c>
    </row>
    <row r="315" spans="1:8" ht="15.75" x14ac:dyDescent="0.25">
      <c r="A315" s="487" t="s">
        <v>810</v>
      </c>
      <c r="B315" s="487" t="s">
        <v>811</v>
      </c>
      <c r="C315" s="488">
        <v>4770820.5999999996</v>
      </c>
      <c r="D315" s="489">
        <v>4368486</v>
      </c>
      <c r="E315" s="488">
        <v>31121</v>
      </c>
      <c r="F315" s="489">
        <v>371213.6</v>
      </c>
      <c r="G315" s="490">
        <f t="shared" si="5"/>
        <v>4739699.5999999996</v>
      </c>
      <c r="H315" s="488">
        <v>4770820.5999999996</v>
      </c>
    </row>
    <row r="316" spans="1:8" ht="15.75" hidden="1" x14ac:dyDescent="0.25">
      <c r="A316" s="491" t="s">
        <v>1430</v>
      </c>
      <c r="B316" s="487" t="s">
        <v>1431</v>
      </c>
      <c r="C316" s="488">
        <v>0</v>
      </c>
      <c r="D316" s="489">
        <v>0</v>
      </c>
      <c r="E316" s="488">
        <v>1</v>
      </c>
      <c r="F316" s="489">
        <v>0</v>
      </c>
      <c r="G316" s="490">
        <f t="shared" si="5"/>
        <v>0</v>
      </c>
      <c r="H316" s="488">
        <v>0</v>
      </c>
    </row>
    <row r="317" spans="1:8" ht="15.75" x14ac:dyDescent="0.25">
      <c r="A317" s="487" t="s">
        <v>812</v>
      </c>
      <c r="B317" s="487" t="s">
        <v>813</v>
      </c>
      <c r="C317" s="488">
        <v>30078890.289999999</v>
      </c>
      <c r="D317" s="489">
        <v>22550013</v>
      </c>
      <c r="E317" s="488">
        <v>466956</v>
      </c>
      <c r="F317" s="489">
        <v>7061921.29</v>
      </c>
      <c r="G317" s="490">
        <f t="shared" si="5"/>
        <v>29611934.289999999</v>
      </c>
      <c r="H317" s="488">
        <v>30078890.289999999</v>
      </c>
    </row>
    <row r="318" spans="1:8" ht="15.75" x14ac:dyDescent="0.25">
      <c r="A318" s="487" t="s">
        <v>814</v>
      </c>
      <c r="B318" s="487" t="s">
        <v>1413</v>
      </c>
      <c r="C318" s="488">
        <v>11769628.75</v>
      </c>
      <c r="D318" s="489">
        <v>9392760.0399999991</v>
      </c>
      <c r="E318" s="488">
        <v>50048.43</v>
      </c>
      <c r="F318" s="489">
        <v>2326820.2799999998</v>
      </c>
      <c r="G318" s="490">
        <f t="shared" si="5"/>
        <v>11719580.319999998</v>
      </c>
      <c r="H318" s="488">
        <v>11769628.75</v>
      </c>
    </row>
    <row r="319" spans="1:8" ht="15.75" x14ac:dyDescent="0.25">
      <c r="A319" s="487" t="s">
        <v>816</v>
      </c>
      <c r="B319" s="487" t="s">
        <v>817</v>
      </c>
      <c r="C319" s="488">
        <v>1429921.39</v>
      </c>
      <c r="D319" s="489">
        <v>1429921.39</v>
      </c>
      <c r="E319" s="488">
        <v>0</v>
      </c>
      <c r="F319" s="489">
        <v>0</v>
      </c>
      <c r="G319" s="490">
        <f t="shared" si="5"/>
        <v>1429921.39</v>
      </c>
      <c r="H319" s="488">
        <v>1429921.39</v>
      </c>
    </row>
    <row r="320" spans="1:8" x14ac:dyDescent="0.25">
      <c r="A320" s="491"/>
      <c r="B320" s="487"/>
    </row>
  </sheetData>
  <autoFilter ref="A5:H319" xr:uid="{40E70253-1561-482F-B64B-5D0DFBEAA7EA}">
    <filterColumn colId="1">
      <filters>
        <filter val="ABERDEEN"/>
        <filter val="ADNA"/>
        <filter val="ALMIRA"/>
        <filter val="ANACORTES"/>
        <filter val="ARLINGTON"/>
        <filter val="ASOTIN-ANATONE"/>
        <filter val="AUBURN"/>
        <filter val="BAINBRIDGE ISLAND"/>
        <filter val="BATTLE GROUND"/>
        <filter val="BELLEVUE"/>
        <filter val="BELLINGHAM"/>
        <filter val="BENGE"/>
        <filter val="BETHEL"/>
        <filter val="BICKLETON"/>
        <filter val="BLAINE"/>
        <filter val="BOISTFORT"/>
        <filter val="BREMERTON"/>
        <filter val="BREWSTER"/>
        <filter val="BRIDGEPORT"/>
        <filter val="BRINNON"/>
        <filter val="BURLINGTON-EDISON"/>
        <filter val="CAMAS"/>
        <filter val="CAPE FLATTERY"/>
        <filter val="CARBONADO"/>
        <filter val="CASCADE"/>
        <filter val="CASHMERE"/>
        <filter val="CASTLE ROCK"/>
        <filter val="CATALYST CHARTER"/>
        <filter val="CENTERVILLE"/>
        <filter val="CENTRAL KITSAP"/>
        <filter val="CENTRAL VALLEY"/>
        <filter val="CENTRALIA"/>
        <filter val="CHEHALIS"/>
        <filter val="CHENEY"/>
        <filter val="CHEWELAH"/>
        <filter val="CHIEF LESCHI TRIBAL"/>
        <filter val="CHIMACUM"/>
        <filter val="CLARKSTON"/>
        <filter val="CLE ELUM-ROSLYN"/>
        <filter val="CLOVER PARK"/>
        <filter val="COLFAX"/>
        <filter val="COLLEGE PLACE"/>
        <filter val="COLTON"/>
        <filter val="COLUMBIA (Stevens)"/>
        <filter val="COLUMBIA (Walla Walla)"/>
        <filter val="COLVILLE"/>
        <filter val="CONCRETE"/>
        <filter val="CONWAY"/>
        <filter val="COSMOPOLIS"/>
        <filter val="COULEE-HARTLINE"/>
        <filter val="COUPEVILLE"/>
        <filter val="CRESCENT"/>
        <filter val="CRESTON"/>
        <filter val="CURLEW"/>
        <filter val="CUSICK"/>
        <filter val="DAMMAN"/>
        <filter val="DARRINGTON"/>
        <filter val="DAVENPORT"/>
        <filter val="DAYTON"/>
        <filter val="DEER PARK"/>
        <filter val="DIERINGER"/>
        <filter val="DIXIE"/>
        <filter val="EAST VALLEY (Spokane)"/>
        <filter val="EAST VALLEY (Yakima)"/>
        <filter val="EASTMONT"/>
        <filter val="EASTON"/>
        <filter val="EATONVILLE"/>
        <filter val="EDMONDS"/>
        <filter val="ELLENSBURG"/>
        <filter val="ELMA"/>
        <filter val="ENDICOTT"/>
        <filter val="ENTIAT"/>
        <filter val="ENUMCLAW"/>
        <filter val="EPHRATA"/>
        <filter val="EVALINE"/>
        <filter val="EVERETT"/>
        <filter val="EVERGREEN"/>
        <filter val="FEDERAL WAY"/>
        <filter val="FERNDALE"/>
        <filter val="FIFE"/>
        <filter val="FINLEY"/>
        <filter val="FRANKLIN PIERCE"/>
        <filter val="FREEMAN"/>
        <filter val="GARFIELD"/>
        <filter val="GLENWOOD"/>
        <filter val="GOLDENDALE"/>
        <filter val="GRAND COULEE DAM"/>
        <filter val="GRANDVIEW"/>
        <filter val="GRANGER"/>
        <filter val="GRANITE FALLS"/>
        <filter val="GRAPEVIEW"/>
        <filter val="GREAT NORTHERN"/>
        <filter val="GREEN DOT-RAINIER VALLEY"/>
        <filter val="GREEN MOUNTAIN"/>
        <filter val="GRIFFIN"/>
        <filter val="HARRINGTON"/>
        <filter val="HIGHLAND"/>
        <filter val="HIGHLINE"/>
        <filter val="HOCKINSON"/>
        <filter val="HOOD CANAL"/>
        <filter val="HOQUIAM"/>
        <filter val="IMPACT PUBLIC SCHOOLS"/>
        <filter val="IMPACT SALISH SEA"/>
        <filter val="INCHELIUM"/>
        <filter val="INDEX"/>
        <filter val="ISSAQUAH"/>
        <filter val="KAHLOTUS"/>
        <filter val="KALAMA"/>
        <filter val="KELLER"/>
        <filter val="KELSO"/>
        <filter val="KENNEWICK"/>
        <filter val="KENT"/>
        <filter val="KETTLE FALLS"/>
        <filter val="KIONA-BENTON"/>
        <filter val="KITTITAS"/>
        <filter val="KLICKITAT"/>
        <filter val="LA CENTER"/>
        <filter val="LA CONNER"/>
        <filter val="LACROSSE"/>
        <filter val="LAKE CHELAN"/>
        <filter val="LAKE STEVENS"/>
        <filter val="LAKE WASHINGTON"/>
        <filter val="LAKEWOOD"/>
        <filter val="LAMONT"/>
        <filter val="LIBERTY"/>
        <filter val="LIND"/>
        <filter val="LONGVIEW"/>
        <filter val="LOON LAKE"/>
        <filter val="LOPEZ ISLAND"/>
        <filter val="LUMENS HIGH SCHOOL"/>
        <filter val="LYLE"/>
        <filter val="LYNDEN"/>
        <filter val="MABTON"/>
        <filter val="MANSFIELD"/>
        <filter val="MANSON"/>
        <filter val="MARY M. KNIGHT"/>
        <filter val="MARY WALKER"/>
        <filter val="MARYSVILLE"/>
        <filter val="MCCLEARY"/>
        <filter val="MEAD"/>
        <filter val="MEDICAL LAKE"/>
        <filter val="MERCER ISLAND"/>
        <filter val="MERIDIAN"/>
        <filter val="METHOW VALLEY"/>
        <filter val="MILL A"/>
        <filter val="MONROE"/>
        <filter val="MONTESANO"/>
        <filter val="MORTON"/>
        <filter val="MOSES LAKE"/>
        <filter val="MOSSYROCK"/>
        <filter val="MOUNT ADAMS"/>
        <filter val="MOUNT BAKER"/>
        <filter val="MOUNT PLEASANT"/>
        <filter val="MOUNT VERNON"/>
        <filter val="MUKILTEO"/>
        <filter val="NACHES VALLEY"/>
        <filter val="NAPAVINE"/>
        <filter val="NASELLE-GRAYS RIVER"/>
        <filter val="NESPELEM"/>
        <filter val="NEWPORT"/>
        <filter val="NINE MILE FALLS"/>
        <filter val="NOOKSACK VALLEY"/>
        <filter val="NORTH BEACH"/>
        <filter val="NORTH FRANKLIN"/>
        <filter val="NORTH KITSAP"/>
        <filter val="NORTH MASON"/>
        <filter val="NORTH RIVER"/>
        <filter val="NORTH THURSTON"/>
        <filter val="NORTHPORT"/>
        <filter val="NORTHSHORE"/>
        <filter val="OAK HARBOR"/>
        <filter val="OAKESDALE"/>
        <filter val="OAKVILLE"/>
        <filter val="OCEAN BEACH"/>
        <filter val="OCOSTA"/>
        <filter val="ODESSA"/>
        <filter val="OKANOGAN"/>
        <filter val="OLYMPIA"/>
        <filter val="OMAK"/>
        <filter val="ONALASKA"/>
        <filter val="ONION CREEK"/>
        <filter val="ORCAS ISLAND"/>
        <filter val="ORCHARD PRAIRIE"/>
        <filter val="ORIENT"/>
        <filter val="ORONDO"/>
        <filter val="OROVILLE"/>
        <filter val="ORTING"/>
        <filter val="OTHELLO"/>
        <filter val="PALISADES"/>
        <filter val="PALOUSE"/>
        <filter val="PASCO"/>
        <filter val="PATEROS"/>
        <filter val="PATERSON"/>
        <filter val="PE ELL"/>
        <filter val="PENINSULA"/>
        <filter val="PIONEER"/>
        <filter val="POMEROY"/>
        <filter val="PORT ANGELES"/>
        <filter val="PORT TOWNSEND"/>
        <filter val="PRESCOTT"/>
        <filter val="PRIDE PREP CHARTER"/>
        <filter val="PROSSER"/>
        <filter val="PULLMAN"/>
        <filter val="PUYALLUP"/>
        <filter val="QUEETS-CLEARWATER"/>
        <filter val="QUILCENE"/>
        <filter val="QUILLAYUTE VALLEY"/>
        <filter val="QUINAULT"/>
        <filter val="QUINCY"/>
        <filter val="RAINIER"/>
        <filter val="RAINIER PREP CHARTER"/>
        <filter val="RAYMOND"/>
        <filter val="REARDAN-EDWALL"/>
        <filter val="RENTON"/>
        <filter val="REPUBLIC"/>
        <filter val="RICHLAND"/>
        <filter val="RIDGEFIELD"/>
        <filter val="RITZVILLE"/>
        <filter val="RIVERSIDE"/>
        <filter val="RIVERVIEW"/>
        <filter val="ROCHESTER"/>
        <filter val="ROOSEVELT"/>
        <filter val="ROSALIA"/>
        <filter val="ROYAL"/>
        <filter val="SAN JUAN"/>
        <filter val="SATSOP"/>
        <filter val="SEATTLE"/>
        <filter val="SEDRO WOOLLEY"/>
        <filter val="SELAH"/>
        <filter val="SELKIRK"/>
        <filter val="SEQUIM"/>
        <filter val="SHAW"/>
        <filter val="SHELTON"/>
        <filter val="SHORELINE"/>
        <filter val="SKAMANIA"/>
        <filter val="SKYKOMISH"/>
        <filter val="SNOHOMISH"/>
        <filter val="SNOQUALMIE VALLEY"/>
        <filter val="SOAP LAKE"/>
        <filter val="SOUTH BEND"/>
        <filter val="SOUTH KITSAP"/>
        <filter val="SOUTH WHIDBEY"/>
        <filter val="SOUTHSIDE"/>
        <filter val="SPOKANE"/>
        <filter val="SPOKANE INTL ACADEMY"/>
        <filter val="SPRAGUE"/>
        <filter val="ST. JOHN"/>
        <filter val="STANWOOD"/>
        <filter val="STAR"/>
        <filter val="STARBUCK"/>
        <filter val="STEHEKIN"/>
        <filter val="STEILACOOM HIST."/>
        <filter val="STEPTOE"/>
        <filter val="STEVENSON-CARSON"/>
        <filter val="SULTAN"/>
        <filter val="SUMMIT VALLEY"/>
        <filter val="SUMMIT: OLYMPUS"/>
        <filter val="SUMMIT: SIERRA"/>
        <filter val="SUMMIT:ATLAS"/>
        <filter val="SUMNER"/>
        <filter val="SUNNYSIDE"/>
        <filter val="SUQUAMISH TRIBAL EDUCATION"/>
        <filter val="TACOMA"/>
        <filter val="TAHOLAH"/>
        <filter val="TAHOMA"/>
        <filter val="TEKOA"/>
        <filter val="TENINO"/>
        <filter val="THORP"/>
        <filter val="TOLEDO"/>
        <filter val="TONASKET"/>
        <filter val="TOPPENISH"/>
        <filter val="TOUCHET"/>
        <filter val="TOUTLE LAKE"/>
        <filter val="TROUT LAKE"/>
        <filter val="TUKWILA"/>
        <filter val="TUMWATER"/>
        <filter val="UNION GAP"/>
        <filter val="UNIVERSITY PLACE"/>
        <filter val="VALLEY"/>
        <filter val="VANCOUVER"/>
        <filter val="VASHON ISLAND"/>
        <filter val="WAHKIAKUM"/>
        <filter val="WAHLUKE"/>
        <filter val="WAITSBURG"/>
        <filter val="WALLA WALLA"/>
        <filter val="WAPATO"/>
        <filter val="WARDEN"/>
        <filter val="WASHOUGAL"/>
        <filter val="WASHTUCNA"/>
        <filter val="WATERVILLE"/>
        <filter val="WELLPINIT"/>
        <filter val="WENATCHEE"/>
        <filter val="WEST VALLEY (Spokane)"/>
        <filter val="WEST VALLEY (Yakima)"/>
        <filter val="WHITE PASS"/>
        <filter val="WHITE RIVER"/>
        <filter val="WHITE SALMON"/>
        <filter val="WILBUR"/>
        <filter val="WILLAPA VALLEY"/>
        <filter val="WILLOW (INOVATION ACADEMY)"/>
        <filter val="WILSON CREEK"/>
        <filter val="WINLOCK"/>
        <filter val="WISHKAH VALLEY"/>
        <filter val="WISHRAM"/>
        <filter val="WOODLAND"/>
        <filter val="YAKIMA"/>
        <filter val="YELM COMMUNITY SCHS."/>
        <filter val="ZILLAH"/>
      </filters>
    </filterColumn>
  </autoFilter>
  <conditionalFormatting sqref="C6:F319 H6:H319">
    <cfRule type="cellIs" dxfId="221" priority="1" operator="less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01073-2839-4BFB-BFEF-244721FB63DF}">
  <sheetPr filterMode="1"/>
  <dimension ref="A1:D317"/>
  <sheetViews>
    <sheetView workbookViewId="0">
      <selection activeCell="D2" sqref="D2"/>
    </sheetView>
  </sheetViews>
  <sheetFormatPr defaultRowHeight="15" x14ac:dyDescent="0.25"/>
  <cols>
    <col min="2" max="2" width="17.85546875" customWidth="1"/>
    <col min="3" max="3" width="23.42578125" customWidth="1"/>
    <col min="4" max="4" width="18.7109375" customWidth="1"/>
  </cols>
  <sheetData>
    <row r="1" spans="1:4" s="497" customFormat="1" ht="30.75" thickBot="1" x14ac:dyDescent="0.3">
      <c r="A1" s="497" t="s">
        <v>186</v>
      </c>
      <c r="B1" s="497" t="s">
        <v>1437</v>
      </c>
      <c r="C1" s="497" t="s">
        <v>1438</v>
      </c>
      <c r="D1" s="497" t="s">
        <v>1225</v>
      </c>
    </row>
    <row r="2" spans="1:4" s="498" customFormat="1" x14ac:dyDescent="0.25">
      <c r="C2" s="499" t="s">
        <v>124</v>
      </c>
      <c r="D2" s="501">
        <f>SUBTOTAL(9,D3:D317)</f>
        <v>146981</v>
      </c>
    </row>
    <row r="3" spans="1:4" x14ac:dyDescent="0.25">
      <c r="A3" t="s">
        <v>189</v>
      </c>
      <c r="B3" t="s">
        <v>188</v>
      </c>
      <c r="C3" t="s">
        <v>831</v>
      </c>
      <c r="D3" s="500">
        <v>539</v>
      </c>
    </row>
    <row r="4" spans="1:4" x14ac:dyDescent="0.25">
      <c r="A4" t="s">
        <v>189</v>
      </c>
      <c r="B4" t="s">
        <v>191</v>
      </c>
      <c r="C4" t="s">
        <v>832</v>
      </c>
      <c r="D4" s="500">
        <v>61</v>
      </c>
    </row>
    <row r="5" spans="1:4" x14ac:dyDescent="0.25">
      <c r="A5" t="s">
        <v>194</v>
      </c>
      <c r="B5" t="s">
        <v>193</v>
      </c>
      <c r="C5" t="s">
        <v>1135</v>
      </c>
      <c r="D5" s="500">
        <v>12</v>
      </c>
    </row>
    <row r="6" spans="1:4" x14ac:dyDescent="0.25">
      <c r="A6" t="s">
        <v>197</v>
      </c>
      <c r="B6" t="s">
        <v>196</v>
      </c>
      <c r="C6" t="s">
        <v>840</v>
      </c>
      <c r="D6" s="500">
        <v>330</v>
      </c>
    </row>
    <row r="7" spans="1:4" x14ac:dyDescent="0.25">
      <c r="A7" t="s">
        <v>197</v>
      </c>
      <c r="B7" t="s">
        <v>199</v>
      </c>
      <c r="C7" t="s">
        <v>841</v>
      </c>
      <c r="D7" s="500">
        <v>813</v>
      </c>
    </row>
    <row r="8" spans="1:4" x14ac:dyDescent="0.25">
      <c r="A8" t="s">
        <v>202</v>
      </c>
      <c r="B8" t="s">
        <v>201</v>
      </c>
      <c r="C8" t="s">
        <v>842</v>
      </c>
      <c r="D8" s="500">
        <v>89</v>
      </c>
    </row>
    <row r="9" spans="1:4" x14ac:dyDescent="0.25">
      <c r="A9" t="s">
        <v>205</v>
      </c>
      <c r="B9" t="s">
        <v>204</v>
      </c>
      <c r="C9" t="s">
        <v>843</v>
      </c>
      <c r="D9" s="500">
        <v>1910</v>
      </c>
    </row>
    <row r="10" spans="1:4" x14ac:dyDescent="0.25">
      <c r="A10" t="s">
        <v>205</v>
      </c>
      <c r="B10" t="s">
        <v>207</v>
      </c>
      <c r="C10" t="s">
        <v>844</v>
      </c>
      <c r="D10" s="500">
        <v>438</v>
      </c>
    </row>
    <row r="11" spans="1:4" x14ac:dyDescent="0.25">
      <c r="A11" t="s">
        <v>210</v>
      </c>
      <c r="B11" t="s">
        <v>209</v>
      </c>
      <c r="C11" t="s">
        <v>845</v>
      </c>
      <c r="D11" s="500">
        <v>1737</v>
      </c>
    </row>
    <row r="12" spans="1:4" x14ac:dyDescent="0.25">
      <c r="A12" t="s">
        <v>205</v>
      </c>
      <c r="B12" t="s">
        <v>212</v>
      </c>
      <c r="C12" t="s">
        <v>846</v>
      </c>
      <c r="D12" s="500">
        <v>1823</v>
      </c>
    </row>
    <row r="13" spans="1:4" x14ac:dyDescent="0.25">
      <c r="A13" t="s">
        <v>197</v>
      </c>
      <c r="B13" t="s">
        <v>214</v>
      </c>
      <c r="C13" t="s">
        <v>847</v>
      </c>
      <c r="D13" s="500">
        <v>1710</v>
      </c>
    </row>
    <row r="14" spans="1:4" x14ac:dyDescent="0.25">
      <c r="A14" t="s">
        <v>194</v>
      </c>
      <c r="B14" t="s">
        <v>216</v>
      </c>
      <c r="C14" t="s">
        <v>848</v>
      </c>
      <c r="D14" s="500">
        <v>1</v>
      </c>
    </row>
    <row r="15" spans="1:4" x14ac:dyDescent="0.25">
      <c r="A15" t="s">
        <v>205</v>
      </c>
      <c r="B15" t="s">
        <v>218</v>
      </c>
      <c r="C15" t="s">
        <v>849</v>
      </c>
      <c r="D15" s="500">
        <v>2696</v>
      </c>
    </row>
    <row r="16" spans="1:4" x14ac:dyDescent="0.25">
      <c r="A16" t="s">
        <v>221</v>
      </c>
      <c r="B16" t="s">
        <v>220</v>
      </c>
      <c r="C16" t="s">
        <v>850</v>
      </c>
      <c r="D16" s="500">
        <v>18</v>
      </c>
    </row>
    <row r="17" spans="1:4" x14ac:dyDescent="0.25">
      <c r="A17" t="s">
        <v>197</v>
      </c>
      <c r="B17" t="s">
        <v>223</v>
      </c>
      <c r="C17" t="s">
        <v>851</v>
      </c>
      <c r="D17" s="500">
        <v>334</v>
      </c>
    </row>
    <row r="18" spans="1:4" x14ac:dyDescent="0.25">
      <c r="A18" t="s">
        <v>189</v>
      </c>
      <c r="B18" t="s">
        <v>225</v>
      </c>
      <c r="C18" t="s">
        <v>852</v>
      </c>
      <c r="D18" s="500">
        <v>19</v>
      </c>
    </row>
    <row r="19" spans="1:4" x14ac:dyDescent="0.25">
      <c r="A19" t="s">
        <v>228</v>
      </c>
      <c r="B19" t="s">
        <v>227</v>
      </c>
      <c r="C19" t="s">
        <v>853</v>
      </c>
      <c r="D19" s="500">
        <v>727</v>
      </c>
    </row>
    <row r="20" spans="1:4" x14ac:dyDescent="0.25">
      <c r="A20" t="s">
        <v>231</v>
      </c>
      <c r="B20" t="s">
        <v>230</v>
      </c>
      <c r="C20" t="s">
        <v>854</v>
      </c>
      <c r="D20" s="500">
        <v>103</v>
      </c>
    </row>
    <row r="21" spans="1:4" x14ac:dyDescent="0.25">
      <c r="A21" t="s">
        <v>231</v>
      </c>
      <c r="B21" t="s">
        <v>233</v>
      </c>
      <c r="C21" t="s">
        <v>855</v>
      </c>
      <c r="D21" s="500">
        <v>78</v>
      </c>
    </row>
    <row r="22" spans="1:4" x14ac:dyDescent="0.25">
      <c r="A22" t="s">
        <v>228</v>
      </c>
      <c r="B22" t="s">
        <v>235</v>
      </c>
      <c r="C22" t="s">
        <v>1136</v>
      </c>
      <c r="D22" s="500">
        <v>11</v>
      </c>
    </row>
    <row r="23" spans="1:4" x14ac:dyDescent="0.25">
      <c r="A23" t="s">
        <v>197</v>
      </c>
      <c r="B23" t="s">
        <v>237</v>
      </c>
      <c r="C23" t="s">
        <v>857</v>
      </c>
      <c r="D23" s="500">
        <v>506</v>
      </c>
    </row>
    <row r="24" spans="1:4" x14ac:dyDescent="0.25">
      <c r="A24" t="s">
        <v>210</v>
      </c>
      <c r="B24" t="s">
        <v>239</v>
      </c>
      <c r="C24" t="s">
        <v>858</v>
      </c>
      <c r="D24" s="500">
        <v>783</v>
      </c>
    </row>
    <row r="25" spans="1:4" x14ac:dyDescent="0.25">
      <c r="A25" t="s">
        <v>228</v>
      </c>
      <c r="B25" t="s">
        <v>241</v>
      </c>
      <c r="C25" t="s">
        <v>859</v>
      </c>
      <c r="D25" s="500">
        <v>78</v>
      </c>
    </row>
    <row r="26" spans="1:4" x14ac:dyDescent="0.25">
      <c r="A26" t="s">
        <v>205</v>
      </c>
      <c r="B26" t="s">
        <v>243</v>
      </c>
      <c r="C26" t="s">
        <v>1237</v>
      </c>
      <c r="D26" s="500">
        <v>29</v>
      </c>
    </row>
    <row r="27" spans="1:4" x14ac:dyDescent="0.25">
      <c r="A27" t="s">
        <v>231</v>
      </c>
      <c r="B27" t="s">
        <v>245</v>
      </c>
      <c r="C27" t="s">
        <v>861</v>
      </c>
      <c r="D27" s="500">
        <v>118</v>
      </c>
    </row>
    <row r="28" spans="1:4" x14ac:dyDescent="0.25">
      <c r="A28" t="s">
        <v>231</v>
      </c>
      <c r="B28" t="s">
        <v>248</v>
      </c>
      <c r="C28" t="s">
        <v>862</v>
      </c>
      <c r="D28" s="500">
        <v>222</v>
      </c>
    </row>
    <row r="29" spans="1:4" x14ac:dyDescent="0.25">
      <c r="A29" t="s">
        <v>210</v>
      </c>
      <c r="B29" t="s">
        <v>250</v>
      </c>
      <c r="C29" t="s">
        <v>863</v>
      </c>
      <c r="D29" s="500">
        <v>271</v>
      </c>
    </row>
    <row r="30" spans="1:4" x14ac:dyDescent="0.25">
      <c r="A30" t="s">
        <v>228</v>
      </c>
      <c r="B30" t="s">
        <v>252</v>
      </c>
      <c r="C30" t="s">
        <v>1233</v>
      </c>
      <c r="D30" s="500">
        <v>13</v>
      </c>
    </row>
    <row r="31" spans="1:4" x14ac:dyDescent="0.25">
      <c r="A31" t="s">
        <v>210</v>
      </c>
      <c r="B31" t="s">
        <v>254</v>
      </c>
      <c r="C31" t="s">
        <v>864</v>
      </c>
      <c r="D31" s="500">
        <v>5</v>
      </c>
    </row>
    <row r="32" spans="1:4" x14ac:dyDescent="0.25">
      <c r="A32" t="s">
        <v>228</v>
      </c>
      <c r="B32" t="s">
        <v>256</v>
      </c>
      <c r="C32" t="s">
        <v>865</v>
      </c>
      <c r="D32" s="500">
        <v>1702</v>
      </c>
    </row>
    <row r="33" spans="1:4" x14ac:dyDescent="0.25">
      <c r="A33" t="s">
        <v>194</v>
      </c>
      <c r="B33" t="s">
        <v>258</v>
      </c>
      <c r="C33" t="s">
        <v>866</v>
      </c>
      <c r="D33" s="500">
        <v>2068</v>
      </c>
    </row>
    <row r="34" spans="1:4" x14ac:dyDescent="0.25">
      <c r="A34" t="s">
        <v>189</v>
      </c>
      <c r="B34" t="s">
        <v>260</v>
      </c>
      <c r="C34" t="s">
        <v>867</v>
      </c>
      <c r="D34" s="500">
        <v>481</v>
      </c>
    </row>
    <row r="35" spans="1:4" x14ac:dyDescent="0.25">
      <c r="A35" t="s">
        <v>189</v>
      </c>
      <c r="B35" t="s">
        <v>262</v>
      </c>
      <c r="C35" t="s">
        <v>868</v>
      </c>
      <c r="D35" s="500">
        <v>429</v>
      </c>
    </row>
    <row r="36" spans="1:4" hidden="1" x14ac:dyDescent="0.25">
      <c r="A36" t="s">
        <v>189</v>
      </c>
      <c r="B36" t="s">
        <v>1267</v>
      </c>
      <c r="C36" t="s">
        <v>1268</v>
      </c>
      <c r="D36">
        <v>42</v>
      </c>
    </row>
    <row r="37" spans="1:4" x14ac:dyDescent="0.25">
      <c r="A37" t="s">
        <v>194</v>
      </c>
      <c r="B37" t="s">
        <v>264</v>
      </c>
      <c r="C37" t="s">
        <v>869</v>
      </c>
      <c r="D37" s="500">
        <v>838</v>
      </c>
    </row>
    <row r="38" spans="1:4" x14ac:dyDescent="0.25">
      <c r="A38" t="s">
        <v>194</v>
      </c>
      <c r="B38" t="s">
        <v>266</v>
      </c>
      <c r="C38" t="s">
        <v>870</v>
      </c>
      <c r="D38" s="500">
        <v>119</v>
      </c>
    </row>
    <row r="39" spans="1:4" x14ac:dyDescent="0.25">
      <c r="A39" t="s">
        <v>228</v>
      </c>
      <c r="B39" t="s">
        <v>268</v>
      </c>
      <c r="C39" t="s">
        <v>871</v>
      </c>
      <c r="D39" s="500">
        <v>133</v>
      </c>
    </row>
    <row r="40" spans="1:4" x14ac:dyDescent="0.25">
      <c r="A40" t="s">
        <v>202</v>
      </c>
      <c r="B40" t="s">
        <v>270</v>
      </c>
      <c r="C40" t="s">
        <v>872</v>
      </c>
      <c r="D40" s="500">
        <v>408</v>
      </c>
    </row>
    <row r="41" spans="1:4" x14ac:dyDescent="0.25">
      <c r="A41" t="s">
        <v>221</v>
      </c>
      <c r="B41" t="s">
        <v>272</v>
      </c>
      <c r="C41" t="s">
        <v>873</v>
      </c>
      <c r="D41" s="500">
        <v>135</v>
      </c>
    </row>
    <row r="42" spans="1:4" x14ac:dyDescent="0.25">
      <c r="A42" t="s">
        <v>205</v>
      </c>
      <c r="B42" t="s">
        <v>274</v>
      </c>
      <c r="C42" t="s">
        <v>874</v>
      </c>
      <c r="D42" s="500">
        <v>1978</v>
      </c>
    </row>
    <row r="43" spans="1:4" x14ac:dyDescent="0.25">
      <c r="A43" t="s">
        <v>194</v>
      </c>
      <c r="B43" t="s">
        <v>276</v>
      </c>
      <c r="C43" t="s">
        <v>875</v>
      </c>
      <c r="D43" s="500">
        <v>76</v>
      </c>
    </row>
    <row r="44" spans="1:4" x14ac:dyDescent="0.25">
      <c r="A44" t="s">
        <v>202</v>
      </c>
      <c r="B44" t="s">
        <v>278</v>
      </c>
      <c r="C44" t="s">
        <v>876</v>
      </c>
      <c r="D44" s="500">
        <v>222</v>
      </c>
    </row>
    <row r="45" spans="1:4" x14ac:dyDescent="0.25">
      <c r="A45" t="s">
        <v>194</v>
      </c>
      <c r="B45" t="s">
        <v>280</v>
      </c>
      <c r="C45" t="s">
        <v>877</v>
      </c>
      <c r="D45" s="500">
        <v>26</v>
      </c>
    </row>
    <row r="46" spans="1:4" x14ac:dyDescent="0.25">
      <c r="A46" t="s">
        <v>194</v>
      </c>
      <c r="B46" t="s">
        <v>282</v>
      </c>
      <c r="C46" t="s">
        <v>1248</v>
      </c>
      <c r="D46" s="500">
        <v>16</v>
      </c>
    </row>
    <row r="47" spans="1:4" x14ac:dyDescent="0.25">
      <c r="A47" t="s">
        <v>202</v>
      </c>
      <c r="B47" t="s">
        <v>284</v>
      </c>
      <c r="C47" t="s">
        <v>1252</v>
      </c>
      <c r="D47" s="500">
        <v>117</v>
      </c>
    </row>
    <row r="48" spans="1:4" x14ac:dyDescent="0.25">
      <c r="A48" t="s">
        <v>194</v>
      </c>
      <c r="B48" t="s">
        <v>286</v>
      </c>
      <c r="C48" t="s">
        <v>1137</v>
      </c>
      <c r="D48" s="500">
        <v>248</v>
      </c>
    </row>
    <row r="49" spans="1:4" x14ac:dyDescent="0.25">
      <c r="A49" t="s">
        <v>197</v>
      </c>
      <c r="B49" t="s">
        <v>288</v>
      </c>
      <c r="C49" t="s">
        <v>881</v>
      </c>
      <c r="D49" s="500">
        <v>86</v>
      </c>
    </row>
    <row r="50" spans="1:4" x14ac:dyDescent="0.25">
      <c r="A50" t="s">
        <v>197</v>
      </c>
      <c r="B50" t="s">
        <v>290</v>
      </c>
      <c r="C50" t="s">
        <v>882</v>
      </c>
      <c r="D50" s="500">
        <v>46</v>
      </c>
    </row>
    <row r="51" spans="1:4" x14ac:dyDescent="0.25">
      <c r="A51" t="s">
        <v>189</v>
      </c>
      <c r="B51" t="s">
        <v>292</v>
      </c>
      <c r="C51" t="s">
        <v>883</v>
      </c>
      <c r="D51" s="500">
        <v>22</v>
      </c>
    </row>
    <row r="52" spans="1:4" x14ac:dyDescent="0.25">
      <c r="A52" t="s">
        <v>231</v>
      </c>
      <c r="B52" t="s">
        <v>294</v>
      </c>
      <c r="C52" t="s">
        <v>1228</v>
      </c>
      <c r="D52" s="500">
        <v>17</v>
      </c>
    </row>
    <row r="53" spans="1:4" x14ac:dyDescent="0.25">
      <c r="A53" t="s">
        <v>197</v>
      </c>
      <c r="B53" t="s">
        <v>296</v>
      </c>
      <c r="C53" t="s">
        <v>885</v>
      </c>
      <c r="D53" s="500">
        <v>147</v>
      </c>
    </row>
    <row r="54" spans="1:4" x14ac:dyDescent="0.25">
      <c r="A54" t="s">
        <v>228</v>
      </c>
      <c r="B54" t="s">
        <v>298</v>
      </c>
      <c r="C54" t="s">
        <v>886</v>
      </c>
      <c r="D54" s="500">
        <v>32</v>
      </c>
    </row>
    <row r="55" spans="1:4" x14ac:dyDescent="0.25">
      <c r="A55" t="s">
        <v>194</v>
      </c>
      <c r="B55" t="s">
        <v>300</v>
      </c>
      <c r="C55" t="s">
        <v>887</v>
      </c>
      <c r="D55" s="500">
        <v>17</v>
      </c>
    </row>
    <row r="56" spans="1:4" x14ac:dyDescent="0.25">
      <c r="A56" t="s">
        <v>194</v>
      </c>
      <c r="B56" t="s">
        <v>302</v>
      </c>
      <c r="C56" t="s">
        <v>888</v>
      </c>
      <c r="D56" s="500">
        <v>26</v>
      </c>
    </row>
    <row r="57" spans="1:4" x14ac:dyDescent="0.25">
      <c r="A57" t="s">
        <v>194</v>
      </c>
      <c r="B57" t="s">
        <v>304</v>
      </c>
      <c r="C57" t="s">
        <v>889</v>
      </c>
      <c r="D57" s="500">
        <v>49</v>
      </c>
    </row>
    <row r="58" spans="1:4" x14ac:dyDescent="0.25">
      <c r="A58" t="s">
        <v>221</v>
      </c>
      <c r="B58" t="s">
        <v>306</v>
      </c>
      <c r="C58" t="s">
        <v>1138</v>
      </c>
      <c r="D58" s="500">
        <v>2</v>
      </c>
    </row>
    <row r="59" spans="1:4" x14ac:dyDescent="0.25">
      <c r="A59" t="s">
        <v>197</v>
      </c>
      <c r="B59" t="s">
        <v>308</v>
      </c>
      <c r="C59" t="s">
        <v>892</v>
      </c>
      <c r="D59" s="500">
        <v>73</v>
      </c>
    </row>
    <row r="60" spans="1:4" x14ac:dyDescent="0.25">
      <c r="A60" t="s">
        <v>194</v>
      </c>
      <c r="B60" t="s">
        <v>310</v>
      </c>
      <c r="C60" t="s">
        <v>893</v>
      </c>
      <c r="D60" s="500">
        <v>75</v>
      </c>
    </row>
    <row r="61" spans="1:4" x14ac:dyDescent="0.25">
      <c r="A61" t="s">
        <v>202</v>
      </c>
      <c r="B61" t="s">
        <v>312</v>
      </c>
      <c r="C61" t="s">
        <v>894</v>
      </c>
      <c r="D61" s="500">
        <v>48</v>
      </c>
    </row>
    <row r="62" spans="1:4" x14ac:dyDescent="0.25">
      <c r="A62" t="s">
        <v>194</v>
      </c>
      <c r="B62" t="s">
        <v>314</v>
      </c>
      <c r="C62" t="s">
        <v>895</v>
      </c>
      <c r="D62" s="500">
        <v>312</v>
      </c>
    </row>
    <row r="63" spans="1:4" x14ac:dyDescent="0.25">
      <c r="A63" t="s">
        <v>205</v>
      </c>
      <c r="B63" t="s">
        <v>316</v>
      </c>
      <c r="C63" t="s">
        <v>896</v>
      </c>
      <c r="D63" s="500">
        <v>180</v>
      </c>
    </row>
    <row r="64" spans="1:4" x14ac:dyDescent="0.25">
      <c r="A64" t="s">
        <v>202</v>
      </c>
      <c r="B64" t="s">
        <v>318</v>
      </c>
      <c r="C64" t="s">
        <v>897</v>
      </c>
      <c r="D64" s="500">
        <v>4</v>
      </c>
    </row>
    <row r="65" spans="1:4" x14ac:dyDescent="0.25">
      <c r="A65" t="s">
        <v>194</v>
      </c>
      <c r="B65" t="s">
        <v>320</v>
      </c>
      <c r="C65" t="s">
        <v>1242</v>
      </c>
      <c r="D65" s="500">
        <v>553</v>
      </c>
    </row>
    <row r="66" spans="1:4" x14ac:dyDescent="0.25">
      <c r="A66" t="s">
        <v>221</v>
      </c>
      <c r="B66" t="s">
        <v>322</v>
      </c>
      <c r="C66" t="s">
        <v>1254</v>
      </c>
      <c r="D66" s="500">
        <v>418</v>
      </c>
    </row>
    <row r="67" spans="1:4" x14ac:dyDescent="0.25">
      <c r="A67" t="s">
        <v>231</v>
      </c>
      <c r="B67" t="s">
        <v>324</v>
      </c>
      <c r="C67" t="s">
        <v>900</v>
      </c>
      <c r="D67" s="500">
        <v>735</v>
      </c>
    </row>
    <row r="68" spans="1:4" x14ac:dyDescent="0.25">
      <c r="A68" t="s">
        <v>221</v>
      </c>
      <c r="B68" t="s">
        <v>326</v>
      </c>
      <c r="C68" t="s">
        <v>901</v>
      </c>
      <c r="D68" s="500">
        <v>17</v>
      </c>
    </row>
    <row r="69" spans="1:4" x14ac:dyDescent="0.25">
      <c r="A69" t="s">
        <v>205</v>
      </c>
      <c r="B69" t="s">
        <v>328</v>
      </c>
      <c r="C69" t="s">
        <v>902</v>
      </c>
      <c r="D69" s="500">
        <v>238</v>
      </c>
    </row>
    <row r="70" spans="1:4" x14ac:dyDescent="0.25">
      <c r="A70" t="s">
        <v>197</v>
      </c>
      <c r="B70" t="s">
        <v>330</v>
      </c>
      <c r="C70" t="s">
        <v>903</v>
      </c>
      <c r="D70" s="500">
        <v>3044</v>
      </c>
    </row>
    <row r="71" spans="1:4" x14ac:dyDescent="0.25">
      <c r="A71" t="s">
        <v>221</v>
      </c>
      <c r="B71" t="s">
        <v>332</v>
      </c>
      <c r="C71" t="s">
        <v>904</v>
      </c>
      <c r="D71" s="500">
        <v>401</v>
      </c>
    </row>
    <row r="72" spans="1:4" x14ac:dyDescent="0.25">
      <c r="A72" t="s">
        <v>189</v>
      </c>
      <c r="B72" t="s">
        <v>334</v>
      </c>
      <c r="C72" t="s">
        <v>905</v>
      </c>
      <c r="D72" s="500">
        <v>281</v>
      </c>
    </row>
    <row r="73" spans="1:4" x14ac:dyDescent="0.25">
      <c r="A73" t="s">
        <v>194</v>
      </c>
      <c r="B73" t="s">
        <v>336</v>
      </c>
      <c r="C73" t="s">
        <v>906</v>
      </c>
      <c r="D73" s="500">
        <v>15</v>
      </c>
    </row>
    <row r="74" spans="1:4" x14ac:dyDescent="0.25">
      <c r="A74" t="s">
        <v>231</v>
      </c>
      <c r="B74" t="s">
        <v>338</v>
      </c>
      <c r="C74" t="s">
        <v>907</v>
      </c>
      <c r="D74" s="500">
        <v>37</v>
      </c>
    </row>
    <row r="75" spans="1:4" x14ac:dyDescent="0.25">
      <c r="A75" t="s">
        <v>205</v>
      </c>
      <c r="B75" t="s">
        <v>340</v>
      </c>
      <c r="C75" t="s">
        <v>908</v>
      </c>
      <c r="D75" s="500">
        <v>686</v>
      </c>
    </row>
    <row r="76" spans="1:4" x14ac:dyDescent="0.25">
      <c r="A76" t="s">
        <v>231</v>
      </c>
      <c r="B76" t="s">
        <v>342</v>
      </c>
      <c r="C76" t="s">
        <v>909</v>
      </c>
      <c r="D76" s="500">
        <v>357</v>
      </c>
    </row>
    <row r="77" spans="1:4" x14ac:dyDescent="0.25">
      <c r="A77" t="s">
        <v>189</v>
      </c>
      <c r="B77" t="s">
        <v>344</v>
      </c>
      <c r="C77" t="s">
        <v>1139</v>
      </c>
      <c r="D77" s="500">
        <v>8</v>
      </c>
    </row>
    <row r="78" spans="1:4" x14ac:dyDescent="0.25">
      <c r="A78" t="s">
        <v>197</v>
      </c>
      <c r="B78" t="s">
        <v>346</v>
      </c>
      <c r="C78" t="s">
        <v>910</v>
      </c>
      <c r="D78" s="500">
        <v>2648</v>
      </c>
    </row>
    <row r="79" spans="1:4" x14ac:dyDescent="0.25">
      <c r="A79" t="s">
        <v>210</v>
      </c>
      <c r="B79" t="s">
        <v>348</v>
      </c>
      <c r="C79" t="s">
        <v>1227</v>
      </c>
      <c r="D79" s="500">
        <v>3358</v>
      </c>
    </row>
    <row r="80" spans="1:4" x14ac:dyDescent="0.25">
      <c r="A80" t="s">
        <v>194</v>
      </c>
      <c r="B80" t="s">
        <v>350</v>
      </c>
      <c r="C80" t="s">
        <v>1247</v>
      </c>
      <c r="D80" s="500">
        <v>1</v>
      </c>
    </row>
    <row r="81" spans="1:4" x14ac:dyDescent="0.25">
      <c r="A81" t="s">
        <v>205</v>
      </c>
      <c r="B81" t="s">
        <v>352</v>
      </c>
      <c r="C81" t="s">
        <v>913</v>
      </c>
      <c r="D81" s="500">
        <v>3049</v>
      </c>
    </row>
    <row r="82" spans="1:4" x14ac:dyDescent="0.25">
      <c r="A82" t="s">
        <v>197</v>
      </c>
      <c r="B82" t="s">
        <v>354</v>
      </c>
      <c r="C82" t="s">
        <v>914</v>
      </c>
      <c r="D82" s="500">
        <v>689</v>
      </c>
    </row>
    <row r="83" spans="1:4" x14ac:dyDescent="0.25">
      <c r="A83" t="s">
        <v>205</v>
      </c>
      <c r="B83" t="s">
        <v>356</v>
      </c>
      <c r="C83" t="s">
        <v>915</v>
      </c>
      <c r="D83" s="500">
        <v>446</v>
      </c>
    </row>
    <row r="84" spans="1:4" x14ac:dyDescent="0.25">
      <c r="A84" t="s">
        <v>202</v>
      </c>
      <c r="B84" t="s">
        <v>358</v>
      </c>
      <c r="C84" t="s">
        <v>916</v>
      </c>
      <c r="D84" s="500">
        <v>122</v>
      </c>
    </row>
    <row r="85" spans="1:4" x14ac:dyDescent="0.25">
      <c r="A85" t="s">
        <v>205</v>
      </c>
      <c r="B85" t="s">
        <v>360</v>
      </c>
      <c r="C85" t="s">
        <v>917</v>
      </c>
      <c r="D85" s="500">
        <v>1002</v>
      </c>
    </row>
    <row r="86" spans="1:4" x14ac:dyDescent="0.25">
      <c r="A86" t="s">
        <v>194</v>
      </c>
      <c r="B86" t="s">
        <v>362</v>
      </c>
      <c r="C86" t="s">
        <v>918</v>
      </c>
      <c r="D86" s="500">
        <v>113</v>
      </c>
    </row>
    <row r="87" spans="1:4" x14ac:dyDescent="0.25">
      <c r="A87" t="s">
        <v>194</v>
      </c>
      <c r="B87" t="s">
        <v>364</v>
      </c>
      <c r="C87" t="s">
        <v>919</v>
      </c>
      <c r="D87" s="500">
        <v>18</v>
      </c>
    </row>
    <row r="88" spans="1:4" x14ac:dyDescent="0.25">
      <c r="A88" t="s">
        <v>210</v>
      </c>
      <c r="B88" t="s">
        <v>366</v>
      </c>
      <c r="C88" t="s">
        <v>920</v>
      </c>
      <c r="D88" s="500">
        <v>11</v>
      </c>
    </row>
    <row r="89" spans="1:4" x14ac:dyDescent="0.25">
      <c r="A89" t="s">
        <v>221</v>
      </c>
      <c r="B89" t="s">
        <v>368</v>
      </c>
      <c r="C89" t="s">
        <v>921</v>
      </c>
      <c r="D89" s="500">
        <v>259</v>
      </c>
    </row>
    <row r="90" spans="1:4" x14ac:dyDescent="0.25">
      <c r="A90" t="s">
        <v>231</v>
      </c>
      <c r="B90" t="s">
        <v>370</v>
      </c>
      <c r="C90" t="s">
        <v>922</v>
      </c>
      <c r="D90" s="500">
        <v>110</v>
      </c>
    </row>
    <row r="91" spans="1:4" x14ac:dyDescent="0.25">
      <c r="A91" t="s">
        <v>221</v>
      </c>
      <c r="B91" t="s">
        <v>372</v>
      </c>
      <c r="C91" t="s">
        <v>923</v>
      </c>
      <c r="D91" s="500">
        <v>524</v>
      </c>
    </row>
    <row r="92" spans="1:4" x14ac:dyDescent="0.25">
      <c r="A92" t="s">
        <v>221</v>
      </c>
      <c r="B92" t="s">
        <v>374</v>
      </c>
      <c r="C92" t="s">
        <v>924</v>
      </c>
      <c r="D92" s="500">
        <v>201</v>
      </c>
    </row>
    <row r="93" spans="1:4" x14ac:dyDescent="0.25">
      <c r="A93" t="s">
        <v>197</v>
      </c>
      <c r="B93" t="s">
        <v>376</v>
      </c>
      <c r="C93" t="s">
        <v>925</v>
      </c>
      <c r="D93" s="500">
        <v>400</v>
      </c>
    </row>
    <row r="94" spans="1:4" x14ac:dyDescent="0.25">
      <c r="A94" t="s">
        <v>189</v>
      </c>
      <c r="B94" t="s">
        <v>378</v>
      </c>
      <c r="C94" t="s">
        <v>1140</v>
      </c>
      <c r="D94" s="500">
        <v>26</v>
      </c>
    </row>
    <row r="95" spans="1:4" x14ac:dyDescent="0.25">
      <c r="A95" t="s">
        <v>194</v>
      </c>
      <c r="B95" t="s">
        <v>380</v>
      </c>
      <c r="C95" t="s">
        <v>926</v>
      </c>
      <c r="D95" s="500">
        <v>7</v>
      </c>
    </row>
    <row r="96" spans="1:4" x14ac:dyDescent="0.25">
      <c r="A96" t="s">
        <v>210</v>
      </c>
      <c r="B96" t="s">
        <v>384</v>
      </c>
      <c r="C96" t="s">
        <v>927</v>
      </c>
      <c r="D96" s="500">
        <v>17</v>
      </c>
    </row>
    <row r="97" spans="1:4" x14ac:dyDescent="0.25">
      <c r="A97" t="s">
        <v>189</v>
      </c>
      <c r="B97" t="s">
        <v>386</v>
      </c>
      <c r="C97" t="s">
        <v>928</v>
      </c>
      <c r="D97" s="500">
        <v>97</v>
      </c>
    </row>
    <row r="98" spans="1:4" x14ac:dyDescent="0.25">
      <c r="A98" t="s">
        <v>194</v>
      </c>
      <c r="B98" t="s">
        <v>388</v>
      </c>
      <c r="C98" t="s">
        <v>929</v>
      </c>
      <c r="D98" s="500">
        <v>23</v>
      </c>
    </row>
    <row r="99" spans="1:4" x14ac:dyDescent="0.25">
      <c r="A99" t="s">
        <v>221</v>
      </c>
      <c r="B99" t="s">
        <v>390</v>
      </c>
      <c r="C99" t="s">
        <v>930</v>
      </c>
      <c r="D99" s="500">
        <v>141</v>
      </c>
    </row>
    <row r="100" spans="1:4" x14ac:dyDescent="0.25">
      <c r="A100" t="s">
        <v>205</v>
      </c>
      <c r="B100" t="s">
        <v>392</v>
      </c>
      <c r="C100" t="s">
        <v>931</v>
      </c>
      <c r="D100" s="500">
        <v>2782</v>
      </c>
    </row>
    <row r="101" spans="1:4" x14ac:dyDescent="0.25">
      <c r="A101" t="s">
        <v>210</v>
      </c>
      <c r="B101" t="s">
        <v>394</v>
      </c>
      <c r="C101" t="s">
        <v>932</v>
      </c>
      <c r="D101" s="500">
        <v>161</v>
      </c>
    </row>
    <row r="102" spans="1:4" x14ac:dyDescent="0.25">
      <c r="A102" t="s">
        <v>189</v>
      </c>
      <c r="B102" t="s">
        <v>396</v>
      </c>
      <c r="C102" t="s">
        <v>933</v>
      </c>
      <c r="D102" s="500">
        <v>42</v>
      </c>
    </row>
    <row r="103" spans="1:4" x14ac:dyDescent="0.25">
      <c r="A103" t="s">
        <v>189</v>
      </c>
      <c r="B103" t="s">
        <v>398</v>
      </c>
      <c r="C103" t="s">
        <v>934</v>
      </c>
      <c r="D103" s="500">
        <v>274</v>
      </c>
    </row>
    <row r="104" spans="1:4" x14ac:dyDescent="0.25">
      <c r="A104" t="s">
        <v>205</v>
      </c>
      <c r="B104" t="s">
        <v>400</v>
      </c>
      <c r="C104" t="s">
        <v>1439</v>
      </c>
      <c r="D104" s="500">
        <v>17</v>
      </c>
    </row>
    <row r="105" spans="1:4" x14ac:dyDescent="0.25">
      <c r="A105" t="s">
        <v>194</v>
      </c>
      <c r="B105" t="s">
        <v>403</v>
      </c>
      <c r="C105" t="s">
        <v>935</v>
      </c>
      <c r="D105" s="500">
        <v>24</v>
      </c>
    </row>
    <row r="106" spans="1:4" x14ac:dyDescent="0.25">
      <c r="A106" t="s">
        <v>197</v>
      </c>
      <c r="B106" t="s">
        <v>405</v>
      </c>
      <c r="C106" t="s">
        <v>936</v>
      </c>
      <c r="D106" s="500">
        <v>5</v>
      </c>
    </row>
    <row r="107" spans="1:4" x14ac:dyDescent="0.25">
      <c r="A107" t="s">
        <v>205</v>
      </c>
      <c r="B107" t="s">
        <v>407</v>
      </c>
      <c r="C107" t="s">
        <v>937</v>
      </c>
      <c r="D107" s="500">
        <v>1661</v>
      </c>
    </row>
    <row r="108" spans="1:4" hidden="1" x14ac:dyDescent="0.25">
      <c r="A108" t="s">
        <v>205</v>
      </c>
      <c r="B108" t="s">
        <v>1272</v>
      </c>
      <c r="C108" t="s">
        <v>1273</v>
      </c>
      <c r="D108">
        <v>18</v>
      </c>
    </row>
    <row r="109" spans="1:4" x14ac:dyDescent="0.25">
      <c r="A109" t="s">
        <v>202</v>
      </c>
      <c r="B109" t="s">
        <v>409</v>
      </c>
      <c r="C109" t="s">
        <v>938</v>
      </c>
      <c r="D109" s="500">
        <v>6</v>
      </c>
    </row>
    <row r="110" spans="1:4" x14ac:dyDescent="0.25">
      <c r="A110" t="s">
        <v>210</v>
      </c>
      <c r="B110" t="s">
        <v>411</v>
      </c>
      <c r="C110" t="s">
        <v>1274</v>
      </c>
      <c r="D110" s="500">
        <v>189</v>
      </c>
    </row>
    <row r="111" spans="1:4" x14ac:dyDescent="0.25">
      <c r="A111" t="s">
        <v>194</v>
      </c>
      <c r="B111" t="s">
        <v>413</v>
      </c>
      <c r="C111" t="s">
        <v>939</v>
      </c>
      <c r="D111" s="500">
        <v>3</v>
      </c>
    </row>
    <row r="112" spans="1:4" x14ac:dyDescent="0.25">
      <c r="A112" t="s">
        <v>210</v>
      </c>
      <c r="B112" t="s">
        <v>415</v>
      </c>
      <c r="C112" t="s">
        <v>940</v>
      </c>
      <c r="D112" s="500">
        <v>722</v>
      </c>
    </row>
    <row r="113" spans="1:4" x14ac:dyDescent="0.25">
      <c r="A113" t="s">
        <v>202</v>
      </c>
      <c r="B113" t="s">
        <v>417</v>
      </c>
      <c r="C113" t="s">
        <v>941</v>
      </c>
      <c r="D113" s="500">
        <v>2225</v>
      </c>
    </row>
    <row r="114" spans="1:4" x14ac:dyDescent="0.25">
      <c r="A114" t="s">
        <v>205</v>
      </c>
      <c r="B114" t="s">
        <v>419</v>
      </c>
      <c r="C114" t="s">
        <v>942</v>
      </c>
      <c r="D114" s="500">
        <v>2880</v>
      </c>
    </row>
    <row r="115" spans="1:4" x14ac:dyDescent="0.25">
      <c r="A115" t="s">
        <v>194</v>
      </c>
      <c r="B115" t="s">
        <v>421</v>
      </c>
      <c r="C115" t="s">
        <v>943</v>
      </c>
      <c r="D115" s="500">
        <v>153</v>
      </c>
    </row>
    <row r="116" spans="1:4" x14ac:dyDescent="0.25">
      <c r="A116" t="s">
        <v>202</v>
      </c>
      <c r="B116" t="s">
        <v>423</v>
      </c>
      <c r="C116" t="s">
        <v>1226</v>
      </c>
      <c r="D116" s="500">
        <v>183</v>
      </c>
    </row>
    <row r="117" spans="1:4" x14ac:dyDescent="0.25">
      <c r="A117" t="s">
        <v>221</v>
      </c>
      <c r="B117" t="s">
        <v>425</v>
      </c>
      <c r="C117" t="s">
        <v>945</v>
      </c>
      <c r="D117" s="500">
        <v>95</v>
      </c>
    </row>
    <row r="118" spans="1:4" x14ac:dyDescent="0.25">
      <c r="A118" t="s">
        <v>210</v>
      </c>
      <c r="B118" t="s">
        <v>427</v>
      </c>
      <c r="C118" t="s">
        <v>1141</v>
      </c>
      <c r="D118" s="500">
        <v>5</v>
      </c>
    </row>
    <row r="119" spans="1:4" x14ac:dyDescent="0.25">
      <c r="A119" t="s">
        <v>210</v>
      </c>
      <c r="B119" t="s">
        <v>429</v>
      </c>
      <c r="C119" t="s">
        <v>946</v>
      </c>
      <c r="D119" s="500">
        <v>220</v>
      </c>
    </row>
    <row r="120" spans="1:4" x14ac:dyDescent="0.25">
      <c r="A120" t="s">
        <v>197</v>
      </c>
      <c r="B120" t="s">
        <v>431</v>
      </c>
      <c r="C120" t="s">
        <v>947</v>
      </c>
      <c r="D120" s="500">
        <v>92</v>
      </c>
    </row>
    <row r="121" spans="1:4" x14ac:dyDescent="0.25">
      <c r="A121" t="s">
        <v>194</v>
      </c>
      <c r="B121" t="s">
        <v>433</v>
      </c>
      <c r="C121" t="s">
        <v>1142</v>
      </c>
      <c r="D121" s="500">
        <v>10</v>
      </c>
    </row>
    <row r="122" spans="1:4" x14ac:dyDescent="0.25">
      <c r="A122" t="s">
        <v>231</v>
      </c>
      <c r="B122" t="s">
        <v>435</v>
      </c>
      <c r="C122" t="s">
        <v>948</v>
      </c>
      <c r="D122" s="500">
        <v>131</v>
      </c>
    </row>
    <row r="123" spans="1:4" x14ac:dyDescent="0.25">
      <c r="A123" t="s">
        <v>189</v>
      </c>
      <c r="B123" t="s">
        <v>437</v>
      </c>
      <c r="C123" t="s">
        <v>1143</v>
      </c>
      <c r="D123" s="500">
        <v>29</v>
      </c>
    </row>
    <row r="124" spans="1:4" x14ac:dyDescent="0.25">
      <c r="A124" t="s">
        <v>197</v>
      </c>
      <c r="B124" t="s">
        <v>439</v>
      </c>
      <c r="C124" t="s">
        <v>949</v>
      </c>
      <c r="D124" s="500">
        <v>1368</v>
      </c>
    </row>
    <row r="125" spans="1:4" x14ac:dyDescent="0.25">
      <c r="A125" t="s">
        <v>205</v>
      </c>
      <c r="B125" t="s">
        <v>441</v>
      </c>
      <c r="C125" t="s">
        <v>950</v>
      </c>
      <c r="D125" s="500">
        <v>3165</v>
      </c>
    </row>
    <row r="126" spans="1:4" x14ac:dyDescent="0.25">
      <c r="A126" t="s">
        <v>197</v>
      </c>
      <c r="B126" t="s">
        <v>443</v>
      </c>
      <c r="C126" t="s">
        <v>951</v>
      </c>
      <c r="D126" s="500">
        <v>383</v>
      </c>
    </row>
    <row r="127" spans="1:4" x14ac:dyDescent="0.25">
      <c r="A127" t="s">
        <v>194</v>
      </c>
      <c r="B127" t="s">
        <v>445</v>
      </c>
      <c r="C127" t="s">
        <v>952</v>
      </c>
      <c r="D127" s="500">
        <v>8</v>
      </c>
    </row>
    <row r="128" spans="1:4" x14ac:dyDescent="0.25">
      <c r="A128" t="s">
        <v>194</v>
      </c>
      <c r="B128" t="s">
        <v>447</v>
      </c>
      <c r="C128" t="s">
        <v>953</v>
      </c>
      <c r="D128" s="500">
        <v>63</v>
      </c>
    </row>
    <row r="129" spans="1:4" x14ac:dyDescent="0.25">
      <c r="A129" t="s">
        <v>194</v>
      </c>
      <c r="B129" t="s">
        <v>449</v>
      </c>
      <c r="C129" t="s">
        <v>954</v>
      </c>
      <c r="D129" s="500">
        <v>21</v>
      </c>
    </row>
    <row r="130" spans="1:4" x14ac:dyDescent="0.25">
      <c r="A130" t="s">
        <v>210</v>
      </c>
      <c r="B130" t="s">
        <v>451</v>
      </c>
      <c r="C130" t="s">
        <v>955</v>
      </c>
      <c r="D130" s="500">
        <v>1116</v>
      </c>
    </row>
    <row r="131" spans="1:4" x14ac:dyDescent="0.25">
      <c r="A131" t="s">
        <v>194</v>
      </c>
      <c r="B131" t="s">
        <v>453</v>
      </c>
      <c r="C131" t="s">
        <v>956</v>
      </c>
      <c r="D131" s="500">
        <v>11</v>
      </c>
    </row>
    <row r="132" spans="1:4" x14ac:dyDescent="0.25">
      <c r="A132" t="s">
        <v>197</v>
      </c>
      <c r="B132" t="s">
        <v>455</v>
      </c>
      <c r="C132" t="s">
        <v>1240</v>
      </c>
      <c r="D132" s="500">
        <v>40</v>
      </c>
    </row>
    <row r="133" spans="1:4" x14ac:dyDescent="0.25">
      <c r="A133" t="s">
        <v>194</v>
      </c>
      <c r="B133" t="s">
        <v>457</v>
      </c>
      <c r="C133" t="s">
        <v>1440</v>
      </c>
      <c r="D133" s="500">
        <v>7</v>
      </c>
    </row>
    <row r="134" spans="1:4" x14ac:dyDescent="0.25">
      <c r="A134" t="s">
        <v>210</v>
      </c>
      <c r="B134" t="s">
        <v>458</v>
      </c>
      <c r="C134" t="s">
        <v>958</v>
      </c>
      <c r="D134" s="500">
        <v>39</v>
      </c>
    </row>
    <row r="135" spans="1:4" x14ac:dyDescent="0.25">
      <c r="A135" t="s">
        <v>197</v>
      </c>
      <c r="B135" t="s">
        <v>460</v>
      </c>
      <c r="C135" t="s">
        <v>959</v>
      </c>
      <c r="D135" s="500">
        <v>489</v>
      </c>
    </row>
    <row r="136" spans="1:4" x14ac:dyDescent="0.25">
      <c r="A136" t="s">
        <v>221</v>
      </c>
      <c r="B136" t="s">
        <v>462</v>
      </c>
      <c r="C136" t="s">
        <v>960</v>
      </c>
      <c r="D136" s="500">
        <v>94</v>
      </c>
    </row>
    <row r="137" spans="1:4" x14ac:dyDescent="0.25">
      <c r="A137" t="s">
        <v>231</v>
      </c>
      <c r="B137" t="s">
        <v>464</v>
      </c>
      <c r="C137" t="s">
        <v>961</v>
      </c>
      <c r="D137" s="500">
        <v>12</v>
      </c>
    </row>
    <row r="138" spans="1:4" x14ac:dyDescent="0.25">
      <c r="A138" t="s">
        <v>231</v>
      </c>
      <c r="B138" t="s">
        <v>466</v>
      </c>
      <c r="C138" t="s">
        <v>962</v>
      </c>
      <c r="D138" s="500">
        <v>84</v>
      </c>
    </row>
    <row r="139" spans="1:4" x14ac:dyDescent="0.25">
      <c r="A139" t="s">
        <v>189</v>
      </c>
      <c r="B139" t="s">
        <v>468</v>
      </c>
      <c r="C139" t="s">
        <v>1235</v>
      </c>
      <c r="D139" s="500">
        <v>310</v>
      </c>
    </row>
    <row r="140" spans="1:4" x14ac:dyDescent="0.25">
      <c r="A140" t="s">
        <v>194</v>
      </c>
      <c r="B140" t="s">
        <v>470</v>
      </c>
      <c r="C140" t="s">
        <v>964</v>
      </c>
      <c r="D140" s="500">
        <v>79</v>
      </c>
    </row>
    <row r="141" spans="1:4" x14ac:dyDescent="0.25">
      <c r="A141" t="s">
        <v>197</v>
      </c>
      <c r="B141" t="s">
        <v>472</v>
      </c>
      <c r="C141" t="s">
        <v>965</v>
      </c>
      <c r="D141" s="500">
        <v>1712</v>
      </c>
    </row>
    <row r="142" spans="1:4" x14ac:dyDescent="0.25">
      <c r="A142" t="s">
        <v>189</v>
      </c>
      <c r="B142" t="s">
        <v>474</v>
      </c>
      <c r="C142" t="s">
        <v>1229</v>
      </c>
      <c r="D142" s="500">
        <v>71</v>
      </c>
    </row>
    <row r="143" spans="1:4" x14ac:dyDescent="0.25">
      <c r="A143" t="s">
        <v>194</v>
      </c>
      <c r="B143" t="s">
        <v>476</v>
      </c>
      <c r="C143" t="s">
        <v>967</v>
      </c>
      <c r="D143" s="500">
        <v>1348</v>
      </c>
    </row>
    <row r="144" spans="1:4" x14ac:dyDescent="0.25">
      <c r="A144" t="s">
        <v>194</v>
      </c>
      <c r="B144" t="s">
        <v>478</v>
      </c>
      <c r="C144" t="s">
        <v>968</v>
      </c>
      <c r="D144" s="500">
        <v>218</v>
      </c>
    </row>
    <row r="145" spans="1:4" x14ac:dyDescent="0.25">
      <c r="A145" t="s">
        <v>205</v>
      </c>
      <c r="B145" t="s">
        <v>480</v>
      </c>
      <c r="C145" t="s">
        <v>969</v>
      </c>
      <c r="D145" s="500">
        <v>420</v>
      </c>
    </row>
    <row r="146" spans="1:4" x14ac:dyDescent="0.25">
      <c r="A146" t="s">
        <v>197</v>
      </c>
      <c r="B146" t="s">
        <v>482</v>
      </c>
      <c r="C146" t="s">
        <v>970</v>
      </c>
      <c r="D146" s="500">
        <v>207</v>
      </c>
    </row>
    <row r="147" spans="1:4" x14ac:dyDescent="0.25">
      <c r="A147" t="s">
        <v>231</v>
      </c>
      <c r="B147" t="s">
        <v>484</v>
      </c>
      <c r="C147" t="s">
        <v>971</v>
      </c>
      <c r="D147" s="500">
        <v>84</v>
      </c>
    </row>
    <row r="148" spans="1:4" x14ac:dyDescent="0.25">
      <c r="A148" t="s">
        <v>210</v>
      </c>
      <c r="B148" t="s">
        <v>486</v>
      </c>
      <c r="C148" t="s">
        <v>972</v>
      </c>
      <c r="D148" s="500">
        <v>8</v>
      </c>
    </row>
    <row r="149" spans="1:4" x14ac:dyDescent="0.25">
      <c r="A149" t="s">
        <v>197</v>
      </c>
      <c r="B149" t="s">
        <v>488</v>
      </c>
      <c r="C149" t="s">
        <v>973</v>
      </c>
      <c r="D149" s="500">
        <v>743</v>
      </c>
    </row>
    <row r="150" spans="1:4" x14ac:dyDescent="0.25">
      <c r="A150" t="s">
        <v>189</v>
      </c>
      <c r="B150" t="s">
        <v>490</v>
      </c>
      <c r="C150" t="s">
        <v>974</v>
      </c>
      <c r="D150" s="500">
        <v>211</v>
      </c>
    </row>
    <row r="151" spans="1:4" x14ac:dyDescent="0.25">
      <c r="A151" t="s">
        <v>189</v>
      </c>
      <c r="B151" t="s">
        <v>492</v>
      </c>
      <c r="C151" t="s">
        <v>975</v>
      </c>
      <c r="D151" s="500">
        <v>52</v>
      </c>
    </row>
    <row r="152" spans="1:4" x14ac:dyDescent="0.25">
      <c r="A152" t="s">
        <v>231</v>
      </c>
      <c r="B152" t="s">
        <v>494</v>
      </c>
      <c r="C152" t="s">
        <v>976</v>
      </c>
      <c r="D152" s="500">
        <v>1144</v>
      </c>
    </row>
    <row r="153" spans="1:4" x14ac:dyDescent="0.25">
      <c r="A153" t="s">
        <v>189</v>
      </c>
      <c r="B153" t="s">
        <v>496</v>
      </c>
      <c r="C153" t="s">
        <v>977</v>
      </c>
      <c r="D153" s="500">
        <v>100</v>
      </c>
    </row>
    <row r="154" spans="1:4" x14ac:dyDescent="0.25">
      <c r="A154" t="s">
        <v>221</v>
      </c>
      <c r="B154" t="s">
        <v>498</v>
      </c>
      <c r="C154" t="s">
        <v>978</v>
      </c>
      <c r="D154" s="500">
        <v>117</v>
      </c>
    </row>
    <row r="155" spans="1:4" x14ac:dyDescent="0.25">
      <c r="A155" t="s">
        <v>197</v>
      </c>
      <c r="B155" t="s">
        <v>500</v>
      </c>
      <c r="C155" t="s">
        <v>979</v>
      </c>
      <c r="D155" s="500">
        <v>325</v>
      </c>
    </row>
    <row r="156" spans="1:4" x14ac:dyDescent="0.25">
      <c r="A156" t="s">
        <v>210</v>
      </c>
      <c r="B156" t="s">
        <v>502</v>
      </c>
      <c r="C156" t="s">
        <v>980</v>
      </c>
      <c r="D156" s="500">
        <v>7</v>
      </c>
    </row>
    <row r="157" spans="1:4" x14ac:dyDescent="0.25">
      <c r="A157" t="s">
        <v>197</v>
      </c>
      <c r="B157" t="s">
        <v>504</v>
      </c>
      <c r="C157" t="s">
        <v>981</v>
      </c>
      <c r="D157" s="500">
        <v>957</v>
      </c>
    </row>
    <row r="158" spans="1:4" x14ac:dyDescent="0.25">
      <c r="A158" t="s">
        <v>197</v>
      </c>
      <c r="B158" t="s">
        <v>506</v>
      </c>
      <c r="C158" t="s">
        <v>982</v>
      </c>
      <c r="D158" s="500">
        <v>2081</v>
      </c>
    </row>
    <row r="159" spans="1:4" x14ac:dyDescent="0.25">
      <c r="A159" t="s">
        <v>221</v>
      </c>
      <c r="B159" t="s">
        <v>508</v>
      </c>
      <c r="C159" t="s">
        <v>983</v>
      </c>
      <c r="D159" s="500">
        <v>163</v>
      </c>
    </row>
    <row r="160" spans="1:4" x14ac:dyDescent="0.25">
      <c r="A160" t="s">
        <v>189</v>
      </c>
      <c r="B160" t="s">
        <v>510</v>
      </c>
      <c r="C160" t="s">
        <v>984</v>
      </c>
      <c r="D160" s="500">
        <v>88</v>
      </c>
    </row>
    <row r="161" spans="1:4" x14ac:dyDescent="0.25">
      <c r="A161" t="s">
        <v>210</v>
      </c>
      <c r="B161" t="s">
        <v>512</v>
      </c>
      <c r="C161" t="s">
        <v>985</v>
      </c>
      <c r="D161" s="500">
        <v>51</v>
      </c>
    </row>
    <row r="162" spans="1:4" hidden="1" x14ac:dyDescent="0.25">
      <c r="A162" t="s">
        <v>210</v>
      </c>
      <c r="B162" t="s">
        <v>1276</v>
      </c>
      <c r="C162" t="s">
        <v>1277</v>
      </c>
      <c r="D162">
        <v>17</v>
      </c>
    </row>
    <row r="163" spans="1:4" x14ac:dyDescent="0.25">
      <c r="A163" t="s">
        <v>231</v>
      </c>
      <c r="B163" t="s">
        <v>514</v>
      </c>
      <c r="C163" t="s">
        <v>986</v>
      </c>
      <c r="D163" s="500">
        <v>30</v>
      </c>
    </row>
    <row r="164" spans="1:4" x14ac:dyDescent="0.25">
      <c r="A164" t="s">
        <v>194</v>
      </c>
      <c r="B164" t="s">
        <v>516</v>
      </c>
      <c r="C164" t="s">
        <v>987</v>
      </c>
      <c r="D164" s="500">
        <v>168</v>
      </c>
    </row>
    <row r="165" spans="1:4" x14ac:dyDescent="0.25">
      <c r="A165" t="s">
        <v>194</v>
      </c>
      <c r="B165" t="s">
        <v>518</v>
      </c>
      <c r="C165" t="s">
        <v>988</v>
      </c>
      <c r="D165" s="500">
        <v>196</v>
      </c>
    </row>
    <row r="166" spans="1:4" x14ac:dyDescent="0.25">
      <c r="A166" t="s">
        <v>197</v>
      </c>
      <c r="B166" t="s">
        <v>520</v>
      </c>
      <c r="C166" t="s">
        <v>989</v>
      </c>
      <c r="D166" s="500">
        <v>347</v>
      </c>
    </row>
    <row r="167" spans="1:4" x14ac:dyDescent="0.25">
      <c r="A167" t="s">
        <v>189</v>
      </c>
      <c r="B167" t="s">
        <v>522</v>
      </c>
      <c r="C167" t="s">
        <v>990</v>
      </c>
      <c r="D167" s="500">
        <v>127</v>
      </c>
    </row>
    <row r="168" spans="1:4" x14ac:dyDescent="0.25">
      <c r="A168" t="s">
        <v>202</v>
      </c>
      <c r="B168" t="s">
        <v>524</v>
      </c>
      <c r="C168" t="s">
        <v>991</v>
      </c>
      <c r="D168" s="500">
        <v>296</v>
      </c>
    </row>
    <row r="169" spans="1:4" x14ac:dyDescent="0.25">
      <c r="A169" t="s">
        <v>228</v>
      </c>
      <c r="B169" t="s">
        <v>526</v>
      </c>
      <c r="C169" t="s">
        <v>992</v>
      </c>
      <c r="D169" s="500">
        <v>801</v>
      </c>
    </row>
    <row r="170" spans="1:4" x14ac:dyDescent="0.25">
      <c r="A170" t="s">
        <v>228</v>
      </c>
      <c r="B170" t="s">
        <v>528</v>
      </c>
      <c r="C170" t="s">
        <v>993</v>
      </c>
      <c r="D170" s="500">
        <v>378</v>
      </c>
    </row>
    <row r="171" spans="1:4" x14ac:dyDescent="0.25">
      <c r="A171" t="s">
        <v>189</v>
      </c>
      <c r="B171" t="s">
        <v>530</v>
      </c>
      <c r="C171" t="s">
        <v>994</v>
      </c>
      <c r="D171" s="500">
        <v>9</v>
      </c>
    </row>
    <row r="172" spans="1:4" x14ac:dyDescent="0.25">
      <c r="A172" t="s">
        <v>189</v>
      </c>
      <c r="B172" t="s">
        <v>532</v>
      </c>
      <c r="C172" t="s">
        <v>995</v>
      </c>
      <c r="D172" s="500">
        <v>2223</v>
      </c>
    </row>
    <row r="173" spans="1:4" x14ac:dyDescent="0.25">
      <c r="A173" t="s">
        <v>194</v>
      </c>
      <c r="B173" t="s">
        <v>534</v>
      </c>
      <c r="C173" t="s">
        <v>996</v>
      </c>
      <c r="D173" s="500">
        <v>25</v>
      </c>
    </row>
    <row r="174" spans="1:4" x14ac:dyDescent="0.25">
      <c r="A174" t="s">
        <v>205</v>
      </c>
      <c r="B174" t="s">
        <v>536</v>
      </c>
      <c r="C174" t="s">
        <v>997</v>
      </c>
      <c r="D174" s="500">
        <v>2846</v>
      </c>
    </row>
    <row r="175" spans="1:4" x14ac:dyDescent="0.25">
      <c r="A175" t="s">
        <v>197</v>
      </c>
      <c r="B175" t="s">
        <v>538</v>
      </c>
      <c r="C175" t="s">
        <v>998</v>
      </c>
      <c r="D175" s="500">
        <v>1005</v>
      </c>
    </row>
    <row r="176" spans="1:4" x14ac:dyDescent="0.25">
      <c r="A176" t="s">
        <v>194</v>
      </c>
      <c r="B176" t="s">
        <v>540</v>
      </c>
      <c r="C176" t="s">
        <v>999</v>
      </c>
      <c r="D176" s="500">
        <v>20</v>
      </c>
    </row>
    <row r="177" spans="1:4" x14ac:dyDescent="0.25">
      <c r="A177" t="s">
        <v>189</v>
      </c>
      <c r="B177" t="s">
        <v>542</v>
      </c>
      <c r="C177" t="s">
        <v>1000</v>
      </c>
      <c r="D177" s="500">
        <v>62</v>
      </c>
    </row>
    <row r="178" spans="1:4" x14ac:dyDescent="0.25">
      <c r="A178" t="s">
        <v>210</v>
      </c>
      <c r="B178" t="s">
        <v>544</v>
      </c>
      <c r="C178" t="s">
        <v>1001</v>
      </c>
      <c r="D178" s="500">
        <v>240</v>
      </c>
    </row>
    <row r="179" spans="1:4" x14ac:dyDescent="0.25">
      <c r="A179" t="s">
        <v>189</v>
      </c>
      <c r="B179" t="s">
        <v>546</v>
      </c>
      <c r="C179" t="s">
        <v>1002</v>
      </c>
      <c r="D179" s="500">
        <v>75</v>
      </c>
    </row>
    <row r="180" spans="1:4" x14ac:dyDescent="0.25">
      <c r="A180" t="s">
        <v>194</v>
      </c>
      <c r="B180" t="s">
        <v>548</v>
      </c>
      <c r="C180" t="s">
        <v>1003</v>
      </c>
      <c r="D180" s="500">
        <v>24</v>
      </c>
    </row>
    <row r="181" spans="1:4" x14ac:dyDescent="0.25">
      <c r="A181" t="s">
        <v>231</v>
      </c>
      <c r="B181" t="s">
        <v>550</v>
      </c>
      <c r="C181" t="s">
        <v>1004</v>
      </c>
      <c r="D181" s="500">
        <v>172</v>
      </c>
    </row>
    <row r="182" spans="1:4" x14ac:dyDescent="0.25">
      <c r="A182" t="s">
        <v>189</v>
      </c>
      <c r="B182" t="s">
        <v>552</v>
      </c>
      <c r="C182" t="s">
        <v>1005</v>
      </c>
      <c r="D182" s="500">
        <v>1438</v>
      </c>
    </row>
    <row r="183" spans="1:4" hidden="1" x14ac:dyDescent="0.25">
      <c r="A183" t="s">
        <v>228</v>
      </c>
      <c r="B183" t="s">
        <v>1278</v>
      </c>
      <c r="C183" t="s">
        <v>1279</v>
      </c>
      <c r="D183">
        <v>2</v>
      </c>
    </row>
    <row r="184" spans="1:4" x14ac:dyDescent="0.25">
      <c r="A184" t="s">
        <v>231</v>
      </c>
      <c r="B184" t="s">
        <v>554</v>
      </c>
      <c r="C184" t="s">
        <v>1006</v>
      </c>
      <c r="D184" s="500">
        <v>1081</v>
      </c>
    </row>
    <row r="185" spans="1:4" x14ac:dyDescent="0.25">
      <c r="A185" t="s">
        <v>189</v>
      </c>
      <c r="B185" t="s">
        <v>556</v>
      </c>
      <c r="C185" t="s">
        <v>1007</v>
      </c>
      <c r="D185" s="500">
        <v>130</v>
      </c>
    </row>
    <row r="186" spans="1:4" x14ac:dyDescent="0.25">
      <c r="A186" t="s">
        <v>194</v>
      </c>
      <c r="B186" t="s">
        <v>558</v>
      </c>
      <c r="C186" t="s">
        <v>1008</v>
      </c>
      <c r="D186" s="500">
        <v>3</v>
      </c>
    </row>
    <row r="187" spans="1:4" x14ac:dyDescent="0.25">
      <c r="A187" t="s">
        <v>197</v>
      </c>
      <c r="B187" t="s">
        <v>560</v>
      </c>
      <c r="C187" t="s">
        <v>1009</v>
      </c>
      <c r="D187" s="500">
        <v>100</v>
      </c>
    </row>
    <row r="188" spans="1:4" x14ac:dyDescent="0.25">
      <c r="A188" t="s">
        <v>194</v>
      </c>
      <c r="B188" t="s">
        <v>562</v>
      </c>
      <c r="C188" t="s">
        <v>1010</v>
      </c>
      <c r="D188" s="500">
        <v>3</v>
      </c>
    </row>
    <row r="189" spans="1:4" x14ac:dyDescent="0.25">
      <c r="A189" t="s">
        <v>194</v>
      </c>
      <c r="B189" t="s">
        <v>564</v>
      </c>
      <c r="C189" t="s">
        <v>1011</v>
      </c>
      <c r="D189" s="500">
        <v>9</v>
      </c>
    </row>
    <row r="190" spans="1:4" x14ac:dyDescent="0.25">
      <c r="A190" t="s">
        <v>231</v>
      </c>
      <c r="B190" t="s">
        <v>566</v>
      </c>
      <c r="C190" t="s">
        <v>1012</v>
      </c>
      <c r="D190" s="500">
        <v>18</v>
      </c>
    </row>
    <row r="191" spans="1:4" x14ac:dyDescent="0.25">
      <c r="A191" t="s">
        <v>231</v>
      </c>
      <c r="B191" t="s">
        <v>568</v>
      </c>
      <c r="C191" t="s">
        <v>1013</v>
      </c>
      <c r="D191" s="500">
        <v>79</v>
      </c>
    </row>
    <row r="192" spans="1:4" x14ac:dyDescent="0.25">
      <c r="A192" t="s">
        <v>205</v>
      </c>
      <c r="B192" t="s">
        <v>570</v>
      </c>
      <c r="C192" t="s">
        <v>1014</v>
      </c>
      <c r="D192" s="500">
        <v>402</v>
      </c>
    </row>
    <row r="193" spans="1:4" x14ac:dyDescent="0.25">
      <c r="A193" t="s">
        <v>202</v>
      </c>
      <c r="B193" t="s">
        <v>572</v>
      </c>
      <c r="C193" t="s">
        <v>1015</v>
      </c>
      <c r="D193" s="500">
        <v>628</v>
      </c>
    </row>
    <row r="194" spans="1:4" x14ac:dyDescent="0.25">
      <c r="A194" t="s">
        <v>231</v>
      </c>
      <c r="B194" t="s">
        <v>574</v>
      </c>
      <c r="C194" t="s">
        <v>1016</v>
      </c>
      <c r="D194" s="500">
        <v>5</v>
      </c>
    </row>
    <row r="195" spans="1:4" x14ac:dyDescent="0.25">
      <c r="A195" t="s">
        <v>194</v>
      </c>
      <c r="B195" t="s">
        <v>576</v>
      </c>
      <c r="C195" t="s">
        <v>1017</v>
      </c>
      <c r="D195" s="500">
        <v>20</v>
      </c>
    </row>
    <row r="196" spans="1:4" x14ac:dyDescent="0.25">
      <c r="A196" t="s">
        <v>202</v>
      </c>
      <c r="B196" t="s">
        <v>578</v>
      </c>
      <c r="C196" t="s">
        <v>1018</v>
      </c>
      <c r="D196" s="500">
        <v>2354</v>
      </c>
    </row>
    <row r="197" spans="1:4" x14ac:dyDescent="0.25">
      <c r="A197" t="s">
        <v>231</v>
      </c>
      <c r="B197" t="s">
        <v>580</v>
      </c>
      <c r="C197" t="s">
        <v>1019</v>
      </c>
      <c r="D197" s="500">
        <v>46</v>
      </c>
    </row>
    <row r="198" spans="1:4" x14ac:dyDescent="0.25">
      <c r="A198" t="s">
        <v>202</v>
      </c>
      <c r="B198" t="s">
        <v>582</v>
      </c>
      <c r="C198" t="s">
        <v>1144</v>
      </c>
      <c r="D198" s="500">
        <v>20</v>
      </c>
    </row>
    <row r="199" spans="1:4" x14ac:dyDescent="0.25">
      <c r="A199" t="s">
        <v>189</v>
      </c>
      <c r="B199" t="s">
        <v>584</v>
      </c>
      <c r="C199" t="s">
        <v>1020</v>
      </c>
      <c r="D199" s="500">
        <v>47</v>
      </c>
    </row>
    <row r="200" spans="1:4" x14ac:dyDescent="0.25">
      <c r="A200" t="s">
        <v>205</v>
      </c>
      <c r="B200" t="s">
        <v>586</v>
      </c>
      <c r="C200" t="s">
        <v>1021</v>
      </c>
      <c r="D200" s="500">
        <v>1153</v>
      </c>
    </row>
    <row r="201" spans="1:4" x14ac:dyDescent="0.25">
      <c r="A201" t="s">
        <v>189</v>
      </c>
      <c r="B201" t="s">
        <v>588</v>
      </c>
      <c r="C201" t="s">
        <v>1022</v>
      </c>
      <c r="D201" s="500">
        <v>112</v>
      </c>
    </row>
    <row r="202" spans="1:4" x14ac:dyDescent="0.25">
      <c r="A202" t="s">
        <v>202</v>
      </c>
      <c r="B202" t="s">
        <v>590</v>
      </c>
      <c r="C202" t="s">
        <v>1023</v>
      </c>
      <c r="D202" s="500">
        <v>49</v>
      </c>
    </row>
    <row r="203" spans="1:4" x14ac:dyDescent="0.25">
      <c r="A203" t="s">
        <v>228</v>
      </c>
      <c r="B203" t="s">
        <v>592</v>
      </c>
      <c r="C203" t="s">
        <v>1024</v>
      </c>
      <c r="D203" s="500">
        <v>562</v>
      </c>
    </row>
    <row r="204" spans="1:4" x14ac:dyDescent="0.25">
      <c r="A204" t="s">
        <v>228</v>
      </c>
      <c r="B204" t="s">
        <v>594</v>
      </c>
      <c r="C204" t="s">
        <v>1025</v>
      </c>
      <c r="D204" s="500">
        <v>175</v>
      </c>
    </row>
    <row r="205" spans="1:4" x14ac:dyDescent="0.25">
      <c r="A205" t="s">
        <v>202</v>
      </c>
      <c r="B205" t="s">
        <v>596</v>
      </c>
      <c r="C205" t="s">
        <v>1026</v>
      </c>
      <c r="D205" s="500">
        <v>30</v>
      </c>
    </row>
    <row r="206" spans="1:4" x14ac:dyDescent="0.25">
      <c r="A206" t="s">
        <v>194</v>
      </c>
      <c r="B206" t="s">
        <v>598</v>
      </c>
      <c r="C206" t="s">
        <v>1245</v>
      </c>
      <c r="D206" s="500">
        <v>127</v>
      </c>
    </row>
    <row r="207" spans="1:4" x14ac:dyDescent="0.25">
      <c r="A207" t="s">
        <v>202</v>
      </c>
      <c r="B207" t="s">
        <v>600</v>
      </c>
      <c r="C207" t="s">
        <v>1028</v>
      </c>
      <c r="D207" s="500">
        <v>348</v>
      </c>
    </row>
    <row r="208" spans="1:4" x14ac:dyDescent="0.25">
      <c r="A208" t="s">
        <v>194</v>
      </c>
      <c r="B208" t="s">
        <v>602</v>
      </c>
      <c r="C208" t="s">
        <v>1029</v>
      </c>
      <c r="D208" s="500">
        <v>347</v>
      </c>
    </row>
    <row r="209" spans="1:4" x14ac:dyDescent="0.25">
      <c r="A209" t="s">
        <v>205</v>
      </c>
      <c r="B209" t="s">
        <v>604</v>
      </c>
      <c r="C209" t="s">
        <v>1030</v>
      </c>
      <c r="D209" s="500">
        <v>2736</v>
      </c>
    </row>
    <row r="210" spans="1:4" x14ac:dyDescent="0.25">
      <c r="A210" t="s">
        <v>228</v>
      </c>
      <c r="B210" t="s">
        <v>606</v>
      </c>
      <c r="C210" t="s">
        <v>1031</v>
      </c>
      <c r="D210" s="500">
        <v>5</v>
      </c>
    </row>
    <row r="211" spans="1:4" x14ac:dyDescent="0.25">
      <c r="A211" t="s">
        <v>228</v>
      </c>
      <c r="B211" t="s">
        <v>608</v>
      </c>
      <c r="C211" t="s">
        <v>1032</v>
      </c>
      <c r="D211" s="500">
        <v>55</v>
      </c>
    </row>
    <row r="212" spans="1:4" x14ac:dyDescent="0.25">
      <c r="A212" t="s">
        <v>228</v>
      </c>
      <c r="B212" t="s">
        <v>612</v>
      </c>
      <c r="C212" t="s">
        <v>1033</v>
      </c>
      <c r="D212" s="500">
        <v>583</v>
      </c>
    </row>
    <row r="213" spans="1:4" x14ac:dyDescent="0.25">
      <c r="A213" t="s">
        <v>231</v>
      </c>
      <c r="B213" t="s">
        <v>614</v>
      </c>
      <c r="C213" t="s">
        <v>1034</v>
      </c>
      <c r="D213" s="500">
        <v>423</v>
      </c>
    </row>
    <row r="214" spans="1:4" x14ac:dyDescent="0.25">
      <c r="A214" t="s">
        <v>189</v>
      </c>
      <c r="B214" t="s">
        <v>616</v>
      </c>
      <c r="C214" t="s">
        <v>1035</v>
      </c>
      <c r="D214" s="500">
        <v>135</v>
      </c>
    </row>
    <row r="215" spans="1:4" x14ac:dyDescent="0.25">
      <c r="A215" t="s">
        <v>205</v>
      </c>
      <c r="B215" t="s">
        <v>618</v>
      </c>
      <c r="C215" t="s">
        <v>1036</v>
      </c>
      <c r="D215" s="500">
        <v>35</v>
      </c>
    </row>
    <row r="216" spans="1:4" x14ac:dyDescent="0.25">
      <c r="A216" t="s">
        <v>205</v>
      </c>
      <c r="B216" t="s">
        <v>620</v>
      </c>
      <c r="C216" t="s">
        <v>1232</v>
      </c>
      <c r="D216" s="500">
        <v>31</v>
      </c>
    </row>
    <row r="217" spans="1:4" x14ac:dyDescent="0.25">
      <c r="A217" t="s">
        <v>189</v>
      </c>
      <c r="B217" t="s">
        <v>621</v>
      </c>
      <c r="C217" t="s">
        <v>1263</v>
      </c>
      <c r="D217" s="500">
        <v>88</v>
      </c>
    </row>
    <row r="218" spans="1:4" x14ac:dyDescent="0.25">
      <c r="A218" t="s">
        <v>194</v>
      </c>
      <c r="B218" t="s">
        <v>623</v>
      </c>
      <c r="C218" t="s">
        <v>1037</v>
      </c>
      <c r="D218" s="500">
        <v>85</v>
      </c>
    </row>
    <row r="219" spans="1:4" x14ac:dyDescent="0.25">
      <c r="A219" t="s">
        <v>205</v>
      </c>
      <c r="B219" t="s">
        <v>625</v>
      </c>
      <c r="C219" t="s">
        <v>1038</v>
      </c>
      <c r="D219" s="500">
        <v>2277</v>
      </c>
    </row>
    <row r="220" spans="1:4" x14ac:dyDescent="0.25">
      <c r="A220" t="s">
        <v>194</v>
      </c>
      <c r="B220" t="s">
        <v>627</v>
      </c>
      <c r="C220" t="s">
        <v>1039</v>
      </c>
      <c r="D220" s="500">
        <v>43</v>
      </c>
    </row>
    <row r="221" spans="1:4" x14ac:dyDescent="0.25">
      <c r="A221" t="s">
        <v>202</v>
      </c>
      <c r="B221" t="s">
        <v>629</v>
      </c>
      <c r="C221" t="s">
        <v>1040</v>
      </c>
      <c r="D221" s="500">
        <v>1618</v>
      </c>
    </row>
    <row r="222" spans="1:4" x14ac:dyDescent="0.25">
      <c r="A222" t="s">
        <v>210</v>
      </c>
      <c r="B222" t="s">
        <v>631</v>
      </c>
      <c r="C222" t="s">
        <v>1041</v>
      </c>
      <c r="D222" s="500">
        <v>386</v>
      </c>
    </row>
    <row r="223" spans="1:4" x14ac:dyDescent="0.25">
      <c r="A223" t="s">
        <v>194</v>
      </c>
      <c r="B223" t="s">
        <v>633</v>
      </c>
      <c r="C223" t="s">
        <v>1042</v>
      </c>
      <c r="D223" s="500">
        <v>25</v>
      </c>
    </row>
    <row r="224" spans="1:4" x14ac:dyDescent="0.25">
      <c r="A224" t="s">
        <v>194</v>
      </c>
      <c r="B224" t="s">
        <v>635</v>
      </c>
      <c r="C224" t="s">
        <v>1043</v>
      </c>
      <c r="D224" s="500">
        <v>217</v>
      </c>
    </row>
    <row r="225" spans="1:4" x14ac:dyDescent="0.25">
      <c r="A225" t="s">
        <v>205</v>
      </c>
      <c r="B225" t="s">
        <v>637</v>
      </c>
      <c r="C225" t="s">
        <v>1044</v>
      </c>
      <c r="D225" s="500">
        <v>331</v>
      </c>
    </row>
    <row r="226" spans="1:4" x14ac:dyDescent="0.25">
      <c r="A226" t="s">
        <v>189</v>
      </c>
      <c r="B226" t="s">
        <v>639</v>
      </c>
      <c r="C226" t="s">
        <v>1045</v>
      </c>
      <c r="D226" s="500">
        <v>312</v>
      </c>
    </row>
    <row r="227" spans="1:4" x14ac:dyDescent="0.25">
      <c r="A227" t="s">
        <v>210</v>
      </c>
      <c r="B227" t="s">
        <v>641</v>
      </c>
      <c r="C227" t="s">
        <v>1046</v>
      </c>
      <c r="D227" s="500">
        <v>6</v>
      </c>
    </row>
    <row r="228" spans="1:4" x14ac:dyDescent="0.25">
      <c r="A228" t="s">
        <v>194</v>
      </c>
      <c r="B228" t="s">
        <v>643</v>
      </c>
      <c r="C228" t="s">
        <v>1047</v>
      </c>
      <c r="D228" s="500">
        <v>26</v>
      </c>
    </row>
    <row r="229" spans="1:4" x14ac:dyDescent="0.25">
      <c r="A229" t="s">
        <v>221</v>
      </c>
      <c r="B229" t="s">
        <v>645</v>
      </c>
      <c r="C229" t="s">
        <v>1048</v>
      </c>
      <c r="D229" s="500">
        <v>234</v>
      </c>
    </row>
    <row r="230" spans="1:4" x14ac:dyDescent="0.25">
      <c r="A230" t="s">
        <v>205</v>
      </c>
      <c r="B230" t="s">
        <v>401</v>
      </c>
      <c r="C230" t="s">
        <v>1441</v>
      </c>
      <c r="D230" s="500">
        <v>3</v>
      </c>
    </row>
    <row r="231" spans="1:4" x14ac:dyDescent="0.25">
      <c r="A231" t="s">
        <v>197</v>
      </c>
      <c r="B231" t="s">
        <v>647</v>
      </c>
      <c r="C231" t="s">
        <v>1241</v>
      </c>
      <c r="D231" s="500">
        <v>151</v>
      </c>
    </row>
    <row r="232" spans="1:4" x14ac:dyDescent="0.25">
      <c r="A232" t="s">
        <v>189</v>
      </c>
      <c r="B232" t="s">
        <v>649</v>
      </c>
      <c r="C232" t="s">
        <v>1050</v>
      </c>
      <c r="D232" s="500">
        <v>9</v>
      </c>
    </row>
    <row r="233" spans="1:4" hidden="1" x14ac:dyDescent="0.25">
      <c r="A233" t="s">
        <v>1250</v>
      </c>
      <c r="B233" t="s">
        <v>651</v>
      </c>
      <c r="C233" t="s">
        <v>1249</v>
      </c>
      <c r="D233">
        <v>53</v>
      </c>
    </row>
    <row r="234" spans="1:4" x14ac:dyDescent="0.25">
      <c r="A234" t="s">
        <v>205</v>
      </c>
      <c r="B234" t="s">
        <v>655</v>
      </c>
      <c r="C234" t="s">
        <v>1051</v>
      </c>
      <c r="D234" s="500">
        <v>7329</v>
      </c>
    </row>
    <row r="235" spans="1:4" x14ac:dyDescent="0.25">
      <c r="A235" t="s">
        <v>197</v>
      </c>
      <c r="B235" t="s">
        <v>657</v>
      </c>
      <c r="C235" t="s">
        <v>1052</v>
      </c>
      <c r="D235" s="500">
        <v>763</v>
      </c>
    </row>
    <row r="236" spans="1:4" x14ac:dyDescent="0.25">
      <c r="A236" t="s">
        <v>221</v>
      </c>
      <c r="B236" t="s">
        <v>659</v>
      </c>
      <c r="C236" t="s">
        <v>1053</v>
      </c>
      <c r="D236" s="500">
        <v>462</v>
      </c>
    </row>
    <row r="237" spans="1:4" x14ac:dyDescent="0.25">
      <c r="A237" t="s">
        <v>194</v>
      </c>
      <c r="B237" t="s">
        <v>661</v>
      </c>
      <c r="C237" t="s">
        <v>1054</v>
      </c>
      <c r="D237" s="500">
        <v>52</v>
      </c>
    </row>
    <row r="238" spans="1:4" x14ac:dyDescent="0.25">
      <c r="A238" t="s">
        <v>228</v>
      </c>
      <c r="B238" t="s">
        <v>663</v>
      </c>
      <c r="C238" t="s">
        <v>1055</v>
      </c>
      <c r="D238" s="500">
        <v>386</v>
      </c>
    </row>
    <row r="239" spans="1:4" x14ac:dyDescent="0.25">
      <c r="A239" t="s">
        <v>197</v>
      </c>
      <c r="B239" t="s">
        <v>665</v>
      </c>
      <c r="C239" t="s">
        <v>1145</v>
      </c>
      <c r="D239" s="500">
        <v>0</v>
      </c>
    </row>
    <row r="240" spans="1:4" x14ac:dyDescent="0.25">
      <c r="A240" t="s">
        <v>189</v>
      </c>
      <c r="B240" t="s">
        <v>667</v>
      </c>
      <c r="C240" t="s">
        <v>1056</v>
      </c>
      <c r="D240" s="500">
        <v>632</v>
      </c>
    </row>
    <row r="241" spans="1:4" x14ac:dyDescent="0.25">
      <c r="A241" t="s">
        <v>205</v>
      </c>
      <c r="B241" t="s">
        <v>669</v>
      </c>
      <c r="C241" t="s">
        <v>1057</v>
      </c>
      <c r="D241" s="500">
        <v>1096</v>
      </c>
    </row>
    <row r="242" spans="1:4" x14ac:dyDescent="0.25">
      <c r="A242" t="s">
        <v>210</v>
      </c>
      <c r="B242" t="s">
        <v>671</v>
      </c>
      <c r="C242" t="s">
        <v>1058</v>
      </c>
      <c r="D242" s="500">
        <v>9</v>
      </c>
    </row>
    <row r="243" spans="1:4" x14ac:dyDescent="0.25">
      <c r="A243" t="s">
        <v>205</v>
      </c>
      <c r="B243" t="s">
        <v>673</v>
      </c>
      <c r="C243" t="s">
        <v>1059</v>
      </c>
      <c r="D243" s="500">
        <v>16</v>
      </c>
    </row>
    <row r="244" spans="1:4" x14ac:dyDescent="0.25">
      <c r="A244" t="s">
        <v>197</v>
      </c>
      <c r="B244" t="s">
        <v>675</v>
      </c>
      <c r="C244" t="s">
        <v>1060</v>
      </c>
      <c r="D244" s="500">
        <v>1188</v>
      </c>
    </row>
    <row r="245" spans="1:4" x14ac:dyDescent="0.25">
      <c r="A245" t="s">
        <v>205</v>
      </c>
      <c r="B245" t="s">
        <v>677</v>
      </c>
      <c r="C245" t="s">
        <v>1061</v>
      </c>
      <c r="D245" s="500">
        <v>730</v>
      </c>
    </row>
    <row r="246" spans="1:4" x14ac:dyDescent="0.25">
      <c r="A246" t="s">
        <v>231</v>
      </c>
      <c r="B246" t="s">
        <v>679</v>
      </c>
      <c r="C246" t="s">
        <v>1062</v>
      </c>
      <c r="D246" s="500">
        <v>87</v>
      </c>
    </row>
    <row r="247" spans="1:4" x14ac:dyDescent="0.25">
      <c r="A247" t="s">
        <v>189</v>
      </c>
      <c r="B247" t="s">
        <v>682</v>
      </c>
      <c r="C247" t="s">
        <v>1063</v>
      </c>
      <c r="D247" s="500">
        <v>72</v>
      </c>
    </row>
    <row r="248" spans="1:4" x14ac:dyDescent="0.25">
      <c r="A248" t="s">
        <v>228</v>
      </c>
      <c r="B248" t="s">
        <v>684</v>
      </c>
      <c r="C248" t="s">
        <v>1064</v>
      </c>
      <c r="D248" s="500">
        <v>1551</v>
      </c>
    </row>
    <row r="249" spans="1:4" x14ac:dyDescent="0.25">
      <c r="A249" t="s">
        <v>197</v>
      </c>
      <c r="B249" t="s">
        <v>686</v>
      </c>
      <c r="C249" t="s">
        <v>1065</v>
      </c>
      <c r="D249" s="500">
        <v>189</v>
      </c>
    </row>
    <row r="250" spans="1:4" x14ac:dyDescent="0.25">
      <c r="A250" t="s">
        <v>189</v>
      </c>
      <c r="B250" t="s">
        <v>688</v>
      </c>
      <c r="C250" t="s">
        <v>1066</v>
      </c>
      <c r="D250" s="500">
        <v>31</v>
      </c>
    </row>
    <row r="251" spans="1:4" x14ac:dyDescent="0.25">
      <c r="A251" t="s">
        <v>194</v>
      </c>
      <c r="B251" t="s">
        <v>690</v>
      </c>
      <c r="C251" t="s">
        <v>1067</v>
      </c>
      <c r="D251" s="500">
        <v>4656</v>
      </c>
    </row>
    <row r="252" spans="1:4" x14ac:dyDescent="0.25">
      <c r="A252" t="s">
        <v>194</v>
      </c>
      <c r="B252" t="s">
        <v>692</v>
      </c>
      <c r="C252" t="s">
        <v>1244</v>
      </c>
      <c r="D252" s="500">
        <v>65</v>
      </c>
    </row>
    <row r="253" spans="1:4" x14ac:dyDescent="0.25">
      <c r="A253" t="s">
        <v>194</v>
      </c>
      <c r="B253" t="s">
        <v>694</v>
      </c>
      <c r="C253" t="s">
        <v>1069</v>
      </c>
      <c r="D253" s="500">
        <v>11</v>
      </c>
    </row>
    <row r="254" spans="1:4" x14ac:dyDescent="0.25">
      <c r="A254" t="s">
        <v>194</v>
      </c>
      <c r="B254" t="s">
        <v>696</v>
      </c>
      <c r="C254" t="s">
        <v>1253</v>
      </c>
      <c r="D254" s="500">
        <v>16</v>
      </c>
    </row>
    <row r="255" spans="1:4" x14ac:dyDescent="0.25">
      <c r="A255" t="s">
        <v>197</v>
      </c>
      <c r="B255" t="s">
        <v>698</v>
      </c>
      <c r="C255" t="s">
        <v>1071</v>
      </c>
      <c r="D255" s="500">
        <v>699</v>
      </c>
    </row>
    <row r="256" spans="1:4" x14ac:dyDescent="0.25">
      <c r="A256" t="s">
        <v>202</v>
      </c>
      <c r="B256" t="s">
        <v>700</v>
      </c>
      <c r="C256" t="s">
        <v>1146</v>
      </c>
      <c r="D256" s="500">
        <v>0</v>
      </c>
    </row>
    <row r="257" spans="1:4" x14ac:dyDescent="0.25">
      <c r="A257" t="s">
        <v>202</v>
      </c>
      <c r="B257" t="s">
        <v>702</v>
      </c>
      <c r="C257" t="s">
        <v>1072</v>
      </c>
      <c r="D257" s="500">
        <v>2</v>
      </c>
    </row>
    <row r="258" spans="1:4" x14ac:dyDescent="0.25">
      <c r="A258" t="s">
        <v>231</v>
      </c>
      <c r="B258" t="s">
        <v>704</v>
      </c>
      <c r="C258" t="s">
        <v>1147</v>
      </c>
      <c r="D258" s="500">
        <v>0</v>
      </c>
    </row>
    <row r="259" spans="1:4" x14ac:dyDescent="0.25">
      <c r="A259" t="s">
        <v>205</v>
      </c>
      <c r="B259" t="s">
        <v>706</v>
      </c>
      <c r="C259" t="s">
        <v>1236</v>
      </c>
      <c r="D259" s="500">
        <v>414</v>
      </c>
    </row>
    <row r="260" spans="1:4" x14ac:dyDescent="0.25">
      <c r="A260" t="s">
        <v>194</v>
      </c>
      <c r="B260" t="s">
        <v>708</v>
      </c>
      <c r="C260" t="s">
        <v>1074</v>
      </c>
      <c r="D260" s="500">
        <v>6</v>
      </c>
    </row>
    <row r="261" spans="1:4" x14ac:dyDescent="0.25">
      <c r="A261" t="s">
        <v>210</v>
      </c>
      <c r="B261" t="s">
        <v>710</v>
      </c>
      <c r="C261" t="s">
        <v>1075</v>
      </c>
      <c r="D261" s="500">
        <v>143</v>
      </c>
    </row>
    <row r="262" spans="1:4" x14ac:dyDescent="0.25">
      <c r="A262" t="s">
        <v>197</v>
      </c>
      <c r="B262" t="s">
        <v>712</v>
      </c>
      <c r="C262" t="s">
        <v>1076</v>
      </c>
      <c r="D262" s="500">
        <v>331</v>
      </c>
    </row>
    <row r="263" spans="1:4" x14ac:dyDescent="0.25">
      <c r="A263" t="s">
        <v>205</v>
      </c>
      <c r="B263" t="s">
        <v>716</v>
      </c>
      <c r="C263" t="s">
        <v>1239</v>
      </c>
      <c r="D263" s="500">
        <v>31</v>
      </c>
    </row>
    <row r="264" spans="1:4" x14ac:dyDescent="0.25">
      <c r="A264" t="s">
        <v>205</v>
      </c>
      <c r="B264" t="s">
        <v>714</v>
      </c>
      <c r="C264" t="s">
        <v>1231</v>
      </c>
      <c r="D264" s="500">
        <v>75</v>
      </c>
    </row>
    <row r="265" spans="1:4" x14ac:dyDescent="0.25">
      <c r="A265" t="s">
        <v>205</v>
      </c>
      <c r="B265" t="s">
        <v>718</v>
      </c>
      <c r="C265" t="s">
        <v>1230</v>
      </c>
      <c r="D265" s="500">
        <v>65</v>
      </c>
    </row>
    <row r="266" spans="1:4" x14ac:dyDescent="0.25">
      <c r="A266" t="s">
        <v>194</v>
      </c>
      <c r="B266" t="s">
        <v>720</v>
      </c>
      <c r="C266" t="s">
        <v>1080</v>
      </c>
      <c r="D266" s="500">
        <v>9</v>
      </c>
    </row>
    <row r="267" spans="1:4" x14ac:dyDescent="0.25">
      <c r="A267" t="s">
        <v>205</v>
      </c>
      <c r="B267" t="s">
        <v>722</v>
      </c>
      <c r="C267" t="s">
        <v>1238</v>
      </c>
      <c r="D267" s="500">
        <v>1143</v>
      </c>
    </row>
    <row r="268" spans="1:4" x14ac:dyDescent="0.25">
      <c r="A268" t="s">
        <v>221</v>
      </c>
      <c r="B268" t="s">
        <v>724</v>
      </c>
      <c r="C268" t="s">
        <v>1082</v>
      </c>
      <c r="D268" s="500">
        <v>907</v>
      </c>
    </row>
    <row r="269" spans="1:4" x14ac:dyDescent="0.25">
      <c r="A269" t="s">
        <v>228</v>
      </c>
      <c r="B269" t="s">
        <v>726</v>
      </c>
      <c r="C269" t="s">
        <v>1234</v>
      </c>
      <c r="D269" s="500">
        <v>18</v>
      </c>
    </row>
    <row r="270" spans="1:4" x14ac:dyDescent="0.25">
      <c r="A270" t="s">
        <v>205</v>
      </c>
      <c r="B270" t="s">
        <v>728</v>
      </c>
      <c r="C270" t="s">
        <v>1084</v>
      </c>
      <c r="D270" s="500">
        <v>4262</v>
      </c>
    </row>
    <row r="271" spans="1:4" x14ac:dyDescent="0.25">
      <c r="A271" t="s">
        <v>189</v>
      </c>
      <c r="B271" t="s">
        <v>730</v>
      </c>
      <c r="C271" t="s">
        <v>1148</v>
      </c>
      <c r="D271" s="500">
        <v>43</v>
      </c>
    </row>
    <row r="272" spans="1:4" x14ac:dyDescent="0.25">
      <c r="A272" t="s">
        <v>205</v>
      </c>
      <c r="B272" t="s">
        <v>732</v>
      </c>
      <c r="C272" t="s">
        <v>1085</v>
      </c>
      <c r="D272" s="500">
        <v>1082</v>
      </c>
    </row>
    <row r="273" spans="1:4" x14ac:dyDescent="0.25">
      <c r="A273" t="s">
        <v>194</v>
      </c>
      <c r="B273" t="s">
        <v>734</v>
      </c>
      <c r="C273" t="s">
        <v>1086</v>
      </c>
      <c r="D273" s="500">
        <v>36</v>
      </c>
    </row>
    <row r="274" spans="1:4" x14ac:dyDescent="0.25">
      <c r="A274" t="s">
        <v>189</v>
      </c>
      <c r="B274" t="s">
        <v>736</v>
      </c>
      <c r="C274" t="s">
        <v>1087</v>
      </c>
      <c r="D274" s="500">
        <v>207</v>
      </c>
    </row>
    <row r="275" spans="1:4" x14ac:dyDescent="0.25">
      <c r="A275" t="s">
        <v>221</v>
      </c>
      <c r="B275" t="s">
        <v>738</v>
      </c>
      <c r="C275" t="s">
        <v>1088</v>
      </c>
      <c r="D275" s="500">
        <v>33</v>
      </c>
    </row>
    <row r="276" spans="1:4" x14ac:dyDescent="0.25">
      <c r="A276" t="s">
        <v>189</v>
      </c>
      <c r="B276" t="s">
        <v>740</v>
      </c>
      <c r="C276" t="s">
        <v>1089</v>
      </c>
      <c r="D276" s="500">
        <v>143</v>
      </c>
    </row>
    <row r="277" spans="1:4" x14ac:dyDescent="0.25">
      <c r="A277" t="s">
        <v>231</v>
      </c>
      <c r="B277" t="s">
        <v>742</v>
      </c>
      <c r="C277" t="s">
        <v>1090</v>
      </c>
      <c r="D277" s="500">
        <v>131</v>
      </c>
    </row>
    <row r="278" spans="1:4" x14ac:dyDescent="0.25">
      <c r="A278" t="s">
        <v>221</v>
      </c>
      <c r="B278" t="s">
        <v>744</v>
      </c>
      <c r="C278" t="s">
        <v>1091</v>
      </c>
      <c r="D278" s="500">
        <v>588</v>
      </c>
    </row>
    <row r="279" spans="1:4" x14ac:dyDescent="0.25">
      <c r="A279" t="s">
        <v>202</v>
      </c>
      <c r="B279" t="s">
        <v>746</v>
      </c>
      <c r="C279" t="s">
        <v>1092</v>
      </c>
      <c r="D279" s="500">
        <v>29</v>
      </c>
    </row>
    <row r="280" spans="1:4" x14ac:dyDescent="0.25">
      <c r="A280" t="s">
        <v>210</v>
      </c>
      <c r="B280" t="s">
        <v>748</v>
      </c>
      <c r="C280" t="s">
        <v>1093</v>
      </c>
      <c r="D280" s="500">
        <v>112</v>
      </c>
    </row>
    <row r="281" spans="1:4" x14ac:dyDescent="0.25">
      <c r="A281" t="s">
        <v>210</v>
      </c>
      <c r="B281" t="s">
        <v>750</v>
      </c>
      <c r="C281" t="s">
        <v>1094</v>
      </c>
      <c r="D281" s="500">
        <v>16</v>
      </c>
    </row>
    <row r="282" spans="1:4" x14ac:dyDescent="0.25">
      <c r="A282" t="s">
        <v>205</v>
      </c>
      <c r="B282" t="s">
        <v>752</v>
      </c>
      <c r="C282" t="s">
        <v>1095</v>
      </c>
      <c r="D282" s="500">
        <v>326</v>
      </c>
    </row>
    <row r="283" spans="1:4" x14ac:dyDescent="0.25">
      <c r="A283" t="s">
        <v>189</v>
      </c>
      <c r="B283" t="s">
        <v>754</v>
      </c>
      <c r="C283" t="s">
        <v>1096</v>
      </c>
      <c r="D283" s="500">
        <v>728</v>
      </c>
    </row>
    <row r="284" spans="1:4" x14ac:dyDescent="0.25">
      <c r="A284" t="s">
        <v>221</v>
      </c>
      <c r="B284" t="s">
        <v>756</v>
      </c>
      <c r="C284" t="s">
        <v>1097</v>
      </c>
      <c r="D284" s="500">
        <v>70</v>
      </c>
    </row>
    <row r="285" spans="1:4" x14ac:dyDescent="0.25">
      <c r="A285" t="s">
        <v>205</v>
      </c>
      <c r="B285" t="s">
        <v>758</v>
      </c>
      <c r="C285" t="s">
        <v>1098</v>
      </c>
      <c r="D285" s="500">
        <v>590</v>
      </c>
    </row>
    <row r="286" spans="1:4" x14ac:dyDescent="0.25">
      <c r="A286" t="s">
        <v>194</v>
      </c>
      <c r="B286" t="s">
        <v>760</v>
      </c>
      <c r="C286" t="s">
        <v>1246</v>
      </c>
      <c r="D286" s="500">
        <v>104</v>
      </c>
    </row>
    <row r="287" spans="1:4" x14ac:dyDescent="0.25">
      <c r="A287" t="s">
        <v>210</v>
      </c>
      <c r="B287" t="s">
        <v>762</v>
      </c>
      <c r="C287" t="s">
        <v>1100</v>
      </c>
      <c r="D287" s="500">
        <v>2964</v>
      </c>
    </row>
    <row r="288" spans="1:4" x14ac:dyDescent="0.25">
      <c r="A288" t="s">
        <v>205</v>
      </c>
      <c r="B288" t="s">
        <v>764</v>
      </c>
      <c r="C288" t="s">
        <v>1101</v>
      </c>
      <c r="D288" s="500">
        <v>180</v>
      </c>
    </row>
    <row r="289" spans="1:4" x14ac:dyDescent="0.25">
      <c r="A289" t="s">
        <v>210</v>
      </c>
      <c r="B289" t="s">
        <v>766</v>
      </c>
      <c r="C289" t="s">
        <v>1102</v>
      </c>
      <c r="D289" s="500">
        <v>86</v>
      </c>
    </row>
    <row r="290" spans="1:4" x14ac:dyDescent="0.25">
      <c r="A290" t="s">
        <v>221</v>
      </c>
      <c r="B290" t="s">
        <v>768</v>
      </c>
      <c r="C290" t="s">
        <v>1103</v>
      </c>
      <c r="D290" s="500">
        <v>318</v>
      </c>
    </row>
    <row r="291" spans="1:4" x14ac:dyDescent="0.25">
      <c r="A291" t="s">
        <v>202</v>
      </c>
      <c r="B291" t="s">
        <v>770</v>
      </c>
      <c r="C291" t="s">
        <v>1104</v>
      </c>
      <c r="D291" s="500">
        <v>20</v>
      </c>
    </row>
    <row r="292" spans="1:4" x14ac:dyDescent="0.25">
      <c r="A292" t="s">
        <v>202</v>
      </c>
      <c r="B292" t="s">
        <v>772</v>
      </c>
      <c r="C292" t="s">
        <v>1105</v>
      </c>
      <c r="D292" s="500">
        <v>784</v>
      </c>
    </row>
    <row r="293" spans="1:4" x14ac:dyDescent="0.25">
      <c r="A293" t="s">
        <v>221</v>
      </c>
      <c r="B293" t="s">
        <v>774</v>
      </c>
      <c r="C293" t="s">
        <v>1106</v>
      </c>
      <c r="D293" s="500">
        <v>411</v>
      </c>
    </row>
    <row r="294" spans="1:4" x14ac:dyDescent="0.25">
      <c r="A294" t="s">
        <v>231</v>
      </c>
      <c r="B294" t="s">
        <v>776</v>
      </c>
      <c r="C294" t="s">
        <v>1107</v>
      </c>
      <c r="D294" s="500">
        <v>134</v>
      </c>
    </row>
    <row r="295" spans="1:4" hidden="1" x14ac:dyDescent="0.25">
      <c r="A295" t="s">
        <v>1250</v>
      </c>
      <c r="B295" t="s">
        <v>653</v>
      </c>
      <c r="C295" t="s">
        <v>1251</v>
      </c>
      <c r="D295">
        <v>85</v>
      </c>
    </row>
    <row r="296" spans="1:4" hidden="1" x14ac:dyDescent="0.25">
      <c r="A296" t="s">
        <v>189</v>
      </c>
      <c r="B296" t="s">
        <v>1282</v>
      </c>
      <c r="C296" t="s">
        <v>1283</v>
      </c>
      <c r="D296">
        <v>4</v>
      </c>
    </row>
    <row r="297" spans="1:4" x14ac:dyDescent="0.25">
      <c r="A297" t="s">
        <v>210</v>
      </c>
      <c r="B297" t="s">
        <v>778</v>
      </c>
      <c r="C297" t="s">
        <v>1108</v>
      </c>
      <c r="D297" s="500">
        <v>456</v>
      </c>
    </row>
    <row r="298" spans="1:4" x14ac:dyDescent="0.25">
      <c r="A298" t="s">
        <v>194</v>
      </c>
      <c r="B298" t="s">
        <v>780</v>
      </c>
      <c r="C298" t="s">
        <v>1109</v>
      </c>
      <c r="D298" s="500">
        <v>4</v>
      </c>
    </row>
    <row r="299" spans="1:4" x14ac:dyDescent="0.25">
      <c r="A299" t="s">
        <v>231</v>
      </c>
      <c r="B299" t="s">
        <v>782</v>
      </c>
      <c r="C299" t="s">
        <v>1110</v>
      </c>
      <c r="D299" s="500">
        <v>45</v>
      </c>
    </row>
    <row r="300" spans="1:4" x14ac:dyDescent="0.25">
      <c r="A300" t="s">
        <v>194</v>
      </c>
      <c r="B300" t="s">
        <v>784</v>
      </c>
      <c r="C300" t="s">
        <v>1111</v>
      </c>
      <c r="D300" s="500">
        <v>73</v>
      </c>
    </row>
    <row r="301" spans="1:4" x14ac:dyDescent="0.25">
      <c r="A301" t="s">
        <v>231</v>
      </c>
      <c r="B301" t="s">
        <v>786</v>
      </c>
      <c r="C301" t="s">
        <v>1112</v>
      </c>
      <c r="D301" s="500">
        <v>1013</v>
      </c>
    </row>
    <row r="302" spans="1:4" x14ac:dyDescent="0.25">
      <c r="A302" t="s">
        <v>221</v>
      </c>
      <c r="B302" t="s">
        <v>788</v>
      </c>
      <c r="C302" t="s">
        <v>1255</v>
      </c>
      <c r="D302" s="500">
        <v>759</v>
      </c>
    </row>
    <row r="303" spans="1:4" x14ac:dyDescent="0.25">
      <c r="A303" t="s">
        <v>194</v>
      </c>
      <c r="B303" t="s">
        <v>790</v>
      </c>
      <c r="C303" t="s">
        <v>1243</v>
      </c>
      <c r="D303" s="500">
        <v>451</v>
      </c>
    </row>
    <row r="304" spans="1:4" x14ac:dyDescent="0.25">
      <c r="A304" t="s">
        <v>189</v>
      </c>
      <c r="B304" t="s">
        <v>792</v>
      </c>
      <c r="C304" t="s">
        <v>1115</v>
      </c>
      <c r="D304" s="500">
        <v>57</v>
      </c>
    </row>
    <row r="305" spans="1:4" x14ac:dyDescent="0.25">
      <c r="A305" t="s">
        <v>205</v>
      </c>
      <c r="B305" t="s">
        <v>794</v>
      </c>
      <c r="C305" t="s">
        <v>1116</v>
      </c>
      <c r="D305" s="500">
        <v>553</v>
      </c>
    </row>
    <row r="306" spans="1:4" x14ac:dyDescent="0.25">
      <c r="A306" t="s">
        <v>210</v>
      </c>
      <c r="B306" t="s">
        <v>796</v>
      </c>
      <c r="C306" t="s">
        <v>1117</v>
      </c>
      <c r="D306" s="500">
        <v>168</v>
      </c>
    </row>
    <row r="307" spans="1:4" x14ac:dyDescent="0.25">
      <c r="A307" t="s">
        <v>194</v>
      </c>
      <c r="B307" t="s">
        <v>798</v>
      </c>
      <c r="C307" t="s">
        <v>1118</v>
      </c>
      <c r="D307" s="500">
        <v>41</v>
      </c>
    </row>
    <row r="308" spans="1:4" x14ac:dyDescent="0.25">
      <c r="A308" t="s">
        <v>189</v>
      </c>
      <c r="B308" t="s">
        <v>800</v>
      </c>
      <c r="C308" t="s">
        <v>1119</v>
      </c>
      <c r="D308" s="500">
        <v>44</v>
      </c>
    </row>
    <row r="309" spans="1:4" x14ac:dyDescent="0.25">
      <c r="A309" t="s">
        <v>202</v>
      </c>
      <c r="B309" t="s">
        <v>1426</v>
      </c>
      <c r="C309" t="s">
        <v>1442</v>
      </c>
      <c r="D309" s="500">
        <v>17</v>
      </c>
    </row>
    <row r="310" spans="1:4" x14ac:dyDescent="0.25">
      <c r="A310" t="s">
        <v>231</v>
      </c>
      <c r="B310" t="s">
        <v>802</v>
      </c>
      <c r="C310" t="s">
        <v>1149</v>
      </c>
      <c r="D310" s="500">
        <v>17</v>
      </c>
    </row>
    <row r="311" spans="1:4" x14ac:dyDescent="0.25">
      <c r="A311" t="s">
        <v>189</v>
      </c>
      <c r="B311" t="s">
        <v>804</v>
      </c>
      <c r="C311" t="s">
        <v>1120</v>
      </c>
      <c r="D311" s="500">
        <v>126</v>
      </c>
    </row>
    <row r="312" spans="1:4" x14ac:dyDescent="0.25">
      <c r="A312" t="s">
        <v>189</v>
      </c>
      <c r="B312" t="s">
        <v>806</v>
      </c>
      <c r="C312" t="s">
        <v>1121</v>
      </c>
      <c r="D312" s="500">
        <v>25</v>
      </c>
    </row>
    <row r="313" spans="1:4" x14ac:dyDescent="0.25">
      <c r="A313" t="s">
        <v>210</v>
      </c>
      <c r="B313" t="s">
        <v>808</v>
      </c>
      <c r="C313" t="s">
        <v>1122</v>
      </c>
      <c r="D313" s="500">
        <v>7</v>
      </c>
    </row>
    <row r="314" spans="1:4" x14ac:dyDescent="0.25">
      <c r="A314" t="s">
        <v>210</v>
      </c>
      <c r="B314" t="s">
        <v>810</v>
      </c>
      <c r="C314" t="s">
        <v>1123</v>
      </c>
      <c r="D314" s="500">
        <v>315</v>
      </c>
    </row>
    <row r="315" spans="1:4" x14ac:dyDescent="0.25">
      <c r="A315" t="s">
        <v>221</v>
      </c>
      <c r="B315" t="s">
        <v>812</v>
      </c>
      <c r="C315" t="s">
        <v>1124</v>
      </c>
      <c r="D315" s="500">
        <v>2159</v>
      </c>
    </row>
    <row r="316" spans="1:4" x14ac:dyDescent="0.25">
      <c r="A316" t="s">
        <v>189</v>
      </c>
      <c r="B316" t="s">
        <v>814</v>
      </c>
      <c r="C316" t="s">
        <v>1125</v>
      </c>
      <c r="D316" s="500">
        <v>816</v>
      </c>
    </row>
    <row r="317" spans="1:4" x14ac:dyDescent="0.25">
      <c r="A317" t="s">
        <v>221</v>
      </c>
      <c r="B317" t="s">
        <v>816</v>
      </c>
      <c r="C317" t="s">
        <v>1126</v>
      </c>
      <c r="D317" s="500">
        <v>147</v>
      </c>
    </row>
  </sheetData>
  <autoFilter ref="A2:D317" xr:uid="{24C01073-2839-4BFB-BFEF-244721FB63DF}">
    <filterColumn colId="2">
      <filters>
        <filter val="Aberdeen"/>
        <filter val="Adna"/>
        <filter val="Almira"/>
        <filter val="Anacortes"/>
        <filter val="Arlington"/>
        <filter val="Asotin-Anatone"/>
        <filter val="Auburn"/>
        <filter val="Bainbridge Island"/>
        <filter val="Battle Ground"/>
        <filter val="Bellevue"/>
        <filter val="Bellingham"/>
        <filter val="Benge"/>
        <filter val="Bethel"/>
        <filter val="Bickleton"/>
        <filter val="Blaine"/>
        <filter val="Boistfort"/>
        <filter val="Bremerton"/>
        <filter val="Brewster"/>
        <filter val="Bridgeport"/>
        <filter val="Brinnon"/>
        <filter val="Burlington-Edison"/>
        <filter val="Camas"/>
        <filter val="Cape Flattery"/>
        <filter val="Carbonado Historical"/>
        <filter val="Cascade"/>
        <filter val="Cashmere"/>
        <filter val="Castle Rock"/>
        <filter val="Catalyst Public Schools"/>
        <filter val="Centerville"/>
        <filter val="Central Kitsap"/>
        <filter val="Central Valley"/>
        <filter val="Centralia"/>
        <filter val="Chehalis"/>
        <filter val="Cheney"/>
        <filter val="Chewelah"/>
        <filter val="Chimacum"/>
        <filter val="Clarkston"/>
        <filter val="Cle Elum-Roslyn"/>
        <filter val="Clover Park"/>
        <filter val="Colfax"/>
        <filter val="College Place"/>
        <filter val="Colton"/>
        <filter val="Columbia No. 206"/>
        <filter val="Columbia No. 400"/>
        <filter val="Colville"/>
        <filter val="Concrete"/>
        <filter val="Conway"/>
        <filter val="Cosmopolis"/>
        <filter val="Coulee-Hartline"/>
        <filter val="Coupeville"/>
        <filter val="Crescent"/>
        <filter val="Creston"/>
        <filter val="Curlew"/>
        <filter val="Cusick"/>
        <filter val="Damman"/>
        <filter val="Darrington"/>
        <filter val="Davenport"/>
        <filter val="Dayton"/>
        <filter val="Deer Park"/>
        <filter val="Dieringer"/>
        <filter val="Dixie"/>
        <filter val="East Valley No. 361"/>
        <filter val="East Valley No. 90"/>
        <filter val="Eastmont"/>
        <filter val="Easton"/>
        <filter val="Eatonville"/>
        <filter val="Edmonds"/>
        <filter val="Ellensburg"/>
        <filter val="Elma"/>
        <filter val="Endicott"/>
        <filter val="Entiat"/>
        <filter val="Enumclaw"/>
        <filter val="Ephrata"/>
        <filter val="Evaline"/>
        <filter val="Everett"/>
        <filter val="Evergreen No. 114"/>
        <filter val="Evergreen No. 205"/>
        <filter val="Federal Way"/>
        <filter val="Ferndale"/>
        <filter val="Fife"/>
        <filter val="Finley"/>
        <filter val="Franklin Pierce"/>
        <filter val="Freeman"/>
        <filter val="Garfield"/>
        <filter val="Glenwood"/>
        <filter val="Goldendale"/>
        <filter val="Grand Coulee Dam"/>
        <filter val="Grandview"/>
        <filter val="Granger"/>
        <filter val="Granite Falls"/>
        <filter val="Grapeview"/>
        <filter val="Great Northern"/>
        <filter val="Green Mountain"/>
        <filter val="Griffin"/>
        <filter val="Harrington"/>
        <filter val="Highland"/>
        <filter val="Highline"/>
        <filter val="Hockinson"/>
        <filter val="Hood Canal"/>
        <filter val="Hoquiam"/>
        <filter val="Impact Public Schools"/>
        <filter val="Inchelium"/>
        <filter val="Index"/>
        <filter val="Issaquah"/>
        <filter val="Kahlotus"/>
        <filter val="Kalama"/>
        <filter val="Keller"/>
        <filter val="Kelso"/>
        <filter val="Kennewick"/>
        <filter val="Kent"/>
        <filter val="Kettle Falls"/>
        <filter val="Kiona-Benton City"/>
        <filter val="Kittitas"/>
        <filter val="Klickitat"/>
        <filter val="La Center"/>
        <filter val="La Conner"/>
        <filter val="Lacrosse"/>
        <filter val="Lake Chelan"/>
        <filter val="Lake Quinault"/>
        <filter val="Lake Stevens"/>
        <filter val="Lake Washington"/>
        <filter val="Lakewood"/>
        <filter val="Lamont"/>
        <filter val="Liberty"/>
        <filter val="Lind"/>
        <filter val="Longview"/>
        <filter val="Loon Lake"/>
        <filter val="Lopez Island"/>
        <filter val="Lumen Public School"/>
        <filter val="Lyle"/>
        <filter val="Lynden"/>
        <filter val="Mabton"/>
        <filter val="Mansfield"/>
        <filter val="Manson"/>
        <filter val="Mary M. Knight"/>
        <filter val="Mary Walker"/>
        <filter val="Marysville"/>
        <filter val="McCleary"/>
        <filter val="Mead"/>
        <filter val="Medical Lake"/>
        <filter val="Mercer Island"/>
        <filter val="Meridian"/>
        <filter val="Methow Valley"/>
        <filter val="Mill A"/>
        <filter val="Monroe"/>
        <filter val="Montesano"/>
        <filter val="Morton"/>
        <filter val="Moses Lake"/>
        <filter val="Mossyrock"/>
        <filter val="Mount Adams"/>
        <filter val="Mount Baker"/>
        <filter val="Mount Pleasant"/>
        <filter val="Mount Vernon"/>
        <filter val="Mukilteo"/>
        <filter val="Naches Valley"/>
        <filter val="Napavine"/>
        <filter val="Naselle-Grays River"/>
        <filter val="Nespelem"/>
        <filter val="Newport"/>
        <filter val="Nine Mile Falls"/>
        <filter val="Nooksack Valley"/>
        <filter val="North Beach"/>
        <filter val="North Franklin"/>
        <filter val="North Kitsap"/>
        <filter val="North Mason"/>
        <filter val="North River"/>
        <filter val="North Thurston"/>
        <filter val="Northport"/>
        <filter val="Northshore"/>
        <filter val="Oak Harbor"/>
        <filter val="Oakesdale"/>
        <filter val="Oakville"/>
        <filter val="Ocean Beach"/>
        <filter val="Ocosta"/>
        <filter val="Odessa"/>
        <filter val="Okanogan"/>
        <filter val="Olympia"/>
        <filter val="Omak"/>
        <filter val="Onalaska"/>
        <filter val="Onion Creek"/>
        <filter val="Orcas Island"/>
        <filter val="Orchard Prairie"/>
        <filter val="Orient"/>
        <filter val="Orondo"/>
        <filter val="Oroville"/>
        <filter val="Orting"/>
        <filter val="Othello"/>
        <filter val="Palisades"/>
        <filter val="Palouse"/>
        <filter val="Pasco"/>
        <filter val="Pateros"/>
        <filter val="Paterson"/>
        <filter val="Pe Ell"/>
        <filter val="Peninsula"/>
        <filter val="Pioneer"/>
        <filter val="Pomeroy"/>
        <filter val="Port Angeles"/>
        <filter val="Port Townsend"/>
        <filter val="Prescott"/>
        <filter val="PRIDE Prep"/>
        <filter val="Prosser"/>
        <filter val="Pullman"/>
        <filter val="Puyallup"/>
        <filter val="Queets-Clearwater"/>
        <filter val="Quilcene"/>
        <filter val="Quillayute Valley"/>
        <filter val="Quincy"/>
        <filter val="Rainier"/>
        <filter val="Rainier Prep"/>
        <filter val="Rainier Valley Leadership Academy"/>
        <filter val="Raymond"/>
        <filter val="Reardan-Edwall"/>
        <filter val="Renton"/>
        <filter val="Republic"/>
        <filter val="Richland"/>
        <filter val="Ridgefield"/>
        <filter val="Ritzville"/>
        <filter val="Riverside"/>
        <filter val="Riverview"/>
        <filter val="Rochester"/>
        <filter val="Roosevelt"/>
        <filter val="Rosalia"/>
        <filter val="Royal"/>
        <filter val="Salish Sea Elementary"/>
        <filter val="San Juan Island"/>
        <filter val="Satsop"/>
        <filter val="Seattle"/>
        <filter val="Sedro-Woolley"/>
        <filter val="Selah"/>
        <filter val="Selkirk"/>
        <filter val="Sequim"/>
        <filter val="Shaw Island"/>
        <filter val="Shelton"/>
        <filter val="Shoreline"/>
        <filter val="Skamania"/>
        <filter val="Skykomish"/>
        <filter val="Snohomish"/>
        <filter val="Snoqualmie Valley"/>
        <filter val="Soap Lake"/>
        <filter val="South Bend"/>
        <filter val="South Kitsap"/>
        <filter val="South Whidbey"/>
        <filter val="Southside"/>
        <filter val="Spokane"/>
        <filter val="Spokane International Academy"/>
        <filter val="Sprague"/>
        <filter val="St. John"/>
        <filter val="Stanwood-Camano"/>
        <filter val="Star"/>
        <filter val="Starbuck"/>
        <filter val="Stehekin"/>
        <filter val="Steilacoom Historical"/>
        <filter val="Steptoe"/>
        <filter val="Stevenson-Carson"/>
        <filter val="Sultan"/>
        <filter val="Summit Public School: Olympus"/>
        <filter val="Summit Public Schools: Atlas"/>
        <filter val="Summit Public Schools: Sierra"/>
        <filter val="Summit Valley"/>
        <filter val="Sumner-Bonney Lake"/>
        <filter val="Sunnyside"/>
        <filter val="Suquamish Tribal Education Department"/>
        <filter val="Tacoma"/>
        <filter val="Taholah"/>
        <filter val="Tahoma"/>
        <filter val="Tekoa"/>
        <filter val="Tenino"/>
        <filter val="Thorp"/>
        <filter val="Toledo"/>
        <filter val="Tonasket"/>
        <filter val="Toppenish"/>
        <filter val="Touchet"/>
        <filter val="Toutle Lake"/>
        <filter val="Trout Lake"/>
        <filter val="Tukwila"/>
        <filter val="Tumwater"/>
        <filter val="Union Gap"/>
        <filter val="University Place"/>
        <filter val="Valley No. 70"/>
        <filter val="Vancouver"/>
        <filter val="Vashon Island"/>
        <filter val="Wahkiakum"/>
        <filter val="Wahluke"/>
        <filter val="Waitsburg"/>
        <filter val="Walla Walla"/>
        <filter val="Wapato"/>
        <filter val="Warden"/>
        <filter val="Washougal"/>
        <filter val="Washtucna"/>
        <filter val="Waterville"/>
        <filter val="Wellpinit"/>
        <filter val="Wenatchee"/>
        <filter val="West Valley No. 208"/>
        <filter val="West Valley No. 363"/>
        <filter val="White Pass"/>
        <filter val="White River"/>
        <filter val="White Salmon"/>
        <filter val="Wilbur"/>
        <filter val="Willapa Valley"/>
        <filter val="Willow Public Charter"/>
        <filter val="Wilson Creek"/>
        <filter val="Winlock"/>
        <filter val="Wishkah Valley"/>
        <filter val="Wishram"/>
        <filter val="Woodland"/>
        <filter val="Yakima"/>
        <filter val="Yelm"/>
        <filter val="Zillah"/>
      </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FD6F6-E6D3-417F-97CC-E71FF5E3AA1D}">
  <sheetPr filterMode="1"/>
  <dimension ref="A1:H315"/>
  <sheetViews>
    <sheetView workbookViewId="0">
      <selection activeCell="I23" sqref="I23"/>
    </sheetView>
  </sheetViews>
  <sheetFormatPr defaultColWidth="10.85546875" defaultRowHeight="15" x14ac:dyDescent="0.25"/>
  <cols>
    <col min="2" max="2" width="17.7109375" customWidth="1"/>
    <col min="3" max="3" width="16.5703125" style="362" customWidth="1"/>
    <col min="4" max="4" width="16.85546875" style="362" bestFit="1" customWidth="1"/>
    <col min="5" max="5" width="14.28515625" style="362" bestFit="1" customWidth="1"/>
    <col min="6" max="6" width="15.28515625" style="362" bestFit="1" customWidth="1"/>
    <col min="7" max="7" width="16.85546875" style="362" bestFit="1" customWidth="1"/>
  </cols>
  <sheetData>
    <row r="1" spans="1:8" x14ac:dyDescent="0.25">
      <c r="A1" t="s">
        <v>1383</v>
      </c>
    </row>
    <row r="2" spans="1:8" x14ac:dyDescent="0.25">
      <c r="A2" t="s">
        <v>1384</v>
      </c>
    </row>
    <row r="3" spans="1:8" x14ac:dyDescent="0.25">
      <c r="A3" t="s">
        <v>1385</v>
      </c>
      <c r="B3" s="372">
        <v>2</v>
      </c>
      <c r="C3" s="467">
        <v>3</v>
      </c>
      <c r="D3" s="467">
        <v>4</v>
      </c>
      <c r="E3" s="467">
        <v>5</v>
      </c>
      <c r="F3" s="467">
        <v>6</v>
      </c>
      <c r="G3" s="467">
        <v>7</v>
      </c>
    </row>
    <row r="4" spans="1:8" s="368" customFormat="1" ht="30" x14ac:dyDescent="0.25">
      <c r="C4" s="371" t="s">
        <v>1386</v>
      </c>
      <c r="D4" s="421" t="s">
        <v>1387</v>
      </c>
      <c r="E4" s="371" t="s">
        <v>1388</v>
      </c>
      <c r="F4" s="421" t="s">
        <v>1389</v>
      </c>
      <c r="G4" s="371" t="s">
        <v>1390</v>
      </c>
    </row>
    <row r="5" spans="1:8" s="2" customFormat="1" x14ac:dyDescent="0.25">
      <c r="A5" s="2" t="s">
        <v>185</v>
      </c>
      <c r="B5" s="2" t="s">
        <v>1391</v>
      </c>
      <c r="C5" s="470">
        <f>SUBTOTAL(9,C6:C315)</f>
        <v>1621749289.150001</v>
      </c>
      <c r="D5" s="471">
        <f t="shared" ref="D5:G5" si="0">SUBTOTAL(9,D6:D315)</f>
        <v>1373332280.2699997</v>
      </c>
      <c r="E5" s="470">
        <f t="shared" si="0"/>
        <v>13509825.209999995</v>
      </c>
      <c r="F5" s="471">
        <f t="shared" si="0"/>
        <v>234907183.67000002</v>
      </c>
      <c r="G5" s="470">
        <f t="shared" si="0"/>
        <v>1621749289.150001</v>
      </c>
      <c r="H5" s="2" t="s">
        <v>1374</v>
      </c>
    </row>
    <row r="6" spans="1:8" x14ac:dyDescent="0.25">
      <c r="A6" t="s">
        <v>188</v>
      </c>
      <c r="B6" s="374" t="s">
        <v>190</v>
      </c>
      <c r="C6" s="362">
        <v>5351829.7300000004</v>
      </c>
      <c r="D6" s="401">
        <v>5350450.4400000004</v>
      </c>
      <c r="E6" s="362">
        <v>1379.29</v>
      </c>
      <c r="F6" s="401">
        <v>0</v>
      </c>
      <c r="G6" s="362">
        <v>5351829.7300000004</v>
      </c>
    </row>
    <row r="7" spans="1:8" x14ac:dyDescent="0.25">
      <c r="A7" t="s">
        <v>191</v>
      </c>
      <c r="B7" s="374" t="s">
        <v>192</v>
      </c>
      <c r="C7" s="362">
        <v>520485.08</v>
      </c>
      <c r="D7" s="401">
        <v>518879.31</v>
      </c>
      <c r="E7" s="362">
        <v>1605.77</v>
      </c>
      <c r="F7" s="401">
        <v>0</v>
      </c>
      <c r="G7" s="362">
        <v>520485.08</v>
      </c>
    </row>
    <row r="8" spans="1:8" x14ac:dyDescent="0.25">
      <c r="A8" t="s">
        <v>193</v>
      </c>
      <c r="B8" s="374" t="s">
        <v>195</v>
      </c>
      <c r="C8" s="362">
        <v>105785.92</v>
      </c>
      <c r="D8" s="401">
        <v>105785.92</v>
      </c>
      <c r="E8" s="362">
        <v>0</v>
      </c>
      <c r="F8" s="401">
        <v>0</v>
      </c>
      <c r="G8" s="362">
        <v>105785.92</v>
      </c>
    </row>
    <row r="9" spans="1:8" x14ac:dyDescent="0.25">
      <c r="A9" t="s">
        <v>196</v>
      </c>
      <c r="B9" s="374" t="s">
        <v>198</v>
      </c>
      <c r="C9" s="362">
        <v>3389749.65</v>
      </c>
      <c r="D9" s="401">
        <v>3319516.93</v>
      </c>
      <c r="E9" s="362">
        <v>70232.72</v>
      </c>
      <c r="F9" s="401">
        <v>0</v>
      </c>
      <c r="G9" s="362">
        <v>3389749.6500000004</v>
      </c>
    </row>
    <row r="10" spans="1:8" x14ac:dyDescent="0.25">
      <c r="A10" t="s">
        <v>199</v>
      </c>
      <c r="B10" s="374" t="s">
        <v>200</v>
      </c>
      <c r="C10" s="362">
        <v>8322836.4800000004</v>
      </c>
      <c r="D10" s="401">
        <v>8225884.3399999999</v>
      </c>
      <c r="E10" s="362">
        <v>71624.639999999999</v>
      </c>
      <c r="F10" s="401">
        <v>25327.5</v>
      </c>
      <c r="G10" s="362">
        <v>8322836.4799999995</v>
      </c>
    </row>
    <row r="11" spans="1:8" x14ac:dyDescent="0.25">
      <c r="A11" t="s">
        <v>201</v>
      </c>
      <c r="B11" s="374" t="s">
        <v>203</v>
      </c>
      <c r="C11" s="362">
        <v>678446.81</v>
      </c>
      <c r="D11" s="401">
        <v>615155.69999999995</v>
      </c>
      <c r="E11" s="362">
        <v>35171.4</v>
      </c>
      <c r="F11" s="401">
        <v>28119.71</v>
      </c>
      <c r="G11" s="362">
        <v>678446.80999999994</v>
      </c>
    </row>
    <row r="12" spans="1:8" x14ac:dyDescent="0.25">
      <c r="A12" t="s">
        <v>204</v>
      </c>
      <c r="B12" s="374" t="s">
        <v>206</v>
      </c>
      <c r="C12" s="362">
        <v>23187874.510000002</v>
      </c>
      <c r="D12" s="401">
        <v>22987978.600000001</v>
      </c>
      <c r="E12" s="362">
        <v>199895.91</v>
      </c>
      <c r="F12" s="401">
        <v>0</v>
      </c>
      <c r="G12" s="362">
        <v>23187874.510000002</v>
      </c>
    </row>
    <row r="13" spans="1:8" x14ac:dyDescent="0.25">
      <c r="A13" t="s">
        <v>207</v>
      </c>
      <c r="B13" s="374" t="s">
        <v>1184</v>
      </c>
      <c r="C13" s="362">
        <v>6153182.6900000004</v>
      </c>
      <c r="D13" s="401">
        <v>6105867.6900000004</v>
      </c>
      <c r="E13" s="362">
        <v>0</v>
      </c>
      <c r="F13" s="401">
        <v>47315</v>
      </c>
      <c r="G13" s="362">
        <v>6153182.6900000004</v>
      </c>
    </row>
    <row r="14" spans="1:8" x14ac:dyDescent="0.25">
      <c r="A14" t="s">
        <v>209</v>
      </c>
      <c r="B14" s="374" t="s">
        <v>211</v>
      </c>
      <c r="C14" s="362">
        <v>16501462.220000001</v>
      </c>
      <c r="D14" s="401">
        <v>14842956.880000001</v>
      </c>
      <c r="E14" s="362">
        <v>117018.3</v>
      </c>
      <c r="F14" s="401">
        <v>1541487.04</v>
      </c>
      <c r="G14" s="362">
        <v>16501462.220000001</v>
      </c>
    </row>
    <row r="15" spans="1:8" x14ac:dyDescent="0.25">
      <c r="A15" t="s">
        <v>212</v>
      </c>
      <c r="B15" s="374" t="s">
        <v>213</v>
      </c>
      <c r="C15" s="362">
        <v>32704468.890000001</v>
      </c>
      <c r="D15" s="401">
        <v>32330661.239999998</v>
      </c>
      <c r="E15" s="362">
        <v>26878.38</v>
      </c>
      <c r="F15" s="401">
        <v>346929.27</v>
      </c>
      <c r="G15" s="362">
        <v>32704468.889999997</v>
      </c>
    </row>
    <row r="16" spans="1:8" x14ac:dyDescent="0.25">
      <c r="A16" t="s">
        <v>214</v>
      </c>
      <c r="B16" s="374" t="s">
        <v>215</v>
      </c>
      <c r="C16" s="362">
        <v>16996570.050000001</v>
      </c>
      <c r="D16" s="401">
        <v>13620931.5</v>
      </c>
      <c r="E16" s="362">
        <v>0</v>
      </c>
      <c r="F16" s="401">
        <v>3375638.55</v>
      </c>
      <c r="G16" s="362">
        <v>16996570.050000001</v>
      </c>
    </row>
    <row r="17" spans="1:7" x14ac:dyDescent="0.25">
      <c r="A17" t="s">
        <v>216</v>
      </c>
      <c r="B17" s="374" t="s">
        <v>217</v>
      </c>
      <c r="C17" s="362">
        <v>4109.76</v>
      </c>
      <c r="D17" s="401">
        <v>4109.76</v>
      </c>
      <c r="E17" s="362">
        <v>0</v>
      </c>
      <c r="F17" s="401">
        <v>0</v>
      </c>
      <c r="G17" s="362">
        <v>4109.76</v>
      </c>
    </row>
    <row r="18" spans="1:7" x14ac:dyDescent="0.25">
      <c r="A18" t="s">
        <v>218</v>
      </c>
      <c r="B18" s="374" t="s">
        <v>219</v>
      </c>
      <c r="C18" s="362">
        <v>28077094.949999999</v>
      </c>
      <c r="D18" s="401">
        <v>23147036.370000001</v>
      </c>
      <c r="E18" s="362">
        <v>92666.82</v>
      </c>
      <c r="F18" s="401">
        <v>4837391.76</v>
      </c>
      <c r="G18" s="362">
        <v>28077094.950000003</v>
      </c>
    </row>
    <row r="19" spans="1:7" x14ac:dyDescent="0.25">
      <c r="A19" t="s">
        <v>220</v>
      </c>
      <c r="B19" s="374" t="s">
        <v>222</v>
      </c>
      <c r="C19" s="362">
        <v>98297.4</v>
      </c>
      <c r="D19" s="401">
        <v>98297.4</v>
      </c>
      <c r="E19" s="362">
        <v>0</v>
      </c>
      <c r="F19" s="401">
        <v>0</v>
      </c>
      <c r="G19" s="362">
        <v>98297.4</v>
      </c>
    </row>
    <row r="20" spans="1:7" x14ac:dyDescent="0.25">
      <c r="A20" t="s">
        <v>223</v>
      </c>
      <c r="B20" s="374" t="s">
        <v>224</v>
      </c>
      <c r="C20" s="362">
        <v>3459906.19</v>
      </c>
      <c r="D20" s="401">
        <v>3458894.19</v>
      </c>
      <c r="E20" s="362">
        <v>0</v>
      </c>
      <c r="F20" s="401">
        <v>1012</v>
      </c>
      <c r="G20" s="362">
        <v>3459906.19</v>
      </c>
    </row>
    <row r="21" spans="1:7" x14ac:dyDescent="0.25">
      <c r="A21" t="s">
        <v>225</v>
      </c>
      <c r="B21" s="374" t="s">
        <v>226</v>
      </c>
      <c r="C21" s="362">
        <v>163213.73000000001</v>
      </c>
      <c r="D21" s="401">
        <v>163213.73000000001</v>
      </c>
      <c r="E21" s="362">
        <v>0</v>
      </c>
      <c r="F21" s="401">
        <v>0</v>
      </c>
      <c r="G21" s="362">
        <v>163213.73000000001</v>
      </c>
    </row>
    <row r="22" spans="1:7" x14ac:dyDescent="0.25">
      <c r="A22" t="s">
        <v>227</v>
      </c>
      <c r="B22" s="374" t="s">
        <v>229</v>
      </c>
      <c r="C22" s="362">
        <v>7453263.8600000003</v>
      </c>
      <c r="D22" s="401">
        <v>7450841.6299999999</v>
      </c>
      <c r="E22" s="362">
        <v>0</v>
      </c>
      <c r="F22" s="401">
        <v>2422.23</v>
      </c>
      <c r="G22" s="362">
        <v>7453263.8600000003</v>
      </c>
    </row>
    <row r="23" spans="1:7" x14ac:dyDescent="0.25">
      <c r="A23" t="s">
        <v>230</v>
      </c>
      <c r="B23" s="374" t="s">
        <v>232</v>
      </c>
      <c r="C23" s="362">
        <v>1112847.8</v>
      </c>
      <c r="D23" s="401">
        <v>1101847.8</v>
      </c>
      <c r="E23" s="362">
        <v>0</v>
      </c>
      <c r="F23" s="401">
        <v>11000</v>
      </c>
      <c r="G23" s="362">
        <v>1112847.8</v>
      </c>
    </row>
    <row r="24" spans="1:7" x14ac:dyDescent="0.25">
      <c r="A24" t="s">
        <v>233</v>
      </c>
      <c r="B24" s="374" t="s">
        <v>234</v>
      </c>
      <c r="C24" s="362">
        <v>748853.15</v>
      </c>
      <c r="D24" s="401">
        <v>722214.15</v>
      </c>
      <c r="E24" s="362">
        <v>0</v>
      </c>
      <c r="F24" s="401">
        <v>26639</v>
      </c>
      <c r="G24" s="362">
        <v>748853.15</v>
      </c>
    </row>
    <row r="25" spans="1:7" x14ac:dyDescent="0.25">
      <c r="A25" t="s">
        <v>235</v>
      </c>
      <c r="B25" s="374" t="s">
        <v>236</v>
      </c>
      <c r="C25" s="362">
        <v>74968.33</v>
      </c>
      <c r="D25" s="401">
        <v>74967.240000000005</v>
      </c>
      <c r="E25" s="362">
        <v>0</v>
      </c>
      <c r="F25" s="401">
        <v>1.0900000000000001</v>
      </c>
      <c r="G25" s="362">
        <v>74968.33</v>
      </c>
    </row>
    <row r="26" spans="1:7" x14ac:dyDescent="0.25">
      <c r="A26" t="s">
        <v>237</v>
      </c>
      <c r="B26" s="374" t="s">
        <v>1185</v>
      </c>
      <c r="C26" s="362">
        <v>5968548.6799999997</v>
      </c>
      <c r="D26" s="401">
        <v>5806503.4699999997</v>
      </c>
      <c r="E26" s="362">
        <v>138345.21</v>
      </c>
      <c r="F26" s="401">
        <v>23700</v>
      </c>
      <c r="G26" s="362">
        <v>5968548.6799999997</v>
      </c>
    </row>
    <row r="27" spans="1:7" x14ac:dyDescent="0.25">
      <c r="A27" t="s">
        <v>239</v>
      </c>
      <c r="B27" s="374" t="s">
        <v>240</v>
      </c>
      <c r="C27" s="362">
        <v>9805082.2899999991</v>
      </c>
      <c r="D27" s="401">
        <v>6895699.9199999999</v>
      </c>
      <c r="E27" s="362">
        <v>0</v>
      </c>
      <c r="F27" s="401">
        <v>2909382.37</v>
      </c>
      <c r="G27" s="362">
        <v>9805082.2899999991</v>
      </c>
    </row>
    <row r="28" spans="1:7" x14ac:dyDescent="0.25">
      <c r="A28" t="s">
        <v>241</v>
      </c>
      <c r="B28" s="374" t="s">
        <v>242</v>
      </c>
      <c r="C28" s="362">
        <v>872007.97</v>
      </c>
      <c r="D28" s="401">
        <v>848439.34</v>
      </c>
      <c r="E28" s="362">
        <v>23568.63</v>
      </c>
      <c r="F28" s="401">
        <v>0</v>
      </c>
      <c r="G28" s="362">
        <v>872007.97</v>
      </c>
    </row>
    <row r="29" spans="1:7" x14ac:dyDescent="0.25">
      <c r="A29" t="s">
        <v>243</v>
      </c>
      <c r="B29" s="374" t="s">
        <v>244</v>
      </c>
      <c r="C29" s="362">
        <v>280021.03999999998</v>
      </c>
      <c r="D29" s="401">
        <v>280021.03999999998</v>
      </c>
      <c r="E29" s="362">
        <v>0</v>
      </c>
      <c r="F29" s="401">
        <v>0</v>
      </c>
      <c r="G29" s="362">
        <v>280021.03999999998</v>
      </c>
    </row>
    <row r="30" spans="1:7" x14ac:dyDescent="0.25">
      <c r="A30" t="s">
        <v>245</v>
      </c>
      <c r="B30" s="374" t="s">
        <v>246</v>
      </c>
      <c r="C30" s="362">
        <v>1365202.22</v>
      </c>
      <c r="D30" s="401">
        <v>1347329.32</v>
      </c>
      <c r="E30" s="362">
        <v>17872.900000000001</v>
      </c>
      <c r="F30" s="401">
        <v>0</v>
      </c>
      <c r="G30" s="362">
        <v>1365202.22</v>
      </c>
    </row>
    <row r="31" spans="1:7" x14ac:dyDescent="0.25">
      <c r="A31" t="s">
        <v>248</v>
      </c>
      <c r="B31" s="374" t="s">
        <v>249</v>
      </c>
      <c r="C31" s="362">
        <v>1492134.55</v>
      </c>
      <c r="D31" s="401">
        <v>1443504.8</v>
      </c>
      <c r="E31" s="362">
        <v>0</v>
      </c>
      <c r="F31" s="401">
        <v>48629.75</v>
      </c>
      <c r="G31" s="362">
        <v>1492134.55</v>
      </c>
    </row>
    <row r="32" spans="1:7" x14ac:dyDescent="0.25">
      <c r="A32" t="s">
        <v>250</v>
      </c>
      <c r="B32" s="374" t="s">
        <v>251</v>
      </c>
      <c r="C32" s="362">
        <v>1778649.11</v>
      </c>
      <c r="D32" s="401">
        <v>1571638.42</v>
      </c>
      <c r="E32" s="362">
        <v>32355.02</v>
      </c>
      <c r="F32" s="401">
        <v>174655.67</v>
      </c>
      <c r="G32" s="362">
        <v>1778649.1099999999</v>
      </c>
    </row>
    <row r="33" spans="1:7" x14ac:dyDescent="0.25">
      <c r="A33" t="s">
        <v>254</v>
      </c>
      <c r="B33" s="374" t="s">
        <v>255</v>
      </c>
      <c r="C33" s="362">
        <v>71776.320000000007</v>
      </c>
      <c r="D33" s="401">
        <v>71776.320000000007</v>
      </c>
      <c r="E33" s="362">
        <v>0</v>
      </c>
      <c r="F33" s="401">
        <v>0</v>
      </c>
      <c r="G33" s="362">
        <v>71776.320000000007</v>
      </c>
    </row>
    <row r="34" spans="1:7" x14ac:dyDescent="0.25">
      <c r="A34" t="s">
        <v>256</v>
      </c>
      <c r="B34" s="374" t="s">
        <v>257</v>
      </c>
      <c r="C34" s="362">
        <v>21030789.640000001</v>
      </c>
      <c r="D34" s="401">
        <v>16961186.25</v>
      </c>
      <c r="E34" s="362">
        <v>3983175.39</v>
      </c>
      <c r="F34" s="401">
        <v>86428</v>
      </c>
      <c r="G34" s="362">
        <v>21030789.640000001</v>
      </c>
    </row>
    <row r="35" spans="1:7" x14ac:dyDescent="0.25">
      <c r="A35" t="s">
        <v>258</v>
      </c>
      <c r="B35" s="374" t="s">
        <v>259</v>
      </c>
      <c r="C35" s="362">
        <v>22015903.670000002</v>
      </c>
      <c r="D35" s="401">
        <v>17231072.34</v>
      </c>
      <c r="E35" s="362">
        <v>267816.06</v>
      </c>
      <c r="F35" s="401">
        <v>4517015.2699999996</v>
      </c>
      <c r="G35" s="362">
        <v>22015903.669999998</v>
      </c>
    </row>
    <row r="36" spans="1:7" x14ac:dyDescent="0.25">
      <c r="A36" t="s">
        <v>260</v>
      </c>
      <c r="B36" s="374" t="s">
        <v>261</v>
      </c>
      <c r="C36" s="362">
        <v>6099552.46</v>
      </c>
      <c r="D36" s="401">
        <v>4483493.75</v>
      </c>
      <c r="E36" s="362">
        <v>28224.41</v>
      </c>
      <c r="F36" s="401">
        <v>1587834.3</v>
      </c>
      <c r="G36" s="362">
        <v>6099552.46</v>
      </c>
    </row>
    <row r="37" spans="1:7" x14ac:dyDescent="0.25">
      <c r="A37" t="s">
        <v>262</v>
      </c>
      <c r="B37" s="374" t="s">
        <v>263</v>
      </c>
      <c r="C37" s="362">
        <v>4477941.99</v>
      </c>
      <c r="D37" s="401">
        <v>4477941.99</v>
      </c>
      <c r="E37" s="362">
        <v>0</v>
      </c>
      <c r="F37" s="401">
        <v>0</v>
      </c>
      <c r="G37" s="362">
        <v>4477941.99</v>
      </c>
    </row>
    <row r="38" spans="1:7" x14ac:dyDescent="0.25">
      <c r="A38" t="s">
        <v>264</v>
      </c>
      <c r="B38" s="374" t="s">
        <v>265</v>
      </c>
      <c r="C38" s="362">
        <v>8801262.0800000001</v>
      </c>
      <c r="D38" s="401">
        <v>5991567.8399999999</v>
      </c>
      <c r="E38" s="362">
        <v>7799.78</v>
      </c>
      <c r="F38" s="401">
        <v>2801894.46</v>
      </c>
      <c r="G38" s="362">
        <v>8801262.0800000001</v>
      </c>
    </row>
    <row r="39" spans="1:7" x14ac:dyDescent="0.25">
      <c r="A39" t="s">
        <v>266</v>
      </c>
      <c r="B39" s="374" t="s">
        <v>267</v>
      </c>
      <c r="C39" s="362">
        <v>865113.54</v>
      </c>
      <c r="D39" s="401">
        <v>811856.22</v>
      </c>
      <c r="E39" s="362">
        <v>9696.2199999999993</v>
      </c>
      <c r="F39" s="401">
        <v>43561.1</v>
      </c>
      <c r="G39" s="362">
        <v>865113.53999999992</v>
      </c>
    </row>
    <row r="40" spans="1:7" x14ac:dyDescent="0.25">
      <c r="A40" t="s">
        <v>268</v>
      </c>
      <c r="B40" s="374" t="s">
        <v>269</v>
      </c>
      <c r="C40" s="362">
        <v>1338569.57</v>
      </c>
      <c r="D40" s="401">
        <v>1272489.76</v>
      </c>
      <c r="E40" s="362">
        <v>53554.81</v>
      </c>
      <c r="F40" s="401">
        <v>12525</v>
      </c>
      <c r="G40" s="362">
        <v>1338569.57</v>
      </c>
    </row>
    <row r="41" spans="1:7" x14ac:dyDescent="0.25">
      <c r="A41" t="s">
        <v>270</v>
      </c>
      <c r="B41" s="374" t="s">
        <v>271</v>
      </c>
      <c r="C41" s="362">
        <v>3255187.52</v>
      </c>
      <c r="D41" s="401">
        <v>3037612.01</v>
      </c>
      <c r="E41" s="362">
        <v>102529.56</v>
      </c>
      <c r="F41" s="401">
        <v>115045.95</v>
      </c>
      <c r="G41" s="362">
        <v>3255187.5199999996</v>
      </c>
    </row>
    <row r="42" spans="1:7" x14ac:dyDescent="0.25">
      <c r="A42" t="s">
        <v>272</v>
      </c>
      <c r="B42" s="374" t="s">
        <v>273</v>
      </c>
      <c r="C42" s="362">
        <v>1000419.85</v>
      </c>
      <c r="D42" s="401">
        <v>978217.12</v>
      </c>
      <c r="E42" s="362">
        <v>0</v>
      </c>
      <c r="F42" s="401">
        <v>22202.73</v>
      </c>
      <c r="G42" s="362">
        <v>1000419.85</v>
      </c>
    </row>
    <row r="43" spans="1:7" x14ac:dyDescent="0.25">
      <c r="A43" t="s">
        <v>274</v>
      </c>
      <c r="B43" s="374" t="s">
        <v>275</v>
      </c>
      <c r="C43" s="362">
        <v>20314278.41</v>
      </c>
      <c r="D43" s="401">
        <v>17087184.309999999</v>
      </c>
      <c r="E43" s="362">
        <v>39691.800000000003</v>
      </c>
      <c r="F43" s="401">
        <v>3187402.3</v>
      </c>
      <c r="G43" s="362">
        <v>20314278.409999996</v>
      </c>
    </row>
    <row r="44" spans="1:7" x14ac:dyDescent="0.25">
      <c r="A44" t="s">
        <v>276</v>
      </c>
      <c r="B44" s="374" t="s">
        <v>277</v>
      </c>
      <c r="C44" s="362">
        <v>531302.49</v>
      </c>
      <c r="D44" s="401">
        <v>531302.49</v>
      </c>
      <c r="E44" s="362">
        <v>0</v>
      </c>
      <c r="F44" s="401">
        <v>0</v>
      </c>
      <c r="G44" s="362">
        <v>531302.49</v>
      </c>
    </row>
    <row r="45" spans="1:7" x14ac:dyDescent="0.25">
      <c r="A45" t="s">
        <v>278</v>
      </c>
      <c r="B45" s="374" t="s">
        <v>279</v>
      </c>
      <c r="C45" s="362">
        <v>1525827.61</v>
      </c>
      <c r="D45" s="401">
        <v>1303456.52</v>
      </c>
      <c r="E45" s="362">
        <v>0</v>
      </c>
      <c r="F45" s="401">
        <v>222371.09</v>
      </c>
      <c r="G45" s="362">
        <v>1525827.61</v>
      </c>
    </row>
    <row r="46" spans="1:7" x14ac:dyDescent="0.25">
      <c r="A46" t="s">
        <v>280</v>
      </c>
      <c r="B46" s="374" t="s">
        <v>281</v>
      </c>
      <c r="C46" s="362">
        <v>156571.98000000001</v>
      </c>
      <c r="D46" s="401">
        <v>156571.98000000001</v>
      </c>
      <c r="E46" s="362">
        <v>0</v>
      </c>
      <c r="F46" s="401">
        <v>0</v>
      </c>
      <c r="G46" s="362">
        <v>156571.98000000001</v>
      </c>
    </row>
    <row r="47" spans="1:7" x14ac:dyDescent="0.25">
      <c r="A47" t="s">
        <v>282</v>
      </c>
      <c r="B47" s="374" t="s">
        <v>1392</v>
      </c>
      <c r="C47" s="362">
        <v>200119.84</v>
      </c>
      <c r="D47" s="401">
        <v>191619.84</v>
      </c>
      <c r="E47" s="362">
        <v>0</v>
      </c>
      <c r="F47" s="401">
        <v>8500</v>
      </c>
      <c r="G47" s="362">
        <v>200119.84</v>
      </c>
    </row>
    <row r="48" spans="1:7" x14ac:dyDescent="0.25">
      <c r="A48" t="s">
        <v>284</v>
      </c>
      <c r="B48" s="374" t="s">
        <v>1393</v>
      </c>
      <c r="C48" s="362">
        <v>928248.11</v>
      </c>
      <c r="D48" s="401">
        <v>928248.11</v>
      </c>
      <c r="E48" s="362">
        <v>0</v>
      </c>
      <c r="F48" s="401">
        <v>0</v>
      </c>
      <c r="G48" s="362">
        <v>928248.11</v>
      </c>
    </row>
    <row r="49" spans="1:7" x14ac:dyDescent="0.25">
      <c r="A49" t="s">
        <v>286</v>
      </c>
      <c r="B49" s="374" t="s">
        <v>287</v>
      </c>
      <c r="C49" s="362">
        <v>2447464.23</v>
      </c>
      <c r="D49" s="401">
        <v>2447464.23</v>
      </c>
      <c r="E49" s="362">
        <v>0</v>
      </c>
      <c r="F49" s="401">
        <v>0</v>
      </c>
      <c r="G49" s="362">
        <v>2447464.23</v>
      </c>
    </row>
    <row r="50" spans="1:7" x14ac:dyDescent="0.25">
      <c r="A50" t="s">
        <v>288</v>
      </c>
      <c r="B50" s="374" t="s">
        <v>289</v>
      </c>
      <c r="C50" s="362">
        <v>787198.95</v>
      </c>
      <c r="D50" s="401">
        <v>772319.69</v>
      </c>
      <c r="E50" s="362">
        <v>12379.26</v>
      </c>
      <c r="F50" s="401">
        <v>2500</v>
      </c>
      <c r="G50" s="362">
        <v>787198.95</v>
      </c>
    </row>
    <row r="51" spans="1:7" x14ac:dyDescent="0.25">
      <c r="A51" t="s">
        <v>290</v>
      </c>
      <c r="B51" s="374" t="s">
        <v>291</v>
      </c>
      <c r="C51" s="362">
        <v>651695.55000000005</v>
      </c>
      <c r="D51" s="401">
        <v>620837.63</v>
      </c>
      <c r="E51" s="362">
        <v>20935.310000000001</v>
      </c>
      <c r="F51" s="401">
        <v>9922.61</v>
      </c>
      <c r="G51" s="362">
        <v>651695.55000000005</v>
      </c>
    </row>
    <row r="52" spans="1:7" x14ac:dyDescent="0.25">
      <c r="A52" t="s">
        <v>292</v>
      </c>
      <c r="B52" s="374" t="s">
        <v>293</v>
      </c>
      <c r="C52" s="362">
        <v>184796.5</v>
      </c>
      <c r="D52" s="401">
        <v>184796.5</v>
      </c>
      <c r="E52" s="362">
        <v>0</v>
      </c>
      <c r="F52" s="401">
        <v>0</v>
      </c>
      <c r="G52" s="362">
        <v>184796.5</v>
      </c>
    </row>
    <row r="53" spans="1:7" x14ac:dyDescent="0.25">
      <c r="A53" t="s">
        <v>294</v>
      </c>
      <c r="B53" s="374" t="s">
        <v>295</v>
      </c>
      <c r="C53" s="362">
        <v>156959.19</v>
      </c>
      <c r="D53" s="401">
        <v>155537.82999999999</v>
      </c>
      <c r="E53" s="362">
        <v>0</v>
      </c>
      <c r="F53" s="401">
        <v>1421.36</v>
      </c>
      <c r="G53" s="362">
        <v>156959.18999999997</v>
      </c>
    </row>
    <row r="54" spans="1:7" x14ac:dyDescent="0.25">
      <c r="A54" t="s">
        <v>296</v>
      </c>
      <c r="B54" s="374" t="s">
        <v>297</v>
      </c>
      <c r="C54" s="362">
        <v>1164061.27</v>
      </c>
      <c r="D54" s="401">
        <v>1164061.27</v>
      </c>
      <c r="E54" s="362">
        <v>0</v>
      </c>
      <c r="F54" s="401">
        <v>0</v>
      </c>
      <c r="G54" s="362">
        <v>1164061.27</v>
      </c>
    </row>
    <row r="55" spans="1:7" x14ac:dyDescent="0.25">
      <c r="A55" t="s">
        <v>298</v>
      </c>
      <c r="B55" s="374" t="s">
        <v>299</v>
      </c>
      <c r="C55" s="362">
        <v>235353.06</v>
      </c>
      <c r="D55" s="401">
        <v>235352.06</v>
      </c>
      <c r="E55" s="362">
        <v>0</v>
      </c>
      <c r="F55" s="401">
        <v>1</v>
      </c>
      <c r="G55" s="362">
        <v>235353.06</v>
      </c>
    </row>
    <row r="56" spans="1:7" x14ac:dyDescent="0.25">
      <c r="A56" t="s">
        <v>300</v>
      </c>
      <c r="B56" s="374" t="s">
        <v>301</v>
      </c>
      <c r="C56" s="362">
        <v>177043.19</v>
      </c>
      <c r="D56" s="401">
        <v>177043.19</v>
      </c>
      <c r="E56" s="362">
        <v>0</v>
      </c>
      <c r="F56" s="401">
        <v>0</v>
      </c>
      <c r="G56" s="362">
        <v>177043.19</v>
      </c>
    </row>
    <row r="57" spans="1:7" x14ac:dyDescent="0.25">
      <c r="A57" t="s">
        <v>302</v>
      </c>
      <c r="B57" s="374" t="s">
        <v>303</v>
      </c>
      <c r="C57" s="362">
        <v>169921.28</v>
      </c>
      <c r="D57" s="401">
        <v>169921.28</v>
      </c>
      <c r="E57" s="362">
        <v>0</v>
      </c>
      <c r="F57" s="401">
        <v>0</v>
      </c>
      <c r="G57" s="362">
        <v>169921.28</v>
      </c>
    </row>
    <row r="58" spans="1:7" x14ac:dyDescent="0.25">
      <c r="A58" t="s">
        <v>304</v>
      </c>
      <c r="B58" s="374" t="s">
        <v>305</v>
      </c>
      <c r="C58" s="362">
        <v>274648.09999999998</v>
      </c>
      <c r="D58" s="401">
        <v>274648.09999999998</v>
      </c>
      <c r="E58" s="362">
        <v>0</v>
      </c>
      <c r="F58" s="401">
        <v>0</v>
      </c>
      <c r="G58" s="362">
        <v>274648.09999999998</v>
      </c>
    </row>
    <row r="59" spans="1:7" x14ac:dyDescent="0.25">
      <c r="A59" t="s">
        <v>306</v>
      </c>
      <c r="B59" s="374" t="s">
        <v>307</v>
      </c>
      <c r="C59" s="362">
        <v>66867.490000000005</v>
      </c>
      <c r="D59" s="401">
        <v>61795.49</v>
      </c>
      <c r="E59" s="362">
        <v>5072</v>
      </c>
      <c r="F59" s="401">
        <v>0</v>
      </c>
      <c r="G59" s="362">
        <v>66867.489999999991</v>
      </c>
    </row>
    <row r="60" spans="1:7" x14ac:dyDescent="0.25">
      <c r="A60" t="s">
        <v>308</v>
      </c>
      <c r="B60" s="374" t="s">
        <v>309</v>
      </c>
      <c r="C60" s="362">
        <v>644427.25</v>
      </c>
      <c r="D60" s="401">
        <v>505405.39</v>
      </c>
      <c r="E60" s="362">
        <v>18168.62</v>
      </c>
      <c r="F60" s="401">
        <v>120853.24</v>
      </c>
      <c r="G60" s="362">
        <v>644427.25</v>
      </c>
    </row>
    <row r="61" spans="1:7" x14ac:dyDescent="0.25">
      <c r="A61" t="s">
        <v>310</v>
      </c>
      <c r="B61" s="374" t="s">
        <v>311</v>
      </c>
      <c r="C61" s="362">
        <v>498669.81</v>
      </c>
      <c r="D61" s="401">
        <v>498669.81</v>
      </c>
      <c r="E61" s="362">
        <v>0</v>
      </c>
      <c r="F61" s="401">
        <v>0</v>
      </c>
      <c r="G61" s="362">
        <v>498669.81</v>
      </c>
    </row>
    <row r="62" spans="1:7" x14ac:dyDescent="0.25">
      <c r="A62" t="s">
        <v>312</v>
      </c>
      <c r="B62" s="374" t="s">
        <v>313</v>
      </c>
      <c r="C62" s="362">
        <v>451692.25</v>
      </c>
      <c r="D62" s="401">
        <v>451692.25</v>
      </c>
      <c r="E62" s="362">
        <v>0</v>
      </c>
      <c r="F62" s="401">
        <v>0</v>
      </c>
      <c r="G62" s="362">
        <v>451692.25</v>
      </c>
    </row>
    <row r="63" spans="1:7" x14ac:dyDescent="0.25">
      <c r="A63" t="s">
        <v>314</v>
      </c>
      <c r="B63" s="374" t="s">
        <v>315</v>
      </c>
      <c r="C63" s="362">
        <v>2348933.98</v>
      </c>
      <c r="D63" s="401">
        <v>2348933.98</v>
      </c>
      <c r="E63" s="362">
        <v>0</v>
      </c>
      <c r="F63" s="401">
        <v>0</v>
      </c>
      <c r="G63" s="362">
        <v>2348933.98</v>
      </c>
    </row>
    <row r="64" spans="1:7" x14ac:dyDescent="0.25">
      <c r="A64" t="s">
        <v>316</v>
      </c>
      <c r="B64" s="374" t="s">
        <v>317</v>
      </c>
      <c r="C64" s="362">
        <v>3353701.24</v>
      </c>
      <c r="D64" s="401">
        <v>3352603.41</v>
      </c>
      <c r="E64" s="362">
        <v>1097.83</v>
      </c>
      <c r="F64" s="401">
        <v>0</v>
      </c>
      <c r="G64" s="362">
        <v>3353701.24</v>
      </c>
    </row>
    <row r="65" spans="1:7" x14ac:dyDescent="0.25">
      <c r="A65" t="s">
        <v>318</v>
      </c>
      <c r="B65" s="374" t="s">
        <v>319</v>
      </c>
      <c r="C65" s="362">
        <v>31868.31</v>
      </c>
      <c r="D65" s="401">
        <v>31868.31</v>
      </c>
      <c r="E65" s="362">
        <v>0</v>
      </c>
      <c r="F65" s="401">
        <v>0</v>
      </c>
      <c r="G65" s="362">
        <v>31868.31</v>
      </c>
    </row>
    <row r="66" spans="1:7" x14ac:dyDescent="0.25">
      <c r="A66" t="s">
        <v>320</v>
      </c>
      <c r="B66" s="374" t="s">
        <v>1394</v>
      </c>
      <c r="C66" s="362">
        <v>6118540.3300000001</v>
      </c>
      <c r="D66" s="401">
        <v>5343967.07</v>
      </c>
      <c r="E66" s="362">
        <v>0</v>
      </c>
      <c r="F66" s="401">
        <v>774573.26</v>
      </c>
      <c r="G66" s="362">
        <v>6118540.3300000001</v>
      </c>
    </row>
    <row r="67" spans="1:7" x14ac:dyDescent="0.25">
      <c r="A67" t="s">
        <v>322</v>
      </c>
      <c r="B67" s="374" t="s">
        <v>1395</v>
      </c>
      <c r="C67" s="362">
        <v>3321445.91</v>
      </c>
      <c r="D67" s="401">
        <v>3321445.91</v>
      </c>
      <c r="E67" s="362">
        <v>0</v>
      </c>
      <c r="F67" s="401">
        <v>0</v>
      </c>
      <c r="G67" s="362">
        <v>3321445.91</v>
      </c>
    </row>
    <row r="68" spans="1:7" x14ac:dyDescent="0.25">
      <c r="A68" t="s">
        <v>324</v>
      </c>
      <c r="B68" s="374" t="s">
        <v>325</v>
      </c>
      <c r="C68" s="362">
        <v>6230307.3899999997</v>
      </c>
      <c r="D68" s="401">
        <v>5492420.1100000003</v>
      </c>
      <c r="E68" s="362">
        <v>0</v>
      </c>
      <c r="F68" s="401">
        <v>737887.28</v>
      </c>
      <c r="G68" s="362">
        <v>6230307.3900000006</v>
      </c>
    </row>
    <row r="69" spans="1:7" x14ac:dyDescent="0.25">
      <c r="A69" t="s">
        <v>326</v>
      </c>
      <c r="B69" s="374" t="s">
        <v>327</v>
      </c>
      <c r="C69" s="362">
        <v>115605.17</v>
      </c>
      <c r="D69" s="401">
        <v>115605.17</v>
      </c>
      <c r="E69" s="362">
        <v>0</v>
      </c>
      <c r="F69" s="401">
        <v>0</v>
      </c>
      <c r="G69" s="362">
        <v>115605.17</v>
      </c>
    </row>
    <row r="70" spans="1:7" x14ac:dyDescent="0.25">
      <c r="A70" t="s">
        <v>328</v>
      </c>
      <c r="B70" s="374" t="s">
        <v>329</v>
      </c>
      <c r="C70" s="362">
        <v>2277211.4700000002</v>
      </c>
      <c r="D70" s="401">
        <v>2266235.42</v>
      </c>
      <c r="E70" s="362">
        <v>10976.05</v>
      </c>
      <c r="F70" s="401">
        <v>0</v>
      </c>
      <c r="G70" s="362">
        <v>2277211.4699999997</v>
      </c>
    </row>
    <row r="71" spans="1:7" x14ac:dyDescent="0.25">
      <c r="A71" t="s">
        <v>330</v>
      </c>
      <c r="B71" s="374" t="s">
        <v>331</v>
      </c>
      <c r="C71" s="362">
        <v>38420769.030000001</v>
      </c>
      <c r="D71" s="401">
        <v>35960368.659999996</v>
      </c>
      <c r="E71" s="362">
        <v>295400.37</v>
      </c>
      <c r="F71" s="401">
        <v>2165000</v>
      </c>
      <c r="G71" s="362">
        <v>38420769.029999994</v>
      </c>
    </row>
    <row r="72" spans="1:7" x14ac:dyDescent="0.25">
      <c r="A72" t="s">
        <v>332</v>
      </c>
      <c r="B72" s="374" t="s">
        <v>333</v>
      </c>
      <c r="C72" s="362">
        <v>4427059.34</v>
      </c>
      <c r="D72" s="401">
        <v>3828606.9</v>
      </c>
      <c r="E72" s="362">
        <v>8892.02</v>
      </c>
      <c r="F72" s="401">
        <v>589560.42000000004</v>
      </c>
      <c r="G72" s="362">
        <v>4427059.34</v>
      </c>
    </row>
    <row r="73" spans="1:7" x14ac:dyDescent="0.25">
      <c r="A73" t="s">
        <v>334</v>
      </c>
      <c r="B73" s="374" t="s">
        <v>335</v>
      </c>
      <c r="C73" s="362">
        <v>1869850.05</v>
      </c>
      <c r="D73" s="401">
        <v>1861769.92</v>
      </c>
      <c r="E73" s="362">
        <v>8080.13</v>
      </c>
      <c r="F73" s="401">
        <v>0</v>
      </c>
      <c r="G73" s="362">
        <v>1869850.0499999998</v>
      </c>
    </row>
    <row r="74" spans="1:7" x14ac:dyDescent="0.25">
      <c r="A74" t="s">
        <v>336</v>
      </c>
      <c r="B74" s="374" t="s">
        <v>337</v>
      </c>
      <c r="C74" s="362">
        <v>143956.07999999999</v>
      </c>
      <c r="D74" s="401">
        <v>143956.07999999999</v>
      </c>
      <c r="E74" s="362">
        <v>0</v>
      </c>
      <c r="F74" s="401">
        <v>0</v>
      </c>
      <c r="G74" s="362">
        <v>143956.07999999999</v>
      </c>
    </row>
    <row r="75" spans="1:7" x14ac:dyDescent="0.25">
      <c r="A75" t="s">
        <v>338</v>
      </c>
      <c r="B75" s="374" t="s">
        <v>339</v>
      </c>
      <c r="C75" s="362">
        <v>211847.18</v>
      </c>
      <c r="D75" s="401">
        <v>210590.77</v>
      </c>
      <c r="E75" s="362">
        <v>0</v>
      </c>
      <c r="F75" s="401">
        <v>1256.4100000000001</v>
      </c>
      <c r="G75" s="362">
        <v>211847.18</v>
      </c>
    </row>
    <row r="76" spans="1:7" x14ac:dyDescent="0.25">
      <c r="A76" t="s">
        <v>340</v>
      </c>
      <c r="B76" s="374" t="s">
        <v>341</v>
      </c>
      <c r="C76" s="362">
        <v>6458972.25</v>
      </c>
      <c r="D76" s="401">
        <v>6453775.8099999996</v>
      </c>
      <c r="E76" s="362">
        <v>0</v>
      </c>
      <c r="F76" s="401">
        <v>5196.4399999999996</v>
      </c>
      <c r="G76" s="362">
        <v>6458972.25</v>
      </c>
    </row>
    <row r="77" spans="1:7" x14ac:dyDescent="0.25">
      <c r="A77" t="s">
        <v>342</v>
      </c>
      <c r="B77" s="374" t="s">
        <v>343</v>
      </c>
      <c r="C77" s="362">
        <v>2193603.44</v>
      </c>
      <c r="D77" s="401">
        <v>2193603.44</v>
      </c>
      <c r="E77" s="362">
        <v>0</v>
      </c>
      <c r="F77" s="401">
        <v>0</v>
      </c>
      <c r="G77" s="362">
        <v>2193603.44</v>
      </c>
    </row>
    <row r="78" spans="1:7" x14ac:dyDescent="0.25">
      <c r="A78" t="s">
        <v>344</v>
      </c>
      <c r="B78" s="374" t="s">
        <v>345</v>
      </c>
      <c r="C78" s="362">
        <v>101016.91</v>
      </c>
      <c r="D78" s="401">
        <v>84291.11</v>
      </c>
      <c r="E78" s="362">
        <v>21.24</v>
      </c>
      <c r="F78" s="401">
        <v>16704.560000000001</v>
      </c>
      <c r="G78" s="362">
        <v>101016.91</v>
      </c>
    </row>
    <row r="79" spans="1:7" x14ac:dyDescent="0.25">
      <c r="A79" t="s">
        <v>346</v>
      </c>
      <c r="B79" s="374" t="s">
        <v>347</v>
      </c>
      <c r="C79" s="362">
        <v>31836254.5</v>
      </c>
      <c r="D79" s="401">
        <v>29965745.109999999</v>
      </c>
      <c r="E79" s="362">
        <v>0</v>
      </c>
      <c r="F79" s="401">
        <v>1870509.39</v>
      </c>
      <c r="G79" s="362">
        <v>31836254.5</v>
      </c>
    </row>
    <row r="80" spans="1:7" x14ac:dyDescent="0.25">
      <c r="A80" t="s">
        <v>348</v>
      </c>
      <c r="B80" s="374" t="s">
        <v>1396</v>
      </c>
      <c r="C80" s="362">
        <v>39451789.869999997</v>
      </c>
      <c r="D80" s="401">
        <v>28860960.329999998</v>
      </c>
      <c r="E80" s="362">
        <v>272865.61</v>
      </c>
      <c r="F80" s="401">
        <v>10317963.93</v>
      </c>
      <c r="G80" s="362">
        <v>39451789.869999997</v>
      </c>
    </row>
    <row r="81" spans="1:7" x14ac:dyDescent="0.25">
      <c r="A81" t="s">
        <v>350</v>
      </c>
      <c r="B81" s="374" t="s">
        <v>1396</v>
      </c>
      <c r="C81" s="362">
        <v>15942.9</v>
      </c>
      <c r="D81" s="401">
        <v>15942.9</v>
      </c>
      <c r="E81" s="362">
        <v>0</v>
      </c>
      <c r="F81" s="401">
        <v>0</v>
      </c>
      <c r="G81" s="362">
        <v>15942.9</v>
      </c>
    </row>
    <row r="82" spans="1:7" x14ac:dyDescent="0.25">
      <c r="A82" t="s">
        <v>383</v>
      </c>
      <c r="B82" t="s">
        <v>1397</v>
      </c>
      <c r="C82" s="362">
        <v>458128.06</v>
      </c>
      <c r="D82" s="401">
        <v>458128.06</v>
      </c>
      <c r="E82" s="362">
        <v>0</v>
      </c>
      <c r="F82" s="401">
        <v>0</v>
      </c>
      <c r="G82" s="362">
        <v>458128.06</v>
      </c>
    </row>
    <row r="83" spans="1:7" x14ac:dyDescent="0.25">
      <c r="A83" t="s">
        <v>352</v>
      </c>
      <c r="B83" s="374" t="s">
        <v>353</v>
      </c>
      <c r="C83" s="362">
        <v>34297144.399999999</v>
      </c>
      <c r="D83" s="401">
        <v>34098610.18</v>
      </c>
      <c r="E83" s="362">
        <v>198534.22</v>
      </c>
      <c r="F83" s="401">
        <v>0</v>
      </c>
      <c r="G83" s="362">
        <v>34297144.399999999</v>
      </c>
    </row>
    <row r="84" spans="1:7" x14ac:dyDescent="0.25">
      <c r="A84" t="s">
        <v>354</v>
      </c>
      <c r="B84" s="374" t="s">
        <v>355</v>
      </c>
      <c r="C84" s="362">
        <v>8423637</v>
      </c>
      <c r="D84" s="401">
        <v>8423411.5</v>
      </c>
      <c r="E84" s="362">
        <v>0</v>
      </c>
      <c r="F84" s="401">
        <v>225.5</v>
      </c>
      <c r="G84" s="362">
        <v>8423637</v>
      </c>
    </row>
    <row r="85" spans="1:7" x14ac:dyDescent="0.25">
      <c r="A85" t="s">
        <v>356</v>
      </c>
      <c r="B85" s="374" t="s">
        <v>357</v>
      </c>
      <c r="C85" s="362">
        <v>4539737.57</v>
      </c>
      <c r="D85" s="401">
        <v>4500331.72</v>
      </c>
      <c r="E85" s="362">
        <v>39405.85</v>
      </c>
      <c r="F85" s="401">
        <v>0</v>
      </c>
      <c r="G85" s="362">
        <v>4539737.5699999994</v>
      </c>
    </row>
    <row r="86" spans="1:7" x14ac:dyDescent="0.25">
      <c r="A86" t="s">
        <v>358</v>
      </c>
      <c r="B86" s="374" t="s">
        <v>359</v>
      </c>
      <c r="C86" s="362">
        <v>1150582.78</v>
      </c>
      <c r="D86" s="401">
        <v>1121687.05</v>
      </c>
      <c r="E86" s="362">
        <v>21855.56</v>
      </c>
      <c r="F86" s="401">
        <v>7040.17</v>
      </c>
      <c r="G86" s="362">
        <v>1150582.78</v>
      </c>
    </row>
    <row r="87" spans="1:7" x14ac:dyDescent="0.25">
      <c r="A87" t="s">
        <v>360</v>
      </c>
      <c r="B87" s="374" t="s">
        <v>361</v>
      </c>
      <c r="C87" s="362">
        <v>14081904.66</v>
      </c>
      <c r="D87" s="401">
        <v>13898428.75</v>
      </c>
      <c r="E87" s="362">
        <v>183475.91</v>
      </c>
      <c r="F87" s="401">
        <v>0</v>
      </c>
      <c r="G87" s="362">
        <v>14081904.66</v>
      </c>
    </row>
    <row r="88" spans="1:7" x14ac:dyDescent="0.25">
      <c r="A88" t="s">
        <v>362</v>
      </c>
      <c r="B88" s="374" t="s">
        <v>363</v>
      </c>
      <c r="C88" s="362">
        <v>896946.64</v>
      </c>
      <c r="D88" s="401">
        <v>838091</v>
      </c>
      <c r="E88" s="362">
        <v>0</v>
      </c>
      <c r="F88" s="401">
        <v>58855.64</v>
      </c>
      <c r="G88" s="362">
        <v>896946.64</v>
      </c>
    </row>
    <row r="89" spans="1:7" x14ac:dyDescent="0.25">
      <c r="A89" t="s">
        <v>364</v>
      </c>
      <c r="B89" s="374" t="s">
        <v>365</v>
      </c>
      <c r="C89" s="362">
        <v>231174.39999999999</v>
      </c>
      <c r="D89" s="401">
        <v>231174.39999999999</v>
      </c>
      <c r="E89" s="362">
        <v>0</v>
      </c>
      <c r="F89" s="401">
        <v>0</v>
      </c>
      <c r="G89" s="362">
        <v>231174.39999999999</v>
      </c>
    </row>
    <row r="90" spans="1:7" x14ac:dyDescent="0.25">
      <c r="A90" t="s">
        <v>366</v>
      </c>
      <c r="B90" s="374" t="s">
        <v>367</v>
      </c>
      <c r="C90" s="362">
        <v>65088</v>
      </c>
      <c r="D90" s="401">
        <v>65088</v>
      </c>
      <c r="E90" s="362">
        <v>0</v>
      </c>
      <c r="F90" s="401">
        <v>0</v>
      </c>
      <c r="G90" s="362">
        <v>65088</v>
      </c>
    </row>
    <row r="91" spans="1:7" x14ac:dyDescent="0.25">
      <c r="A91" t="s">
        <v>368</v>
      </c>
      <c r="B91" s="374" t="s">
        <v>369</v>
      </c>
      <c r="C91" s="362">
        <v>920706.04</v>
      </c>
      <c r="D91" s="401">
        <v>920706.04</v>
      </c>
      <c r="E91" s="362">
        <v>0</v>
      </c>
      <c r="F91" s="401">
        <v>0</v>
      </c>
      <c r="G91" s="362">
        <v>920706.04</v>
      </c>
    </row>
    <row r="92" spans="1:7" x14ac:dyDescent="0.25">
      <c r="A92" t="s">
        <v>370</v>
      </c>
      <c r="B92" s="374" t="s">
        <v>371</v>
      </c>
      <c r="C92" s="362">
        <v>968427.64</v>
      </c>
      <c r="D92" s="401">
        <v>786743.71</v>
      </c>
      <c r="E92" s="362">
        <v>11683.93</v>
      </c>
      <c r="F92" s="401">
        <v>170000</v>
      </c>
      <c r="G92" s="362">
        <v>968427.6399999999</v>
      </c>
    </row>
    <row r="93" spans="1:7" x14ac:dyDescent="0.25">
      <c r="A93" t="s">
        <v>372</v>
      </c>
      <c r="B93" s="374" t="s">
        <v>373</v>
      </c>
      <c r="C93" s="362">
        <v>3489331.15</v>
      </c>
      <c r="D93" s="401">
        <v>3489331.15</v>
      </c>
      <c r="E93" s="362">
        <v>0</v>
      </c>
      <c r="F93" s="401">
        <v>0</v>
      </c>
      <c r="G93" s="362">
        <v>3489331.15</v>
      </c>
    </row>
    <row r="94" spans="1:7" x14ac:dyDescent="0.25">
      <c r="A94" t="s">
        <v>374</v>
      </c>
      <c r="B94" s="374" t="s">
        <v>375</v>
      </c>
      <c r="C94" s="362">
        <v>1389077.72</v>
      </c>
      <c r="D94" s="401">
        <v>1389077.72</v>
      </c>
      <c r="E94" s="362">
        <v>0</v>
      </c>
      <c r="F94" s="401">
        <v>0</v>
      </c>
      <c r="G94" s="362">
        <v>1389077.72</v>
      </c>
    </row>
    <row r="95" spans="1:7" x14ac:dyDescent="0.25">
      <c r="A95" t="s">
        <v>376</v>
      </c>
      <c r="B95" s="374" t="s">
        <v>377</v>
      </c>
      <c r="C95" s="362">
        <v>4389986.38</v>
      </c>
      <c r="D95" s="401">
        <v>4179311.38</v>
      </c>
      <c r="E95" s="362">
        <v>210675</v>
      </c>
      <c r="F95" s="401">
        <v>0</v>
      </c>
      <c r="G95" s="362">
        <v>4389986.38</v>
      </c>
    </row>
    <row r="96" spans="1:7" x14ac:dyDescent="0.25">
      <c r="A96" t="s">
        <v>378</v>
      </c>
      <c r="B96" s="374" t="s">
        <v>379</v>
      </c>
      <c r="C96" s="362">
        <v>182797.94</v>
      </c>
      <c r="D96" s="401">
        <v>164154.01999999999</v>
      </c>
      <c r="E96" s="362">
        <v>0</v>
      </c>
      <c r="F96" s="401">
        <v>18643.919999999998</v>
      </c>
      <c r="G96" s="362">
        <v>182797.94</v>
      </c>
    </row>
    <row r="97" spans="1:7" x14ac:dyDescent="0.25">
      <c r="A97" t="s">
        <v>380</v>
      </c>
      <c r="B97" s="374" t="s">
        <v>381</v>
      </c>
      <c r="C97" s="362">
        <v>57031.16</v>
      </c>
      <c r="D97" s="401">
        <v>55939.22</v>
      </c>
      <c r="E97" s="362">
        <v>0</v>
      </c>
      <c r="F97" s="401">
        <v>1091.94</v>
      </c>
      <c r="G97" s="362">
        <v>57031.16</v>
      </c>
    </row>
    <row r="98" spans="1:7" x14ac:dyDescent="0.25">
      <c r="A98" t="s">
        <v>382</v>
      </c>
      <c r="B98" s="374" t="s">
        <v>1398</v>
      </c>
      <c r="C98" s="362">
        <v>690479.74</v>
      </c>
      <c r="D98" s="401">
        <v>690479.74</v>
      </c>
      <c r="E98" s="362">
        <v>0</v>
      </c>
      <c r="F98" s="401">
        <v>0</v>
      </c>
      <c r="G98" s="362">
        <v>690479.74</v>
      </c>
    </row>
    <row r="99" spans="1:7" x14ac:dyDescent="0.25">
      <c r="A99" t="s">
        <v>620</v>
      </c>
      <c r="B99" s="374" t="s">
        <v>1414</v>
      </c>
      <c r="C99" s="362">
        <v>389101.86</v>
      </c>
      <c r="D99" s="401">
        <v>389101.86</v>
      </c>
      <c r="E99" s="362">
        <v>0</v>
      </c>
      <c r="F99" s="401">
        <v>0</v>
      </c>
      <c r="G99" s="362">
        <v>389101.86</v>
      </c>
    </row>
    <row r="100" spans="1:7" x14ac:dyDescent="0.25">
      <c r="A100" t="s">
        <v>384</v>
      </c>
      <c r="B100" s="374" t="s">
        <v>385</v>
      </c>
      <c r="C100" s="362">
        <v>147916.10999999999</v>
      </c>
      <c r="D100" s="401">
        <v>147916.10999999999</v>
      </c>
      <c r="E100" s="362">
        <v>0</v>
      </c>
      <c r="F100" s="401">
        <v>0</v>
      </c>
      <c r="G100" s="362">
        <v>147916.10999999999</v>
      </c>
    </row>
    <row r="101" spans="1:7" x14ac:dyDescent="0.25">
      <c r="A101" t="s">
        <v>386</v>
      </c>
      <c r="B101" s="374" t="s">
        <v>387</v>
      </c>
      <c r="C101" s="362">
        <v>918944.1</v>
      </c>
      <c r="D101" s="401">
        <v>893645.2</v>
      </c>
      <c r="E101" s="362">
        <v>21475.24</v>
      </c>
      <c r="F101" s="401">
        <v>3823.66</v>
      </c>
      <c r="G101" s="362">
        <v>918944.1</v>
      </c>
    </row>
    <row r="102" spans="1:7" x14ac:dyDescent="0.25">
      <c r="A102" t="s">
        <v>388</v>
      </c>
      <c r="B102" s="374" t="s">
        <v>389</v>
      </c>
      <c r="C102" s="362">
        <v>187226.68</v>
      </c>
      <c r="D102" s="401">
        <v>177531.93</v>
      </c>
      <c r="E102" s="362">
        <v>0</v>
      </c>
      <c r="F102" s="401">
        <v>9694.75</v>
      </c>
      <c r="G102" s="362">
        <v>187226.68</v>
      </c>
    </row>
    <row r="103" spans="1:7" x14ac:dyDescent="0.25">
      <c r="A103" t="s">
        <v>390</v>
      </c>
      <c r="B103" s="374" t="s">
        <v>391</v>
      </c>
      <c r="C103" s="362">
        <v>1171507.3999999999</v>
      </c>
      <c r="D103" s="401">
        <v>1171507.3999999999</v>
      </c>
      <c r="E103" s="362">
        <v>0</v>
      </c>
      <c r="F103" s="401">
        <v>0</v>
      </c>
      <c r="G103" s="362">
        <v>1171507.3999999999</v>
      </c>
    </row>
    <row r="104" spans="1:7" x14ac:dyDescent="0.25">
      <c r="A104" t="s">
        <v>392</v>
      </c>
      <c r="B104" s="374" t="s">
        <v>393</v>
      </c>
      <c r="C104" s="362">
        <v>29135335.170000002</v>
      </c>
      <c r="D104" s="401">
        <v>23032860.34</v>
      </c>
      <c r="E104" s="362">
        <v>632450.6</v>
      </c>
      <c r="F104" s="401">
        <v>5470024.2300000004</v>
      </c>
      <c r="G104" s="362">
        <v>29135335.170000002</v>
      </c>
    </row>
    <row r="105" spans="1:7" x14ac:dyDescent="0.25">
      <c r="A105" t="s">
        <v>394</v>
      </c>
      <c r="B105" s="374" t="s">
        <v>395</v>
      </c>
      <c r="C105" s="362">
        <v>2226407.79</v>
      </c>
      <c r="D105" s="401">
        <v>1603527.75</v>
      </c>
      <c r="E105" s="362">
        <v>11218.71</v>
      </c>
      <c r="F105" s="401">
        <v>611661.32999999996</v>
      </c>
      <c r="G105" s="362">
        <v>2226407.79</v>
      </c>
    </row>
    <row r="106" spans="1:7" x14ac:dyDescent="0.25">
      <c r="A106" t="s">
        <v>396</v>
      </c>
      <c r="B106" s="374" t="s">
        <v>397</v>
      </c>
      <c r="C106" s="362">
        <v>726933.37</v>
      </c>
      <c r="D106" s="401">
        <v>723525.01</v>
      </c>
      <c r="E106" s="362">
        <v>3408.36</v>
      </c>
      <c r="F106" s="401">
        <v>0</v>
      </c>
      <c r="G106" s="362">
        <v>726933.37</v>
      </c>
    </row>
    <row r="107" spans="1:7" x14ac:dyDescent="0.25">
      <c r="A107" t="s">
        <v>398</v>
      </c>
      <c r="B107" s="374" t="s">
        <v>399</v>
      </c>
      <c r="C107" s="362">
        <v>1968792.64</v>
      </c>
      <c r="D107" s="401">
        <v>1968792.64</v>
      </c>
      <c r="E107" s="362">
        <v>0</v>
      </c>
      <c r="F107" s="401">
        <v>0</v>
      </c>
      <c r="G107" s="362">
        <v>1968792.64</v>
      </c>
    </row>
    <row r="108" spans="1:7" x14ac:dyDescent="0.25">
      <c r="A108" t="s">
        <v>403</v>
      </c>
      <c r="B108" s="374" t="s">
        <v>404</v>
      </c>
      <c r="C108" s="362">
        <v>366668.98</v>
      </c>
      <c r="D108" s="401">
        <v>366668.98</v>
      </c>
      <c r="E108" s="362">
        <v>0</v>
      </c>
      <c r="F108" s="401">
        <v>0</v>
      </c>
      <c r="G108" s="362">
        <v>366668.98</v>
      </c>
    </row>
    <row r="109" spans="1:7" x14ac:dyDescent="0.25">
      <c r="A109" t="s">
        <v>405</v>
      </c>
      <c r="B109" s="374" t="s">
        <v>406</v>
      </c>
      <c r="C109" s="362">
        <v>36314.15</v>
      </c>
      <c r="D109" s="401">
        <v>36314.15</v>
      </c>
      <c r="E109" s="362">
        <v>0</v>
      </c>
      <c r="F109" s="401">
        <v>0</v>
      </c>
      <c r="G109" s="362">
        <v>36314.15</v>
      </c>
    </row>
    <row r="110" spans="1:7" x14ac:dyDescent="0.25">
      <c r="A110" t="s">
        <v>407</v>
      </c>
      <c r="B110" s="374" t="s">
        <v>408</v>
      </c>
      <c r="C110" s="362">
        <v>20055389.550000001</v>
      </c>
      <c r="D110" s="401">
        <v>19885094.02</v>
      </c>
      <c r="E110" s="362">
        <v>33839.83</v>
      </c>
      <c r="F110" s="401">
        <v>136455.70000000001</v>
      </c>
      <c r="G110" s="362">
        <v>20055389.550000001</v>
      </c>
    </row>
    <row r="111" spans="1:7" x14ac:dyDescent="0.25">
      <c r="A111" t="s">
        <v>409</v>
      </c>
      <c r="B111" s="374" t="s">
        <v>410</v>
      </c>
      <c r="C111" s="362">
        <v>45690.95</v>
      </c>
      <c r="D111" s="401">
        <v>45690.95</v>
      </c>
      <c r="E111" s="362">
        <v>0</v>
      </c>
      <c r="F111" s="401">
        <v>0</v>
      </c>
      <c r="G111" s="362">
        <v>45690.95</v>
      </c>
    </row>
    <row r="112" spans="1:7" x14ac:dyDescent="0.25">
      <c r="A112" t="s">
        <v>411</v>
      </c>
      <c r="B112" s="374" t="s">
        <v>412</v>
      </c>
      <c r="C112" s="362">
        <v>1189092.17</v>
      </c>
      <c r="D112" s="401">
        <v>198272.14</v>
      </c>
      <c r="E112" s="362">
        <v>990820.03</v>
      </c>
      <c r="F112" s="401">
        <v>0</v>
      </c>
      <c r="G112" s="362">
        <v>1189092.17</v>
      </c>
    </row>
    <row r="113" spans="1:7" x14ac:dyDescent="0.25">
      <c r="A113" t="s">
        <v>413</v>
      </c>
      <c r="B113" s="374" t="s">
        <v>414</v>
      </c>
      <c r="C113" s="362">
        <v>26396.54</v>
      </c>
      <c r="D113" s="401">
        <v>26396.54</v>
      </c>
      <c r="E113" s="362">
        <v>0</v>
      </c>
      <c r="F113" s="401">
        <v>0</v>
      </c>
      <c r="G113" s="362">
        <v>26396.54</v>
      </c>
    </row>
    <row r="114" spans="1:7" x14ac:dyDescent="0.25">
      <c r="A114" t="s">
        <v>415</v>
      </c>
      <c r="B114" s="374" t="s">
        <v>416</v>
      </c>
      <c r="C114" s="362">
        <v>7054953.4699999997</v>
      </c>
      <c r="D114" s="401">
        <v>6134609.0099999998</v>
      </c>
      <c r="E114" s="362">
        <v>55060.66</v>
      </c>
      <c r="F114" s="401">
        <v>865283.8</v>
      </c>
      <c r="G114" s="362">
        <v>7054953.4699999997</v>
      </c>
    </row>
    <row r="115" spans="1:7" x14ac:dyDescent="0.25">
      <c r="A115" t="s">
        <v>417</v>
      </c>
      <c r="B115" s="374" t="s">
        <v>418</v>
      </c>
      <c r="C115" s="362">
        <v>20743947.670000002</v>
      </c>
      <c r="D115" s="401">
        <v>18641541.579999998</v>
      </c>
      <c r="E115" s="362">
        <v>134996.82999999999</v>
      </c>
      <c r="F115" s="401">
        <v>1967409.26</v>
      </c>
      <c r="G115" s="362">
        <v>20743947.669999998</v>
      </c>
    </row>
    <row r="116" spans="1:7" x14ac:dyDescent="0.25">
      <c r="A116" t="s">
        <v>419</v>
      </c>
      <c r="B116" s="374" t="s">
        <v>420</v>
      </c>
      <c r="C116" s="362">
        <v>40788584.600000001</v>
      </c>
      <c r="D116" s="401">
        <v>35947672.039999999</v>
      </c>
      <c r="E116" s="362">
        <v>27671.88</v>
      </c>
      <c r="F116" s="401">
        <v>4813240.68</v>
      </c>
      <c r="G116" s="362">
        <v>40788584.600000001</v>
      </c>
    </row>
    <row r="117" spans="1:7" x14ac:dyDescent="0.25">
      <c r="A117" t="s">
        <v>421</v>
      </c>
      <c r="B117" s="374" t="s">
        <v>422</v>
      </c>
      <c r="C117" s="362">
        <v>956818.65</v>
      </c>
      <c r="D117" s="401">
        <v>956818.65</v>
      </c>
      <c r="E117" s="362">
        <v>0</v>
      </c>
      <c r="F117" s="401">
        <v>0</v>
      </c>
      <c r="G117" s="362">
        <v>956818.65</v>
      </c>
    </row>
    <row r="118" spans="1:7" x14ac:dyDescent="0.25">
      <c r="A118" t="s">
        <v>423</v>
      </c>
      <c r="B118" s="374" t="s">
        <v>1399</v>
      </c>
      <c r="C118" s="362">
        <v>1914549.62</v>
      </c>
      <c r="D118" s="401">
        <v>1619144.15</v>
      </c>
      <c r="E118" s="362">
        <v>11842.63</v>
      </c>
      <c r="F118" s="401">
        <v>283562.84000000003</v>
      </c>
      <c r="G118" s="362">
        <v>1914549.6199999999</v>
      </c>
    </row>
    <row r="119" spans="1:7" x14ac:dyDescent="0.25">
      <c r="A119" t="s">
        <v>425</v>
      </c>
      <c r="B119" s="374" t="s">
        <v>426</v>
      </c>
      <c r="C119" s="362">
        <v>826052.98</v>
      </c>
      <c r="D119" s="401">
        <v>826052.98</v>
      </c>
      <c r="E119" s="362">
        <v>0</v>
      </c>
      <c r="F119" s="401">
        <v>0</v>
      </c>
      <c r="G119" s="362">
        <v>826052.98</v>
      </c>
    </row>
    <row r="120" spans="1:7" x14ac:dyDescent="0.25">
      <c r="A120" t="s">
        <v>427</v>
      </c>
      <c r="B120" s="374" t="s">
        <v>428</v>
      </c>
      <c r="C120" s="362">
        <v>75622.09</v>
      </c>
      <c r="D120" s="401">
        <v>75622.09</v>
      </c>
      <c r="E120" s="362">
        <v>0</v>
      </c>
      <c r="F120" s="401">
        <v>0</v>
      </c>
      <c r="G120" s="362">
        <v>75622.09</v>
      </c>
    </row>
    <row r="121" spans="1:7" x14ac:dyDescent="0.25">
      <c r="A121" t="s">
        <v>429</v>
      </c>
      <c r="B121" s="374" t="s">
        <v>430</v>
      </c>
      <c r="C121" s="362">
        <v>2401652.09</v>
      </c>
      <c r="D121" s="401">
        <v>1879547.91</v>
      </c>
      <c r="E121" s="362">
        <v>0</v>
      </c>
      <c r="F121" s="401">
        <v>522104.18</v>
      </c>
      <c r="G121" s="362">
        <v>2401652.09</v>
      </c>
    </row>
    <row r="122" spans="1:7" x14ac:dyDescent="0.25">
      <c r="A122" t="s">
        <v>431</v>
      </c>
      <c r="B122" s="374" t="s">
        <v>432</v>
      </c>
      <c r="C122" s="362">
        <v>1068654.6200000001</v>
      </c>
      <c r="D122" s="401">
        <v>721380.28</v>
      </c>
      <c r="E122" s="362">
        <v>5993.93</v>
      </c>
      <c r="F122" s="401">
        <v>341280.41</v>
      </c>
      <c r="G122" s="362">
        <v>1068654.6200000001</v>
      </c>
    </row>
    <row r="123" spans="1:7" x14ac:dyDescent="0.25">
      <c r="A123" t="s">
        <v>433</v>
      </c>
      <c r="B123" s="374" t="s">
        <v>1195</v>
      </c>
      <c r="C123" s="362">
        <v>84877.34</v>
      </c>
      <c r="D123" s="401">
        <v>55687.22</v>
      </c>
      <c r="E123" s="362">
        <v>0</v>
      </c>
      <c r="F123" s="401">
        <v>29190.12</v>
      </c>
      <c r="G123" s="362">
        <v>84877.34</v>
      </c>
    </row>
    <row r="124" spans="1:7" x14ac:dyDescent="0.25">
      <c r="A124" t="s">
        <v>435</v>
      </c>
      <c r="B124" s="374" t="s">
        <v>436</v>
      </c>
      <c r="C124" s="362">
        <v>1362284.67</v>
      </c>
      <c r="D124" s="401">
        <v>1044514.84</v>
      </c>
      <c r="E124" s="362">
        <v>0</v>
      </c>
      <c r="F124" s="401">
        <v>317769.83</v>
      </c>
      <c r="G124" s="362">
        <v>1362284.67</v>
      </c>
    </row>
    <row r="125" spans="1:7" x14ac:dyDescent="0.25">
      <c r="A125" t="s">
        <v>437</v>
      </c>
      <c r="B125" s="374" t="s">
        <v>438</v>
      </c>
      <c r="C125" s="362">
        <v>269217.82</v>
      </c>
      <c r="D125" s="401">
        <v>203993.33</v>
      </c>
      <c r="E125" s="362">
        <v>0</v>
      </c>
      <c r="F125" s="401">
        <v>65224.49</v>
      </c>
      <c r="G125" s="362">
        <v>269217.82</v>
      </c>
    </row>
    <row r="126" spans="1:7" x14ac:dyDescent="0.25">
      <c r="A126" t="s">
        <v>439</v>
      </c>
      <c r="B126" s="374" t="s">
        <v>440</v>
      </c>
      <c r="C126" s="362">
        <v>13468329</v>
      </c>
      <c r="D126" s="401">
        <v>13411541.869999999</v>
      </c>
      <c r="E126" s="362">
        <v>56787.13</v>
      </c>
      <c r="F126" s="401">
        <v>0</v>
      </c>
      <c r="G126" s="362">
        <v>13468329</v>
      </c>
    </row>
    <row r="127" spans="1:7" x14ac:dyDescent="0.25">
      <c r="A127" t="s">
        <v>441</v>
      </c>
      <c r="B127" s="374" t="s">
        <v>442</v>
      </c>
      <c r="C127" s="362">
        <v>42463214.409999996</v>
      </c>
      <c r="D127" s="401">
        <v>27465998.170000002</v>
      </c>
      <c r="E127" s="362">
        <v>69941.23</v>
      </c>
      <c r="F127" s="401">
        <v>14927275.01</v>
      </c>
      <c r="G127" s="362">
        <v>42463214.410000004</v>
      </c>
    </row>
    <row r="128" spans="1:7" x14ac:dyDescent="0.25">
      <c r="A128" t="s">
        <v>443</v>
      </c>
      <c r="B128" s="374" t="s">
        <v>444</v>
      </c>
      <c r="C128" s="362">
        <v>3370261.84</v>
      </c>
      <c r="D128" s="401">
        <v>3042079.35</v>
      </c>
      <c r="E128" s="362">
        <v>34544.660000000003</v>
      </c>
      <c r="F128" s="401">
        <v>293637.83</v>
      </c>
      <c r="G128" s="362">
        <v>3370261.84</v>
      </c>
    </row>
    <row r="129" spans="1:7" x14ac:dyDescent="0.25">
      <c r="A129" t="s">
        <v>445</v>
      </c>
      <c r="B129" s="374" t="s">
        <v>446</v>
      </c>
      <c r="C129" s="362">
        <v>57832.25</v>
      </c>
      <c r="D129" s="401">
        <v>57832.25</v>
      </c>
      <c r="E129" s="362">
        <v>0</v>
      </c>
      <c r="F129" s="401">
        <v>0</v>
      </c>
      <c r="G129" s="362">
        <v>57832.25</v>
      </c>
    </row>
    <row r="130" spans="1:7" x14ac:dyDescent="0.25">
      <c r="A130" t="s">
        <v>447</v>
      </c>
      <c r="B130" s="374" t="s">
        <v>448</v>
      </c>
      <c r="C130" s="362">
        <v>488698.2</v>
      </c>
      <c r="D130" s="401">
        <v>397945.44</v>
      </c>
      <c r="E130" s="362">
        <v>0</v>
      </c>
      <c r="F130" s="401">
        <v>90752.76</v>
      </c>
      <c r="G130" s="362">
        <v>488698.2</v>
      </c>
    </row>
    <row r="131" spans="1:7" x14ac:dyDescent="0.25">
      <c r="A131" t="s">
        <v>449</v>
      </c>
      <c r="B131" s="374" t="s">
        <v>450</v>
      </c>
      <c r="C131" s="362">
        <v>160055.96</v>
      </c>
      <c r="D131" s="401">
        <v>160055.96</v>
      </c>
      <c r="E131" s="362">
        <v>0</v>
      </c>
      <c r="F131" s="401">
        <v>0</v>
      </c>
      <c r="G131" s="362">
        <v>160055.96</v>
      </c>
    </row>
    <row r="132" spans="1:7" x14ac:dyDescent="0.25">
      <c r="A132" t="s">
        <v>451</v>
      </c>
      <c r="B132" s="374" t="s">
        <v>452</v>
      </c>
      <c r="C132" s="362">
        <v>10914491.439999999</v>
      </c>
      <c r="D132" s="401">
        <v>8643623.4800000004</v>
      </c>
      <c r="E132" s="362">
        <v>115772.91</v>
      </c>
      <c r="F132" s="401">
        <v>2155095.0499999998</v>
      </c>
      <c r="G132" s="362">
        <v>10914491.440000001</v>
      </c>
    </row>
    <row r="133" spans="1:7" x14ac:dyDescent="0.25">
      <c r="A133" t="s">
        <v>453</v>
      </c>
      <c r="B133" s="374" t="s">
        <v>454</v>
      </c>
      <c r="C133" s="362">
        <v>166141.98000000001</v>
      </c>
      <c r="D133" s="401">
        <v>166141.98000000001</v>
      </c>
      <c r="E133" s="362">
        <v>0</v>
      </c>
      <c r="F133" s="401">
        <v>0</v>
      </c>
      <c r="G133" s="362">
        <v>166141.98000000001</v>
      </c>
    </row>
    <row r="134" spans="1:7" hidden="1" x14ac:dyDescent="0.25">
      <c r="A134" t="s">
        <v>1314</v>
      </c>
      <c r="B134" t="s">
        <v>1400</v>
      </c>
      <c r="C134" s="362">
        <v>677447.35</v>
      </c>
      <c r="D134" s="401">
        <v>677447.35</v>
      </c>
      <c r="E134" s="362">
        <v>0</v>
      </c>
      <c r="F134" s="401">
        <v>0</v>
      </c>
      <c r="G134" s="362">
        <v>677447.35</v>
      </c>
    </row>
    <row r="135" spans="1:7" x14ac:dyDescent="0.25">
      <c r="A135" t="s">
        <v>455</v>
      </c>
      <c r="B135" s="374" t="s">
        <v>456</v>
      </c>
      <c r="C135" s="362">
        <v>341070.59</v>
      </c>
      <c r="D135" s="401">
        <v>306198.01</v>
      </c>
      <c r="E135" s="362">
        <v>33372.58</v>
      </c>
      <c r="F135" s="401">
        <v>1500</v>
      </c>
      <c r="G135" s="362">
        <v>341070.59</v>
      </c>
    </row>
    <row r="136" spans="1:7" x14ac:dyDescent="0.25">
      <c r="A136" t="s">
        <v>458</v>
      </c>
      <c r="B136" s="374" t="s">
        <v>459</v>
      </c>
      <c r="C136" s="362">
        <v>237955.77</v>
      </c>
      <c r="D136" s="401">
        <v>237955.77</v>
      </c>
      <c r="E136" s="362">
        <v>0</v>
      </c>
      <c r="F136" s="401">
        <v>0</v>
      </c>
      <c r="G136" s="362">
        <v>237955.77</v>
      </c>
    </row>
    <row r="137" spans="1:7" x14ac:dyDescent="0.25">
      <c r="A137" t="s">
        <v>460</v>
      </c>
      <c r="B137" s="374" t="s">
        <v>461</v>
      </c>
      <c r="C137" s="362">
        <v>5256284.8899999997</v>
      </c>
      <c r="D137" s="401">
        <v>5180533.1399999997</v>
      </c>
      <c r="E137" s="362">
        <v>50754.27</v>
      </c>
      <c r="F137" s="401">
        <v>24997.48</v>
      </c>
      <c r="G137" s="362">
        <v>5256284.8899999997</v>
      </c>
    </row>
    <row r="138" spans="1:7" x14ac:dyDescent="0.25">
      <c r="A138" t="s">
        <v>462</v>
      </c>
      <c r="B138" s="374" t="s">
        <v>463</v>
      </c>
      <c r="C138" s="362">
        <v>901051.04</v>
      </c>
      <c r="D138" s="401">
        <v>901051.04</v>
      </c>
      <c r="E138" s="362">
        <v>0</v>
      </c>
      <c r="F138" s="401">
        <v>0</v>
      </c>
      <c r="G138" s="362">
        <v>901051.04</v>
      </c>
    </row>
    <row r="139" spans="1:7" x14ac:dyDescent="0.25">
      <c r="A139" t="s">
        <v>464</v>
      </c>
      <c r="B139" s="374" t="s">
        <v>465</v>
      </c>
      <c r="C139" s="362">
        <v>95475.49</v>
      </c>
      <c r="D139" s="401">
        <v>72267</v>
      </c>
      <c r="E139" s="362">
        <v>0</v>
      </c>
      <c r="F139" s="401">
        <v>23208.49</v>
      </c>
      <c r="G139" s="362">
        <v>95475.49</v>
      </c>
    </row>
    <row r="140" spans="1:7" x14ac:dyDescent="0.25">
      <c r="A140" t="s">
        <v>466</v>
      </c>
      <c r="B140" s="374" t="s">
        <v>467</v>
      </c>
      <c r="C140" s="362">
        <v>610034</v>
      </c>
      <c r="D140" s="401">
        <v>601689</v>
      </c>
      <c r="E140" s="362">
        <v>0</v>
      </c>
      <c r="F140" s="401">
        <v>8345</v>
      </c>
      <c r="G140" s="362">
        <v>610034</v>
      </c>
    </row>
    <row r="141" spans="1:7" x14ac:dyDescent="0.25">
      <c r="A141" t="s">
        <v>468</v>
      </c>
      <c r="B141" s="374" t="s">
        <v>1196</v>
      </c>
      <c r="C141" s="362">
        <v>1129929.6100000001</v>
      </c>
      <c r="D141" s="401">
        <v>1064969.06</v>
      </c>
      <c r="E141" s="362">
        <v>0</v>
      </c>
      <c r="F141" s="401">
        <v>64960.55</v>
      </c>
      <c r="G141" s="362">
        <v>1129929.6100000001</v>
      </c>
    </row>
    <row r="142" spans="1:7" x14ac:dyDescent="0.25">
      <c r="A142" t="s">
        <v>470</v>
      </c>
      <c r="B142" s="374" t="s">
        <v>471</v>
      </c>
      <c r="C142" s="362">
        <v>475797.94</v>
      </c>
      <c r="D142" s="401">
        <v>466187.56</v>
      </c>
      <c r="E142" s="362">
        <v>0</v>
      </c>
      <c r="F142" s="401">
        <v>9610.3799999999992</v>
      </c>
      <c r="G142" s="362">
        <v>475797.94</v>
      </c>
    </row>
    <row r="143" spans="1:7" x14ac:dyDescent="0.25">
      <c r="A143" t="s">
        <v>472</v>
      </c>
      <c r="B143" s="374" t="s">
        <v>473</v>
      </c>
      <c r="C143" s="362">
        <v>17310065.629999999</v>
      </c>
      <c r="D143" s="401">
        <v>17249744.670000002</v>
      </c>
      <c r="E143" s="362">
        <v>60320.959999999999</v>
      </c>
      <c r="F143" s="401">
        <v>0</v>
      </c>
      <c r="G143" s="362">
        <v>17310065.630000003</v>
      </c>
    </row>
    <row r="144" spans="1:7" x14ac:dyDescent="0.25">
      <c r="A144" t="s">
        <v>474</v>
      </c>
      <c r="B144" s="374" t="s">
        <v>1197</v>
      </c>
      <c r="C144" s="362">
        <v>604009.12</v>
      </c>
      <c r="D144" s="401">
        <v>602837.23</v>
      </c>
      <c r="E144" s="362">
        <v>1171.8900000000001</v>
      </c>
      <c r="F144" s="401">
        <v>0</v>
      </c>
      <c r="G144" s="362">
        <v>604009.12</v>
      </c>
    </row>
    <row r="145" spans="1:7" x14ac:dyDescent="0.25">
      <c r="A145" t="s">
        <v>476</v>
      </c>
      <c r="B145" s="374" t="s">
        <v>477</v>
      </c>
      <c r="C145" s="362">
        <v>13310746.220000001</v>
      </c>
      <c r="D145" s="401">
        <v>11539887.68</v>
      </c>
      <c r="E145" s="362">
        <v>0</v>
      </c>
      <c r="F145" s="401">
        <v>1770858.54</v>
      </c>
      <c r="G145" s="362">
        <v>13310746.219999999</v>
      </c>
    </row>
    <row r="146" spans="1:7" x14ac:dyDescent="0.25">
      <c r="A146" t="s">
        <v>478</v>
      </c>
      <c r="B146" s="374" t="s">
        <v>479</v>
      </c>
      <c r="C146" s="362">
        <v>1956016.27</v>
      </c>
      <c r="D146" s="401">
        <v>1888012.18</v>
      </c>
      <c r="E146" s="362">
        <v>68004.09</v>
      </c>
      <c r="F146" s="401">
        <v>0</v>
      </c>
      <c r="G146" s="362">
        <v>1956016.27</v>
      </c>
    </row>
    <row r="147" spans="1:7" x14ac:dyDescent="0.25">
      <c r="A147" t="s">
        <v>480</v>
      </c>
      <c r="B147" s="374" t="s">
        <v>481</v>
      </c>
      <c r="C147" s="362">
        <v>6878926.6500000004</v>
      </c>
      <c r="D147" s="401">
        <v>4179346.95</v>
      </c>
      <c r="E147" s="362">
        <v>5113.7700000000004</v>
      </c>
      <c r="F147" s="401">
        <v>2694465.93</v>
      </c>
      <c r="G147" s="362">
        <v>6878926.6500000004</v>
      </c>
    </row>
    <row r="148" spans="1:7" x14ac:dyDescent="0.25">
      <c r="A148" t="s">
        <v>482</v>
      </c>
      <c r="B148" s="374" t="s">
        <v>483</v>
      </c>
      <c r="C148" s="362">
        <v>1985798.96</v>
      </c>
      <c r="D148" s="401">
        <v>1985798.96</v>
      </c>
      <c r="E148" s="362">
        <v>0</v>
      </c>
      <c r="F148" s="401">
        <v>0</v>
      </c>
      <c r="G148" s="362">
        <v>1985798.96</v>
      </c>
    </row>
    <row r="149" spans="1:7" x14ac:dyDescent="0.25">
      <c r="A149" t="s">
        <v>484</v>
      </c>
      <c r="B149" s="374" t="s">
        <v>485</v>
      </c>
      <c r="C149" s="362">
        <v>629708.82999999996</v>
      </c>
      <c r="D149" s="401">
        <v>629708.82999999996</v>
      </c>
      <c r="E149" s="362">
        <v>0</v>
      </c>
      <c r="F149" s="401">
        <v>0</v>
      </c>
      <c r="G149" s="362">
        <v>629708.82999999996</v>
      </c>
    </row>
    <row r="150" spans="1:7" x14ac:dyDescent="0.25">
      <c r="A150" t="s">
        <v>486</v>
      </c>
      <c r="B150" s="374" t="s">
        <v>487</v>
      </c>
      <c r="C150" s="362">
        <v>48940.42</v>
      </c>
      <c r="D150" s="401">
        <v>48940.42</v>
      </c>
      <c r="E150" s="362">
        <v>0</v>
      </c>
      <c r="F150" s="401">
        <v>0</v>
      </c>
      <c r="G150" s="362">
        <v>48940.42</v>
      </c>
    </row>
    <row r="151" spans="1:7" x14ac:dyDescent="0.25">
      <c r="A151" t="s">
        <v>488</v>
      </c>
      <c r="B151" s="374" t="s">
        <v>489</v>
      </c>
      <c r="C151" s="362">
        <v>7975926.3099999996</v>
      </c>
      <c r="D151" s="401">
        <v>7444892.8600000003</v>
      </c>
      <c r="E151" s="362">
        <v>0</v>
      </c>
      <c r="F151" s="401">
        <v>531033.44999999995</v>
      </c>
      <c r="G151" s="362">
        <v>7975926.3100000005</v>
      </c>
    </row>
    <row r="152" spans="1:7" x14ac:dyDescent="0.25">
      <c r="A152" t="s">
        <v>490</v>
      </c>
      <c r="B152" s="374" t="s">
        <v>491</v>
      </c>
      <c r="C152" s="362">
        <v>1609178.08</v>
      </c>
      <c r="D152" s="401">
        <v>1512281.39</v>
      </c>
      <c r="E152" s="362">
        <v>0</v>
      </c>
      <c r="F152" s="401">
        <v>96896.69</v>
      </c>
      <c r="G152" s="362">
        <v>1609178.0799999998</v>
      </c>
    </row>
    <row r="153" spans="1:7" x14ac:dyDescent="0.25">
      <c r="A153" t="s">
        <v>492</v>
      </c>
      <c r="B153" s="374" t="s">
        <v>493</v>
      </c>
      <c r="C153" s="362">
        <v>427042.45</v>
      </c>
      <c r="D153" s="401">
        <v>358065.94</v>
      </c>
      <c r="E153" s="362">
        <v>327.36</v>
      </c>
      <c r="F153" s="401">
        <v>68649.149999999994</v>
      </c>
      <c r="G153" s="362">
        <v>427042.45</v>
      </c>
    </row>
    <row r="154" spans="1:7" x14ac:dyDescent="0.25">
      <c r="A154" t="s">
        <v>494</v>
      </c>
      <c r="B154" s="374" t="s">
        <v>495</v>
      </c>
      <c r="C154" s="362">
        <v>9436862.0700000003</v>
      </c>
      <c r="D154" s="401">
        <v>7518197.7800000003</v>
      </c>
      <c r="E154" s="362">
        <v>87544.26</v>
      </c>
      <c r="F154" s="401">
        <v>1831120.03</v>
      </c>
      <c r="G154" s="362">
        <v>9436862.0700000003</v>
      </c>
    </row>
    <row r="155" spans="1:7" x14ac:dyDescent="0.25">
      <c r="A155" t="s">
        <v>496</v>
      </c>
      <c r="B155" s="374" t="s">
        <v>497</v>
      </c>
      <c r="C155" s="362">
        <v>556456.5</v>
      </c>
      <c r="D155" s="401">
        <v>556247.73</v>
      </c>
      <c r="E155" s="362">
        <v>208.77</v>
      </c>
      <c r="F155" s="401">
        <v>0</v>
      </c>
      <c r="G155" s="362">
        <v>556456.5</v>
      </c>
    </row>
    <row r="156" spans="1:7" x14ac:dyDescent="0.25">
      <c r="A156" t="s">
        <v>498</v>
      </c>
      <c r="B156" s="374" t="s">
        <v>499</v>
      </c>
      <c r="C156" s="362">
        <v>1183898.32</v>
      </c>
      <c r="D156" s="401">
        <v>1183898.32</v>
      </c>
      <c r="E156" s="362">
        <v>0</v>
      </c>
      <c r="F156" s="401">
        <v>0</v>
      </c>
      <c r="G156" s="362">
        <v>1183898.32</v>
      </c>
    </row>
    <row r="157" spans="1:7" x14ac:dyDescent="0.25">
      <c r="A157" t="s">
        <v>500</v>
      </c>
      <c r="B157" s="374" t="s">
        <v>501</v>
      </c>
      <c r="C157" s="362">
        <v>3440437.19</v>
      </c>
      <c r="D157" s="401">
        <v>3370002.91</v>
      </c>
      <c r="E157" s="362">
        <v>70434.28</v>
      </c>
      <c r="F157" s="401">
        <v>0</v>
      </c>
      <c r="G157" s="362">
        <v>3440437.19</v>
      </c>
    </row>
    <row r="158" spans="1:7" x14ac:dyDescent="0.25">
      <c r="A158" t="s">
        <v>502</v>
      </c>
      <c r="B158" s="374" t="s">
        <v>503</v>
      </c>
      <c r="C158" s="362">
        <v>51706.36</v>
      </c>
      <c r="D158" s="401">
        <v>51706.36</v>
      </c>
      <c r="E158" s="362">
        <v>0</v>
      </c>
      <c r="F158" s="401">
        <v>0</v>
      </c>
      <c r="G158" s="362">
        <v>51706.36</v>
      </c>
    </row>
    <row r="159" spans="1:7" x14ac:dyDescent="0.25">
      <c r="A159" t="s">
        <v>504</v>
      </c>
      <c r="B159" s="374" t="s">
        <v>1198</v>
      </c>
      <c r="C159" s="362">
        <v>12669271.6</v>
      </c>
      <c r="D159" s="401">
        <v>12499664.52</v>
      </c>
      <c r="E159" s="362">
        <v>169607.08</v>
      </c>
      <c r="F159" s="401">
        <v>0</v>
      </c>
      <c r="G159" s="362">
        <v>12669271.6</v>
      </c>
    </row>
    <row r="160" spans="1:7" hidden="1" x14ac:dyDescent="0.25">
      <c r="A160" t="s">
        <v>1370</v>
      </c>
      <c r="B160" t="s">
        <v>1401</v>
      </c>
      <c r="C160" s="362">
        <v>0</v>
      </c>
      <c r="D160" s="401">
        <v>0</v>
      </c>
      <c r="E160" s="362">
        <v>0</v>
      </c>
      <c r="F160" s="401">
        <v>0</v>
      </c>
      <c r="G160" s="362">
        <v>0</v>
      </c>
    </row>
    <row r="161" spans="1:7" x14ac:dyDescent="0.25">
      <c r="A161" t="s">
        <v>506</v>
      </c>
      <c r="B161" s="374" t="s">
        <v>507</v>
      </c>
      <c r="C161" s="362">
        <v>24930823.899999999</v>
      </c>
      <c r="D161" s="401">
        <v>18976261</v>
      </c>
      <c r="E161" s="362">
        <v>0</v>
      </c>
      <c r="F161" s="401">
        <v>5954562.9000000004</v>
      </c>
      <c r="G161" s="362">
        <v>24930823.899999999</v>
      </c>
    </row>
    <row r="162" spans="1:7" x14ac:dyDescent="0.25">
      <c r="A162" t="s">
        <v>508</v>
      </c>
      <c r="B162" s="374" t="s">
        <v>509</v>
      </c>
      <c r="C162" s="362">
        <v>1151442.28</v>
      </c>
      <c r="D162" s="401">
        <v>1151442.28</v>
      </c>
      <c r="E162" s="362">
        <v>0</v>
      </c>
      <c r="F162" s="401">
        <v>0</v>
      </c>
      <c r="G162" s="362">
        <v>1151442.28</v>
      </c>
    </row>
    <row r="163" spans="1:7" x14ac:dyDescent="0.25">
      <c r="A163" t="s">
        <v>510</v>
      </c>
      <c r="B163" s="374" t="s">
        <v>511</v>
      </c>
      <c r="C163" s="362">
        <v>1251110.44</v>
      </c>
      <c r="D163" s="401">
        <v>1250091.68</v>
      </c>
      <c r="E163" s="362">
        <v>1018.76</v>
      </c>
      <c r="F163" s="401">
        <v>0</v>
      </c>
      <c r="G163" s="362">
        <v>1251110.44</v>
      </c>
    </row>
    <row r="164" spans="1:7" x14ac:dyDescent="0.25">
      <c r="A164" t="s">
        <v>512</v>
      </c>
      <c r="B164" s="374" t="s">
        <v>1199</v>
      </c>
      <c r="C164" s="362">
        <v>357242.62</v>
      </c>
      <c r="D164" s="401">
        <v>357242.62</v>
      </c>
      <c r="E164" s="362">
        <v>0</v>
      </c>
      <c r="F164" s="401">
        <v>0</v>
      </c>
      <c r="G164" s="362">
        <v>357242.62</v>
      </c>
    </row>
    <row r="165" spans="1:7" x14ac:dyDescent="0.25">
      <c r="A165" t="s">
        <v>514</v>
      </c>
      <c r="B165" s="374" t="s">
        <v>515</v>
      </c>
      <c r="C165" s="362">
        <v>130758.96</v>
      </c>
      <c r="D165" s="401">
        <v>130758.96</v>
      </c>
      <c r="E165" s="362">
        <v>0</v>
      </c>
      <c r="F165" s="401">
        <v>0</v>
      </c>
      <c r="G165" s="362">
        <v>130758.96</v>
      </c>
    </row>
    <row r="166" spans="1:7" x14ac:dyDescent="0.25">
      <c r="A166" t="s">
        <v>516</v>
      </c>
      <c r="B166" s="374" t="s">
        <v>517</v>
      </c>
      <c r="C166" s="362">
        <v>1342468.99</v>
      </c>
      <c r="D166" s="401">
        <v>1333514.6000000001</v>
      </c>
      <c r="E166" s="362">
        <v>0</v>
      </c>
      <c r="F166" s="401">
        <v>8954.39</v>
      </c>
      <c r="G166" s="362">
        <v>1342468.99</v>
      </c>
    </row>
    <row r="167" spans="1:7" x14ac:dyDescent="0.25">
      <c r="A167" t="s">
        <v>518</v>
      </c>
      <c r="B167" s="374" t="s">
        <v>519</v>
      </c>
      <c r="C167" s="362">
        <v>1608365.35</v>
      </c>
      <c r="D167" s="401">
        <v>1608365.35</v>
      </c>
      <c r="E167" s="362">
        <v>0</v>
      </c>
      <c r="F167" s="401">
        <v>0</v>
      </c>
      <c r="G167" s="362">
        <v>1608365.35</v>
      </c>
    </row>
    <row r="168" spans="1:7" x14ac:dyDescent="0.25">
      <c r="A168" t="s">
        <v>520</v>
      </c>
      <c r="B168" s="374" t="s">
        <v>521</v>
      </c>
      <c r="C168" s="362">
        <v>2592707.02</v>
      </c>
      <c r="D168" s="401">
        <v>2565466.2000000002</v>
      </c>
      <c r="E168" s="362">
        <v>27240.82</v>
      </c>
      <c r="F168" s="401">
        <v>0</v>
      </c>
      <c r="G168" s="362">
        <v>2592707.02</v>
      </c>
    </row>
    <row r="169" spans="1:7" x14ac:dyDescent="0.25">
      <c r="A169" t="s">
        <v>522</v>
      </c>
      <c r="B169" s="374" t="s">
        <v>523</v>
      </c>
      <c r="C169" s="362">
        <v>796628.42</v>
      </c>
      <c r="D169" s="401">
        <v>796628.42</v>
      </c>
      <c r="E169" s="362">
        <v>0</v>
      </c>
      <c r="F169" s="401">
        <v>0</v>
      </c>
      <c r="G169" s="362">
        <v>796628.42</v>
      </c>
    </row>
    <row r="170" spans="1:7" x14ac:dyDescent="0.25">
      <c r="A170" t="s">
        <v>524</v>
      </c>
      <c r="B170" s="374" t="s">
        <v>525</v>
      </c>
      <c r="C170" s="362">
        <v>2236700.87</v>
      </c>
      <c r="D170" s="401">
        <v>2236700.87</v>
      </c>
      <c r="E170" s="362">
        <v>0</v>
      </c>
      <c r="F170" s="401">
        <v>0</v>
      </c>
      <c r="G170" s="362">
        <v>2236700.87</v>
      </c>
    </row>
    <row r="171" spans="1:7" x14ac:dyDescent="0.25">
      <c r="A171" t="s">
        <v>526</v>
      </c>
      <c r="B171" s="374" t="s">
        <v>527</v>
      </c>
      <c r="C171" s="362">
        <v>9228409.8900000006</v>
      </c>
      <c r="D171" s="401">
        <v>6910555.6299999999</v>
      </c>
      <c r="E171" s="362">
        <v>0</v>
      </c>
      <c r="F171" s="401">
        <v>2317854.2599999998</v>
      </c>
      <c r="G171" s="362">
        <v>9228409.8900000006</v>
      </c>
    </row>
    <row r="172" spans="1:7" x14ac:dyDescent="0.25">
      <c r="A172" t="s">
        <v>528</v>
      </c>
      <c r="B172" s="374" t="s">
        <v>529</v>
      </c>
      <c r="C172" s="362">
        <v>2682208.2599999998</v>
      </c>
      <c r="D172" s="401">
        <v>2584272.4900000002</v>
      </c>
      <c r="E172" s="362">
        <v>20133.07</v>
      </c>
      <c r="F172" s="401">
        <v>77802.7</v>
      </c>
      <c r="G172" s="362">
        <v>2682208.2600000002</v>
      </c>
    </row>
    <row r="173" spans="1:7" x14ac:dyDescent="0.25">
      <c r="A173" t="s">
        <v>530</v>
      </c>
      <c r="B173" s="374" t="s">
        <v>531</v>
      </c>
      <c r="C173" s="362">
        <v>45647.98</v>
      </c>
      <c r="D173" s="401">
        <v>45647.98</v>
      </c>
      <c r="E173" s="362">
        <v>0</v>
      </c>
      <c r="F173" s="401">
        <v>0</v>
      </c>
      <c r="G173" s="362">
        <v>45647.98</v>
      </c>
    </row>
    <row r="174" spans="1:7" x14ac:dyDescent="0.25">
      <c r="A174" t="s">
        <v>532</v>
      </c>
      <c r="B174" s="374" t="s">
        <v>533</v>
      </c>
      <c r="C174" s="362">
        <v>25433150.52</v>
      </c>
      <c r="D174" s="401">
        <v>21038648.559999999</v>
      </c>
      <c r="E174" s="362">
        <v>70866.37</v>
      </c>
      <c r="F174" s="401">
        <v>4323635.59</v>
      </c>
      <c r="G174" s="362">
        <v>25433150.52</v>
      </c>
    </row>
    <row r="175" spans="1:7" x14ac:dyDescent="0.25">
      <c r="A175" t="s">
        <v>534</v>
      </c>
      <c r="B175" s="374" t="s">
        <v>535</v>
      </c>
      <c r="C175" s="362">
        <v>291252.84000000003</v>
      </c>
      <c r="D175" s="401">
        <v>291252.84000000003</v>
      </c>
      <c r="E175" s="362">
        <v>0</v>
      </c>
      <c r="F175" s="401">
        <v>0</v>
      </c>
      <c r="G175" s="362">
        <v>291252.84000000003</v>
      </c>
    </row>
    <row r="176" spans="1:7" x14ac:dyDescent="0.25">
      <c r="A176" t="s">
        <v>536</v>
      </c>
      <c r="B176" s="374" t="s">
        <v>537</v>
      </c>
      <c r="C176" s="362">
        <v>39897639.119999997</v>
      </c>
      <c r="D176" s="401">
        <v>24735452.59</v>
      </c>
      <c r="E176" s="362">
        <v>122480.16</v>
      </c>
      <c r="F176" s="401">
        <v>15039706.369999999</v>
      </c>
      <c r="G176" s="362">
        <v>39897639.119999997</v>
      </c>
    </row>
    <row r="177" spans="1:7" x14ac:dyDescent="0.25">
      <c r="A177" t="s">
        <v>538</v>
      </c>
      <c r="B177" s="374" t="s">
        <v>539</v>
      </c>
      <c r="C177" s="362">
        <v>9475354.8699999992</v>
      </c>
      <c r="D177" s="401">
        <v>7943826.1399999997</v>
      </c>
      <c r="E177" s="362">
        <v>931528.73</v>
      </c>
      <c r="F177" s="401">
        <v>600000</v>
      </c>
      <c r="G177" s="362">
        <v>9475354.8699999992</v>
      </c>
    </row>
    <row r="178" spans="1:7" x14ac:dyDescent="0.25">
      <c r="A178" t="s">
        <v>540</v>
      </c>
      <c r="B178" s="374" t="s">
        <v>541</v>
      </c>
      <c r="C178" s="362">
        <v>103401.86</v>
      </c>
      <c r="D178" s="401">
        <v>103401.86</v>
      </c>
      <c r="E178" s="362">
        <v>0</v>
      </c>
      <c r="F178" s="401">
        <v>0</v>
      </c>
      <c r="G178" s="362">
        <v>103401.86</v>
      </c>
    </row>
    <row r="179" spans="1:7" x14ac:dyDescent="0.25">
      <c r="A179" t="s">
        <v>542</v>
      </c>
      <c r="B179" s="374" t="s">
        <v>543</v>
      </c>
      <c r="C179" s="362">
        <v>355127.01</v>
      </c>
      <c r="D179" s="401">
        <v>332737.90000000002</v>
      </c>
      <c r="E179" s="362">
        <v>711</v>
      </c>
      <c r="F179" s="401">
        <v>21678.11</v>
      </c>
      <c r="G179" s="362">
        <v>355127.01</v>
      </c>
    </row>
    <row r="180" spans="1:7" x14ac:dyDescent="0.25">
      <c r="A180" t="s">
        <v>544</v>
      </c>
      <c r="B180" s="374" t="s">
        <v>545</v>
      </c>
      <c r="C180" s="362">
        <v>1683436.52</v>
      </c>
      <c r="D180" s="401">
        <v>1683436.52</v>
      </c>
      <c r="E180" s="362">
        <v>0</v>
      </c>
      <c r="F180" s="401">
        <v>0</v>
      </c>
      <c r="G180" s="362">
        <v>1683436.52</v>
      </c>
    </row>
    <row r="181" spans="1:7" x14ac:dyDescent="0.25">
      <c r="A181" t="s">
        <v>546</v>
      </c>
      <c r="B181" s="374" t="s">
        <v>547</v>
      </c>
      <c r="C181" s="362">
        <v>680013.48</v>
      </c>
      <c r="D181" s="401">
        <v>673723.96</v>
      </c>
      <c r="E181" s="362">
        <v>6289.52</v>
      </c>
      <c r="F181" s="401">
        <v>0</v>
      </c>
      <c r="G181" s="362">
        <v>680013.48</v>
      </c>
    </row>
    <row r="182" spans="1:7" x14ac:dyDescent="0.25">
      <c r="A182" t="s">
        <v>548</v>
      </c>
      <c r="B182" s="374" t="s">
        <v>549</v>
      </c>
      <c r="C182" s="362">
        <v>215373.31</v>
      </c>
      <c r="D182" s="401">
        <v>215373.31</v>
      </c>
      <c r="E182" s="362">
        <v>0</v>
      </c>
      <c r="F182" s="401">
        <v>0</v>
      </c>
      <c r="G182" s="362">
        <v>215373.31</v>
      </c>
    </row>
    <row r="183" spans="1:7" x14ac:dyDescent="0.25">
      <c r="A183" t="s">
        <v>550</v>
      </c>
      <c r="B183" s="374" t="s">
        <v>551</v>
      </c>
      <c r="C183" s="362">
        <v>1021561.83</v>
      </c>
      <c r="D183" s="401">
        <v>1021561.83</v>
      </c>
      <c r="E183" s="362">
        <v>0</v>
      </c>
      <c r="F183" s="401">
        <v>0</v>
      </c>
      <c r="G183" s="362">
        <v>1021561.83</v>
      </c>
    </row>
    <row r="184" spans="1:7" x14ac:dyDescent="0.25">
      <c r="A184" t="s">
        <v>552</v>
      </c>
      <c r="B184" s="374" t="s">
        <v>553</v>
      </c>
      <c r="C184" s="362">
        <v>18699447.690000001</v>
      </c>
      <c r="D184" s="401">
        <v>18661393.670000002</v>
      </c>
      <c r="E184" s="362">
        <v>38054.019999999997</v>
      </c>
      <c r="F184" s="401">
        <v>0</v>
      </c>
      <c r="G184" s="362">
        <v>18699447.690000001</v>
      </c>
    </row>
    <row r="185" spans="1:7" x14ac:dyDescent="0.25">
      <c r="A185" t="s">
        <v>554</v>
      </c>
      <c r="B185" s="374" t="s">
        <v>555</v>
      </c>
      <c r="C185" s="362">
        <v>5102547.76</v>
      </c>
      <c r="D185" s="401">
        <v>5062547.76</v>
      </c>
      <c r="E185" s="362">
        <v>0</v>
      </c>
      <c r="F185" s="401">
        <v>40000</v>
      </c>
      <c r="G185" s="362">
        <v>5102547.76</v>
      </c>
    </row>
    <row r="186" spans="1:7" x14ac:dyDescent="0.25">
      <c r="A186" t="s">
        <v>556</v>
      </c>
      <c r="B186" s="374" t="s">
        <v>557</v>
      </c>
      <c r="C186" s="362">
        <v>976236</v>
      </c>
      <c r="D186" s="401">
        <v>872331.86</v>
      </c>
      <c r="E186" s="362">
        <v>158</v>
      </c>
      <c r="F186" s="401">
        <v>103746.14</v>
      </c>
      <c r="G186" s="362">
        <v>976236</v>
      </c>
    </row>
    <row r="187" spans="1:7" x14ac:dyDescent="0.25">
      <c r="A187" t="s">
        <v>558</v>
      </c>
      <c r="B187" s="374" t="s">
        <v>559</v>
      </c>
      <c r="C187" s="362">
        <v>49553.04</v>
      </c>
      <c r="D187" s="401">
        <v>43573.04</v>
      </c>
      <c r="E187" s="362">
        <v>0</v>
      </c>
      <c r="F187" s="401">
        <v>5980</v>
      </c>
      <c r="G187" s="362">
        <v>49553.04</v>
      </c>
    </row>
    <row r="188" spans="1:7" x14ac:dyDescent="0.25">
      <c r="A188" t="s">
        <v>560</v>
      </c>
      <c r="B188" s="374" t="s">
        <v>1200</v>
      </c>
      <c r="C188" s="362">
        <v>1076765.17</v>
      </c>
      <c r="D188" s="401">
        <v>699587.25</v>
      </c>
      <c r="E188" s="362">
        <v>19293.89</v>
      </c>
      <c r="F188" s="401">
        <v>357884.03</v>
      </c>
      <c r="G188" s="362">
        <v>1076765.17</v>
      </c>
    </row>
    <row r="189" spans="1:7" x14ac:dyDescent="0.25">
      <c r="A189" t="s">
        <v>562</v>
      </c>
      <c r="B189" s="374" t="s">
        <v>563</v>
      </c>
      <c r="C189" s="362">
        <v>92775.91</v>
      </c>
      <c r="D189" s="401">
        <v>92775.91</v>
      </c>
      <c r="E189" s="362">
        <v>0</v>
      </c>
      <c r="F189" s="401">
        <v>0</v>
      </c>
      <c r="G189" s="362">
        <v>92775.91</v>
      </c>
    </row>
    <row r="190" spans="1:7" x14ac:dyDescent="0.25">
      <c r="A190" t="s">
        <v>564</v>
      </c>
      <c r="B190" s="374" t="s">
        <v>565</v>
      </c>
      <c r="C190" s="362">
        <v>57302.76</v>
      </c>
      <c r="D190" s="401">
        <v>57302.76</v>
      </c>
      <c r="E190" s="362">
        <v>0</v>
      </c>
      <c r="F190" s="401">
        <v>0</v>
      </c>
      <c r="G190" s="362">
        <v>57302.76</v>
      </c>
    </row>
    <row r="191" spans="1:7" x14ac:dyDescent="0.25">
      <c r="A191" t="s">
        <v>566</v>
      </c>
      <c r="B191" s="374" t="s">
        <v>567</v>
      </c>
      <c r="C191" s="362">
        <v>193401.78</v>
      </c>
      <c r="D191" s="401">
        <v>193401.78</v>
      </c>
      <c r="E191" s="362">
        <v>0</v>
      </c>
      <c r="F191" s="401">
        <v>0</v>
      </c>
      <c r="G191" s="362">
        <v>193401.78</v>
      </c>
    </row>
    <row r="192" spans="1:7" x14ac:dyDescent="0.25">
      <c r="A192" t="s">
        <v>568</v>
      </c>
      <c r="B192" s="374" t="s">
        <v>569</v>
      </c>
      <c r="C192" s="362">
        <v>597286.25</v>
      </c>
      <c r="D192" s="401">
        <v>573002.41</v>
      </c>
      <c r="E192" s="362">
        <v>13690.59</v>
      </c>
      <c r="F192" s="401">
        <v>10593.25</v>
      </c>
      <c r="G192" s="362">
        <v>597286.25</v>
      </c>
    </row>
    <row r="193" spans="1:7" x14ac:dyDescent="0.25">
      <c r="A193" t="s">
        <v>570</v>
      </c>
      <c r="B193" s="374" t="s">
        <v>571</v>
      </c>
      <c r="C193" s="362">
        <v>3582470.96</v>
      </c>
      <c r="D193" s="401">
        <v>3544505.94</v>
      </c>
      <c r="E193" s="362">
        <v>37965.019999999997</v>
      </c>
      <c r="F193" s="401">
        <v>0</v>
      </c>
      <c r="G193" s="362">
        <v>3582470.96</v>
      </c>
    </row>
    <row r="194" spans="1:7" x14ac:dyDescent="0.25">
      <c r="A194" t="s">
        <v>572</v>
      </c>
      <c r="B194" s="374" t="s">
        <v>573</v>
      </c>
      <c r="C194" s="362">
        <v>4150266.48</v>
      </c>
      <c r="D194" s="401">
        <v>4150266.48</v>
      </c>
      <c r="E194" s="362">
        <v>0</v>
      </c>
      <c r="F194" s="401">
        <v>0</v>
      </c>
      <c r="G194" s="362">
        <v>4150266.48</v>
      </c>
    </row>
    <row r="195" spans="1:7" x14ac:dyDescent="0.25">
      <c r="A195" t="s">
        <v>574</v>
      </c>
      <c r="B195" s="374" t="s">
        <v>575</v>
      </c>
      <c r="C195" s="362">
        <v>16583.990000000002</v>
      </c>
      <c r="D195" s="401">
        <v>16583.990000000002</v>
      </c>
      <c r="E195" s="362">
        <v>0</v>
      </c>
      <c r="F195" s="401">
        <v>0</v>
      </c>
      <c r="G195" s="362">
        <v>16583.990000000002</v>
      </c>
    </row>
    <row r="196" spans="1:7" x14ac:dyDescent="0.25">
      <c r="A196" t="s">
        <v>576</v>
      </c>
      <c r="B196" s="374" t="s">
        <v>577</v>
      </c>
      <c r="C196" s="362">
        <v>210564.75</v>
      </c>
      <c r="D196" s="401">
        <v>210564.75</v>
      </c>
      <c r="E196" s="362">
        <v>0</v>
      </c>
      <c r="F196" s="401">
        <v>0</v>
      </c>
      <c r="G196" s="362">
        <v>210564.75</v>
      </c>
    </row>
    <row r="197" spans="1:7" x14ac:dyDescent="0.25">
      <c r="A197" t="s">
        <v>578</v>
      </c>
      <c r="B197" s="374" t="s">
        <v>579</v>
      </c>
      <c r="C197" s="362">
        <v>21441370.559999999</v>
      </c>
      <c r="D197" s="401">
        <v>19415431.629999999</v>
      </c>
      <c r="E197" s="362">
        <v>95721.95</v>
      </c>
      <c r="F197" s="401">
        <v>1930216.98</v>
      </c>
      <c r="G197" s="362">
        <v>21441370.559999999</v>
      </c>
    </row>
    <row r="198" spans="1:7" x14ac:dyDescent="0.25">
      <c r="A198" t="s">
        <v>580</v>
      </c>
      <c r="B198" s="374" t="s">
        <v>581</v>
      </c>
      <c r="C198" s="362">
        <v>306838.76</v>
      </c>
      <c r="D198" s="401">
        <v>306838.76</v>
      </c>
      <c r="E198" s="362">
        <v>0</v>
      </c>
      <c r="F198" s="401">
        <v>0</v>
      </c>
      <c r="G198" s="362">
        <v>306838.76</v>
      </c>
    </row>
    <row r="199" spans="1:7" x14ac:dyDescent="0.25">
      <c r="A199" t="s">
        <v>582</v>
      </c>
      <c r="B199" s="374" t="s">
        <v>583</v>
      </c>
      <c r="C199" s="362">
        <v>131264.10999999999</v>
      </c>
      <c r="D199" s="401">
        <v>107728.2</v>
      </c>
      <c r="E199" s="362">
        <v>0</v>
      </c>
      <c r="F199" s="401">
        <v>23535.91</v>
      </c>
      <c r="G199" s="362">
        <v>131264.10999999999</v>
      </c>
    </row>
    <row r="200" spans="1:7" x14ac:dyDescent="0.25">
      <c r="A200" t="s">
        <v>584</v>
      </c>
      <c r="B200" s="374" t="s">
        <v>585</v>
      </c>
      <c r="C200" s="362">
        <v>428305.34</v>
      </c>
      <c r="D200" s="401">
        <v>426555.87</v>
      </c>
      <c r="E200" s="362">
        <v>1749.47</v>
      </c>
      <c r="F200" s="401">
        <v>0</v>
      </c>
      <c r="G200" s="362">
        <v>428305.33999999997</v>
      </c>
    </row>
    <row r="201" spans="1:7" x14ac:dyDescent="0.25">
      <c r="A201" t="s">
        <v>586</v>
      </c>
      <c r="B201" s="374" t="s">
        <v>587</v>
      </c>
      <c r="C201" s="362">
        <v>13404644.939999999</v>
      </c>
      <c r="D201" s="401">
        <v>13323441.09</v>
      </c>
      <c r="E201" s="362">
        <v>30345.85</v>
      </c>
      <c r="F201" s="401">
        <v>50858</v>
      </c>
      <c r="G201" s="362">
        <v>13404644.939999999</v>
      </c>
    </row>
    <row r="202" spans="1:7" x14ac:dyDescent="0.25">
      <c r="A202" t="s">
        <v>588</v>
      </c>
      <c r="B202" s="374" t="s">
        <v>589</v>
      </c>
      <c r="C202" s="362">
        <v>884810.82</v>
      </c>
      <c r="D202" s="401">
        <v>883840.06</v>
      </c>
      <c r="E202" s="362">
        <v>970.76</v>
      </c>
      <c r="F202" s="401">
        <v>0</v>
      </c>
      <c r="G202" s="362">
        <v>884810.82000000007</v>
      </c>
    </row>
    <row r="203" spans="1:7" x14ac:dyDescent="0.25">
      <c r="A203" t="s">
        <v>590</v>
      </c>
      <c r="B203" s="374" t="s">
        <v>591</v>
      </c>
      <c r="C203" s="362">
        <v>321204.52</v>
      </c>
      <c r="D203" s="401">
        <v>321204.52</v>
      </c>
      <c r="E203" s="362">
        <v>0</v>
      </c>
      <c r="F203" s="401">
        <v>0</v>
      </c>
      <c r="G203" s="362">
        <v>321204.52</v>
      </c>
    </row>
    <row r="204" spans="1:7" x14ac:dyDescent="0.25">
      <c r="A204" t="s">
        <v>592</v>
      </c>
      <c r="B204" s="374" t="s">
        <v>593</v>
      </c>
      <c r="C204" s="362">
        <v>5931541.6299999999</v>
      </c>
      <c r="D204" s="401">
        <v>4976879.66</v>
      </c>
      <c r="E204" s="362">
        <v>60640.34</v>
      </c>
      <c r="F204" s="401">
        <v>894021.63</v>
      </c>
      <c r="G204" s="362">
        <v>5931541.6299999999</v>
      </c>
    </row>
    <row r="205" spans="1:7" x14ac:dyDescent="0.25">
      <c r="A205" t="s">
        <v>594</v>
      </c>
      <c r="B205" s="374" t="s">
        <v>595</v>
      </c>
      <c r="C205" s="362">
        <v>2529667.63</v>
      </c>
      <c r="D205" s="401">
        <v>2473618.1</v>
      </c>
      <c r="E205" s="362">
        <v>56049.53</v>
      </c>
      <c r="F205" s="401">
        <v>0</v>
      </c>
      <c r="G205" s="362">
        <v>2529667.63</v>
      </c>
    </row>
    <row r="206" spans="1:7" x14ac:dyDescent="0.25">
      <c r="A206" t="s">
        <v>596</v>
      </c>
      <c r="B206" s="374" t="s">
        <v>597</v>
      </c>
      <c r="C206" s="362">
        <v>192385.07</v>
      </c>
      <c r="D206" s="401">
        <v>178620.56</v>
      </c>
      <c r="E206" s="362">
        <v>13764.51</v>
      </c>
      <c r="F206" s="401">
        <v>0</v>
      </c>
      <c r="G206" s="362">
        <v>192385.07</v>
      </c>
    </row>
    <row r="207" spans="1:7" x14ac:dyDescent="0.25">
      <c r="A207" t="s">
        <v>598</v>
      </c>
      <c r="B207" s="374" t="s">
        <v>599</v>
      </c>
      <c r="C207" s="362">
        <v>312083.55</v>
      </c>
      <c r="D207" s="401">
        <v>251969</v>
      </c>
      <c r="E207" s="362">
        <v>0</v>
      </c>
      <c r="F207" s="401">
        <v>60114.55</v>
      </c>
      <c r="G207" s="362">
        <v>312083.55</v>
      </c>
    </row>
    <row r="208" spans="1:7" x14ac:dyDescent="0.25">
      <c r="A208" t="s">
        <v>600</v>
      </c>
      <c r="B208" s="374" t="s">
        <v>601</v>
      </c>
      <c r="C208" s="362">
        <v>3392144.51</v>
      </c>
      <c r="D208" s="401">
        <v>2426239.71</v>
      </c>
      <c r="E208" s="362">
        <v>6469.15</v>
      </c>
      <c r="F208" s="401">
        <v>959435.65</v>
      </c>
      <c r="G208" s="362">
        <v>3392144.51</v>
      </c>
    </row>
    <row r="209" spans="1:7" x14ac:dyDescent="0.25">
      <c r="A209" t="s">
        <v>602</v>
      </c>
      <c r="B209" s="374" t="s">
        <v>603</v>
      </c>
      <c r="C209" s="362">
        <v>2487971.9300000002</v>
      </c>
      <c r="D209" s="401">
        <v>2403972.41</v>
      </c>
      <c r="E209" s="362">
        <v>45263.9</v>
      </c>
      <c r="F209" s="401">
        <v>38735.620000000003</v>
      </c>
      <c r="G209" s="362">
        <v>2487971.9300000002</v>
      </c>
    </row>
    <row r="210" spans="1:7" x14ac:dyDescent="0.25">
      <c r="A210" t="s">
        <v>604</v>
      </c>
      <c r="B210" s="374" t="s">
        <v>605</v>
      </c>
      <c r="C210" s="362">
        <v>31161907.559999999</v>
      </c>
      <c r="D210" s="401">
        <v>29118942.670000002</v>
      </c>
      <c r="E210" s="362">
        <v>195985.7</v>
      </c>
      <c r="F210" s="401">
        <v>1846979.19</v>
      </c>
      <c r="G210" s="362">
        <v>31161907.560000002</v>
      </c>
    </row>
    <row r="211" spans="1:7" x14ac:dyDescent="0.25">
      <c r="A211" t="s">
        <v>606</v>
      </c>
      <c r="B211" s="374" t="s">
        <v>607</v>
      </c>
      <c r="C211" s="362">
        <v>73789.710000000006</v>
      </c>
      <c r="D211" s="401">
        <v>20527.5</v>
      </c>
      <c r="E211" s="362">
        <v>53262.21</v>
      </c>
      <c r="F211" s="401">
        <v>0</v>
      </c>
      <c r="G211" s="362">
        <v>73789.709999999992</v>
      </c>
    </row>
    <row r="212" spans="1:7" x14ac:dyDescent="0.25">
      <c r="A212" t="s">
        <v>608</v>
      </c>
      <c r="B212" s="374" t="s">
        <v>609</v>
      </c>
      <c r="C212" s="362">
        <v>638587.56000000006</v>
      </c>
      <c r="D212" s="401">
        <v>638587.56000000006</v>
      </c>
      <c r="E212" s="362">
        <v>0</v>
      </c>
      <c r="F212" s="401">
        <v>0</v>
      </c>
      <c r="G212" s="362">
        <v>638587.56000000006</v>
      </c>
    </row>
    <row r="213" spans="1:7" x14ac:dyDescent="0.25">
      <c r="A213" t="s">
        <v>610</v>
      </c>
      <c r="B213" t="s">
        <v>1402</v>
      </c>
      <c r="C213" s="362">
        <v>79500.039999999994</v>
      </c>
      <c r="D213" s="401">
        <v>79500.039999999994</v>
      </c>
      <c r="E213" s="362">
        <v>0</v>
      </c>
      <c r="F213" s="401">
        <v>0</v>
      </c>
      <c r="G213" s="362">
        <v>79500.039999999994</v>
      </c>
    </row>
    <row r="214" spans="1:7" x14ac:dyDescent="0.25">
      <c r="A214" t="s">
        <v>612</v>
      </c>
      <c r="B214" s="374" t="s">
        <v>613</v>
      </c>
      <c r="C214" s="362">
        <v>3576537.92</v>
      </c>
      <c r="D214" s="401">
        <v>3576537.92</v>
      </c>
      <c r="E214" s="362">
        <v>0</v>
      </c>
      <c r="F214" s="401">
        <v>0</v>
      </c>
      <c r="G214" s="362">
        <v>3576537.92</v>
      </c>
    </row>
    <row r="215" spans="1:7" x14ac:dyDescent="0.25">
      <c r="A215" t="s">
        <v>614</v>
      </c>
      <c r="B215" s="374" t="s">
        <v>615</v>
      </c>
      <c r="C215" s="362">
        <v>3133855.76</v>
      </c>
      <c r="D215" s="401">
        <v>3133855.76</v>
      </c>
      <c r="E215" s="362">
        <v>0</v>
      </c>
      <c r="F215" s="401">
        <v>0</v>
      </c>
      <c r="G215" s="362">
        <v>3133855.76</v>
      </c>
    </row>
    <row r="216" spans="1:7" x14ac:dyDescent="0.25">
      <c r="A216" t="s">
        <v>616</v>
      </c>
      <c r="B216" s="374" t="s">
        <v>617</v>
      </c>
      <c r="C216" s="362">
        <v>788014.73</v>
      </c>
      <c r="D216" s="401">
        <v>787541.73</v>
      </c>
      <c r="E216" s="362">
        <v>473</v>
      </c>
      <c r="F216" s="401">
        <v>0</v>
      </c>
      <c r="G216" s="362">
        <v>788014.73</v>
      </c>
    </row>
    <row r="217" spans="1:7" x14ac:dyDescent="0.25">
      <c r="A217" t="s">
        <v>618</v>
      </c>
      <c r="B217" s="374" t="s">
        <v>619</v>
      </c>
      <c r="C217" s="362">
        <v>213235.7</v>
      </c>
      <c r="D217" s="401">
        <v>211361.75</v>
      </c>
      <c r="E217" s="362">
        <v>0</v>
      </c>
      <c r="F217" s="401">
        <v>1873.95</v>
      </c>
      <c r="G217" s="362">
        <v>213235.7</v>
      </c>
    </row>
    <row r="218" spans="1:7" x14ac:dyDescent="0.25">
      <c r="A218" t="s">
        <v>621</v>
      </c>
      <c r="B218" s="374" t="s">
        <v>622</v>
      </c>
      <c r="C218" s="362">
        <v>566508.68999999994</v>
      </c>
      <c r="D218" s="401">
        <v>566508.68999999994</v>
      </c>
      <c r="E218" s="362">
        <v>0</v>
      </c>
      <c r="F218" s="401">
        <v>0</v>
      </c>
      <c r="G218" s="362">
        <v>566508.68999999994</v>
      </c>
    </row>
    <row r="219" spans="1:7" x14ac:dyDescent="0.25">
      <c r="A219" t="s">
        <v>623</v>
      </c>
      <c r="B219" s="374" t="s">
        <v>624</v>
      </c>
      <c r="C219" s="362">
        <v>486814.35</v>
      </c>
      <c r="D219" s="401">
        <v>482838.35</v>
      </c>
      <c r="E219" s="362">
        <v>0</v>
      </c>
      <c r="F219" s="401">
        <v>3976</v>
      </c>
      <c r="G219" s="362">
        <v>486814.35</v>
      </c>
    </row>
    <row r="220" spans="1:7" x14ac:dyDescent="0.25">
      <c r="A220" t="s">
        <v>625</v>
      </c>
      <c r="B220" s="374" t="s">
        <v>626</v>
      </c>
      <c r="C220" s="362">
        <v>27766380.98</v>
      </c>
      <c r="D220" s="401">
        <v>19944424.02</v>
      </c>
      <c r="E220" s="362">
        <v>155683.38</v>
      </c>
      <c r="F220" s="401">
        <v>7666273.5800000001</v>
      </c>
      <c r="G220" s="362">
        <v>27766380.98</v>
      </c>
    </row>
    <row r="221" spans="1:7" x14ac:dyDescent="0.25">
      <c r="A221" t="s">
        <v>627</v>
      </c>
      <c r="B221" s="374" t="s">
        <v>628</v>
      </c>
      <c r="C221" s="362">
        <v>284695.78999999998</v>
      </c>
      <c r="D221" s="401">
        <v>284695.78999999998</v>
      </c>
      <c r="E221" s="362">
        <v>0</v>
      </c>
      <c r="F221" s="401">
        <v>0</v>
      </c>
      <c r="G221" s="362">
        <v>284695.78999999998</v>
      </c>
    </row>
    <row r="222" spans="1:7" x14ac:dyDescent="0.25">
      <c r="A222" t="s">
        <v>629</v>
      </c>
      <c r="B222" s="374" t="s">
        <v>630</v>
      </c>
      <c r="C222" s="362">
        <v>15894727.800000001</v>
      </c>
      <c r="D222" s="401">
        <v>12745592.34</v>
      </c>
      <c r="E222" s="362">
        <v>0</v>
      </c>
      <c r="F222" s="401">
        <v>3149135.46</v>
      </c>
      <c r="G222" s="362">
        <v>15894727.800000001</v>
      </c>
    </row>
    <row r="223" spans="1:7" x14ac:dyDescent="0.25">
      <c r="A223" t="s">
        <v>631</v>
      </c>
      <c r="B223" s="374" t="s">
        <v>632</v>
      </c>
      <c r="C223" s="362">
        <v>3295070.53</v>
      </c>
      <c r="D223" s="401">
        <v>2872301.64</v>
      </c>
      <c r="E223" s="362">
        <v>0</v>
      </c>
      <c r="F223" s="401">
        <v>422768.89</v>
      </c>
      <c r="G223" s="362">
        <v>3295070.5300000003</v>
      </c>
    </row>
    <row r="224" spans="1:7" x14ac:dyDescent="0.25">
      <c r="A224" t="s">
        <v>633</v>
      </c>
      <c r="B224" s="374" t="s">
        <v>634</v>
      </c>
      <c r="C224" s="362">
        <v>385526.47</v>
      </c>
      <c r="D224" s="401">
        <v>385526.47</v>
      </c>
      <c r="E224" s="362">
        <v>0</v>
      </c>
      <c r="F224" s="401">
        <v>0</v>
      </c>
      <c r="G224" s="362">
        <v>385526.47</v>
      </c>
    </row>
    <row r="225" spans="1:7" x14ac:dyDescent="0.25">
      <c r="A225" t="s">
        <v>635</v>
      </c>
      <c r="B225" s="374" t="s">
        <v>636</v>
      </c>
      <c r="C225" s="362">
        <v>1952497.88</v>
      </c>
      <c r="D225" s="401">
        <v>1952497.88</v>
      </c>
      <c r="E225" s="362">
        <v>0</v>
      </c>
      <c r="F225" s="401">
        <v>0</v>
      </c>
      <c r="G225" s="362">
        <v>1952497.88</v>
      </c>
    </row>
    <row r="226" spans="1:7" x14ac:dyDescent="0.25">
      <c r="A226" t="s">
        <v>637</v>
      </c>
      <c r="B226" s="374" t="s">
        <v>638</v>
      </c>
      <c r="C226" s="362">
        <v>3462151.28</v>
      </c>
      <c r="D226" s="401">
        <v>2758967.84</v>
      </c>
      <c r="E226" s="362">
        <v>0</v>
      </c>
      <c r="F226" s="401">
        <v>703183.44</v>
      </c>
      <c r="G226" s="362">
        <v>3462151.28</v>
      </c>
    </row>
    <row r="227" spans="1:7" x14ac:dyDescent="0.25">
      <c r="A227" t="s">
        <v>639</v>
      </c>
      <c r="B227" s="374" t="s">
        <v>640</v>
      </c>
      <c r="C227" s="362">
        <v>3815476.21</v>
      </c>
      <c r="D227" s="401">
        <v>2897672.62</v>
      </c>
      <c r="E227" s="362">
        <v>21794.54</v>
      </c>
      <c r="F227" s="401">
        <v>896009.05</v>
      </c>
      <c r="G227" s="362">
        <v>3815476.21</v>
      </c>
    </row>
    <row r="228" spans="1:7" x14ac:dyDescent="0.25">
      <c r="A228" t="s">
        <v>641</v>
      </c>
      <c r="B228" s="374" t="s">
        <v>642</v>
      </c>
      <c r="C228" s="362">
        <v>4948.08</v>
      </c>
      <c r="D228" s="401">
        <v>4948.08</v>
      </c>
      <c r="E228" s="362">
        <v>0</v>
      </c>
      <c r="F228" s="401">
        <v>0</v>
      </c>
      <c r="G228" s="362">
        <v>4948.08</v>
      </c>
    </row>
    <row r="229" spans="1:7" x14ac:dyDescent="0.25">
      <c r="A229" t="s">
        <v>643</v>
      </c>
      <c r="B229" s="374" t="s">
        <v>644</v>
      </c>
      <c r="C229" s="362">
        <v>186516.16</v>
      </c>
      <c r="D229" s="401">
        <v>184929</v>
      </c>
      <c r="E229" s="362">
        <v>0</v>
      </c>
      <c r="F229" s="401">
        <v>1587.16</v>
      </c>
      <c r="G229" s="362">
        <v>186516.16</v>
      </c>
    </row>
    <row r="230" spans="1:7" x14ac:dyDescent="0.25">
      <c r="A230" t="s">
        <v>645</v>
      </c>
      <c r="B230" s="374" t="s">
        <v>646</v>
      </c>
      <c r="C230" s="362">
        <v>1210665.28</v>
      </c>
      <c r="D230" s="401">
        <v>1210665.28</v>
      </c>
      <c r="E230" s="362">
        <v>0</v>
      </c>
      <c r="F230" s="401">
        <v>0</v>
      </c>
      <c r="G230" s="362">
        <v>1210665.28</v>
      </c>
    </row>
    <row r="231" spans="1:7" x14ac:dyDescent="0.25">
      <c r="A231" t="s">
        <v>647</v>
      </c>
      <c r="B231" s="374" t="s">
        <v>648</v>
      </c>
      <c r="C231" s="362">
        <v>1246686.8799999999</v>
      </c>
      <c r="D231" s="401">
        <v>1229935.5900000001</v>
      </c>
      <c r="E231" s="362">
        <v>16751.29</v>
      </c>
      <c r="F231" s="401">
        <v>0</v>
      </c>
      <c r="G231" s="362">
        <v>1246686.8800000001</v>
      </c>
    </row>
    <row r="232" spans="1:7" x14ac:dyDescent="0.25">
      <c r="A232" t="s">
        <v>649</v>
      </c>
      <c r="B232" s="374" t="s">
        <v>650</v>
      </c>
      <c r="C232" s="362">
        <v>88466.67</v>
      </c>
      <c r="D232" s="401">
        <v>77826.34</v>
      </c>
      <c r="E232" s="362">
        <v>0</v>
      </c>
      <c r="F232" s="401">
        <v>10640.33</v>
      </c>
      <c r="G232" s="362">
        <v>88466.67</v>
      </c>
    </row>
    <row r="233" spans="1:7" x14ac:dyDescent="0.25">
      <c r="A233" t="s">
        <v>655</v>
      </c>
      <c r="B233" s="374" t="s">
        <v>656</v>
      </c>
      <c r="C233" s="362">
        <v>130591910.05</v>
      </c>
      <c r="D233" s="401">
        <v>63483983.68</v>
      </c>
      <c r="E233" s="362">
        <v>129037.5</v>
      </c>
      <c r="F233" s="401">
        <v>66978888.869999997</v>
      </c>
      <c r="G233" s="362">
        <v>130591910.05</v>
      </c>
    </row>
    <row r="234" spans="1:7" x14ac:dyDescent="0.25">
      <c r="A234" t="s">
        <v>657</v>
      </c>
      <c r="B234" s="374" t="s">
        <v>658</v>
      </c>
      <c r="C234" s="362">
        <v>8608353.5099999998</v>
      </c>
      <c r="D234" s="401">
        <v>8447362.9499999993</v>
      </c>
      <c r="E234" s="362">
        <v>97434.1</v>
      </c>
      <c r="F234" s="401">
        <v>63556.46</v>
      </c>
      <c r="G234" s="362">
        <v>8608353.5099999998</v>
      </c>
    </row>
    <row r="235" spans="1:7" x14ac:dyDescent="0.25">
      <c r="A235" t="s">
        <v>659</v>
      </c>
      <c r="B235" s="374" t="s">
        <v>660</v>
      </c>
      <c r="C235" s="362">
        <v>3857296.91</v>
      </c>
      <c r="D235" s="401">
        <v>3857296.91</v>
      </c>
      <c r="E235" s="362">
        <v>0</v>
      </c>
      <c r="F235" s="401">
        <v>0</v>
      </c>
      <c r="G235" s="362">
        <v>3857296.91</v>
      </c>
    </row>
    <row r="236" spans="1:7" x14ac:dyDescent="0.25">
      <c r="A236" t="s">
        <v>661</v>
      </c>
      <c r="B236" s="374" t="s">
        <v>662</v>
      </c>
      <c r="C236" s="362">
        <v>389842.09</v>
      </c>
      <c r="D236" s="401">
        <v>389842.09</v>
      </c>
      <c r="E236" s="362">
        <v>0</v>
      </c>
      <c r="F236" s="401">
        <v>0</v>
      </c>
      <c r="G236" s="362">
        <v>389842.09</v>
      </c>
    </row>
    <row r="237" spans="1:7" x14ac:dyDescent="0.25">
      <c r="A237" t="s">
        <v>663</v>
      </c>
      <c r="B237" s="374" t="s">
        <v>664</v>
      </c>
      <c r="C237" s="362">
        <v>4025078.06</v>
      </c>
      <c r="D237" s="401">
        <v>3973970.49</v>
      </c>
      <c r="E237" s="362">
        <v>51107.57</v>
      </c>
      <c r="F237" s="401">
        <v>0</v>
      </c>
      <c r="G237" s="362">
        <v>4025078.06</v>
      </c>
    </row>
    <row r="238" spans="1:7" x14ac:dyDescent="0.25">
      <c r="A238" t="s">
        <v>665</v>
      </c>
      <c r="B238" s="374" t="s">
        <v>1403</v>
      </c>
      <c r="C238" s="362">
        <v>2854.01</v>
      </c>
      <c r="D238" s="401">
        <v>2854.01</v>
      </c>
      <c r="E238" s="362">
        <v>0</v>
      </c>
      <c r="F238" s="401">
        <v>0</v>
      </c>
      <c r="G238" s="362">
        <v>2854.01</v>
      </c>
    </row>
    <row r="239" spans="1:7" x14ac:dyDescent="0.25">
      <c r="A239" t="s">
        <v>667</v>
      </c>
      <c r="B239" s="374" t="s">
        <v>668</v>
      </c>
      <c r="C239" s="362">
        <v>6709643.3099999996</v>
      </c>
      <c r="D239" s="401">
        <v>5571653.7999999998</v>
      </c>
      <c r="E239" s="362">
        <v>0</v>
      </c>
      <c r="F239" s="401">
        <v>1137989.51</v>
      </c>
      <c r="G239" s="362">
        <v>6709643.3099999996</v>
      </c>
    </row>
    <row r="240" spans="1:7" x14ac:dyDescent="0.25">
      <c r="A240" t="s">
        <v>669</v>
      </c>
      <c r="B240" s="374" t="s">
        <v>670</v>
      </c>
      <c r="C240" s="362">
        <v>16024291.710000001</v>
      </c>
      <c r="D240" s="401">
        <v>9917742</v>
      </c>
      <c r="E240" s="362">
        <v>29732.87</v>
      </c>
      <c r="F240" s="401">
        <v>6076816.8399999999</v>
      </c>
      <c r="G240" s="362">
        <v>16024291.710000001</v>
      </c>
    </row>
    <row r="241" spans="1:7" x14ac:dyDescent="0.25">
      <c r="A241" t="s">
        <v>671</v>
      </c>
      <c r="B241" s="374" t="s">
        <v>672</v>
      </c>
      <c r="C241" s="362">
        <v>100021.02</v>
      </c>
      <c r="D241" s="401">
        <v>100021.02</v>
      </c>
      <c r="E241" s="362">
        <v>0</v>
      </c>
      <c r="F241" s="401">
        <v>0</v>
      </c>
      <c r="G241" s="362">
        <v>100021.02</v>
      </c>
    </row>
    <row r="242" spans="1:7" x14ac:dyDescent="0.25">
      <c r="A242" t="s">
        <v>673</v>
      </c>
      <c r="B242" s="374" t="s">
        <v>674</v>
      </c>
      <c r="C242" s="362">
        <v>174287.52</v>
      </c>
      <c r="D242" s="401">
        <v>174287.52</v>
      </c>
      <c r="E242" s="362">
        <v>0</v>
      </c>
      <c r="F242" s="401">
        <v>0</v>
      </c>
      <c r="G242" s="362">
        <v>174287.52</v>
      </c>
    </row>
    <row r="243" spans="1:7" x14ac:dyDescent="0.25">
      <c r="A243" t="s">
        <v>675</v>
      </c>
      <c r="B243" s="374" t="s">
        <v>676</v>
      </c>
      <c r="C243" s="362">
        <v>17153480.899999999</v>
      </c>
      <c r="D243" s="401">
        <v>16961911.609999999</v>
      </c>
      <c r="E243" s="362">
        <v>42344.800000000003</v>
      </c>
      <c r="F243" s="401">
        <v>149224.49</v>
      </c>
      <c r="G243" s="362">
        <v>17153480.899999999</v>
      </c>
    </row>
    <row r="244" spans="1:7" x14ac:dyDescent="0.25">
      <c r="A244" t="s">
        <v>677</v>
      </c>
      <c r="B244" s="374" t="s">
        <v>678</v>
      </c>
      <c r="C244" s="362">
        <v>9426114.6400000006</v>
      </c>
      <c r="D244" s="401">
        <v>9399295.6400000006</v>
      </c>
      <c r="E244" s="362">
        <v>26819</v>
      </c>
      <c r="F244" s="401">
        <v>0</v>
      </c>
      <c r="G244" s="362">
        <v>9426114.6400000006</v>
      </c>
    </row>
    <row r="245" spans="1:7" x14ac:dyDescent="0.25">
      <c r="A245" t="s">
        <v>679</v>
      </c>
      <c r="B245" s="374" t="s">
        <v>680</v>
      </c>
      <c r="C245" s="362">
        <v>679558.01</v>
      </c>
      <c r="D245" s="401">
        <v>561811.69999999995</v>
      </c>
      <c r="E245" s="362">
        <v>0</v>
      </c>
      <c r="F245" s="401">
        <v>117746.31</v>
      </c>
      <c r="G245" s="362">
        <v>679558.01</v>
      </c>
    </row>
    <row r="246" spans="1:7" x14ac:dyDescent="0.25">
      <c r="A246" t="s">
        <v>681</v>
      </c>
      <c r="B246" s="374" t="s">
        <v>1404</v>
      </c>
      <c r="C246" s="362">
        <v>805633.12</v>
      </c>
      <c r="D246" s="401">
        <v>540345.52</v>
      </c>
      <c r="E246" s="362">
        <v>0</v>
      </c>
      <c r="F246" s="401">
        <v>265287.59999999998</v>
      </c>
      <c r="G246" s="362">
        <v>805633.12</v>
      </c>
    </row>
    <row r="247" spans="1:7" x14ac:dyDescent="0.25">
      <c r="A247" t="s">
        <v>682</v>
      </c>
      <c r="B247" s="374" t="s">
        <v>683</v>
      </c>
      <c r="C247" s="362">
        <v>696199.33</v>
      </c>
      <c r="D247" s="401">
        <v>662463.72</v>
      </c>
      <c r="E247" s="362">
        <v>0</v>
      </c>
      <c r="F247" s="401">
        <v>33735.61</v>
      </c>
      <c r="G247" s="362">
        <v>696199.33</v>
      </c>
    </row>
    <row r="248" spans="1:7" x14ac:dyDescent="0.25">
      <c r="A248" t="s">
        <v>684</v>
      </c>
      <c r="B248" s="374" t="s">
        <v>685</v>
      </c>
      <c r="C248" s="362">
        <v>14247747.34</v>
      </c>
      <c r="D248" s="401">
        <v>14247747.34</v>
      </c>
      <c r="E248" s="362">
        <v>0</v>
      </c>
      <c r="F248" s="401">
        <v>0</v>
      </c>
      <c r="G248" s="362">
        <v>14247747.34</v>
      </c>
    </row>
    <row r="249" spans="1:7" x14ac:dyDescent="0.25">
      <c r="A249" t="s">
        <v>686</v>
      </c>
      <c r="B249" s="374" t="s">
        <v>687</v>
      </c>
      <c r="C249" s="362">
        <v>2131154.3199999998</v>
      </c>
      <c r="D249" s="401">
        <v>2131154.3199999998</v>
      </c>
      <c r="E249" s="362">
        <v>0</v>
      </c>
      <c r="F249" s="401">
        <v>0</v>
      </c>
      <c r="G249" s="362">
        <v>2131154.3199999998</v>
      </c>
    </row>
    <row r="250" spans="1:7" x14ac:dyDescent="0.25">
      <c r="A250" t="s">
        <v>688</v>
      </c>
      <c r="B250" s="374" t="s">
        <v>689</v>
      </c>
      <c r="C250" s="362">
        <v>196756.84</v>
      </c>
      <c r="D250" s="401">
        <v>196756.84</v>
      </c>
      <c r="E250" s="362">
        <v>0</v>
      </c>
      <c r="F250" s="401">
        <v>0</v>
      </c>
      <c r="G250" s="362">
        <v>196756.84</v>
      </c>
    </row>
    <row r="251" spans="1:7" x14ac:dyDescent="0.25">
      <c r="A251" t="s">
        <v>690</v>
      </c>
      <c r="B251" s="374" t="s">
        <v>691</v>
      </c>
      <c r="C251" s="362">
        <v>47703181.619999997</v>
      </c>
      <c r="D251" s="401">
        <v>38034608.619999997</v>
      </c>
      <c r="E251" s="362">
        <v>489081.57</v>
      </c>
      <c r="F251" s="401">
        <v>9179491.4299999997</v>
      </c>
      <c r="G251" s="362">
        <v>47703181.619999997</v>
      </c>
    </row>
    <row r="252" spans="1:7" x14ac:dyDescent="0.25">
      <c r="A252" t="s">
        <v>692</v>
      </c>
      <c r="B252" s="374" t="s">
        <v>693</v>
      </c>
      <c r="C252" s="362">
        <v>271805.34000000003</v>
      </c>
      <c r="D252" s="401">
        <v>271805.34000000003</v>
      </c>
      <c r="E252" s="362">
        <v>0</v>
      </c>
      <c r="F252" s="401">
        <v>0</v>
      </c>
      <c r="G252" s="362">
        <v>271805.34000000003</v>
      </c>
    </row>
    <row r="253" spans="1:7" x14ac:dyDescent="0.25">
      <c r="A253" t="s">
        <v>694</v>
      </c>
      <c r="B253" s="374" t="s">
        <v>695</v>
      </c>
      <c r="C253" s="362">
        <v>120608.6</v>
      </c>
      <c r="D253" s="401">
        <v>120608.6</v>
      </c>
      <c r="E253" s="362">
        <v>0</v>
      </c>
      <c r="F253" s="401">
        <v>0</v>
      </c>
      <c r="G253" s="362">
        <v>120608.6</v>
      </c>
    </row>
    <row r="254" spans="1:7" x14ac:dyDescent="0.25">
      <c r="A254" t="s">
        <v>696</v>
      </c>
      <c r="B254" s="374" t="s">
        <v>1204</v>
      </c>
      <c r="C254" s="362">
        <v>133130.67000000001</v>
      </c>
      <c r="D254" s="401">
        <v>133130.67000000001</v>
      </c>
      <c r="E254" s="362">
        <v>0</v>
      </c>
      <c r="F254" s="401">
        <v>0</v>
      </c>
      <c r="G254" s="362">
        <v>133130.67000000001</v>
      </c>
    </row>
    <row r="255" spans="1:7" x14ac:dyDescent="0.25">
      <c r="A255" t="s">
        <v>698</v>
      </c>
      <c r="B255" s="374" t="s">
        <v>1405</v>
      </c>
      <c r="C255" s="362">
        <v>8069540.6299999999</v>
      </c>
      <c r="D255" s="401">
        <v>8069540.6299999999</v>
      </c>
      <c r="E255" s="362">
        <v>0</v>
      </c>
      <c r="F255" s="401">
        <v>0</v>
      </c>
      <c r="G255" s="362">
        <v>8069540.6299999999</v>
      </c>
    </row>
    <row r="256" spans="1:7" x14ac:dyDescent="0.25">
      <c r="A256" t="s">
        <v>700</v>
      </c>
      <c r="B256" s="374" t="s">
        <v>701</v>
      </c>
      <c r="C256" s="362">
        <v>18220.48</v>
      </c>
      <c r="D256" s="401">
        <v>11504.66</v>
      </c>
      <c r="E256" s="362">
        <v>0</v>
      </c>
      <c r="F256" s="401">
        <v>6715.82</v>
      </c>
      <c r="G256" s="362">
        <v>18220.48</v>
      </c>
    </row>
    <row r="257" spans="1:7" x14ac:dyDescent="0.25">
      <c r="A257" t="s">
        <v>702</v>
      </c>
      <c r="B257" s="374" t="s">
        <v>703</v>
      </c>
      <c r="C257" s="362">
        <v>1987.5</v>
      </c>
      <c r="D257" s="401">
        <v>0</v>
      </c>
      <c r="E257" s="362">
        <v>0</v>
      </c>
      <c r="F257" s="401">
        <v>1987.5</v>
      </c>
      <c r="G257" s="362">
        <v>1987.5</v>
      </c>
    </row>
    <row r="258" spans="1:7" x14ac:dyDescent="0.25">
      <c r="A258" t="s">
        <v>704</v>
      </c>
      <c r="B258" s="374" t="s">
        <v>705</v>
      </c>
      <c r="C258" s="362">
        <v>0</v>
      </c>
      <c r="D258" s="401">
        <v>0</v>
      </c>
      <c r="E258" s="362">
        <v>0</v>
      </c>
      <c r="F258" s="401">
        <v>0</v>
      </c>
      <c r="G258" s="362">
        <v>0</v>
      </c>
    </row>
    <row r="259" spans="1:7" x14ac:dyDescent="0.25">
      <c r="A259" t="s">
        <v>706</v>
      </c>
      <c r="B259" s="374" t="s">
        <v>707</v>
      </c>
      <c r="C259" s="362">
        <v>3778445.01</v>
      </c>
      <c r="D259" s="401">
        <v>3763078.76</v>
      </c>
      <c r="E259" s="362">
        <v>15366.25</v>
      </c>
      <c r="F259" s="401">
        <v>0</v>
      </c>
      <c r="G259" s="362">
        <v>3778445.01</v>
      </c>
    </row>
    <row r="260" spans="1:7" x14ac:dyDescent="0.25">
      <c r="A260" t="s">
        <v>708</v>
      </c>
      <c r="B260" s="374" t="s">
        <v>709</v>
      </c>
      <c r="C260" s="362">
        <v>41985.68</v>
      </c>
      <c r="D260" s="401">
        <v>41985.68</v>
      </c>
      <c r="E260" s="362">
        <v>0</v>
      </c>
      <c r="F260" s="401">
        <v>0</v>
      </c>
      <c r="G260" s="362">
        <v>41985.68</v>
      </c>
    </row>
    <row r="261" spans="1:7" x14ac:dyDescent="0.25">
      <c r="A261" t="s">
        <v>710</v>
      </c>
      <c r="B261" s="374" t="s">
        <v>711</v>
      </c>
      <c r="C261" s="362">
        <v>1178357.67</v>
      </c>
      <c r="D261" s="401">
        <v>1178357.67</v>
      </c>
      <c r="E261" s="362">
        <v>0</v>
      </c>
      <c r="F261" s="401">
        <v>0</v>
      </c>
      <c r="G261" s="362">
        <v>1178357.67</v>
      </c>
    </row>
    <row r="262" spans="1:7" x14ac:dyDescent="0.25">
      <c r="A262" t="s">
        <v>712</v>
      </c>
      <c r="B262" s="374" t="s">
        <v>713</v>
      </c>
      <c r="C262" s="362">
        <v>3323171.71</v>
      </c>
      <c r="D262" s="401">
        <v>2672521.7000000002</v>
      </c>
      <c r="E262" s="362">
        <v>0</v>
      </c>
      <c r="F262" s="401">
        <v>650650.01</v>
      </c>
      <c r="G262" s="362">
        <v>3323171.71</v>
      </c>
    </row>
    <row r="263" spans="1:7" x14ac:dyDescent="0.25">
      <c r="A263" t="s">
        <v>720</v>
      </c>
      <c r="B263" s="374" t="s">
        <v>721</v>
      </c>
      <c r="C263" s="362">
        <v>67718.28</v>
      </c>
      <c r="D263" s="401">
        <v>67718.28</v>
      </c>
      <c r="E263" s="362">
        <v>0</v>
      </c>
      <c r="F263" s="401">
        <v>0</v>
      </c>
      <c r="G263" s="362">
        <v>67718.28</v>
      </c>
    </row>
    <row r="264" spans="1:7" x14ac:dyDescent="0.25">
      <c r="A264" t="s">
        <v>716</v>
      </c>
      <c r="B264" s="374" t="s">
        <v>1406</v>
      </c>
      <c r="C264" s="362">
        <v>209078.85</v>
      </c>
      <c r="D264" s="401">
        <v>209078.85</v>
      </c>
      <c r="E264" s="362">
        <v>0</v>
      </c>
      <c r="F264" s="401">
        <v>0</v>
      </c>
      <c r="G264" s="362">
        <v>209078.85</v>
      </c>
    </row>
    <row r="265" spans="1:7" x14ac:dyDescent="0.25">
      <c r="A265" t="s">
        <v>718</v>
      </c>
      <c r="B265" s="374" t="s">
        <v>1407</v>
      </c>
      <c r="C265" s="362">
        <v>222581.52</v>
      </c>
      <c r="D265" s="401">
        <v>189113.52</v>
      </c>
      <c r="E265" s="362">
        <v>33468</v>
      </c>
      <c r="F265" s="401">
        <v>0</v>
      </c>
      <c r="G265" s="362">
        <v>222581.52</v>
      </c>
    </row>
    <row r="266" spans="1:7" x14ac:dyDescent="0.25">
      <c r="A266" t="s">
        <v>714</v>
      </c>
      <c r="B266" s="374" t="s">
        <v>1408</v>
      </c>
      <c r="C266" s="362">
        <v>220547.92</v>
      </c>
      <c r="D266" s="401">
        <v>220547.92</v>
      </c>
      <c r="E266" s="362">
        <v>0</v>
      </c>
      <c r="F266" s="401">
        <v>0</v>
      </c>
      <c r="G266" s="362">
        <v>220547.92</v>
      </c>
    </row>
    <row r="267" spans="1:7" x14ac:dyDescent="0.25">
      <c r="A267" t="s">
        <v>722</v>
      </c>
      <c r="B267" s="374" t="s">
        <v>723</v>
      </c>
      <c r="C267" s="362">
        <v>14651280.199999999</v>
      </c>
      <c r="D267" s="401">
        <v>14435289.59</v>
      </c>
      <c r="E267" s="362">
        <v>87367.57</v>
      </c>
      <c r="F267" s="401">
        <v>128623.03999999999</v>
      </c>
      <c r="G267" s="362">
        <v>14651280.199999999</v>
      </c>
    </row>
    <row r="268" spans="1:7" x14ac:dyDescent="0.25">
      <c r="A268" t="s">
        <v>724</v>
      </c>
      <c r="B268" s="374" t="s">
        <v>725</v>
      </c>
      <c r="C268" s="362">
        <v>7535401.9000000004</v>
      </c>
      <c r="D268" s="401">
        <v>7535401.9000000004</v>
      </c>
      <c r="E268" s="362">
        <v>0</v>
      </c>
      <c r="F268" s="401">
        <v>0</v>
      </c>
      <c r="G268" s="362">
        <v>7535401.9000000004</v>
      </c>
    </row>
    <row r="269" spans="1:7" x14ac:dyDescent="0.25">
      <c r="A269" t="s">
        <v>726</v>
      </c>
      <c r="B269" s="374" t="s">
        <v>1409</v>
      </c>
      <c r="C269" s="362">
        <v>50897.27</v>
      </c>
      <c r="D269" s="401">
        <v>50897.27</v>
      </c>
      <c r="E269" s="362">
        <v>0</v>
      </c>
      <c r="F269" s="401">
        <v>0</v>
      </c>
      <c r="G269" s="362">
        <v>50897.27</v>
      </c>
    </row>
    <row r="270" spans="1:7" x14ac:dyDescent="0.25">
      <c r="A270" t="s">
        <v>728</v>
      </c>
      <c r="B270" s="374" t="s">
        <v>729</v>
      </c>
      <c r="C270" s="362">
        <v>46453022.68</v>
      </c>
      <c r="D270" s="401">
        <v>36802137.57</v>
      </c>
      <c r="E270" s="362">
        <v>119316.76</v>
      </c>
      <c r="F270" s="401">
        <v>9531568.3499999996</v>
      </c>
      <c r="G270" s="362">
        <v>46453022.68</v>
      </c>
    </row>
    <row r="271" spans="1:7" x14ac:dyDescent="0.25">
      <c r="A271" t="s">
        <v>730</v>
      </c>
      <c r="B271" s="374" t="s">
        <v>731</v>
      </c>
      <c r="C271" s="362">
        <v>211188.15</v>
      </c>
      <c r="D271" s="401">
        <v>211188.15</v>
      </c>
      <c r="E271" s="362">
        <v>0</v>
      </c>
      <c r="F271" s="401">
        <v>0</v>
      </c>
      <c r="G271" s="362">
        <v>211188.15</v>
      </c>
    </row>
    <row r="272" spans="1:7" x14ac:dyDescent="0.25">
      <c r="A272" t="s">
        <v>732</v>
      </c>
      <c r="B272" s="374" t="s">
        <v>733</v>
      </c>
      <c r="C272" s="362">
        <v>10683372.67</v>
      </c>
      <c r="D272" s="401">
        <v>9369317.1600000001</v>
      </c>
      <c r="E272" s="362">
        <v>10473.959999999999</v>
      </c>
      <c r="F272" s="401">
        <v>1303581.55</v>
      </c>
      <c r="G272" s="362">
        <v>10683372.67</v>
      </c>
    </row>
    <row r="273" spans="1:7" x14ac:dyDescent="0.25">
      <c r="A273" t="s">
        <v>734</v>
      </c>
      <c r="B273" s="374" t="s">
        <v>735</v>
      </c>
      <c r="C273" s="362">
        <v>248641.99</v>
      </c>
      <c r="D273" s="401">
        <v>248641.99</v>
      </c>
      <c r="E273" s="362">
        <v>0</v>
      </c>
      <c r="F273" s="401">
        <v>0</v>
      </c>
      <c r="G273" s="362">
        <v>248641.99</v>
      </c>
    </row>
    <row r="274" spans="1:7" x14ac:dyDescent="0.25">
      <c r="A274" t="s">
        <v>736</v>
      </c>
      <c r="B274" s="374" t="s">
        <v>737</v>
      </c>
      <c r="C274" s="362">
        <v>1358622.77</v>
      </c>
      <c r="D274" s="401">
        <v>1325438.47</v>
      </c>
      <c r="E274" s="362">
        <v>33184.300000000003</v>
      </c>
      <c r="F274" s="401">
        <v>0</v>
      </c>
      <c r="G274" s="362">
        <v>1358622.77</v>
      </c>
    </row>
    <row r="275" spans="1:7" x14ac:dyDescent="0.25">
      <c r="A275" t="s">
        <v>738</v>
      </c>
      <c r="B275" s="374" t="s">
        <v>739</v>
      </c>
      <c r="C275" s="362">
        <v>247195.87</v>
      </c>
      <c r="D275" s="401">
        <v>247195.87</v>
      </c>
      <c r="E275" s="362">
        <v>0</v>
      </c>
      <c r="F275" s="401">
        <v>0</v>
      </c>
      <c r="G275" s="362">
        <v>247195.87</v>
      </c>
    </row>
    <row r="276" spans="1:7" x14ac:dyDescent="0.25">
      <c r="A276" t="s">
        <v>740</v>
      </c>
      <c r="B276" s="374" t="s">
        <v>741</v>
      </c>
      <c r="C276" s="362">
        <v>1331514.78</v>
      </c>
      <c r="D276" s="401">
        <v>998150.92</v>
      </c>
      <c r="E276" s="362">
        <v>6469.29</v>
      </c>
      <c r="F276" s="401">
        <v>326894.57</v>
      </c>
      <c r="G276" s="362">
        <v>1331514.78</v>
      </c>
    </row>
    <row r="277" spans="1:7" x14ac:dyDescent="0.25">
      <c r="A277" t="s">
        <v>742</v>
      </c>
      <c r="B277" s="374" t="s">
        <v>743</v>
      </c>
      <c r="C277" s="362">
        <v>867604.88</v>
      </c>
      <c r="D277" s="401">
        <v>862551.84</v>
      </c>
      <c r="E277" s="362">
        <v>5014.29</v>
      </c>
      <c r="F277" s="401">
        <v>38.75</v>
      </c>
      <c r="G277" s="362">
        <v>867604.88</v>
      </c>
    </row>
    <row r="278" spans="1:7" x14ac:dyDescent="0.25">
      <c r="A278" t="s">
        <v>744</v>
      </c>
      <c r="B278" s="374" t="s">
        <v>745</v>
      </c>
      <c r="C278" s="362">
        <v>3779602.13</v>
      </c>
      <c r="D278" s="401">
        <v>3779602.13</v>
      </c>
      <c r="E278" s="362">
        <v>0</v>
      </c>
      <c r="F278" s="401">
        <v>0</v>
      </c>
      <c r="G278" s="362">
        <v>3779602.13</v>
      </c>
    </row>
    <row r="279" spans="1:7" x14ac:dyDescent="0.25">
      <c r="A279" t="s">
        <v>746</v>
      </c>
      <c r="B279" s="374" t="s">
        <v>747</v>
      </c>
      <c r="C279" s="362">
        <v>193888.59</v>
      </c>
      <c r="D279" s="401">
        <v>193888.59</v>
      </c>
      <c r="E279" s="362">
        <v>0</v>
      </c>
      <c r="F279" s="401">
        <v>0</v>
      </c>
      <c r="G279" s="362">
        <v>193888.59</v>
      </c>
    </row>
    <row r="280" spans="1:7" x14ac:dyDescent="0.25">
      <c r="A280" t="s">
        <v>748</v>
      </c>
      <c r="B280" s="374" t="s">
        <v>749</v>
      </c>
      <c r="C280" s="362">
        <v>656449.89</v>
      </c>
      <c r="D280" s="401">
        <v>656449.89</v>
      </c>
      <c r="E280" s="362">
        <v>0</v>
      </c>
      <c r="F280" s="401">
        <v>0</v>
      </c>
      <c r="G280" s="362">
        <v>656449.89</v>
      </c>
    </row>
    <row r="281" spans="1:7" x14ac:dyDescent="0.25">
      <c r="A281" t="s">
        <v>750</v>
      </c>
      <c r="B281" s="374" t="s">
        <v>751</v>
      </c>
      <c r="C281" s="362">
        <v>212400.73</v>
      </c>
      <c r="D281" s="401">
        <v>212400.73</v>
      </c>
      <c r="E281" s="362">
        <v>0</v>
      </c>
      <c r="F281" s="401">
        <v>0</v>
      </c>
      <c r="G281" s="362">
        <v>212400.73</v>
      </c>
    </row>
    <row r="282" spans="1:7" x14ac:dyDescent="0.25">
      <c r="A282" t="s">
        <v>752</v>
      </c>
      <c r="B282" s="374" t="s">
        <v>753</v>
      </c>
      <c r="C282" s="362">
        <v>4075203.63</v>
      </c>
      <c r="D282" s="401">
        <v>4075203.63</v>
      </c>
      <c r="E282" s="362">
        <v>0</v>
      </c>
      <c r="F282" s="401">
        <v>0</v>
      </c>
      <c r="G282" s="362">
        <v>4075203.63</v>
      </c>
    </row>
    <row r="283" spans="1:7" x14ac:dyDescent="0.25">
      <c r="A283" t="s">
        <v>754</v>
      </c>
      <c r="B283" s="374" t="s">
        <v>755</v>
      </c>
      <c r="C283" s="362">
        <v>7464334.8499999996</v>
      </c>
      <c r="D283" s="401">
        <v>7464334.8499999996</v>
      </c>
      <c r="E283" s="362">
        <v>0</v>
      </c>
      <c r="F283" s="401">
        <v>0</v>
      </c>
      <c r="G283" s="362">
        <v>7464334.8499999996</v>
      </c>
    </row>
    <row r="284" spans="1:7" x14ac:dyDescent="0.25">
      <c r="A284" t="s">
        <v>756</v>
      </c>
      <c r="B284" s="374" t="s">
        <v>757</v>
      </c>
      <c r="C284" s="362">
        <v>478645.15</v>
      </c>
      <c r="D284" s="401">
        <v>478645.15</v>
      </c>
      <c r="E284" s="362">
        <v>0</v>
      </c>
      <c r="F284" s="401">
        <v>0</v>
      </c>
      <c r="G284" s="362">
        <v>478645.15</v>
      </c>
    </row>
    <row r="285" spans="1:7" x14ac:dyDescent="0.25">
      <c r="A285" t="s">
        <v>758</v>
      </c>
      <c r="B285" s="374" t="s">
        <v>759</v>
      </c>
      <c r="C285" s="362">
        <v>7260232.1299999999</v>
      </c>
      <c r="D285" s="401">
        <v>7152239.3899999997</v>
      </c>
      <c r="E285" s="362">
        <v>54547.43</v>
      </c>
      <c r="F285" s="401">
        <v>53445.31</v>
      </c>
      <c r="G285" s="362">
        <v>7260232.1299999999</v>
      </c>
    </row>
    <row r="286" spans="1:7" x14ac:dyDescent="0.25">
      <c r="A286" t="s">
        <v>760</v>
      </c>
      <c r="B286" s="374" t="s">
        <v>761</v>
      </c>
      <c r="C286" s="362">
        <v>716123.9</v>
      </c>
      <c r="D286" s="401">
        <v>709145.67</v>
      </c>
      <c r="E286" s="362">
        <v>0</v>
      </c>
      <c r="F286" s="401">
        <v>6978.23</v>
      </c>
      <c r="G286" s="362">
        <v>716123.9</v>
      </c>
    </row>
    <row r="287" spans="1:7" x14ac:dyDescent="0.25">
      <c r="A287" t="s">
        <v>762</v>
      </c>
      <c r="B287" s="374" t="s">
        <v>763</v>
      </c>
      <c r="C287" s="362">
        <v>30690705.41</v>
      </c>
      <c r="D287" s="401">
        <v>25643973.539999999</v>
      </c>
      <c r="E287" s="362">
        <v>161311.67999999999</v>
      </c>
      <c r="F287" s="401">
        <v>4885420.1900000004</v>
      </c>
      <c r="G287" s="362">
        <v>30690705.41</v>
      </c>
    </row>
    <row r="288" spans="1:7" x14ac:dyDescent="0.25">
      <c r="A288" t="s">
        <v>764</v>
      </c>
      <c r="B288" s="374" t="s">
        <v>765</v>
      </c>
      <c r="C288" s="362">
        <v>1878233.51</v>
      </c>
      <c r="D288" s="401">
        <v>1840603.6</v>
      </c>
      <c r="E288" s="362">
        <v>16675.91</v>
      </c>
      <c r="F288" s="401">
        <v>20954</v>
      </c>
      <c r="G288" s="362">
        <v>1878233.51</v>
      </c>
    </row>
    <row r="289" spans="1:7" hidden="1" x14ac:dyDescent="0.25">
      <c r="A289" t="s">
        <v>1334</v>
      </c>
      <c r="B289" t="s">
        <v>1410</v>
      </c>
      <c r="C289" s="362">
        <v>0</v>
      </c>
      <c r="D289" s="401">
        <v>0</v>
      </c>
      <c r="E289" s="362">
        <v>0</v>
      </c>
      <c r="F289" s="401">
        <v>0</v>
      </c>
      <c r="G289" s="362">
        <v>0</v>
      </c>
    </row>
    <row r="290" spans="1:7" x14ac:dyDescent="0.25">
      <c r="A290" t="s">
        <v>766</v>
      </c>
      <c r="B290" s="374" t="s">
        <v>767</v>
      </c>
      <c r="C290" s="362">
        <v>753358.67</v>
      </c>
      <c r="D290" s="401">
        <v>753358.67</v>
      </c>
      <c r="E290" s="362">
        <v>0</v>
      </c>
      <c r="F290" s="401">
        <v>0</v>
      </c>
      <c r="G290" s="362">
        <v>753358.67</v>
      </c>
    </row>
    <row r="291" spans="1:7" x14ac:dyDescent="0.25">
      <c r="A291" t="s">
        <v>768</v>
      </c>
      <c r="B291" s="374" t="s">
        <v>769</v>
      </c>
      <c r="C291" s="362">
        <v>2348190.29</v>
      </c>
      <c r="D291" s="401">
        <v>2348190.29</v>
      </c>
      <c r="E291" s="362">
        <v>0</v>
      </c>
      <c r="F291" s="401">
        <v>0</v>
      </c>
      <c r="G291" s="362">
        <v>2348190.29</v>
      </c>
    </row>
    <row r="292" spans="1:7" x14ac:dyDescent="0.25">
      <c r="A292" t="s">
        <v>770</v>
      </c>
      <c r="B292" s="374" t="s">
        <v>771</v>
      </c>
      <c r="C292" s="362">
        <v>267690.95</v>
      </c>
      <c r="D292" s="401">
        <v>267690.95</v>
      </c>
      <c r="E292" s="362">
        <v>0</v>
      </c>
      <c r="F292" s="401">
        <v>0</v>
      </c>
      <c r="G292" s="362">
        <v>267690.95</v>
      </c>
    </row>
    <row r="293" spans="1:7" x14ac:dyDescent="0.25">
      <c r="A293" t="s">
        <v>772</v>
      </c>
      <c r="B293" s="374" t="s">
        <v>773</v>
      </c>
      <c r="C293" s="362">
        <v>7528664.2699999996</v>
      </c>
      <c r="D293" s="401">
        <v>7102184.9400000004</v>
      </c>
      <c r="E293" s="362">
        <v>0</v>
      </c>
      <c r="F293" s="401">
        <v>426479.33</v>
      </c>
      <c r="G293" s="362">
        <v>7528664.2700000005</v>
      </c>
    </row>
    <row r="294" spans="1:7" x14ac:dyDescent="0.25">
      <c r="A294" t="s">
        <v>774</v>
      </c>
      <c r="B294" s="374" t="s">
        <v>775</v>
      </c>
      <c r="C294" s="362">
        <v>2844474.02</v>
      </c>
      <c r="D294" s="401">
        <v>2844474.02</v>
      </c>
      <c r="E294" s="362">
        <v>0</v>
      </c>
      <c r="F294" s="401">
        <v>0</v>
      </c>
      <c r="G294" s="362">
        <v>2844474.02</v>
      </c>
    </row>
    <row r="295" spans="1:7" x14ac:dyDescent="0.25">
      <c r="A295" t="s">
        <v>776</v>
      </c>
      <c r="B295" s="374" t="s">
        <v>777</v>
      </c>
      <c r="C295" s="362">
        <v>1136284.5900000001</v>
      </c>
      <c r="D295" s="401">
        <v>1113829.54</v>
      </c>
      <c r="E295" s="362">
        <v>0</v>
      </c>
      <c r="F295" s="401">
        <v>22455.05</v>
      </c>
      <c r="G295" s="362">
        <v>1136284.5900000001</v>
      </c>
    </row>
    <row r="296" spans="1:7" x14ac:dyDescent="0.25">
      <c r="A296" t="s">
        <v>778</v>
      </c>
      <c r="B296" s="374" t="s">
        <v>779</v>
      </c>
      <c r="C296" s="362">
        <v>4157306.85</v>
      </c>
      <c r="D296" s="401">
        <v>3798822.75</v>
      </c>
      <c r="E296" s="362">
        <v>20668.68</v>
      </c>
      <c r="F296" s="401">
        <v>337815.42</v>
      </c>
      <c r="G296" s="362">
        <v>4157306.85</v>
      </c>
    </row>
    <row r="297" spans="1:7" x14ac:dyDescent="0.25">
      <c r="A297" t="s">
        <v>780</v>
      </c>
      <c r="B297" s="374" t="s">
        <v>781</v>
      </c>
      <c r="C297" s="362">
        <v>96408.59</v>
      </c>
      <c r="D297" s="401">
        <v>96408.59</v>
      </c>
      <c r="E297" s="362">
        <v>0</v>
      </c>
      <c r="F297" s="401">
        <v>0</v>
      </c>
      <c r="G297" s="362">
        <v>96408.59</v>
      </c>
    </row>
    <row r="298" spans="1:7" x14ac:dyDescent="0.25">
      <c r="A298" t="s">
        <v>782</v>
      </c>
      <c r="B298" s="374" t="s">
        <v>783</v>
      </c>
      <c r="C298" s="362">
        <v>384972.36</v>
      </c>
      <c r="D298" s="401">
        <v>384972.36</v>
      </c>
      <c r="E298" s="362">
        <v>0</v>
      </c>
      <c r="F298" s="401">
        <v>0</v>
      </c>
      <c r="G298" s="362">
        <v>384972.36</v>
      </c>
    </row>
    <row r="299" spans="1:7" x14ac:dyDescent="0.25">
      <c r="A299" t="s">
        <v>784</v>
      </c>
      <c r="B299" s="374" t="s">
        <v>785</v>
      </c>
      <c r="C299" s="362">
        <v>412069.73</v>
      </c>
      <c r="D299" s="401">
        <v>412069.73</v>
      </c>
      <c r="E299" s="362">
        <v>0</v>
      </c>
      <c r="F299" s="401">
        <v>0</v>
      </c>
      <c r="G299" s="362">
        <v>412069.73</v>
      </c>
    </row>
    <row r="300" spans="1:7" x14ac:dyDescent="0.25">
      <c r="A300" t="s">
        <v>786</v>
      </c>
      <c r="B300" s="374" t="s">
        <v>787</v>
      </c>
      <c r="C300" s="362">
        <v>8464744.8599999994</v>
      </c>
      <c r="D300" s="401">
        <v>8323838.9000000004</v>
      </c>
      <c r="E300" s="362">
        <v>84637.73</v>
      </c>
      <c r="F300" s="401">
        <v>56268.23</v>
      </c>
      <c r="G300" s="362">
        <v>8464744.8600000013</v>
      </c>
    </row>
    <row r="301" spans="1:7" x14ac:dyDescent="0.25">
      <c r="A301" t="s">
        <v>790</v>
      </c>
      <c r="B301" s="374" t="s">
        <v>1411</v>
      </c>
      <c r="C301" s="362">
        <v>4745655.38</v>
      </c>
      <c r="D301" s="401">
        <v>4281684.79</v>
      </c>
      <c r="E301" s="362">
        <v>56157.08</v>
      </c>
      <c r="F301" s="401">
        <v>407813.51</v>
      </c>
      <c r="G301" s="362">
        <v>4745655.38</v>
      </c>
    </row>
    <row r="302" spans="1:7" x14ac:dyDescent="0.25">
      <c r="A302" t="s">
        <v>788</v>
      </c>
      <c r="B302" s="374" t="s">
        <v>1412</v>
      </c>
      <c r="C302" s="362">
        <v>6274935.4500000002</v>
      </c>
      <c r="D302" s="401">
        <v>6258938.1299999999</v>
      </c>
      <c r="E302" s="362">
        <v>15997.32</v>
      </c>
      <c r="F302" s="401">
        <v>0</v>
      </c>
      <c r="G302" s="362">
        <v>6274935.4500000002</v>
      </c>
    </row>
    <row r="303" spans="1:7" x14ac:dyDescent="0.25">
      <c r="A303" t="s">
        <v>792</v>
      </c>
      <c r="B303" s="374" t="s">
        <v>793</v>
      </c>
      <c r="C303" s="362">
        <v>373309.15</v>
      </c>
      <c r="D303" s="401">
        <v>373309.15</v>
      </c>
      <c r="E303" s="362">
        <v>0</v>
      </c>
      <c r="F303" s="401">
        <v>0</v>
      </c>
      <c r="G303" s="362">
        <v>373309.15</v>
      </c>
    </row>
    <row r="304" spans="1:7" x14ac:dyDescent="0.25">
      <c r="A304" t="s">
        <v>794</v>
      </c>
      <c r="B304" s="374" t="s">
        <v>795</v>
      </c>
      <c r="C304" s="362">
        <v>5660631.4500000002</v>
      </c>
      <c r="D304" s="401">
        <v>5583808.0499999998</v>
      </c>
      <c r="E304" s="362">
        <v>15365.28</v>
      </c>
      <c r="F304" s="401">
        <v>61458.12</v>
      </c>
      <c r="G304" s="362">
        <v>5660631.4500000002</v>
      </c>
    </row>
    <row r="305" spans="1:7" x14ac:dyDescent="0.25">
      <c r="A305" t="s">
        <v>796</v>
      </c>
      <c r="B305" s="374" t="s">
        <v>797</v>
      </c>
      <c r="C305" s="362">
        <v>1618411.6</v>
      </c>
      <c r="D305" s="401">
        <v>1618411.6</v>
      </c>
      <c r="E305" s="362">
        <v>0</v>
      </c>
      <c r="F305" s="401">
        <v>0</v>
      </c>
      <c r="G305" s="362">
        <v>1618411.6</v>
      </c>
    </row>
    <row r="306" spans="1:7" x14ac:dyDescent="0.25">
      <c r="A306" t="s">
        <v>798</v>
      </c>
      <c r="B306" s="374" t="s">
        <v>799</v>
      </c>
      <c r="C306" s="362">
        <v>344358.99</v>
      </c>
      <c r="D306" s="401">
        <v>344358.99</v>
      </c>
      <c r="E306" s="362">
        <v>0</v>
      </c>
      <c r="F306" s="401">
        <v>0</v>
      </c>
      <c r="G306" s="362">
        <v>344358.99</v>
      </c>
    </row>
    <row r="307" spans="1:7" x14ac:dyDescent="0.25">
      <c r="A307" t="s">
        <v>800</v>
      </c>
      <c r="B307" s="374" t="s">
        <v>801</v>
      </c>
      <c r="C307" s="362">
        <v>406441.28</v>
      </c>
      <c r="D307" s="401">
        <v>347430.85</v>
      </c>
      <c r="E307" s="362">
        <v>0</v>
      </c>
      <c r="F307" s="401">
        <v>59010.43</v>
      </c>
      <c r="G307" s="362">
        <v>406441.27999999997</v>
      </c>
    </row>
    <row r="308" spans="1:7" x14ac:dyDescent="0.25">
      <c r="A308" t="s">
        <v>802</v>
      </c>
      <c r="B308" s="374" t="s">
        <v>803</v>
      </c>
      <c r="C308" s="362">
        <v>148555.71</v>
      </c>
      <c r="D308" s="401">
        <v>62040.31</v>
      </c>
      <c r="E308" s="362">
        <v>0</v>
      </c>
      <c r="F308" s="401">
        <v>86515.4</v>
      </c>
      <c r="G308" s="362">
        <v>148555.71</v>
      </c>
    </row>
    <row r="309" spans="1:7" x14ac:dyDescent="0.25">
      <c r="A309" t="s">
        <v>804</v>
      </c>
      <c r="B309" s="374" t="s">
        <v>805</v>
      </c>
      <c r="C309" s="362">
        <v>1027437.67</v>
      </c>
      <c r="D309" s="401">
        <v>1027437.67</v>
      </c>
      <c r="E309" s="362">
        <v>0</v>
      </c>
      <c r="F309" s="401">
        <v>0</v>
      </c>
      <c r="G309" s="362">
        <v>1027437.67</v>
      </c>
    </row>
    <row r="310" spans="1:7" x14ac:dyDescent="0.25">
      <c r="A310" t="s">
        <v>806</v>
      </c>
      <c r="B310" s="374" t="s">
        <v>807</v>
      </c>
      <c r="C310" s="362">
        <v>129541.37</v>
      </c>
      <c r="D310" s="401">
        <v>129541.37</v>
      </c>
      <c r="E310" s="362">
        <v>0</v>
      </c>
      <c r="F310" s="401">
        <v>0</v>
      </c>
      <c r="G310" s="362">
        <v>129541.37</v>
      </c>
    </row>
    <row r="311" spans="1:7" x14ac:dyDescent="0.25">
      <c r="A311" t="s">
        <v>808</v>
      </c>
      <c r="B311" s="374" t="s">
        <v>809</v>
      </c>
      <c r="C311" s="362">
        <v>74590.100000000006</v>
      </c>
      <c r="D311" s="401">
        <v>74590.100000000006</v>
      </c>
      <c r="E311" s="362">
        <v>0</v>
      </c>
      <c r="F311" s="401">
        <v>0</v>
      </c>
      <c r="G311" s="362">
        <v>74590.100000000006</v>
      </c>
    </row>
    <row r="312" spans="1:7" x14ac:dyDescent="0.25">
      <c r="A312" t="s">
        <v>810</v>
      </c>
      <c r="B312" s="374" t="s">
        <v>811</v>
      </c>
      <c r="C312" s="362">
        <v>3555665.44</v>
      </c>
      <c r="D312" s="401">
        <v>3037763.51</v>
      </c>
      <c r="E312" s="362">
        <v>445.51</v>
      </c>
      <c r="F312" s="401">
        <v>517456.42</v>
      </c>
      <c r="G312" s="362">
        <v>3555665.44</v>
      </c>
    </row>
    <row r="313" spans="1:7" x14ac:dyDescent="0.25">
      <c r="A313" t="s">
        <v>812</v>
      </c>
      <c r="B313" s="374" t="s">
        <v>813</v>
      </c>
      <c r="C313" s="362">
        <v>24829113.760000002</v>
      </c>
      <c r="D313" s="401">
        <v>23328850.719999999</v>
      </c>
      <c r="E313" s="362">
        <v>452254.04</v>
      </c>
      <c r="F313" s="401">
        <v>1048009</v>
      </c>
      <c r="G313" s="362">
        <v>24829113.759999998</v>
      </c>
    </row>
    <row r="314" spans="1:7" x14ac:dyDescent="0.25">
      <c r="A314" t="s">
        <v>814</v>
      </c>
      <c r="B314" s="374" t="s">
        <v>1413</v>
      </c>
      <c r="C314" s="362">
        <v>7746360.0199999996</v>
      </c>
      <c r="D314" s="401">
        <v>7188679.3399999999</v>
      </c>
      <c r="E314" s="362">
        <v>17885.32</v>
      </c>
      <c r="F314" s="401">
        <v>539795.36</v>
      </c>
      <c r="G314" s="362">
        <v>7746360.0199999996</v>
      </c>
    </row>
    <row r="315" spans="1:7" x14ac:dyDescent="0.25">
      <c r="A315" t="s">
        <v>816</v>
      </c>
      <c r="B315" s="374" t="s">
        <v>817</v>
      </c>
      <c r="C315" s="362">
        <v>1100183.71</v>
      </c>
      <c r="D315" s="401">
        <v>1100183.71</v>
      </c>
      <c r="E315" s="362">
        <v>0</v>
      </c>
      <c r="F315" s="401">
        <v>0</v>
      </c>
      <c r="G315" s="362">
        <v>1100183.71</v>
      </c>
    </row>
  </sheetData>
  <autoFilter ref="A4:G319" xr:uid="{2BCFD6F6-E6D3-417F-97CC-E71FF5E3AA1D}">
    <filterColumn colId="1">
      <filters blank="1">
        <filter val="ABERDEEN"/>
        <filter val="ADNA"/>
        <filter val="ALMIRA"/>
        <filter val="ANACORTES"/>
        <filter val="ARLINGTON"/>
        <filter val="ASOTIN-ANATONE"/>
        <filter val="AUBURN"/>
        <filter val="BAINBRIDGE ISLAND"/>
        <filter val="BATTLE GROUND"/>
        <filter val="BELLEVUE"/>
        <filter val="BELLINGHAM"/>
        <filter val="BENGE"/>
        <filter val="BETHEL"/>
        <filter val="BICKLETON"/>
        <filter val="BLAINE"/>
        <filter val="BOISTFORT"/>
        <filter val="BREMERTON"/>
        <filter val="BREWSTER"/>
        <filter val="BRIDGEPORT"/>
        <filter val="BRINNON"/>
        <filter val="BURLINGTON-EDISON"/>
        <filter val="CAMAS"/>
        <filter val="CAPE FLATTERY"/>
        <filter val="CARBONADO"/>
        <filter val="CASCADE"/>
        <filter val="CASHMERE"/>
        <filter val="CASTLE ROCK"/>
        <filter val="CENTERVILLE"/>
        <filter val="CENTRAL KITSAP"/>
        <filter val="CENTRAL VALLEY"/>
        <filter val="CENTRALIA"/>
        <filter val="CHEHALIS"/>
        <filter val="CHENEY"/>
        <filter val="CHEWELAH"/>
        <filter val="CHIMACUM"/>
        <filter val="CLARKSTON"/>
        <filter val="CLE ELUM-ROSLYN"/>
        <filter val="CLOVER PARK"/>
        <filter val="COLFAX"/>
        <filter val="COLLEGE PLACE"/>
        <filter val="COLTON"/>
        <filter val="COLUMBIA (Stevens)"/>
        <filter val="COLUMBIA (Walla Walla)"/>
        <filter val="COLVILLE"/>
        <filter val="CONCRETE"/>
        <filter val="CONWAY"/>
        <filter val="COSMOPOLIS"/>
        <filter val="COULEE-HARTLINE"/>
        <filter val="COUPEVILLE"/>
        <filter val="CRESCENT"/>
        <filter val="CRESTON"/>
        <filter val="CURLEW"/>
        <filter val="CUSICK"/>
        <filter val="DAMMAN"/>
        <filter val="DARRINGTON"/>
        <filter val="DAVENPORT"/>
        <filter val="DAYTON"/>
        <filter val="DEER PARK"/>
        <filter val="DIERINGER"/>
        <filter val="District"/>
        <filter val="DIXIE"/>
        <filter val="EAST VALLEY (Spokane)"/>
        <filter val="EAST VALLEY (Yakima)"/>
        <filter val="EASTMONT"/>
        <filter val="EASTON"/>
        <filter val="EATONVILLE"/>
        <filter val="EDMONDS"/>
        <filter val="ELLENSBURG"/>
        <filter val="ELMA"/>
        <filter val="ENDICOTT"/>
        <filter val="ENTIAT"/>
        <filter val="ENUMCLAW"/>
        <filter val="EPHRATA"/>
        <filter val="EVALINE"/>
        <filter val="EVERETT"/>
        <filter val="EVERGREEN"/>
        <filter val="EXCEL PUBLIC SCHOOL"/>
        <filter val="FEDERAL WAY"/>
        <filter val="FERNDALE"/>
        <filter val="FIFE"/>
        <filter val="FINLEY"/>
        <filter val="FRANKLIN PIERCE"/>
        <filter val="FREEMAN"/>
        <filter val="GARFIELD"/>
        <filter val="GLENWOOD"/>
        <filter val="GOLDENDALE"/>
        <filter val="GRAND COULEE DAM"/>
        <filter val="GRANDVIEW"/>
        <filter val="GRANGER"/>
        <filter val="GRANITE FALLS"/>
        <filter val="GRAPEVIEW"/>
        <filter val="GREAT NORTHERN"/>
        <filter val="GREEN DOT-DESTINY"/>
        <filter val="GREEN MOUNTAIN"/>
        <filter val="GRIFFIN"/>
        <filter val="HARRINGTON"/>
        <filter val="HIGHLAND"/>
        <filter val="HIGHLINE"/>
        <filter val="HOCKINSON"/>
        <filter val="HOOD CANAL"/>
        <filter val="HOQUIAM"/>
        <filter val="INCHELIUM"/>
        <filter val="INDEX"/>
        <filter val="ISSAQUAH"/>
        <filter val="KAHLOTUS"/>
        <filter val="KALAMA"/>
        <filter val="KELLER"/>
        <filter val="KELSO"/>
        <filter val="KENNEWICK"/>
        <filter val="KENT"/>
        <filter val="KETTLE FALLS"/>
        <filter val="KIONA-BENTON"/>
        <filter val="KITTITAS"/>
        <filter val="KLICKITAT"/>
        <filter val="LA CENTER"/>
        <filter val="LA CONNER"/>
        <filter val="LACROSSE"/>
        <filter val="LAKE CHELAN"/>
        <filter val="LAKE QUINAULT"/>
        <filter val="LAKE STEVENS"/>
        <filter val="LAKE WASHINGTON"/>
        <filter val="LAKEWOOD"/>
        <filter val="LAMONT"/>
        <filter val="LIBERTY"/>
        <filter val="LIND"/>
        <filter val="LONGVIEW"/>
        <filter val="LOON LAKE"/>
        <filter val="LOPEZ ISLAND"/>
        <filter val="LYLE"/>
        <filter val="LYNDEN"/>
        <filter val="MABTON"/>
        <filter val="MANSFIELD"/>
        <filter val="MANSON"/>
        <filter val="MARY M. KNIGHT"/>
        <filter val="MARY WALKER"/>
        <filter val="MARYSVILLE"/>
        <filter val="MCCLEARY"/>
        <filter val="MEAD"/>
        <filter val="MEDICAL LAKE"/>
        <filter val="MERCER ISLAND"/>
        <filter val="MERIDIAN"/>
        <filter val="METHOW VALLEY"/>
        <filter val="MILL A"/>
        <filter val="MONROE"/>
        <filter val="MONTESANO"/>
        <filter val="MORTON"/>
        <filter val="MOSES LAKE"/>
        <filter val="MOSSYROCK"/>
        <filter val="MOUNT ADAMS"/>
        <filter val="MOUNT BAKER"/>
        <filter val="MOUNT PLEASANT"/>
        <filter val="MOUNT VERNON"/>
        <filter val="MUKILTEO"/>
        <filter val="NACHES VALLEY"/>
        <filter val="NAPAVINE"/>
        <filter val="NASELLE-GRAYS RIVER"/>
        <filter val="NESPELEM"/>
        <filter val="NEWPORT"/>
        <filter val="NINE MILE FALLS"/>
        <filter val="NOOKSACK VALLEY"/>
        <filter val="NORTH BEACH"/>
        <filter val="NORTH FRANKLIN"/>
        <filter val="NORTH KITSAP"/>
        <filter val="NORTH MASON"/>
        <filter val="NORTH RIVER"/>
        <filter val="NORTH THURSTON"/>
        <filter val="NORTHPORT"/>
        <filter val="NORTHSHORE"/>
        <filter val="OAK HARBOR"/>
        <filter val="OAKESDALE"/>
        <filter val="OAKVILLE"/>
        <filter val="OCEAN BEACH"/>
        <filter val="OCOSTA"/>
        <filter val="ODESSA"/>
        <filter val="OKANOGAN"/>
        <filter val="OLYMPIA"/>
        <filter val="OMAK"/>
        <filter val="ONALASKA"/>
        <filter val="ONION CREEK"/>
        <filter val="ORCAS ISLAND"/>
        <filter val="ORCHARD PRAIRIE"/>
        <filter val="ORIENT"/>
        <filter val="ORONDO"/>
        <filter val="OROVILLE"/>
        <filter val="ORTING"/>
        <filter val="OTHELLO"/>
        <filter val="PALISADES"/>
        <filter val="PALOUSE"/>
        <filter val="PASCO"/>
        <filter val="PATEROS"/>
        <filter val="PATERSON"/>
        <filter val="PE ELL"/>
        <filter val="PENINSULA"/>
        <filter val="PIONEER"/>
        <filter val="POMEROY"/>
        <filter val="PORT ANGELES"/>
        <filter val="PORT TOWNSEND"/>
        <filter val="PRESCOTT"/>
        <filter val="PRIDE PREP CHARTER"/>
        <filter val="PROSSER"/>
        <filter val="PULLMAN"/>
        <filter val="PUYALLUP"/>
        <filter val="QUEETS-CLEARWATER"/>
        <filter val="QUILCENE"/>
        <filter val="QUILLAYUTE TRIBAL SCHOOL"/>
        <filter val="QUILLAYUTE VALLEY"/>
        <filter val="QUINCY"/>
        <filter val="RAINIER"/>
        <filter val="RAINIER PREP CHARTER"/>
        <filter val="RAYMOND"/>
        <filter val="REARDAN-EDWALL"/>
        <filter val="RENTON"/>
        <filter val="REPUBLIC"/>
        <filter val="RICHLAND"/>
        <filter val="RIDGEFIELD"/>
        <filter val="RITZVILLE"/>
        <filter val="RIVERSIDE"/>
        <filter val="RIVERVIEW"/>
        <filter val="RLV (GREEN DOT-RAINIER VALLEY)"/>
        <filter val="ROCHESTER"/>
        <filter val="ROOSEVELT"/>
        <filter val="ROSALIA"/>
        <filter val="ROYAL"/>
        <filter val="SAN JUAN"/>
        <filter val="SATSOP"/>
        <filter val="SEATTLE"/>
        <filter val="SEDRO WOOLLEY"/>
        <filter val="SELAH"/>
        <filter val="SELKIRK"/>
        <filter val="SEQUIM"/>
        <filter val="SHAW"/>
        <filter val="SHELTON"/>
        <filter val="SHORELINE"/>
        <filter val="SKAMANIA"/>
        <filter val="SKYKOMISH"/>
        <filter val="SNOHOMISH"/>
        <filter val="SNOQUALMIE VALLEY"/>
        <filter val="SOAP LAKE"/>
        <filter val="SOAR ACADEMY"/>
        <filter val="SOUTH BEND"/>
        <filter val="SOUTH KITSAP"/>
        <filter val="SOUTH WHIDBEY"/>
        <filter val="SOUTHSIDE"/>
        <filter val="SPOKANE"/>
        <filter val="SPOKANE INTL ACADEMY"/>
        <filter val="SPRAGUE"/>
        <filter val="ST. JOHN"/>
        <filter val="STANWOOD"/>
        <filter val="STAR"/>
        <filter val="STARBUCK"/>
        <filter val="STEHEKIN"/>
        <filter val="STEILACOOM HIST."/>
        <filter val="STEPTOE"/>
        <filter val="STEVENSON-CARSON"/>
        <filter val="SULTAN"/>
        <filter val="SUMMIT  SIERRA"/>
        <filter val="SUMMIT ATLAS"/>
        <filter val="SUMMIT OLYMPUS"/>
        <filter val="SUMMIT VALLEY"/>
        <filter val="SUMNER"/>
        <filter val="SUNNYSIDE"/>
        <filter val="SUQUAMISH TRIBAL EDUCATION"/>
        <filter val="TACOMA"/>
        <filter val="TAHOLAH"/>
        <filter val="TAHOMA"/>
        <filter val="TEKOA"/>
        <filter val="TENINO"/>
        <filter val="THORP"/>
        <filter val="TOLEDO"/>
        <filter val="TONASKET"/>
        <filter val="TOPPENISH"/>
        <filter val="TOUCHET"/>
        <filter val="TOUTLE LAKE"/>
        <filter val="TROUT LAKE"/>
        <filter val="TUKWILA"/>
        <filter val="TUMWATER"/>
        <filter val="UNION GAP"/>
        <filter val="UNIVERSITY PLACE"/>
        <filter val="VALLEY"/>
        <filter val="VANCOUVER"/>
        <filter val="VASHON ISLAND"/>
        <filter val="WAHKIAKUM"/>
        <filter val="WAHLUKE"/>
        <filter val="WAITSBURG"/>
        <filter val="WALLA WALLA"/>
        <filter val="WAPATO"/>
        <filter val="WARDEN"/>
        <filter val="WASHOUGAL"/>
        <filter val="WASHTUCNA"/>
        <filter val="WATERVILLE"/>
        <filter val="WELLPINIT"/>
        <filter val="WENATCHEE"/>
        <filter val="WEST VALLEY (Spokane)"/>
        <filter val="WEST VALLEY (Yakima)"/>
        <filter val="WHITE PASS"/>
        <filter val="WHITE RIVER"/>
        <filter val="WHITE SALMON"/>
        <filter val="WILBUR"/>
        <filter val="WILLAPA VALLEY"/>
        <filter val="WILSON CREEK"/>
        <filter val="WINLOCK"/>
        <filter val="WISHKAH VALLEY"/>
        <filter val="WISHRAM"/>
        <filter val="WOODLAND"/>
        <filter val="YAKIMA"/>
        <filter val="YELM COMMUNITY SCHS."/>
        <filter val="ZILLAH"/>
      </filters>
    </filterColumn>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0000"/>
    <pageSetUpPr autoPageBreaks="0"/>
  </sheetPr>
  <dimension ref="A1:N35"/>
  <sheetViews>
    <sheetView showGridLines="0" topLeftCell="B1" workbookViewId="0">
      <pane ySplit="4" topLeftCell="A5" activePane="bottomLeft" state="frozen"/>
      <selection activeCell="K5" sqref="K5"/>
      <selection pane="bottomLeft" activeCell="K5" sqref="K5"/>
    </sheetView>
  </sheetViews>
  <sheetFormatPr defaultColWidth="0" defaultRowHeight="15.75" customHeight="1"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f>IFERROR(VLOOKUP('2. Getting Started'!B3,'42. SEA or LEA Worksheet'!$A$4:$AZ$324,30,0),0)</f>
        <v>0</v>
      </c>
      <c r="D1" s="21" t="s">
        <v>14</v>
      </c>
      <c r="E1" s="20" t="str">
        <f>IF('2. Getting Started'!B2="","",'2. Getting Started'!B2)</f>
        <v/>
      </c>
      <c r="G1" s="661" t="s">
        <v>22</v>
      </c>
      <c r="H1" s="19" t="s">
        <v>49</v>
      </c>
      <c r="I1" s="48">
        <f>IFERROR(VLOOKUP('2. Getting Started'!B3,'42. SEA or LEA Worksheet'!$A$4:$AZ$324,30,0),0)</f>
        <v>0</v>
      </c>
      <c r="K1" s="21" t="s">
        <v>14</v>
      </c>
      <c r="L1" s="20" t="str">
        <f>IF('2. Getting Started'!B2="","",'2. Getting Started'!B2)</f>
        <v/>
      </c>
    </row>
    <row r="2" spans="1:13" s="25" customFormat="1" ht="37.9" customHeight="1" thickBot="1" x14ac:dyDescent="0.3">
      <c r="A2" s="22" t="str">
        <f>CONCATENATE("Eligibility Standard - State Fiscal Year ",'2. Getting Started'!B6+2," -  LEA Effort - Budgeted Amounts")</f>
        <v>Eligibility Standard - State Fiscal Year 2023 -  LEA Effort - Budgeted Amounts</v>
      </c>
      <c r="B2" s="23"/>
      <c r="C2" s="23"/>
      <c r="D2" s="23"/>
      <c r="E2" s="23"/>
      <c r="F2" s="24"/>
      <c r="G2" s="661"/>
      <c r="H2" s="22" t="str">
        <f>CONCATENATE("Compliance Standard - State Fiscal Year ",'2. Getting Started'!B6+2," - LEA Effort - Final Expenditures")</f>
        <v>Compliance Standard - State Fiscal Year 2023 - LEA Effort - Final Expenditures</v>
      </c>
      <c r="I2" s="23"/>
      <c r="J2" s="23"/>
      <c r="K2" s="23"/>
      <c r="L2" s="23"/>
      <c r="M2" s="24"/>
    </row>
    <row r="3" spans="1:13" s="25" customFormat="1" ht="24" customHeight="1" x14ac:dyDescent="0.25">
      <c r="A3" s="26"/>
      <c r="B3" s="27"/>
      <c r="D3" s="28" t="str">
        <f>CONCATENATE("SFY ",'2. Getting Started'!$B6+2," Budget")</f>
        <v>SFY 2023 Budget</v>
      </c>
      <c r="E3" s="29"/>
      <c r="F3" s="30"/>
      <c r="G3" s="661"/>
      <c r="H3" s="26"/>
      <c r="I3" s="27"/>
      <c r="J3" s="31"/>
      <c r="K3" s="28" t="str">
        <f>CONCATENATE("SFY ",'2. Getting Started'!$B6+2," Final Expenditures")</f>
        <v>SFY 2023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x14ac:dyDescent="0.25">
      <c r="A5" s="49"/>
      <c r="B5" s="50"/>
      <c r="C5" s="51"/>
      <c r="D5" s="52"/>
      <c r="E5" s="52"/>
      <c r="F5" s="38" t="str">
        <f>IF(AND(D5="",E5=""),"",SUM(D5:E5))</f>
        <v/>
      </c>
      <c r="G5" s="661"/>
      <c r="H5" s="49"/>
      <c r="I5" s="50"/>
      <c r="J5" s="51"/>
      <c r="K5" s="52">
        <f>IFERROR(VLOOKUP('2. Getting Started'!B3,'42. SEA or LEA Worksheet'!$A$4:$AF$324,31,0),0)</f>
        <v>0</v>
      </c>
      <c r="L5" s="52">
        <f>IFERROR(VLOOKUP('2. Getting Started'!B3,'42. SEA or LEA Worksheet'!$A$4:$AF$324,32,0),0)</f>
        <v>0</v>
      </c>
      <c r="M5" s="38">
        <f>IF(AND(K5="",L5=""),"",SUM(K5:L5))</f>
        <v>0</v>
      </c>
    </row>
    <row r="6" spans="1:13" x14ac:dyDescent="0.25">
      <c r="A6" s="49"/>
      <c r="B6" s="50"/>
      <c r="C6" s="51"/>
      <c r="D6" s="52"/>
      <c r="E6" s="52"/>
      <c r="F6" s="38" t="str">
        <f t="shared" ref="F6:F29" si="0">IF(AND(D6="",E6=""),"",SUM(D6:E6))</f>
        <v/>
      </c>
      <c r="G6" s="661"/>
      <c r="H6" s="49"/>
      <c r="I6" s="50"/>
      <c r="J6" s="51"/>
      <c r="K6" s="52"/>
      <c r="L6" s="52">
        <f>IFERROR(VLOOKUP('2. Getting Started'!B4,'42. SEA or LEA Worksheet'!$A$4:$AF$324,32,0),0)</f>
        <v>0</v>
      </c>
      <c r="M6" s="38">
        <f t="shared" ref="M6:M29" si="1">IF(AND(K6="",L6=""),"",SUM(K6:L6))</f>
        <v>0</v>
      </c>
    </row>
    <row r="7" spans="1:13" x14ac:dyDescent="0.25">
      <c r="A7" s="49"/>
      <c r="B7" s="50"/>
      <c r="C7" s="51"/>
      <c r="D7" s="52"/>
      <c r="E7" s="52"/>
      <c r="F7" s="38" t="str">
        <f t="shared" si="0"/>
        <v/>
      </c>
      <c r="G7" s="661"/>
      <c r="H7" s="49"/>
      <c r="I7" s="50"/>
      <c r="J7" s="51"/>
      <c r="K7" s="52"/>
      <c r="L7" s="52">
        <f>IFERROR(VLOOKUP('2. Getting Started'!B5,'42. SEA or LEA Worksheet'!$A$4:$AF$324,32,0),0)</f>
        <v>0</v>
      </c>
      <c r="M7" s="38">
        <f t="shared" si="1"/>
        <v>0</v>
      </c>
    </row>
    <row r="8" spans="1:13" x14ac:dyDescent="0.25">
      <c r="A8" s="49"/>
      <c r="B8" s="50"/>
      <c r="C8" s="51"/>
      <c r="D8" s="52"/>
      <c r="E8" s="52"/>
      <c r="F8" s="38" t="str">
        <f t="shared" si="0"/>
        <v/>
      </c>
      <c r="G8" s="661"/>
      <c r="H8" s="49"/>
      <c r="I8" s="50"/>
      <c r="J8" s="51"/>
      <c r="K8" s="52"/>
      <c r="L8" s="52">
        <f>IFERROR(VLOOKUP('2. Getting Started'!B6,'42. SEA or LEA Worksheet'!$A$4:$AF$324,32,0),0)</f>
        <v>0</v>
      </c>
      <c r="M8" s="38">
        <f t="shared" si="1"/>
        <v>0</v>
      </c>
    </row>
    <row r="9" spans="1:13" x14ac:dyDescent="0.25">
      <c r="A9" s="49"/>
      <c r="B9" s="50"/>
      <c r="C9" s="51"/>
      <c r="D9" s="52"/>
      <c r="E9" s="52"/>
      <c r="F9" s="38" t="str">
        <f t="shared" si="0"/>
        <v/>
      </c>
      <c r="G9" s="661"/>
      <c r="H9" s="49"/>
      <c r="I9" s="50"/>
      <c r="J9" s="51"/>
      <c r="K9" s="52"/>
      <c r="L9" s="52">
        <f>IFERROR(VLOOKUP('2. Getting Started'!B7,'42. SEA or LEA Worksheet'!$A$4:$AF$324,32,0),0)</f>
        <v>0</v>
      </c>
      <c r="M9" s="38">
        <f t="shared" si="1"/>
        <v>0</v>
      </c>
    </row>
    <row r="10" spans="1:13" x14ac:dyDescent="0.25">
      <c r="A10" s="49"/>
      <c r="B10" s="50"/>
      <c r="C10" s="51"/>
      <c r="D10" s="52"/>
      <c r="E10" s="52"/>
      <c r="F10" s="38" t="str">
        <f t="shared" si="0"/>
        <v/>
      </c>
      <c r="G10" s="661"/>
      <c r="H10" s="49"/>
      <c r="I10" s="50"/>
      <c r="J10" s="51"/>
      <c r="K10" s="52"/>
      <c r="L10" s="52">
        <f>IFERROR(VLOOKUP('2. Getting Started'!B8,'42. SEA or LEA Worksheet'!$A$4:$AF$324,32,0),0)</f>
        <v>0</v>
      </c>
      <c r="M10" s="38">
        <f t="shared" si="1"/>
        <v>0</v>
      </c>
    </row>
    <row r="11" spans="1:13" x14ac:dyDescent="0.25">
      <c r="A11" s="49"/>
      <c r="B11" s="50"/>
      <c r="C11" s="51"/>
      <c r="D11" s="52"/>
      <c r="E11" s="52"/>
      <c r="F11" s="38" t="str">
        <f t="shared" si="0"/>
        <v/>
      </c>
      <c r="G11" s="661"/>
      <c r="H11" s="49"/>
      <c r="I11" s="50"/>
      <c r="J11" s="51"/>
      <c r="K11" s="52"/>
      <c r="L11" s="52">
        <f>IFERROR(VLOOKUP('2. Getting Started'!B9,'42. SEA or LEA Worksheet'!$A$4:$AF$324,32,0),0)</f>
        <v>0</v>
      </c>
      <c r="M11" s="38">
        <f t="shared" si="1"/>
        <v>0</v>
      </c>
    </row>
    <row r="12" spans="1:13" x14ac:dyDescent="0.25">
      <c r="A12" s="49"/>
      <c r="B12" s="50"/>
      <c r="C12" s="51"/>
      <c r="D12" s="52"/>
      <c r="E12" s="52"/>
      <c r="F12" s="38" t="str">
        <f t="shared" si="0"/>
        <v/>
      </c>
      <c r="G12" s="661"/>
      <c r="H12" s="49"/>
      <c r="I12" s="50"/>
      <c r="J12" s="51"/>
      <c r="K12" s="52"/>
      <c r="L12" s="52">
        <f>IFERROR(VLOOKUP('2. Getting Started'!B10,'42. SEA or LEA Worksheet'!$A$4:$AF$324,32,0),0)</f>
        <v>0</v>
      </c>
      <c r="M12" s="38">
        <f t="shared" si="1"/>
        <v>0</v>
      </c>
    </row>
    <row r="13" spans="1:13" x14ac:dyDescent="0.25">
      <c r="A13" s="49"/>
      <c r="B13" s="50"/>
      <c r="C13" s="51"/>
      <c r="D13" s="52"/>
      <c r="E13" s="52"/>
      <c r="F13" s="38" t="str">
        <f t="shared" si="0"/>
        <v/>
      </c>
      <c r="G13" s="661"/>
      <c r="H13" s="49"/>
      <c r="I13" s="50"/>
      <c r="J13" s="51"/>
      <c r="K13" s="52"/>
      <c r="L13" s="52">
        <f>IFERROR(VLOOKUP('2. Getting Started'!B11,'42. SEA or LEA Worksheet'!$A$4:$AF$324,32,0),0)</f>
        <v>0</v>
      </c>
      <c r="M13" s="38">
        <f t="shared" si="1"/>
        <v>0</v>
      </c>
    </row>
    <row r="14" spans="1:13" x14ac:dyDescent="0.25">
      <c r="A14" s="49"/>
      <c r="B14" s="50"/>
      <c r="C14" s="51"/>
      <c r="D14" s="52"/>
      <c r="E14" s="52"/>
      <c r="F14" s="38" t="str">
        <f t="shared" si="0"/>
        <v/>
      </c>
      <c r="G14" s="661"/>
      <c r="H14" s="49"/>
      <c r="I14" s="50"/>
      <c r="J14" s="51"/>
      <c r="K14" s="52"/>
      <c r="L14" s="52">
        <f>IFERROR(VLOOKUP('2. Getting Started'!B12,'42. SEA or LEA Worksheet'!$A$4:$AF$324,32,0),0)</f>
        <v>0</v>
      </c>
      <c r="M14" s="38">
        <f t="shared" si="1"/>
        <v>0</v>
      </c>
    </row>
    <row r="15" spans="1:13" x14ac:dyDescent="0.25">
      <c r="A15" s="49"/>
      <c r="B15" s="50"/>
      <c r="C15" s="51"/>
      <c r="D15" s="52"/>
      <c r="E15" s="52"/>
      <c r="F15" s="38" t="str">
        <f t="shared" si="0"/>
        <v/>
      </c>
      <c r="G15" s="661"/>
      <c r="H15" s="49"/>
      <c r="I15" s="50"/>
      <c r="J15" s="51"/>
      <c r="K15" s="52"/>
      <c r="L15" s="52">
        <f>IFERROR(VLOOKUP('2. Getting Started'!B13,'42. SEA or LEA Worksheet'!$A$4:$AF$324,32,0),0)</f>
        <v>0</v>
      </c>
      <c r="M15" s="38">
        <f t="shared" si="1"/>
        <v>0</v>
      </c>
    </row>
    <row r="16" spans="1:13" x14ac:dyDescent="0.25">
      <c r="A16" s="49"/>
      <c r="B16" s="50"/>
      <c r="C16" s="51"/>
      <c r="D16" s="52"/>
      <c r="E16" s="52"/>
      <c r="F16" s="38" t="str">
        <f t="shared" si="0"/>
        <v/>
      </c>
      <c r="G16" s="661"/>
      <c r="H16" s="49"/>
      <c r="I16" s="50"/>
      <c r="J16" s="51"/>
      <c r="K16" s="52"/>
      <c r="L16" s="52">
        <f>IFERROR(VLOOKUP('2. Getting Started'!B14,'42. SEA or LEA Worksheet'!$A$4:$AF$324,32,0),0)</f>
        <v>0</v>
      </c>
      <c r="M16" s="38">
        <f t="shared" si="1"/>
        <v>0</v>
      </c>
    </row>
    <row r="17" spans="1:13" x14ac:dyDescent="0.25">
      <c r="A17" s="49"/>
      <c r="B17" s="50"/>
      <c r="C17" s="51"/>
      <c r="D17" s="52"/>
      <c r="E17" s="52"/>
      <c r="F17" s="38" t="str">
        <f t="shared" si="0"/>
        <v/>
      </c>
      <c r="G17" s="661"/>
      <c r="H17" s="49"/>
      <c r="I17" s="50"/>
      <c r="J17" s="51"/>
      <c r="K17" s="52"/>
      <c r="L17" s="52">
        <f>IFERROR(VLOOKUP('2. Getting Started'!B15,'42. SEA or LEA Worksheet'!$A$4:$AF$324,32,0),0)</f>
        <v>0</v>
      </c>
      <c r="M17" s="38">
        <f t="shared" si="1"/>
        <v>0</v>
      </c>
    </row>
    <row r="18" spans="1:13" x14ac:dyDescent="0.25">
      <c r="A18" s="49"/>
      <c r="B18" s="50"/>
      <c r="C18" s="51"/>
      <c r="D18" s="52"/>
      <c r="E18" s="52"/>
      <c r="F18" s="38" t="str">
        <f t="shared" si="0"/>
        <v/>
      </c>
      <c r="G18" s="661"/>
      <c r="H18" s="49"/>
      <c r="I18" s="50"/>
      <c r="J18" s="51"/>
      <c r="K18" s="52"/>
      <c r="L18" s="52">
        <f>IFERROR(VLOOKUP('2. Getting Started'!B16,'42. SEA or LEA Worksheet'!$A$4:$AF$324,32,0),0)</f>
        <v>0</v>
      </c>
      <c r="M18" s="38">
        <f t="shared" si="1"/>
        <v>0</v>
      </c>
    </row>
    <row r="19" spans="1:13" x14ac:dyDescent="0.25">
      <c r="A19" s="49"/>
      <c r="B19" s="50"/>
      <c r="C19" s="51"/>
      <c r="D19" s="52"/>
      <c r="E19" s="52"/>
      <c r="F19" s="38" t="str">
        <f t="shared" si="0"/>
        <v/>
      </c>
      <c r="G19" s="661"/>
      <c r="H19" s="49"/>
      <c r="I19" s="50"/>
      <c r="J19" s="51"/>
      <c r="K19" s="52"/>
      <c r="L19" s="52">
        <f>IFERROR(VLOOKUP('2. Getting Started'!B17,'42. SEA or LEA Worksheet'!$A$4:$AF$324,32,0),0)</f>
        <v>0</v>
      </c>
      <c r="M19" s="38">
        <f t="shared" si="1"/>
        <v>0</v>
      </c>
    </row>
    <row r="20" spans="1:13" x14ac:dyDescent="0.25">
      <c r="A20" s="49"/>
      <c r="B20" s="50"/>
      <c r="C20" s="51"/>
      <c r="D20" s="52"/>
      <c r="E20" s="52"/>
      <c r="F20" s="38" t="str">
        <f t="shared" si="0"/>
        <v/>
      </c>
      <c r="G20" s="661"/>
      <c r="H20" s="49"/>
      <c r="I20" s="50"/>
      <c r="J20" s="51"/>
      <c r="K20" s="52"/>
      <c r="L20" s="52">
        <f>IFERROR(VLOOKUP('2. Getting Started'!B18,'42. SEA or LEA Worksheet'!$A$4:$AF$324,32,0),0)</f>
        <v>0</v>
      </c>
      <c r="M20" s="38">
        <f t="shared" si="1"/>
        <v>0</v>
      </c>
    </row>
    <row r="21" spans="1:13" x14ac:dyDescent="0.25">
      <c r="A21" s="49"/>
      <c r="B21" s="50"/>
      <c r="C21" s="51"/>
      <c r="D21" s="52"/>
      <c r="E21" s="52"/>
      <c r="F21" s="38" t="str">
        <f t="shared" si="0"/>
        <v/>
      </c>
      <c r="G21" s="661"/>
      <c r="H21" s="49"/>
      <c r="I21" s="50"/>
      <c r="J21" s="51"/>
      <c r="K21" s="52"/>
      <c r="L21" s="52">
        <f>IFERROR(VLOOKUP('2. Getting Started'!B19,'42. SEA or LEA Worksheet'!$A$4:$AF$324,32,0),0)</f>
        <v>0</v>
      </c>
      <c r="M21" s="38">
        <f t="shared" si="1"/>
        <v>0</v>
      </c>
    </row>
    <row r="22" spans="1:13" x14ac:dyDescent="0.25">
      <c r="A22" s="49"/>
      <c r="B22" s="50"/>
      <c r="C22" s="51"/>
      <c r="D22" s="52"/>
      <c r="E22" s="52"/>
      <c r="F22" s="38" t="str">
        <f t="shared" si="0"/>
        <v/>
      </c>
      <c r="G22" s="661"/>
      <c r="H22" s="49"/>
      <c r="I22" s="50"/>
      <c r="J22" s="51"/>
      <c r="K22" s="52"/>
      <c r="L22" s="52">
        <f>IFERROR(VLOOKUP('2. Getting Started'!B20,'42. SEA or LEA Worksheet'!$A$4:$AF$324,32,0),0)</f>
        <v>0</v>
      </c>
      <c r="M22" s="38">
        <f t="shared" si="1"/>
        <v>0</v>
      </c>
    </row>
    <row r="23" spans="1:13" x14ac:dyDescent="0.25">
      <c r="A23" s="49"/>
      <c r="B23" s="50"/>
      <c r="C23" s="51"/>
      <c r="D23" s="52"/>
      <c r="E23" s="52"/>
      <c r="F23" s="38" t="str">
        <f t="shared" si="0"/>
        <v/>
      </c>
      <c r="G23" s="661"/>
      <c r="H23" s="49"/>
      <c r="I23" s="50"/>
      <c r="J23" s="51"/>
      <c r="K23" s="52"/>
      <c r="L23" s="52">
        <f>IFERROR(VLOOKUP('2. Getting Started'!B21,'42. SEA or LEA Worksheet'!$A$4:$AF$324,32,0),0)</f>
        <v>0</v>
      </c>
      <c r="M23" s="38">
        <f t="shared" si="1"/>
        <v>0</v>
      </c>
    </row>
    <row r="24" spans="1:13" x14ac:dyDescent="0.25">
      <c r="A24" s="49"/>
      <c r="B24" s="50"/>
      <c r="C24" s="51"/>
      <c r="D24" s="52"/>
      <c r="E24" s="52"/>
      <c r="F24" s="38" t="str">
        <f t="shared" si="0"/>
        <v/>
      </c>
      <c r="G24" s="661"/>
      <c r="H24" s="49"/>
      <c r="I24" s="50"/>
      <c r="J24" s="51"/>
      <c r="K24" s="52"/>
      <c r="L24" s="52">
        <f>IFERROR(VLOOKUP('2. Getting Started'!B22,'42. SEA or LEA Worksheet'!$A$4:$AF$324,32,0),0)</f>
        <v>0</v>
      </c>
      <c r="M24" s="38">
        <f t="shared" si="1"/>
        <v>0</v>
      </c>
    </row>
    <row r="25" spans="1:13" x14ac:dyDescent="0.25">
      <c r="A25" s="49"/>
      <c r="B25" s="50"/>
      <c r="C25" s="51"/>
      <c r="D25" s="52"/>
      <c r="E25" s="52"/>
      <c r="F25" s="38" t="str">
        <f t="shared" si="0"/>
        <v/>
      </c>
      <c r="G25" s="661"/>
      <c r="H25" s="49"/>
      <c r="I25" s="50"/>
      <c r="J25" s="51"/>
      <c r="K25" s="52"/>
      <c r="L25" s="52">
        <f>IFERROR(VLOOKUP('2. Getting Started'!B23,'42. SEA or LEA Worksheet'!$A$4:$AF$324,32,0),0)</f>
        <v>0</v>
      </c>
      <c r="M25" s="38">
        <f t="shared" si="1"/>
        <v>0</v>
      </c>
    </row>
    <row r="26" spans="1:13" x14ac:dyDescent="0.25">
      <c r="A26" s="49"/>
      <c r="B26" s="50"/>
      <c r="C26" s="51"/>
      <c r="D26" s="52"/>
      <c r="E26" s="52"/>
      <c r="F26" s="38" t="str">
        <f t="shared" si="0"/>
        <v/>
      </c>
      <c r="G26" s="661"/>
      <c r="H26" s="49"/>
      <c r="I26" s="50"/>
      <c r="J26" s="51"/>
      <c r="K26" s="52"/>
      <c r="L26" s="52">
        <f>IFERROR(VLOOKUP('2. Getting Started'!B24,'42. SEA or LEA Worksheet'!$A$4:$AF$324,32,0),0)</f>
        <v>0</v>
      </c>
      <c r="M26" s="38">
        <f t="shared" si="1"/>
        <v>0</v>
      </c>
    </row>
    <row r="27" spans="1:13" x14ac:dyDescent="0.25">
      <c r="A27" s="49"/>
      <c r="B27" s="50"/>
      <c r="C27" s="51"/>
      <c r="D27" s="52"/>
      <c r="E27" s="52"/>
      <c r="F27" s="38" t="str">
        <f t="shared" si="0"/>
        <v/>
      </c>
      <c r="G27" s="661"/>
      <c r="H27" s="49"/>
      <c r="I27" s="50"/>
      <c r="J27" s="51"/>
      <c r="K27" s="52"/>
      <c r="L27" s="52">
        <f>IFERROR(VLOOKUP('2. Getting Started'!B25,'42. SEA or LEA Worksheet'!$A$4:$AF$324,32,0),0)</f>
        <v>0</v>
      </c>
      <c r="M27" s="38">
        <f t="shared" si="1"/>
        <v>0</v>
      </c>
    </row>
    <row r="28" spans="1:13" x14ac:dyDescent="0.25">
      <c r="A28" s="49"/>
      <c r="B28" s="50"/>
      <c r="C28" s="51"/>
      <c r="D28" s="52"/>
      <c r="E28" s="52"/>
      <c r="F28" s="38" t="str">
        <f t="shared" si="0"/>
        <v/>
      </c>
      <c r="G28" s="661"/>
      <c r="H28" s="49"/>
      <c r="I28" s="50"/>
      <c r="J28" s="51"/>
      <c r="K28" s="52"/>
      <c r="L28" s="52">
        <f>IFERROR(VLOOKUP('2. Getting Started'!B26,'42. SEA or LEA Worksheet'!$A$4:$AF$324,32,0),0)</f>
        <v>0</v>
      </c>
      <c r="M28" s="38">
        <f t="shared" si="1"/>
        <v>0</v>
      </c>
    </row>
    <row r="29" spans="1:13" ht="16.5" thickBot="1" x14ac:dyDescent="0.3">
      <c r="A29" s="53"/>
      <c r="B29" s="54"/>
      <c r="C29" s="55"/>
      <c r="D29" s="56"/>
      <c r="E29" s="56"/>
      <c r="F29" s="38" t="str">
        <f t="shared" si="0"/>
        <v/>
      </c>
      <c r="G29" s="661"/>
      <c r="H29" s="53"/>
      <c r="I29" s="54"/>
      <c r="J29" s="55"/>
      <c r="K29" s="56"/>
      <c r="L29" s="56">
        <f>IFERROR(VLOOKUP('2. Getting Started'!B27,'42. SEA or LEA Worksheet'!$A$4:$AF$324,32,0),0)</f>
        <v>0</v>
      </c>
      <c r="M29" s="38">
        <f t="shared" si="1"/>
        <v>0</v>
      </c>
    </row>
    <row r="30" spans="1:13" ht="19.5" thickBot="1" x14ac:dyDescent="0.3">
      <c r="A30" s="39"/>
      <c r="B30" s="40"/>
      <c r="C30" s="41" t="s">
        <v>56</v>
      </c>
      <c r="D30" s="42" t="str">
        <f>IF(AND(D5="",D6="",D7="",D8="",D9="",D10="",D11="",D12="",D13="",D14="",D15="",D16="",D17="",D18="",D19="",D20="",D21="",D22="",D23="",D24="",D25="",D26="",D27="",D28="",D29=""),"",SUM(D5:D29))</f>
        <v/>
      </c>
      <c r="E30" s="43"/>
      <c r="F30" s="42" t="str">
        <f>IF(AND(F5="",F6="",F7="",F8="",F9="",F10="",F11="",F12="",F13="",F14="",F15="",F16="",F17="",F18="",F19="",F20="",F21="",F22="",F23="",F24="",F25="",F26="",F27="",F28="",F29=""),"",SUM(F5:F29))</f>
        <v/>
      </c>
      <c r="G30" s="661"/>
      <c r="H30" s="39"/>
      <c r="I30" s="40"/>
      <c r="J30" s="41" t="s">
        <v>56</v>
      </c>
      <c r="K30" s="42">
        <f>IF(AND(K5="",K6="",K7="",K8="",K9="",K10="",K11="",K12="",K13="",K14="",K15="",K16="",K17="",K18="",K19="",K20="",K21="",K22="",K23="",K24="",K25="",K26="",K27="",K28="",K29=""),"",SUM(K5:K29))</f>
        <v>0</v>
      </c>
      <c r="L30" s="43"/>
      <c r="M30" s="42">
        <f>IF(AND(M5="",M6="",M7="",M8="",M9="",M10="",M11="",M12="",M13="",M14="",M15="",M16="",M17="",M18="",M19="",M20="",M21="",M22="",M23="",M24="",M25="",M26="",M27="",M28="",M29=""),"",SUM(M5:M29))</f>
        <v>0</v>
      </c>
    </row>
    <row r="31" spans="1:13" ht="19.5" thickBot="1" x14ac:dyDescent="0.3">
      <c r="A31" s="39"/>
      <c r="B31" s="39"/>
      <c r="C31" s="44" t="s">
        <v>57</v>
      </c>
      <c r="D31" s="42" t="str">
        <f>IF(OR($B1="",D30=""),"",(D30/$B1))</f>
        <v/>
      </c>
      <c r="E31" s="39"/>
      <c r="F31" s="42" t="str">
        <f>IF(OR($B1="",F30=""),"",(F30/$B1))</f>
        <v/>
      </c>
      <c r="G31" s="661"/>
      <c r="H31" s="39"/>
      <c r="I31" s="39"/>
      <c r="J31" s="44" t="s">
        <v>57</v>
      </c>
      <c r="K31" s="42" t="e">
        <f>IF(OR($I1="",K30=""),"",(K30/$I1))</f>
        <v>#DIV/0!</v>
      </c>
      <c r="L31" s="39"/>
      <c r="M31" s="42" t="e">
        <f>IF(OR($I1="",M30=""),"",(M30/$I1))</f>
        <v>#DIV/0!</v>
      </c>
    </row>
    <row r="32" spans="1:13" s="25" customFormat="1" ht="18.75" x14ac:dyDescent="0.2">
      <c r="A32" s="345" t="s">
        <v>184</v>
      </c>
      <c r="B32" s="45"/>
      <c r="C32" s="45"/>
      <c r="D32" s="45"/>
      <c r="E32" s="45"/>
      <c r="F32" s="45"/>
      <c r="G32" s="45"/>
      <c r="H32" s="45"/>
      <c r="I32" s="45"/>
      <c r="J32" s="45"/>
      <c r="K32" s="45"/>
      <c r="L32" s="45"/>
      <c r="M32" s="45"/>
    </row>
    <row r="33" spans="1:13" s="47" customFormat="1"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row r="35" spans="1:13" hidden="1" x14ac:dyDescent="0.25"/>
  </sheetData>
  <sheetProtection algorithmName="SHA-512" hashValue="arLUtEUD7wCweIAH1RDZopqUaRAHo722NrVnwtNduNu2bV57PLBOvEmFds8l8DXUX92K8F+gSuOJyLwIqT7/pw==" saltValue="g29bdPqOzKxKFSxgj7patg==" spinCount="100000" sheet="1" formatColumns="0" formatRows="0"/>
  <mergeCells count="2">
    <mergeCell ref="G1:G31"/>
    <mergeCell ref="A34:M34"/>
  </mergeCells>
  <dataValidations disablePrompts="1" count="2">
    <dataValidation allowBlank="1" showInputMessage="1" showErrorMessage="1" prompt="Don't forget to enter Projected Child Count in Cell B1." sqref="A5" xr:uid="{00000000-0002-0000-0C00-000000000000}"/>
    <dataValidation allowBlank="1" showInputMessage="1" showErrorMessage="1" prompt="Don't forget to enter Child Count in Cell I1." sqref="H5" xr:uid="{00000000-0002-0000-0C00-000001000000}"/>
  </dataValidations>
  <hyperlinks>
    <hyperlink ref="A33" r:id="rId1" xr:uid="{00000000-0004-0000-0C00-000000000000}"/>
  </hyperlinks>
  <pageMargins left="0.75" right="0.75" top="1" bottom="1" header="0.5" footer="0.5"/>
  <pageSetup orientation="portrait" horizontalDpi="4294967292" verticalDpi="4294967292"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6BBEB-F51A-4ABD-BB0B-5376181BCC83}">
  <dimension ref="A1:H318"/>
  <sheetViews>
    <sheetView topLeftCell="A288" workbookViewId="0">
      <selection activeCell="C9" sqref="C9"/>
    </sheetView>
  </sheetViews>
  <sheetFormatPr defaultColWidth="19.85546875" defaultRowHeight="15" x14ac:dyDescent="0.25"/>
  <cols>
    <col min="3" max="7" width="19.85546875" style="362"/>
  </cols>
  <sheetData>
    <row r="1" spans="1:7" x14ac:dyDescent="0.25">
      <c r="A1" t="s">
        <v>1383</v>
      </c>
    </row>
    <row r="2" spans="1:7" x14ac:dyDescent="0.25">
      <c r="A2" t="s">
        <v>1384</v>
      </c>
    </row>
    <row r="3" spans="1:7" x14ac:dyDescent="0.25">
      <c r="A3" t="s">
        <v>1417</v>
      </c>
      <c r="B3" s="476">
        <v>2</v>
      </c>
      <c r="C3" s="477">
        <v>3</v>
      </c>
      <c r="D3" s="477">
        <v>4</v>
      </c>
      <c r="E3" s="477">
        <v>5</v>
      </c>
      <c r="F3" s="477">
        <v>6</v>
      </c>
      <c r="G3" s="477">
        <v>7</v>
      </c>
    </row>
    <row r="4" spans="1:7" s="368" customFormat="1" ht="30" x14ac:dyDescent="0.25">
      <c r="C4" s="371" t="s">
        <v>1386</v>
      </c>
      <c r="D4" s="421" t="s">
        <v>1387</v>
      </c>
      <c r="E4" s="371" t="s">
        <v>1388</v>
      </c>
      <c r="F4" s="421" t="s">
        <v>1389</v>
      </c>
      <c r="G4" s="371" t="s">
        <v>1390</v>
      </c>
    </row>
    <row r="5" spans="1:7" x14ac:dyDescent="0.25">
      <c r="A5" s="372" t="s">
        <v>185</v>
      </c>
      <c r="B5" s="372" t="s">
        <v>1391</v>
      </c>
      <c r="C5" s="451">
        <v>1900030782.210001</v>
      </c>
      <c r="D5" s="420">
        <v>1663573482.1800001</v>
      </c>
      <c r="E5" s="451">
        <v>11209887.360000005</v>
      </c>
      <c r="F5" s="420">
        <v>225253156.06999993</v>
      </c>
      <c r="G5" s="451">
        <v>1900036525.6100008</v>
      </c>
    </row>
    <row r="6" spans="1:7" x14ac:dyDescent="0.25">
      <c r="A6" t="s">
        <v>780</v>
      </c>
      <c r="B6" t="s">
        <v>781</v>
      </c>
      <c r="C6" s="362">
        <v>41841.07</v>
      </c>
      <c r="D6" s="401">
        <v>41841.07</v>
      </c>
      <c r="E6" s="362">
        <v>0</v>
      </c>
      <c r="F6" s="401">
        <v>0</v>
      </c>
      <c r="G6" s="362">
        <v>41841.07</v>
      </c>
    </row>
    <row r="7" spans="1:7" x14ac:dyDescent="0.25">
      <c r="A7" t="s">
        <v>216</v>
      </c>
      <c r="B7" t="s">
        <v>217</v>
      </c>
      <c r="C7" s="362">
        <v>7978.08</v>
      </c>
      <c r="D7" s="401">
        <v>7978.08</v>
      </c>
      <c r="E7" s="362">
        <v>0</v>
      </c>
      <c r="F7" s="401">
        <v>0</v>
      </c>
      <c r="G7" s="362">
        <v>7978.08</v>
      </c>
    </row>
    <row r="8" spans="1:7" x14ac:dyDescent="0.25">
      <c r="A8" t="s">
        <v>572</v>
      </c>
      <c r="B8" t="s">
        <v>573</v>
      </c>
      <c r="C8" s="362">
        <v>5430532.3899999997</v>
      </c>
      <c r="D8" s="401">
        <v>5430532.3899999997</v>
      </c>
      <c r="E8" s="362">
        <v>0</v>
      </c>
      <c r="F8" s="401">
        <v>0</v>
      </c>
      <c r="G8" s="362">
        <v>5430532.3899999997</v>
      </c>
    </row>
    <row r="9" spans="1:7" x14ac:dyDescent="0.25">
      <c r="A9" t="s">
        <v>449</v>
      </c>
      <c r="B9" t="s">
        <v>450</v>
      </c>
      <c r="C9" s="362">
        <v>260097.55</v>
      </c>
      <c r="D9" s="401">
        <v>260097.55</v>
      </c>
      <c r="E9" s="362">
        <v>0</v>
      </c>
      <c r="F9" s="401">
        <v>0</v>
      </c>
      <c r="G9" s="362">
        <v>260097.55</v>
      </c>
    </row>
    <row r="10" spans="1:7" x14ac:dyDescent="0.25">
      <c r="A10" t="s">
        <v>633</v>
      </c>
      <c r="B10" t="s">
        <v>634</v>
      </c>
      <c r="C10" s="362">
        <v>397084.15</v>
      </c>
      <c r="D10" s="401">
        <v>397084.15</v>
      </c>
      <c r="E10" s="362">
        <v>0</v>
      </c>
      <c r="F10" s="401">
        <v>0</v>
      </c>
      <c r="G10" s="362">
        <v>397084.15</v>
      </c>
    </row>
    <row r="11" spans="1:7" x14ac:dyDescent="0.25">
      <c r="A11" t="s">
        <v>270</v>
      </c>
      <c r="B11" t="s">
        <v>271</v>
      </c>
      <c r="C11" s="362">
        <v>3771889.27</v>
      </c>
      <c r="D11" s="401">
        <v>3700784.63</v>
      </c>
      <c r="E11" s="362">
        <v>71104.639999999999</v>
      </c>
      <c r="F11" s="401">
        <v>0</v>
      </c>
      <c r="G11" s="362">
        <v>3771889.27</v>
      </c>
    </row>
    <row r="12" spans="1:7" x14ac:dyDescent="0.25">
      <c r="A12" t="s">
        <v>201</v>
      </c>
      <c r="B12" t="s">
        <v>203</v>
      </c>
      <c r="C12" s="362">
        <v>775299.82</v>
      </c>
      <c r="D12" s="401">
        <v>707002.53</v>
      </c>
      <c r="E12" s="362">
        <v>33553.58</v>
      </c>
      <c r="F12" s="401">
        <v>34743.71</v>
      </c>
      <c r="G12" s="362">
        <v>775299.82000000007</v>
      </c>
    </row>
    <row r="13" spans="1:7" x14ac:dyDescent="0.25">
      <c r="A13" t="s">
        <v>417</v>
      </c>
      <c r="B13" t="s">
        <v>418</v>
      </c>
      <c r="C13" s="362">
        <v>23160780.68</v>
      </c>
      <c r="D13" s="401">
        <v>23025180.440000001</v>
      </c>
      <c r="E13" s="362">
        <v>135600.24</v>
      </c>
      <c r="F13" s="401">
        <v>0</v>
      </c>
      <c r="G13" s="362">
        <v>23160780.68</v>
      </c>
    </row>
    <row r="14" spans="1:7" x14ac:dyDescent="0.25">
      <c r="A14" t="s">
        <v>582</v>
      </c>
      <c r="B14" t="s">
        <v>583</v>
      </c>
      <c r="C14" s="362">
        <v>132267.32999999999</v>
      </c>
      <c r="D14" s="401">
        <v>132267.32999999999</v>
      </c>
      <c r="E14" s="362">
        <v>0</v>
      </c>
      <c r="F14" s="401">
        <v>0</v>
      </c>
      <c r="G14" s="362">
        <v>132267.32999999999</v>
      </c>
    </row>
    <row r="15" spans="1:7" x14ac:dyDescent="0.25">
      <c r="A15" t="s">
        <v>423</v>
      </c>
      <c r="B15" t="s">
        <v>1399</v>
      </c>
      <c r="C15" s="362">
        <v>2042876.41</v>
      </c>
      <c r="D15" s="401">
        <v>2021775.16</v>
      </c>
      <c r="E15" s="362">
        <v>9571.89</v>
      </c>
      <c r="F15" s="401">
        <v>11529.36</v>
      </c>
      <c r="G15" s="362">
        <v>2042876.41</v>
      </c>
    </row>
    <row r="16" spans="1:7" x14ac:dyDescent="0.25">
      <c r="A16" t="s">
        <v>358</v>
      </c>
      <c r="B16" t="s">
        <v>359</v>
      </c>
      <c r="C16" s="362">
        <v>1293110.44</v>
      </c>
      <c r="D16" s="401">
        <v>1267030.72</v>
      </c>
      <c r="E16" s="362">
        <v>26079.72</v>
      </c>
      <c r="F16" s="401">
        <v>0</v>
      </c>
      <c r="G16" s="362">
        <v>1293110.44</v>
      </c>
    </row>
    <row r="17" spans="1:7" x14ac:dyDescent="0.25">
      <c r="A17" t="s">
        <v>600</v>
      </c>
      <c r="B17" t="s">
        <v>601</v>
      </c>
      <c r="C17" s="362">
        <v>3541529.44</v>
      </c>
      <c r="D17" s="401">
        <v>3534690.71</v>
      </c>
      <c r="E17" s="362">
        <v>6838.73</v>
      </c>
      <c r="F17" s="401">
        <v>0</v>
      </c>
      <c r="G17" s="362">
        <v>3541529.44</v>
      </c>
    </row>
    <row r="18" spans="1:7" x14ac:dyDescent="0.25">
      <c r="A18" t="s">
        <v>629</v>
      </c>
      <c r="B18" t="s">
        <v>630</v>
      </c>
      <c r="C18" s="362">
        <v>16014110.4</v>
      </c>
      <c r="D18" s="401">
        <v>13100595.1</v>
      </c>
      <c r="E18" s="362">
        <v>0</v>
      </c>
      <c r="F18" s="401">
        <v>2913515.3</v>
      </c>
      <c r="G18" s="362">
        <v>16014110.399999999</v>
      </c>
    </row>
    <row r="19" spans="1:7" x14ac:dyDescent="0.25">
      <c r="A19" t="s">
        <v>466</v>
      </c>
      <c r="B19" t="s">
        <v>467</v>
      </c>
      <c r="C19" s="362">
        <v>686699.9</v>
      </c>
      <c r="D19" s="401">
        <v>675699.9</v>
      </c>
      <c r="E19" s="362">
        <v>0</v>
      </c>
      <c r="F19" s="401">
        <v>11000</v>
      </c>
      <c r="G19" s="362">
        <v>686699.9</v>
      </c>
    </row>
    <row r="20" spans="1:7" x14ac:dyDescent="0.25">
      <c r="A20" t="s">
        <v>704</v>
      </c>
      <c r="B20" t="s">
        <v>705</v>
      </c>
      <c r="C20" s="362">
        <v>0</v>
      </c>
      <c r="D20" s="401">
        <v>0</v>
      </c>
      <c r="E20" s="362">
        <v>0</v>
      </c>
      <c r="F20" s="401">
        <v>0</v>
      </c>
      <c r="G20" s="362">
        <v>0</v>
      </c>
    </row>
    <row r="21" spans="1:7" x14ac:dyDescent="0.25">
      <c r="A21" t="s">
        <v>338</v>
      </c>
      <c r="B21" t="s">
        <v>339</v>
      </c>
      <c r="C21" s="362">
        <v>233031.44</v>
      </c>
      <c r="D21" s="401">
        <v>233031.44</v>
      </c>
      <c r="E21" s="362">
        <v>0</v>
      </c>
      <c r="F21" s="401">
        <v>0</v>
      </c>
      <c r="G21" s="362">
        <v>233031.44</v>
      </c>
    </row>
    <row r="22" spans="1:7" x14ac:dyDescent="0.25">
      <c r="A22" t="s">
        <v>435</v>
      </c>
      <c r="B22" t="s">
        <v>436</v>
      </c>
      <c r="C22" s="362">
        <v>1636973.08</v>
      </c>
      <c r="D22" s="401">
        <v>1250320.6200000001</v>
      </c>
      <c r="E22" s="362">
        <v>0</v>
      </c>
      <c r="F22" s="401">
        <v>386652.46</v>
      </c>
      <c r="G22" s="362">
        <v>1636973.08</v>
      </c>
    </row>
    <row r="23" spans="1:7" x14ac:dyDescent="0.25">
      <c r="A23" t="s">
        <v>248</v>
      </c>
      <c r="B23" t="s">
        <v>249</v>
      </c>
      <c r="C23" s="362">
        <v>1756936.27</v>
      </c>
      <c r="D23" s="401">
        <v>1756936.27</v>
      </c>
      <c r="E23" s="362">
        <v>0</v>
      </c>
      <c r="F23" s="401">
        <v>0</v>
      </c>
      <c r="G23" s="362">
        <v>1756936.27</v>
      </c>
    </row>
    <row r="24" spans="1:7" x14ac:dyDescent="0.25">
      <c r="A24" t="s">
        <v>245</v>
      </c>
      <c r="B24" t="s">
        <v>246</v>
      </c>
      <c r="C24" s="362">
        <v>1790062.76</v>
      </c>
      <c r="D24" s="401">
        <v>1775796.74</v>
      </c>
      <c r="E24" s="362">
        <v>14266.02</v>
      </c>
      <c r="F24" s="401">
        <v>0</v>
      </c>
      <c r="G24" s="362">
        <v>1790062.76</v>
      </c>
    </row>
    <row r="25" spans="1:7" x14ac:dyDescent="0.25">
      <c r="A25" t="s">
        <v>786</v>
      </c>
      <c r="B25" t="s">
        <v>787</v>
      </c>
      <c r="C25" s="362">
        <v>9800011.4100000001</v>
      </c>
      <c r="D25" s="401">
        <v>9547317.6999999993</v>
      </c>
      <c r="E25" s="362">
        <v>168891.71</v>
      </c>
      <c r="F25" s="401">
        <v>83802</v>
      </c>
      <c r="G25" s="362">
        <v>9800011.4100000001</v>
      </c>
    </row>
    <row r="26" spans="1:7" x14ac:dyDescent="0.25">
      <c r="A26" t="s">
        <v>592</v>
      </c>
      <c r="B26" t="s">
        <v>593</v>
      </c>
      <c r="C26" s="362">
        <v>6654336.25</v>
      </c>
      <c r="D26" s="401">
        <v>6092924.4400000004</v>
      </c>
      <c r="E26" s="362">
        <v>0</v>
      </c>
      <c r="F26" s="401">
        <v>561411.81000000006</v>
      </c>
      <c r="G26" s="362">
        <v>6654336.25</v>
      </c>
    </row>
    <row r="27" spans="1:7" x14ac:dyDescent="0.25">
      <c r="A27" t="s">
        <v>298</v>
      </c>
      <c r="B27" t="s">
        <v>299</v>
      </c>
      <c r="C27" s="362">
        <v>300184.81</v>
      </c>
      <c r="D27" s="401">
        <v>300184.81</v>
      </c>
      <c r="E27" s="362">
        <v>0</v>
      </c>
      <c r="F27" s="401">
        <v>0</v>
      </c>
      <c r="G27" s="362">
        <v>300184.81</v>
      </c>
    </row>
    <row r="28" spans="1:7" x14ac:dyDescent="0.25">
      <c r="A28" t="s">
        <v>663</v>
      </c>
      <c r="B28" t="s">
        <v>664</v>
      </c>
      <c r="C28" s="362">
        <v>5162874.84</v>
      </c>
      <c r="D28" s="401">
        <v>5064488.13</v>
      </c>
      <c r="E28" s="362">
        <v>98386.71</v>
      </c>
      <c r="F28" s="401">
        <v>0</v>
      </c>
      <c r="G28" s="362">
        <v>5162874.84</v>
      </c>
    </row>
    <row r="29" spans="1:7" x14ac:dyDescent="0.25">
      <c r="A29" t="s">
        <v>241</v>
      </c>
      <c r="B29" t="s">
        <v>242</v>
      </c>
      <c r="C29" s="362">
        <v>1134584.01</v>
      </c>
      <c r="D29" s="401">
        <v>1096533.2</v>
      </c>
      <c r="E29" s="362">
        <v>38050.81</v>
      </c>
      <c r="F29" s="401">
        <v>0</v>
      </c>
      <c r="G29" s="362">
        <v>1134584.01</v>
      </c>
    </row>
    <row r="30" spans="1:7" x14ac:dyDescent="0.25">
      <c r="A30" t="s">
        <v>612</v>
      </c>
      <c r="B30" t="s">
        <v>613</v>
      </c>
      <c r="C30" s="362">
        <v>4397255.03</v>
      </c>
      <c r="D30" s="401">
        <v>4397255.03</v>
      </c>
      <c r="E30" s="362">
        <v>0</v>
      </c>
      <c r="F30" s="401">
        <v>0</v>
      </c>
      <c r="G30" s="362">
        <v>4397255.03</v>
      </c>
    </row>
    <row r="31" spans="1:7" x14ac:dyDescent="0.25">
      <c r="A31" t="s">
        <v>610</v>
      </c>
      <c r="B31" t="s">
        <v>1402</v>
      </c>
      <c r="C31" s="362">
        <v>99366.75</v>
      </c>
      <c r="D31" s="401">
        <v>99366.75</v>
      </c>
      <c r="E31" s="362">
        <v>0</v>
      </c>
      <c r="F31" s="401">
        <v>0</v>
      </c>
      <c r="G31" s="362">
        <v>99366.75</v>
      </c>
    </row>
    <row r="32" spans="1:7" x14ac:dyDescent="0.25">
      <c r="A32" t="s">
        <v>762</v>
      </c>
      <c r="B32" t="s">
        <v>763</v>
      </c>
      <c r="C32" s="362">
        <v>37113818.409999996</v>
      </c>
      <c r="D32" s="401">
        <v>32102273.140000001</v>
      </c>
      <c r="E32" s="362">
        <v>507096.5</v>
      </c>
      <c r="F32" s="401">
        <v>4504448.7699999996</v>
      </c>
      <c r="G32" s="362">
        <v>37113818.409999996</v>
      </c>
    </row>
    <row r="33" spans="1:7" x14ac:dyDescent="0.25">
      <c r="A33" t="s">
        <v>394</v>
      </c>
      <c r="B33" t="s">
        <v>395</v>
      </c>
      <c r="C33" s="362">
        <v>2509531.2200000002</v>
      </c>
      <c r="D33" s="401">
        <v>1903579.13</v>
      </c>
      <c r="E33" s="362">
        <v>434.8</v>
      </c>
      <c r="F33" s="401">
        <v>605517.29</v>
      </c>
      <c r="G33" s="362">
        <v>2509531.2199999997</v>
      </c>
    </row>
    <row r="34" spans="1:7" x14ac:dyDescent="0.25">
      <c r="A34" t="s">
        <v>429</v>
      </c>
      <c r="B34" t="s">
        <v>430</v>
      </c>
      <c r="C34" s="362">
        <v>2497298.2000000002</v>
      </c>
      <c r="D34" s="401">
        <v>2188628.2799999998</v>
      </c>
      <c r="E34" s="362">
        <v>0</v>
      </c>
      <c r="F34" s="401">
        <v>308669.92</v>
      </c>
      <c r="G34" s="362">
        <v>2497298.1999999997</v>
      </c>
    </row>
    <row r="35" spans="1:7" x14ac:dyDescent="0.25">
      <c r="A35" t="s">
        <v>384</v>
      </c>
      <c r="B35" t="s">
        <v>385</v>
      </c>
      <c r="C35" s="362">
        <v>121049.47</v>
      </c>
      <c r="D35" s="401">
        <v>121049.47</v>
      </c>
      <c r="E35" s="362">
        <v>0</v>
      </c>
      <c r="F35" s="401">
        <v>0</v>
      </c>
      <c r="G35" s="362">
        <v>121049.47</v>
      </c>
    </row>
    <row r="36" spans="1:7" x14ac:dyDescent="0.25">
      <c r="A36" t="s">
        <v>778</v>
      </c>
      <c r="B36" t="s">
        <v>779</v>
      </c>
      <c r="C36" s="362">
        <v>5386277.8799999999</v>
      </c>
      <c r="D36" s="401">
        <v>4849455.63</v>
      </c>
      <c r="E36" s="362">
        <v>15910.4</v>
      </c>
      <c r="F36" s="401">
        <v>520911.85</v>
      </c>
      <c r="G36" s="362">
        <v>5386277.8799999999</v>
      </c>
    </row>
    <row r="37" spans="1:7" x14ac:dyDescent="0.25">
      <c r="A37" t="s">
        <v>348</v>
      </c>
      <c r="B37" t="s">
        <v>1396</v>
      </c>
      <c r="C37" s="362">
        <v>43757887.869999997</v>
      </c>
      <c r="D37" s="401">
        <v>36038523.020000003</v>
      </c>
      <c r="E37" s="362">
        <v>257293.69</v>
      </c>
      <c r="F37" s="401">
        <v>7462071.1600000001</v>
      </c>
      <c r="G37" s="362">
        <v>43757887.870000005</v>
      </c>
    </row>
    <row r="38" spans="1:7" x14ac:dyDescent="0.25">
      <c r="A38" t="s">
        <v>239</v>
      </c>
      <c r="B38" t="s">
        <v>240</v>
      </c>
      <c r="C38" s="362">
        <v>10580918.970000001</v>
      </c>
      <c r="D38" s="401">
        <v>8843265.6600000001</v>
      </c>
      <c r="E38" s="362">
        <v>0</v>
      </c>
      <c r="F38" s="401">
        <v>1737653.31</v>
      </c>
      <c r="G38" s="362">
        <v>10580918.970000001</v>
      </c>
    </row>
    <row r="39" spans="1:7" x14ac:dyDescent="0.25">
      <c r="A39" t="s">
        <v>209</v>
      </c>
      <c r="B39" t="s">
        <v>211</v>
      </c>
      <c r="C39" s="362">
        <v>20437334.690000001</v>
      </c>
      <c r="D39" s="401">
        <v>19316854.25</v>
      </c>
      <c r="E39" s="362">
        <v>145596.31</v>
      </c>
      <c r="F39" s="401">
        <v>974884.13</v>
      </c>
      <c r="G39" s="362">
        <v>20437334.690000001</v>
      </c>
    </row>
    <row r="40" spans="1:7" x14ac:dyDescent="0.25">
      <c r="A40" t="s">
        <v>631</v>
      </c>
      <c r="B40" t="s">
        <v>632</v>
      </c>
      <c r="C40" s="362">
        <v>4330884.63</v>
      </c>
      <c r="D40" s="401">
        <v>3807101.92</v>
      </c>
      <c r="E40" s="362">
        <v>0</v>
      </c>
      <c r="F40" s="401">
        <v>523782.71</v>
      </c>
      <c r="G40" s="362">
        <v>4330884.63</v>
      </c>
    </row>
    <row r="41" spans="1:7" x14ac:dyDescent="0.25">
      <c r="A41" t="s">
        <v>312</v>
      </c>
      <c r="B41" t="s">
        <v>313</v>
      </c>
      <c r="C41" s="362">
        <v>452709.13</v>
      </c>
      <c r="D41" s="401">
        <v>452709.13</v>
      </c>
      <c r="E41" s="362">
        <v>0</v>
      </c>
      <c r="F41" s="401">
        <v>0</v>
      </c>
      <c r="G41" s="362">
        <v>452709.13</v>
      </c>
    </row>
    <row r="42" spans="1:7" x14ac:dyDescent="0.25">
      <c r="A42" t="s">
        <v>702</v>
      </c>
      <c r="B42" t="s">
        <v>703</v>
      </c>
      <c r="C42" s="362">
        <v>29744.1</v>
      </c>
      <c r="D42" s="401">
        <v>29744.1</v>
      </c>
      <c r="E42" s="362">
        <v>0</v>
      </c>
      <c r="F42" s="401">
        <v>0</v>
      </c>
      <c r="G42" s="362">
        <v>29744.1</v>
      </c>
    </row>
    <row r="43" spans="1:7" x14ac:dyDescent="0.25">
      <c r="A43" t="s">
        <v>451</v>
      </c>
      <c r="B43" t="s">
        <v>452</v>
      </c>
      <c r="C43" s="362">
        <v>12209810.07</v>
      </c>
      <c r="D43" s="401">
        <v>10944586.359999999</v>
      </c>
      <c r="E43" s="362">
        <v>103111.26</v>
      </c>
      <c r="F43" s="401">
        <v>1162112.45</v>
      </c>
      <c r="G43" s="362">
        <v>12209810.07</v>
      </c>
    </row>
    <row r="44" spans="1:7" x14ac:dyDescent="0.25">
      <c r="A44" t="s">
        <v>748</v>
      </c>
      <c r="B44" t="s">
        <v>749</v>
      </c>
      <c r="C44" s="362">
        <v>876409.73</v>
      </c>
      <c r="D44" s="401">
        <v>876409.73</v>
      </c>
      <c r="E44" s="362">
        <v>0</v>
      </c>
      <c r="F44" s="401">
        <v>0</v>
      </c>
      <c r="G44" s="362">
        <v>876409.73</v>
      </c>
    </row>
    <row r="45" spans="1:7" x14ac:dyDescent="0.25">
      <c r="A45" t="s">
        <v>250</v>
      </c>
      <c r="B45" t="s">
        <v>251</v>
      </c>
      <c r="C45" s="362">
        <v>2307432.86</v>
      </c>
      <c r="D45" s="401">
        <v>2116920.91</v>
      </c>
      <c r="E45" s="362">
        <v>29866.99</v>
      </c>
      <c r="F45" s="401">
        <v>160644.96</v>
      </c>
      <c r="G45" s="362">
        <v>2307432.8600000003</v>
      </c>
    </row>
    <row r="46" spans="1:7" x14ac:dyDescent="0.25">
      <c r="A46" t="s">
        <v>411</v>
      </c>
      <c r="B46" t="s">
        <v>412</v>
      </c>
      <c r="C46" s="362">
        <v>1633587.98</v>
      </c>
      <c r="D46" s="401">
        <v>1633587.98</v>
      </c>
      <c r="E46" s="362">
        <v>0</v>
      </c>
      <c r="F46" s="401">
        <v>0</v>
      </c>
      <c r="G46" s="362">
        <v>1633587.98</v>
      </c>
    </row>
    <row r="47" spans="1:7" x14ac:dyDescent="0.25">
      <c r="A47" t="s">
        <v>810</v>
      </c>
      <c r="B47" t="s">
        <v>811</v>
      </c>
      <c r="C47" s="362">
        <v>4024827.03</v>
      </c>
      <c r="D47" s="401">
        <v>3627941.58</v>
      </c>
      <c r="E47" s="362">
        <v>12115.39</v>
      </c>
      <c r="F47" s="401">
        <v>384770.06</v>
      </c>
      <c r="G47" s="362">
        <v>4024827.0300000003</v>
      </c>
    </row>
    <row r="48" spans="1:7" x14ac:dyDescent="0.25">
      <c r="A48" t="s">
        <v>415</v>
      </c>
      <c r="B48" t="s">
        <v>416</v>
      </c>
      <c r="C48" s="362">
        <v>8186335.3200000003</v>
      </c>
      <c r="D48" s="401">
        <v>7422422.0099999998</v>
      </c>
      <c r="E48" s="362">
        <v>73760.77</v>
      </c>
      <c r="F48" s="401">
        <v>690152.54</v>
      </c>
      <c r="G48" s="362">
        <v>8186335.3200000003</v>
      </c>
    </row>
    <row r="49" spans="1:8" x14ac:dyDescent="0.25">
      <c r="A49" t="s">
        <v>566</v>
      </c>
      <c r="B49" t="s">
        <v>567</v>
      </c>
      <c r="C49" s="362">
        <v>188750</v>
      </c>
      <c r="D49" s="401">
        <v>188333.32</v>
      </c>
      <c r="E49" s="362">
        <v>0</v>
      </c>
      <c r="F49" s="401">
        <v>416.68</v>
      </c>
      <c r="G49" s="362">
        <v>188750</v>
      </c>
    </row>
    <row r="50" spans="1:8" x14ac:dyDescent="0.25">
      <c r="A50" t="s">
        <v>233</v>
      </c>
      <c r="B50" t="s">
        <v>234</v>
      </c>
      <c r="C50" s="362">
        <v>834570.37</v>
      </c>
      <c r="D50" s="401">
        <v>766977.46</v>
      </c>
      <c r="E50" s="362">
        <v>21662.99</v>
      </c>
      <c r="F50" s="401">
        <v>45929.919999999998</v>
      </c>
      <c r="G50" s="362">
        <v>834570.37</v>
      </c>
    </row>
    <row r="51" spans="1:8" x14ac:dyDescent="0.25">
      <c r="A51" t="s">
        <v>574</v>
      </c>
      <c r="B51" t="s">
        <v>575</v>
      </c>
      <c r="C51" s="362">
        <v>23842.18</v>
      </c>
      <c r="D51" s="401">
        <v>23842.18</v>
      </c>
      <c r="E51" s="362">
        <v>0</v>
      </c>
      <c r="F51" s="401">
        <v>0</v>
      </c>
      <c r="G51" s="362">
        <v>23842.18</v>
      </c>
    </row>
    <row r="52" spans="1:8" x14ac:dyDescent="0.25">
      <c r="A52" t="s">
        <v>324</v>
      </c>
      <c r="B52" t="s">
        <v>325</v>
      </c>
      <c r="C52" s="362">
        <v>7293800.71</v>
      </c>
      <c r="D52" s="401">
        <v>6425284.9000000004</v>
      </c>
      <c r="E52" s="362">
        <v>0</v>
      </c>
      <c r="F52" s="401">
        <v>868515.81</v>
      </c>
      <c r="G52" s="362">
        <v>7293800.7100000009</v>
      </c>
    </row>
    <row r="53" spans="1:8" x14ac:dyDescent="0.25">
      <c r="A53" t="s">
        <v>464</v>
      </c>
      <c r="B53" t="s">
        <v>465</v>
      </c>
      <c r="C53" s="362">
        <v>109739.97</v>
      </c>
      <c r="D53" s="401">
        <v>105996.04</v>
      </c>
      <c r="E53" s="362">
        <v>0</v>
      </c>
      <c r="F53" s="401">
        <v>3743.93</v>
      </c>
      <c r="G53" s="362">
        <v>109739.96999999999</v>
      </c>
    </row>
    <row r="54" spans="1:8" x14ac:dyDescent="0.25">
      <c r="A54" t="s">
        <v>782</v>
      </c>
      <c r="B54" t="s">
        <v>783</v>
      </c>
      <c r="C54" s="362">
        <v>438944.94</v>
      </c>
      <c r="D54" s="401">
        <v>438944.94</v>
      </c>
      <c r="E54" s="362">
        <v>0</v>
      </c>
      <c r="F54" s="401">
        <v>0</v>
      </c>
      <c r="G54" s="362">
        <v>438944.94</v>
      </c>
    </row>
    <row r="55" spans="1:8" x14ac:dyDescent="0.25">
      <c r="A55" t="s">
        <v>413</v>
      </c>
      <c r="B55" t="s">
        <v>414</v>
      </c>
      <c r="C55" s="362">
        <v>28159.09</v>
      </c>
      <c r="D55" s="401">
        <v>28159.09</v>
      </c>
      <c r="E55" s="362">
        <v>0</v>
      </c>
      <c r="F55" s="401">
        <v>0</v>
      </c>
      <c r="G55" s="362">
        <v>28159.09</v>
      </c>
    </row>
    <row r="56" spans="1:8" x14ac:dyDescent="0.25">
      <c r="A56" t="s">
        <v>302</v>
      </c>
      <c r="B56" t="s">
        <v>303</v>
      </c>
      <c r="C56" s="362">
        <v>208183.9</v>
      </c>
      <c r="D56" s="401">
        <v>208183.9</v>
      </c>
      <c r="E56" s="362">
        <v>0</v>
      </c>
      <c r="F56" s="401">
        <v>0</v>
      </c>
      <c r="G56" s="362">
        <v>208183.9</v>
      </c>
    </row>
    <row r="57" spans="1:8" x14ac:dyDescent="0.25">
      <c r="A57" t="s">
        <v>564</v>
      </c>
      <c r="B57" t="s">
        <v>565</v>
      </c>
      <c r="C57" s="362">
        <v>74597.06</v>
      </c>
      <c r="D57" s="401">
        <v>58312.57</v>
      </c>
      <c r="E57" s="362">
        <v>0</v>
      </c>
      <c r="F57" s="401">
        <v>16284.49</v>
      </c>
      <c r="G57" s="362">
        <v>74597.06</v>
      </c>
    </row>
    <row r="58" spans="1:8" x14ac:dyDescent="0.25">
      <c r="A58" t="s">
        <v>403</v>
      </c>
      <c r="B58" t="s">
        <v>404</v>
      </c>
      <c r="C58" s="362">
        <v>335797.5</v>
      </c>
      <c r="D58" s="401">
        <v>335797.5</v>
      </c>
      <c r="E58" s="362">
        <v>0</v>
      </c>
      <c r="F58" s="401">
        <v>0</v>
      </c>
      <c r="G58" s="362">
        <v>335797.5</v>
      </c>
    </row>
    <row r="59" spans="1:8" x14ac:dyDescent="0.25">
      <c r="A59" t="s">
        <v>627</v>
      </c>
      <c r="B59" t="s">
        <v>628</v>
      </c>
      <c r="C59" s="362">
        <v>295054.08000000002</v>
      </c>
      <c r="D59" s="401">
        <v>295054.08000000002</v>
      </c>
      <c r="E59" s="362">
        <v>0</v>
      </c>
      <c r="F59" s="401">
        <v>0</v>
      </c>
      <c r="G59" s="362">
        <v>295054.08000000002</v>
      </c>
    </row>
    <row r="60" spans="1:8" x14ac:dyDescent="0.25">
      <c r="A60" t="s">
        <v>578</v>
      </c>
      <c r="B60" t="s">
        <v>579</v>
      </c>
      <c r="C60" s="362">
        <v>25007784.969999999</v>
      </c>
      <c r="D60" s="401">
        <v>24056163.329999998</v>
      </c>
      <c r="E60" s="362">
        <v>86126.31</v>
      </c>
      <c r="F60" s="401">
        <v>865495.33</v>
      </c>
      <c r="G60" s="362">
        <v>25007784.969999999</v>
      </c>
    </row>
    <row r="61" spans="1:8" x14ac:dyDescent="0.25">
      <c r="A61" t="s">
        <v>524</v>
      </c>
      <c r="B61" t="s">
        <v>525</v>
      </c>
      <c r="C61" s="362">
        <v>2621432.66</v>
      </c>
      <c r="D61" s="401">
        <v>2621432.66</v>
      </c>
      <c r="E61" s="362">
        <v>0</v>
      </c>
      <c r="F61" s="401">
        <v>0</v>
      </c>
      <c r="G61" s="362">
        <v>2621432.66</v>
      </c>
    </row>
    <row r="62" spans="1:8" x14ac:dyDescent="0.25">
      <c r="A62" t="s">
        <v>700</v>
      </c>
      <c r="B62" t="s">
        <v>701</v>
      </c>
      <c r="C62" s="362">
        <v>5483.94</v>
      </c>
      <c r="D62" s="401">
        <v>5483.94</v>
      </c>
      <c r="E62" s="362">
        <v>0</v>
      </c>
      <c r="F62" s="401">
        <v>0</v>
      </c>
      <c r="G62" s="362">
        <v>5483.94</v>
      </c>
      <c r="H62">
        <v>5483.94</v>
      </c>
    </row>
    <row r="63" spans="1:8" x14ac:dyDescent="0.25">
      <c r="A63" t="s">
        <v>409</v>
      </c>
      <c r="B63" t="s">
        <v>410</v>
      </c>
      <c r="C63" s="362">
        <v>46154.85</v>
      </c>
      <c r="D63" s="401">
        <v>46154.85</v>
      </c>
      <c r="E63" s="362">
        <v>0</v>
      </c>
      <c r="F63" s="401">
        <v>0</v>
      </c>
      <c r="G63" s="362">
        <v>46154.85</v>
      </c>
    </row>
    <row r="64" spans="1:8" x14ac:dyDescent="0.25">
      <c r="A64" t="s">
        <v>590</v>
      </c>
      <c r="B64" t="s">
        <v>591</v>
      </c>
      <c r="C64" s="362">
        <v>396150.62</v>
      </c>
      <c r="D64" s="401">
        <v>396150.62</v>
      </c>
      <c r="E64" s="362">
        <v>0</v>
      </c>
      <c r="F64" s="401">
        <v>0</v>
      </c>
      <c r="G64" s="362">
        <v>396150.62</v>
      </c>
    </row>
    <row r="65" spans="1:7" x14ac:dyDescent="0.25">
      <c r="A65" t="s">
        <v>768</v>
      </c>
      <c r="B65" t="s">
        <v>769</v>
      </c>
      <c r="C65" s="362">
        <v>2789344.42</v>
      </c>
      <c r="D65" s="401">
        <v>2742125.05</v>
      </c>
      <c r="E65" s="362">
        <v>0</v>
      </c>
      <c r="F65" s="401">
        <v>47219.37</v>
      </c>
      <c r="G65" s="362">
        <v>2789344.42</v>
      </c>
    </row>
    <row r="66" spans="1:7" x14ac:dyDescent="0.25">
      <c r="A66" t="s">
        <v>614</v>
      </c>
      <c r="B66" t="s">
        <v>615</v>
      </c>
      <c r="C66" s="362">
        <v>3788260.42</v>
      </c>
      <c r="D66" s="401">
        <v>3788260.42</v>
      </c>
      <c r="E66" s="362">
        <v>0</v>
      </c>
      <c r="F66" s="401">
        <v>0</v>
      </c>
      <c r="G66" s="362">
        <v>3788260.42</v>
      </c>
    </row>
    <row r="67" spans="1:7" x14ac:dyDescent="0.25">
      <c r="A67" t="s">
        <v>776</v>
      </c>
      <c r="B67" t="s">
        <v>777</v>
      </c>
      <c r="C67" s="362">
        <v>1293883.22</v>
      </c>
      <c r="D67" s="401">
        <v>1293883.22</v>
      </c>
      <c r="E67" s="362">
        <v>0</v>
      </c>
      <c r="F67" s="401">
        <v>0</v>
      </c>
      <c r="G67" s="362">
        <v>1293883.22</v>
      </c>
    </row>
    <row r="68" spans="1:7" x14ac:dyDescent="0.25">
      <c r="A68" t="s">
        <v>294</v>
      </c>
      <c r="B68" t="s">
        <v>295</v>
      </c>
      <c r="C68" s="362">
        <v>195145.94</v>
      </c>
      <c r="D68" s="401">
        <v>195145.94</v>
      </c>
      <c r="E68" s="362">
        <v>0</v>
      </c>
      <c r="F68" s="401">
        <v>0</v>
      </c>
      <c r="G68" s="362">
        <v>195145.94</v>
      </c>
    </row>
    <row r="69" spans="1:7" x14ac:dyDescent="0.25">
      <c r="A69" t="s">
        <v>679</v>
      </c>
      <c r="B69" t="s">
        <v>680</v>
      </c>
      <c r="C69" s="362">
        <v>812707.73</v>
      </c>
      <c r="D69" s="401">
        <v>782710.21</v>
      </c>
      <c r="E69" s="362">
        <v>0</v>
      </c>
      <c r="F69" s="401">
        <v>29997.52</v>
      </c>
      <c r="G69" s="362">
        <v>812707.73</v>
      </c>
    </row>
    <row r="70" spans="1:7" x14ac:dyDescent="0.25">
      <c r="A70" t="s">
        <v>645</v>
      </c>
      <c r="B70" t="s">
        <v>646</v>
      </c>
      <c r="C70" s="362">
        <v>1538697.69</v>
      </c>
      <c r="D70" s="401">
        <v>1538697.69</v>
      </c>
      <c r="E70" s="362">
        <v>0</v>
      </c>
      <c r="F70" s="401">
        <v>0</v>
      </c>
      <c r="G70" s="362">
        <v>1538697.69</v>
      </c>
    </row>
    <row r="71" spans="1:7" x14ac:dyDescent="0.25">
      <c r="A71" t="s">
        <v>494</v>
      </c>
      <c r="B71" t="s">
        <v>495</v>
      </c>
      <c r="C71" s="362">
        <v>10414804.289999999</v>
      </c>
      <c r="D71" s="401">
        <v>10349016.210000001</v>
      </c>
      <c r="E71" s="362">
        <v>65788.08</v>
      </c>
      <c r="F71" s="401">
        <v>0</v>
      </c>
      <c r="G71" s="362">
        <v>10414804.290000001</v>
      </c>
    </row>
    <row r="72" spans="1:7" x14ac:dyDescent="0.25">
      <c r="A72" t="s">
        <v>342</v>
      </c>
      <c r="B72" t="s">
        <v>343</v>
      </c>
      <c r="C72" s="362">
        <v>2506819.09</v>
      </c>
      <c r="D72" s="401">
        <v>2506819.09</v>
      </c>
      <c r="E72" s="362">
        <v>0</v>
      </c>
      <c r="F72" s="401">
        <v>0</v>
      </c>
      <c r="G72" s="362">
        <v>2506819.09</v>
      </c>
    </row>
    <row r="73" spans="1:7" x14ac:dyDescent="0.25">
      <c r="A73" t="s">
        <v>802</v>
      </c>
      <c r="B73" t="s">
        <v>803</v>
      </c>
      <c r="C73" s="362">
        <v>180580.52</v>
      </c>
      <c r="D73" s="401">
        <v>131663.35</v>
      </c>
      <c r="E73" s="362">
        <v>0</v>
      </c>
      <c r="F73" s="401">
        <v>48917.17</v>
      </c>
      <c r="G73" s="362">
        <v>180580.52000000002</v>
      </c>
    </row>
    <row r="74" spans="1:7" x14ac:dyDescent="0.25">
      <c r="A74" t="s">
        <v>370</v>
      </c>
      <c r="B74" t="s">
        <v>371</v>
      </c>
      <c r="C74" s="362">
        <v>1041099.03</v>
      </c>
      <c r="D74" s="401">
        <v>1022932.12</v>
      </c>
      <c r="E74" s="362">
        <v>1782.04</v>
      </c>
      <c r="F74" s="401">
        <v>16384.87</v>
      </c>
      <c r="G74" s="362">
        <v>1041099.03</v>
      </c>
    </row>
    <row r="75" spans="1:7" x14ac:dyDescent="0.25">
      <c r="A75" t="s">
        <v>188</v>
      </c>
      <c r="B75" t="s">
        <v>190</v>
      </c>
      <c r="C75" s="362">
        <v>6277125.0099999998</v>
      </c>
      <c r="D75" s="401">
        <v>6261392.4100000001</v>
      </c>
      <c r="E75" s="362">
        <v>15732.6</v>
      </c>
      <c r="F75" s="401">
        <v>0</v>
      </c>
      <c r="G75" s="362">
        <v>6277125.0099999998</v>
      </c>
    </row>
    <row r="76" spans="1:7" x14ac:dyDescent="0.25">
      <c r="A76" t="s">
        <v>398</v>
      </c>
      <c r="B76" t="s">
        <v>399</v>
      </c>
      <c r="C76" s="362">
        <v>1905946.9</v>
      </c>
      <c r="D76" s="401">
        <v>1888384.9</v>
      </c>
      <c r="E76" s="362">
        <v>0</v>
      </c>
      <c r="F76" s="401">
        <v>17562</v>
      </c>
      <c r="G76" s="362">
        <v>1905946.9</v>
      </c>
    </row>
    <row r="77" spans="1:7" x14ac:dyDescent="0.25">
      <c r="A77" t="s">
        <v>522</v>
      </c>
      <c r="B77" t="s">
        <v>523</v>
      </c>
      <c r="C77" s="362">
        <v>1206715.47</v>
      </c>
      <c r="D77" s="401">
        <v>1011122.73</v>
      </c>
      <c r="E77" s="362">
        <v>0</v>
      </c>
      <c r="F77" s="401">
        <v>195592.74</v>
      </c>
      <c r="G77" s="362">
        <v>1206715.47</v>
      </c>
    </row>
    <row r="78" spans="1:7" x14ac:dyDescent="0.25">
      <c r="A78" t="s">
        <v>474</v>
      </c>
      <c r="B78" t="s">
        <v>1197</v>
      </c>
      <c r="C78" s="362">
        <v>505211.53</v>
      </c>
      <c r="D78" s="401">
        <v>500082.35</v>
      </c>
      <c r="E78" s="362">
        <v>3907.87</v>
      </c>
      <c r="F78" s="401">
        <v>1221.31</v>
      </c>
      <c r="G78" s="362">
        <v>505211.52999999997</v>
      </c>
    </row>
    <row r="79" spans="1:7" x14ac:dyDescent="0.25">
      <c r="A79" t="s">
        <v>490</v>
      </c>
      <c r="B79" t="s">
        <v>491</v>
      </c>
      <c r="C79" s="362">
        <v>2046934.13</v>
      </c>
      <c r="D79" s="401">
        <v>1955577.19</v>
      </c>
      <c r="E79" s="362">
        <v>0</v>
      </c>
      <c r="F79" s="401">
        <v>91356.94</v>
      </c>
      <c r="G79" s="362">
        <v>2046934.13</v>
      </c>
    </row>
    <row r="80" spans="1:7" x14ac:dyDescent="0.25">
      <c r="A80" t="s">
        <v>334</v>
      </c>
      <c r="B80" t="s">
        <v>335</v>
      </c>
      <c r="C80" s="362">
        <v>2471184.36</v>
      </c>
      <c r="D80" s="401">
        <v>2457008.56</v>
      </c>
      <c r="E80" s="362">
        <v>14175.8</v>
      </c>
      <c r="F80" s="401">
        <v>0</v>
      </c>
      <c r="G80" s="362">
        <v>2471184.36</v>
      </c>
    </row>
    <row r="81" spans="1:8" x14ac:dyDescent="0.25">
      <c r="A81" t="s">
        <v>730</v>
      </c>
      <c r="B81" t="s">
        <v>731</v>
      </c>
      <c r="C81" s="362">
        <v>305276.34999999998</v>
      </c>
      <c r="D81" s="401">
        <v>202649.2</v>
      </c>
      <c r="E81" s="362">
        <v>49383</v>
      </c>
      <c r="F81" s="401">
        <v>53244.15</v>
      </c>
      <c r="G81" s="362">
        <v>305276.34999999998</v>
      </c>
    </row>
    <row r="82" spans="1:8" x14ac:dyDescent="0.25">
      <c r="A82" t="s">
        <v>437</v>
      </c>
      <c r="B82" t="s">
        <v>1418</v>
      </c>
      <c r="C82" s="362">
        <v>366494.02</v>
      </c>
      <c r="D82" s="401">
        <v>318403.78999999998</v>
      </c>
      <c r="E82" s="362">
        <v>0</v>
      </c>
      <c r="F82" s="401">
        <v>48090.23</v>
      </c>
      <c r="G82" s="362">
        <v>366494.01999999996</v>
      </c>
    </row>
    <row r="83" spans="1:8" x14ac:dyDescent="0.25">
      <c r="A83" t="s">
        <v>292</v>
      </c>
      <c r="B83" t="s">
        <v>293</v>
      </c>
      <c r="C83" s="362">
        <v>254548.73</v>
      </c>
      <c r="D83" s="401">
        <v>254548.73</v>
      </c>
      <c r="E83" s="362">
        <v>0</v>
      </c>
      <c r="F83" s="401">
        <v>0</v>
      </c>
      <c r="G83" s="362">
        <v>254548.73</v>
      </c>
    </row>
    <row r="84" spans="1:8" x14ac:dyDescent="0.25">
      <c r="A84" t="s">
        <v>649</v>
      </c>
      <c r="B84" t="s">
        <v>650</v>
      </c>
      <c r="C84" s="362">
        <v>98177.66</v>
      </c>
      <c r="D84" s="401">
        <v>65904.39</v>
      </c>
      <c r="E84" s="362">
        <v>0</v>
      </c>
      <c r="F84" s="401">
        <v>32273.27</v>
      </c>
      <c r="G84" s="362">
        <v>98177.66</v>
      </c>
    </row>
    <row r="85" spans="1:8" x14ac:dyDescent="0.25">
      <c r="A85" t="s">
        <v>806</v>
      </c>
      <c r="B85" t="s">
        <v>807</v>
      </c>
      <c r="C85" s="362">
        <v>122338.64</v>
      </c>
      <c r="D85" s="401">
        <v>122338.64</v>
      </c>
      <c r="E85" s="362">
        <v>0</v>
      </c>
      <c r="F85" s="401">
        <v>0</v>
      </c>
      <c r="G85" s="362">
        <v>122338.64</v>
      </c>
    </row>
    <row r="86" spans="1:8" x14ac:dyDescent="0.25">
      <c r="A86" t="s">
        <v>546</v>
      </c>
      <c r="B86" t="s">
        <v>547</v>
      </c>
      <c r="C86" s="362">
        <v>901375.12</v>
      </c>
      <c r="D86" s="401">
        <v>895314.31</v>
      </c>
      <c r="E86" s="362">
        <v>2647.36</v>
      </c>
      <c r="F86" s="401">
        <v>3413.45</v>
      </c>
      <c r="G86" s="362">
        <v>901375.12000000011</v>
      </c>
    </row>
    <row r="87" spans="1:8" x14ac:dyDescent="0.25">
      <c r="A87" t="s">
        <v>542</v>
      </c>
      <c r="B87" t="s">
        <v>543</v>
      </c>
      <c r="C87" s="362">
        <v>376383.18</v>
      </c>
      <c r="D87" s="401">
        <v>376383.18</v>
      </c>
      <c r="E87" s="362">
        <v>0</v>
      </c>
      <c r="F87" s="401">
        <v>0</v>
      </c>
      <c r="G87" s="362">
        <v>376383.18</v>
      </c>
    </row>
    <row r="88" spans="1:8" x14ac:dyDescent="0.25">
      <c r="A88" t="s">
        <v>538</v>
      </c>
      <c r="B88" t="s">
        <v>539</v>
      </c>
      <c r="C88" s="362">
        <v>11897810.210000001</v>
      </c>
      <c r="D88" s="401">
        <v>10902629.560000001</v>
      </c>
      <c r="E88" s="362">
        <v>395180.65</v>
      </c>
      <c r="F88" s="401">
        <v>600000</v>
      </c>
      <c r="G88" s="362">
        <v>11897810.210000001</v>
      </c>
    </row>
    <row r="89" spans="1:8" x14ac:dyDescent="0.25">
      <c r="A89" t="s">
        <v>296</v>
      </c>
      <c r="B89" t="s">
        <v>297</v>
      </c>
      <c r="C89" s="362">
        <v>1694308.84</v>
      </c>
      <c r="D89" s="401">
        <v>1694308.84</v>
      </c>
      <c r="E89" s="362">
        <v>0</v>
      </c>
      <c r="F89" s="401">
        <v>0</v>
      </c>
      <c r="G89" s="362">
        <v>1694308.84</v>
      </c>
    </row>
    <row r="90" spans="1:8" x14ac:dyDescent="0.25">
      <c r="A90" t="s">
        <v>686</v>
      </c>
      <c r="B90" t="s">
        <v>687</v>
      </c>
      <c r="C90" s="362">
        <v>2474720.44</v>
      </c>
      <c r="D90" s="401">
        <v>2474720.44</v>
      </c>
      <c r="E90" s="362">
        <v>0</v>
      </c>
      <c r="F90" s="401">
        <v>0</v>
      </c>
      <c r="G90" s="362">
        <v>2474720.44</v>
      </c>
    </row>
    <row r="91" spans="1:8" x14ac:dyDescent="0.25">
      <c r="A91" t="s">
        <v>606</v>
      </c>
      <c r="B91" t="s">
        <v>607</v>
      </c>
      <c r="C91" s="362">
        <v>62271.49</v>
      </c>
      <c r="D91" s="401">
        <v>41765.120000000003</v>
      </c>
      <c r="E91" s="362">
        <v>0</v>
      </c>
      <c r="F91" s="401">
        <v>20506.37</v>
      </c>
      <c r="G91" s="362">
        <v>62271.490000000005</v>
      </c>
    </row>
    <row r="92" spans="1:8" x14ac:dyDescent="0.25">
      <c r="A92" t="s">
        <v>235</v>
      </c>
      <c r="B92" t="s">
        <v>236</v>
      </c>
      <c r="C92" s="362">
        <v>87221.07</v>
      </c>
      <c r="D92" s="401">
        <v>87219.07</v>
      </c>
      <c r="E92" s="362">
        <v>0</v>
      </c>
      <c r="F92" s="401">
        <v>2</v>
      </c>
      <c r="G92" s="362">
        <v>87221.07</v>
      </c>
    </row>
    <row r="93" spans="1:8" x14ac:dyDescent="0.25">
      <c r="A93" t="s">
        <v>608</v>
      </c>
      <c r="B93" t="s">
        <v>609</v>
      </c>
      <c r="C93" s="362">
        <v>784457.87</v>
      </c>
      <c r="D93" s="401">
        <v>784457.87</v>
      </c>
      <c r="E93" s="362">
        <v>0</v>
      </c>
      <c r="F93" s="401">
        <v>0</v>
      </c>
      <c r="G93" s="362">
        <v>784457.87</v>
      </c>
    </row>
    <row r="94" spans="1:8" x14ac:dyDescent="0.25">
      <c r="A94" t="s">
        <v>268</v>
      </c>
      <c r="B94" t="s">
        <v>269</v>
      </c>
      <c r="C94" s="362">
        <v>1491819.63</v>
      </c>
      <c r="D94" s="401">
        <v>1435805.99</v>
      </c>
      <c r="E94" s="362">
        <v>46943.64</v>
      </c>
      <c r="F94" s="401">
        <v>9070</v>
      </c>
      <c r="G94" s="362">
        <v>1491819.63</v>
      </c>
    </row>
    <row r="95" spans="1:8" x14ac:dyDescent="0.25">
      <c r="A95" t="s">
        <v>594</v>
      </c>
      <c r="B95" t="s">
        <v>595</v>
      </c>
      <c r="C95" s="362">
        <v>2377894.2000000002</v>
      </c>
      <c r="D95" s="401">
        <v>2294762.2799999998</v>
      </c>
      <c r="E95" s="362">
        <v>82657</v>
      </c>
      <c r="F95" s="401">
        <v>474.92</v>
      </c>
      <c r="G95" s="362">
        <v>2377894.1999999997</v>
      </c>
      <c r="H95">
        <v>2295237.1999999997</v>
      </c>
    </row>
    <row r="96" spans="1:8" x14ac:dyDescent="0.25">
      <c r="A96" t="s">
        <v>655</v>
      </c>
      <c r="B96" t="s">
        <v>656</v>
      </c>
      <c r="C96" s="362">
        <v>152320900.96000001</v>
      </c>
      <c r="D96" s="401">
        <v>88233419.870000005</v>
      </c>
      <c r="E96" s="362">
        <v>101343.18</v>
      </c>
      <c r="F96" s="401">
        <v>63986137.909999996</v>
      </c>
      <c r="G96" s="362">
        <v>152320900.96000001</v>
      </c>
    </row>
    <row r="97" spans="1:7" x14ac:dyDescent="0.25">
      <c r="A97" t="s">
        <v>352</v>
      </c>
      <c r="B97" t="s">
        <v>353</v>
      </c>
      <c r="C97" s="362">
        <v>44081455.109999999</v>
      </c>
      <c r="D97" s="401">
        <v>43945896.560000002</v>
      </c>
      <c r="E97" s="362">
        <v>135558.54999999999</v>
      </c>
      <c r="F97" s="401">
        <v>0</v>
      </c>
      <c r="G97" s="362">
        <v>44081455.109999999</v>
      </c>
    </row>
    <row r="98" spans="1:7" x14ac:dyDescent="0.25">
      <c r="A98" t="s">
        <v>340</v>
      </c>
      <c r="B98" t="s">
        <v>341</v>
      </c>
      <c r="C98" s="362">
        <v>7360966.0899999999</v>
      </c>
      <c r="D98" s="401">
        <v>6934623.75</v>
      </c>
      <c r="E98" s="362">
        <v>48880.71</v>
      </c>
      <c r="F98" s="401">
        <v>377461.63</v>
      </c>
      <c r="G98" s="362">
        <v>7360966.0899999999</v>
      </c>
    </row>
    <row r="99" spans="1:7" x14ac:dyDescent="0.25">
      <c r="A99" t="s">
        <v>480</v>
      </c>
      <c r="B99" t="s">
        <v>481</v>
      </c>
      <c r="C99" s="362">
        <v>8010271.2800000003</v>
      </c>
      <c r="D99" s="401">
        <v>5166526.4800000004</v>
      </c>
      <c r="E99" s="362">
        <v>1855.85</v>
      </c>
      <c r="F99" s="401">
        <v>2841888.95</v>
      </c>
      <c r="G99" s="362">
        <v>8010271.2800000012</v>
      </c>
    </row>
    <row r="100" spans="1:7" x14ac:dyDescent="0.25">
      <c r="A100" t="s">
        <v>392</v>
      </c>
      <c r="B100" t="s">
        <v>393</v>
      </c>
      <c r="C100" s="362">
        <v>38283809.25</v>
      </c>
      <c r="D100" s="401">
        <v>31365060.140000001</v>
      </c>
      <c r="E100" s="362">
        <v>758961.64</v>
      </c>
      <c r="F100" s="401">
        <v>6159787.4699999997</v>
      </c>
      <c r="G100" s="362">
        <v>38283809.25</v>
      </c>
    </row>
    <row r="101" spans="1:7" x14ac:dyDescent="0.25">
      <c r="A101" t="s">
        <v>764</v>
      </c>
      <c r="B101" t="s">
        <v>765</v>
      </c>
      <c r="C101" s="362">
        <v>2444267.6800000002</v>
      </c>
      <c r="D101" s="401">
        <v>2307362.0499999998</v>
      </c>
      <c r="E101" s="362">
        <v>29701.25</v>
      </c>
      <c r="F101" s="401">
        <v>107204.38</v>
      </c>
      <c r="G101" s="362">
        <v>2444267.6799999997</v>
      </c>
    </row>
    <row r="102" spans="1:7" x14ac:dyDescent="0.25">
      <c r="A102" t="s">
        <v>625</v>
      </c>
      <c r="B102" t="s">
        <v>626</v>
      </c>
      <c r="C102" s="362">
        <v>36065205.229999997</v>
      </c>
      <c r="D102" s="401">
        <v>28575927.960000001</v>
      </c>
      <c r="E102" s="362">
        <v>0</v>
      </c>
      <c r="F102" s="401">
        <v>7489277.2699999996</v>
      </c>
      <c r="G102" s="362">
        <v>36065205.230000004</v>
      </c>
    </row>
    <row r="103" spans="1:7" x14ac:dyDescent="0.25">
      <c r="A103" t="s">
        <v>673</v>
      </c>
      <c r="B103" t="s">
        <v>674</v>
      </c>
      <c r="C103" s="362">
        <v>236155.33</v>
      </c>
      <c r="D103" s="401">
        <v>236155.33</v>
      </c>
      <c r="E103" s="362">
        <v>0</v>
      </c>
      <c r="F103" s="401">
        <v>0</v>
      </c>
      <c r="G103" s="362">
        <v>236155.33</v>
      </c>
    </row>
    <row r="104" spans="1:7" x14ac:dyDescent="0.25">
      <c r="A104" t="s">
        <v>212</v>
      </c>
      <c r="B104" t="s">
        <v>213</v>
      </c>
      <c r="C104" s="362">
        <v>38879962.840000004</v>
      </c>
      <c r="D104" s="401">
        <v>38509722.259999998</v>
      </c>
      <c r="E104" s="362">
        <v>7815.41</v>
      </c>
      <c r="F104" s="401">
        <v>362425.17</v>
      </c>
      <c r="G104" s="362">
        <v>38879962.839999996</v>
      </c>
    </row>
    <row r="105" spans="1:7" x14ac:dyDescent="0.25">
      <c r="A105" t="s">
        <v>752</v>
      </c>
      <c r="B105" t="s">
        <v>753</v>
      </c>
      <c r="C105" s="362">
        <v>4657694.17</v>
      </c>
      <c r="D105" s="401">
        <v>4619615.88</v>
      </c>
      <c r="E105" s="362">
        <v>38078.29</v>
      </c>
      <c r="F105" s="401">
        <v>0</v>
      </c>
      <c r="G105" s="362">
        <v>4657694.17</v>
      </c>
    </row>
    <row r="106" spans="1:7" x14ac:dyDescent="0.25">
      <c r="A106" t="s">
        <v>637</v>
      </c>
      <c r="B106" t="s">
        <v>638</v>
      </c>
      <c r="C106" s="362">
        <v>4336269.45</v>
      </c>
      <c r="D106" s="401">
        <v>3742849.59</v>
      </c>
      <c r="E106" s="362">
        <v>0</v>
      </c>
      <c r="F106" s="401">
        <v>593419.86</v>
      </c>
      <c r="G106" s="362">
        <v>4336269.45</v>
      </c>
    </row>
    <row r="107" spans="1:7" x14ac:dyDescent="0.25">
      <c r="A107" t="s">
        <v>204</v>
      </c>
      <c r="B107" t="s">
        <v>206</v>
      </c>
      <c r="C107" s="362">
        <v>26019987.859999999</v>
      </c>
      <c r="D107" s="401">
        <v>26019987.859999999</v>
      </c>
      <c r="E107" s="362">
        <v>0</v>
      </c>
      <c r="F107" s="401">
        <v>0</v>
      </c>
      <c r="G107" s="362">
        <v>26019987.859999999</v>
      </c>
    </row>
    <row r="108" spans="1:7" x14ac:dyDescent="0.25">
      <c r="A108" t="s">
        <v>732</v>
      </c>
      <c r="B108" t="s">
        <v>733</v>
      </c>
      <c r="C108" s="362">
        <v>12336233.550000001</v>
      </c>
      <c r="D108" s="401">
        <v>12317791.550000001</v>
      </c>
      <c r="E108" s="362">
        <v>18442</v>
      </c>
      <c r="F108" s="401">
        <v>0</v>
      </c>
      <c r="G108" s="362">
        <v>12336233.550000001</v>
      </c>
    </row>
    <row r="109" spans="1:7" x14ac:dyDescent="0.25">
      <c r="A109" t="s">
        <v>677</v>
      </c>
      <c r="B109" t="s">
        <v>678</v>
      </c>
      <c r="C109" s="362">
        <v>11057525.67</v>
      </c>
      <c r="D109" s="401">
        <v>7474999.0199999996</v>
      </c>
      <c r="E109" s="362">
        <v>11295.53</v>
      </c>
      <c r="F109" s="401">
        <v>3571231.12</v>
      </c>
      <c r="G109" s="362">
        <v>11057525.67</v>
      </c>
    </row>
    <row r="110" spans="1:7" x14ac:dyDescent="0.25">
      <c r="A110" t="s">
        <v>407</v>
      </c>
      <c r="B110" t="s">
        <v>408</v>
      </c>
      <c r="C110" s="362">
        <v>25738793.530000001</v>
      </c>
      <c r="D110" s="401">
        <v>25589205.27</v>
      </c>
      <c r="E110" s="362">
        <v>3430.68</v>
      </c>
      <c r="F110" s="401">
        <v>146157.57999999999</v>
      </c>
      <c r="G110" s="362">
        <v>25738793.530000001</v>
      </c>
    </row>
    <row r="111" spans="1:7" x14ac:dyDescent="0.25">
      <c r="A111" t="s">
        <v>669</v>
      </c>
      <c r="B111" t="s">
        <v>670</v>
      </c>
      <c r="C111" s="362">
        <v>20793496.620000001</v>
      </c>
      <c r="D111" s="401">
        <v>13976748.539999999</v>
      </c>
      <c r="E111" s="362">
        <v>19815.98</v>
      </c>
      <c r="F111" s="401">
        <v>6796932.0999999996</v>
      </c>
      <c r="G111" s="362">
        <v>20793496.619999997</v>
      </c>
    </row>
    <row r="112" spans="1:7" x14ac:dyDescent="0.25">
      <c r="A112" t="s">
        <v>441</v>
      </c>
      <c r="B112" t="s">
        <v>442</v>
      </c>
      <c r="C112" s="362">
        <v>48914663.640000001</v>
      </c>
      <c r="D112" s="401">
        <v>38943922.420000002</v>
      </c>
      <c r="E112" s="362">
        <v>69532.72</v>
      </c>
      <c r="F112" s="401">
        <v>9901208.5</v>
      </c>
      <c r="G112" s="362">
        <v>48914663.640000001</v>
      </c>
    </row>
    <row r="113" spans="1:8" x14ac:dyDescent="0.25">
      <c r="A113" t="s">
        <v>419</v>
      </c>
      <c r="B113" t="s">
        <v>420</v>
      </c>
      <c r="C113" s="362">
        <v>45511886.880000003</v>
      </c>
      <c r="D113" s="401">
        <v>35500965.659999996</v>
      </c>
      <c r="E113" s="362">
        <v>12779.8</v>
      </c>
      <c r="F113" s="401">
        <v>9998141.4199999999</v>
      </c>
      <c r="G113" s="362">
        <v>45511886.879999995</v>
      </c>
    </row>
    <row r="114" spans="1:8" x14ac:dyDescent="0.25">
      <c r="A114" t="s">
        <v>536</v>
      </c>
      <c r="B114" t="s">
        <v>537</v>
      </c>
      <c r="C114" s="362">
        <v>50554700.219999999</v>
      </c>
      <c r="D114" s="401">
        <v>35231916.869999997</v>
      </c>
      <c r="E114" s="362">
        <v>94335.02</v>
      </c>
      <c r="F114" s="401">
        <v>15228448.33</v>
      </c>
      <c r="G114" s="362">
        <v>50554700.219999999</v>
      </c>
    </row>
    <row r="115" spans="1:8" x14ac:dyDescent="0.25">
      <c r="A115" t="s">
        <v>400</v>
      </c>
      <c r="B115" t="s">
        <v>1193</v>
      </c>
      <c r="C115" s="362">
        <v>101526.62</v>
      </c>
      <c r="D115" s="401">
        <v>101526.62</v>
      </c>
      <c r="E115" s="362">
        <v>0</v>
      </c>
      <c r="F115" s="401">
        <v>0</v>
      </c>
      <c r="G115" s="362">
        <v>101526.62</v>
      </c>
    </row>
    <row r="116" spans="1:8" x14ac:dyDescent="0.25">
      <c r="A116" t="s">
        <v>718</v>
      </c>
      <c r="B116" t="s">
        <v>1419</v>
      </c>
      <c r="C116" s="362">
        <v>323579.95</v>
      </c>
      <c r="D116" s="401">
        <v>323579.95</v>
      </c>
      <c r="E116" s="362">
        <v>0</v>
      </c>
      <c r="F116" s="401">
        <v>0</v>
      </c>
      <c r="G116" s="362">
        <v>323579.95</v>
      </c>
    </row>
    <row r="117" spans="1:8" x14ac:dyDescent="0.25">
      <c r="A117" t="s">
        <v>1370</v>
      </c>
      <c r="B117" t="s">
        <v>1401</v>
      </c>
      <c r="C117" s="362">
        <v>0</v>
      </c>
      <c r="D117" s="401">
        <v>0</v>
      </c>
      <c r="E117" s="362">
        <v>0</v>
      </c>
      <c r="F117" s="401">
        <v>0</v>
      </c>
      <c r="G117" s="362">
        <v>0</v>
      </c>
    </row>
    <row r="118" spans="1:8" x14ac:dyDescent="0.25">
      <c r="A118" t="s">
        <v>714</v>
      </c>
      <c r="B118" t="s">
        <v>1420</v>
      </c>
      <c r="C118" s="362">
        <v>594046.56999999995</v>
      </c>
      <c r="D118" s="401">
        <v>594046.56999999995</v>
      </c>
      <c r="E118" s="362">
        <v>0</v>
      </c>
      <c r="F118" s="401">
        <v>0</v>
      </c>
      <c r="G118" s="362">
        <v>594046.56999999995</v>
      </c>
    </row>
    <row r="119" spans="1:8" x14ac:dyDescent="0.25">
      <c r="A119" t="s">
        <v>383</v>
      </c>
      <c r="B119" t="s">
        <v>1421</v>
      </c>
      <c r="C119" s="362">
        <v>348311.01</v>
      </c>
      <c r="D119" s="401">
        <v>101330.11</v>
      </c>
      <c r="E119" s="362">
        <v>58691.47</v>
      </c>
      <c r="F119" s="401">
        <v>188289.43</v>
      </c>
      <c r="G119" s="362">
        <v>348311.01</v>
      </c>
      <c r="H119">
        <v>289619.53999999998</v>
      </c>
    </row>
    <row r="120" spans="1:8" x14ac:dyDescent="0.25">
      <c r="A120" t="s">
        <v>618</v>
      </c>
      <c r="B120" t="s">
        <v>619</v>
      </c>
      <c r="C120" s="362">
        <v>348929.38</v>
      </c>
      <c r="D120" s="401">
        <v>348929.38</v>
      </c>
      <c r="E120" s="362">
        <v>0</v>
      </c>
      <c r="F120" s="401">
        <v>0</v>
      </c>
      <c r="G120" s="362">
        <v>348929.38</v>
      </c>
    </row>
    <row r="121" spans="1:8" x14ac:dyDescent="0.25">
      <c r="A121" t="s">
        <v>620</v>
      </c>
      <c r="B121" t="s">
        <v>1422</v>
      </c>
      <c r="C121" s="362">
        <v>618804.71</v>
      </c>
      <c r="D121" s="401">
        <v>200432.92</v>
      </c>
      <c r="E121" s="362">
        <v>178541.72</v>
      </c>
      <c r="F121" s="401">
        <v>239830.07</v>
      </c>
      <c r="G121" s="362">
        <v>618804.71000000008</v>
      </c>
    </row>
    <row r="122" spans="1:8" x14ac:dyDescent="0.25">
      <c r="A122" t="s">
        <v>227</v>
      </c>
      <c r="B122" t="s">
        <v>229</v>
      </c>
      <c r="C122" s="362">
        <v>8535295.7699999996</v>
      </c>
      <c r="D122" s="401">
        <v>8535295.7699999996</v>
      </c>
      <c r="E122" s="362">
        <v>0</v>
      </c>
      <c r="F122" s="401">
        <v>0</v>
      </c>
      <c r="G122" s="362">
        <v>8535295.7699999996</v>
      </c>
    </row>
    <row r="123" spans="1:8" x14ac:dyDescent="0.25">
      <c r="A123" t="s">
        <v>207</v>
      </c>
      <c r="B123" t="s">
        <v>1184</v>
      </c>
      <c r="C123" s="362">
        <v>7416900.6299999999</v>
      </c>
      <c r="D123" s="401">
        <v>7228244.1900000004</v>
      </c>
      <c r="E123" s="362">
        <v>0</v>
      </c>
      <c r="F123" s="401">
        <v>188656.44</v>
      </c>
      <c r="G123" s="362">
        <v>7416900.6300000008</v>
      </c>
    </row>
    <row r="124" spans="1:8" x14ac:dyDescent="0.25">
      <c r="A124" t="s">
        <v>526</v>
      </c>
      <c r="B124" t="s">
        <v>527</v>
      </c>
      <c r="C124" s="362">
        <v>10735835.630000001</v>
      </c>
      <c r="D124" s="401">
        <v>9452020.0899999999</v>
      </c>
      <c r="E124" s="362">
        <v>0</v>
      </c>
      <c r="F124" s="401">
        <v>1283815.54</v>
      </c>
      <c r="G124" s="362">
        <v>10735835.629999999</v>
      </c>
    </row>
    <row r="125" spans="1:8" x14ac:dyDescent="0.25">
      <c r="A125" t="s">
        <v>256</v>
      </c>
      <c r="B125" t="s">
        <v>257</v>
      </c>
      <c r="C125" s="362">
        <v>24773725.710000001</v>
      </c>
      <c r="D125" s="401">
        <v>21922050.050000001</v>
      </c>
      <c r="E125" s="362">
        <v>2838665.74</v>
      </c>
      <c r="F125" s="401">
        <v>13009.92</v>
      </c>
      <c r="G125" s="362">
        <v>24773725.710000001</v>
      </c>
    </row>
    <row r="126" spans="1:8" x14ac:dyDescent="0.25">
      <c r="A126" t="s">
        <v>684</v>
      </c>
      <c r="B126" t="s">
        <v>685</v>
      </c>
      <c r="C126" s="362">
        <v>17589437.309999999</v>
      </c>
      <c r="D126" s="401">
        <v>16434175.17</v>
      </c>
      <c r="E126" s="362">
        <v>12209.49</v>
      </c>
      <c r="F126" s="401">
        <v>1143052.6499999999</v>
      </c>
      <c r="G126" s="362">
        <v>17589437.309999999</v>
      </c>
    </row>
    <row r="127" spans="1:8" x14ac:dyDescent="0.25">
      <c r="A127" t="s">
        <v>726</v>
      </c>
      <c r="B127" t="s">
        <v>1409</v>
      </c>
      <c r="C127" s="362">
        <v>82191.66</v>
      </c>
      <c r="D127" s="401">
        <v>82191.66</v>
      </c>
      <c r="E127" s="362">
        <v>0</v>
      </c>
      <c r="F127" s="401">
        <v>0</v>
      </c>
      <c r="G127" s="362">
        <v>82191.66</v>
      </c>
    </row>
    <row r="128" spans="1:8" x14ac:dyDescent="0.25">
      <c r="A128" t="s">
        <v>306</v>
      </c>
      <c r="B128" t="s">
        <v>307</v>
      </c>
      <c r="C128" s="362">
        <v>80409.289999999994</v>
      </c>
      <c r="D128" s="401">
        <v>80409.289999999994</v>
      </c>
      <c r="E128" s="362">
        <v>0</v>
      </c>
      <c r="F128" s="401">
        <v>0</v>
      </c>
      <c r="G128" s="362">
        <v>80409.289999999994</v>
      </c>
    </row>
    <row r="129" spans="1:7" x14ac:dyDescent="0.25">
      <c r="A129" t="s">
        <v>326</v>
      </c>
      <c r="B129" t="s">
        <v>327</v>
      </c>
      <c r="C129" s="362">
        <v>143315.24</v>
      </c>
      <c r="D129" s="401">
        <v>143315.24</v>
      </c>
      <c r="E129" s="362">
        <v>0</v>
      </c>
      <c r="F129" s="401">
        <v>0</v>
      </c>
      <c r="G129" s="362">
        <v>143315.24</v>
      </c>
    </row>
    <row r="130" spans="1:7" x14ac:dyDescent="0.25">
      <c r="A130" t="s">
        <v>738</v>
      </c>
      <c r="B130" t="s">
        <v>739</v>
      </c>
      <c r="C130" s="362">
        <v>259663.18</v>
      </c>
      <c r="D130" s="401">
        <v>259663.18</v>
      </c>
      <c r="E130" s="362">
        <v>0</v>
      </c>
      <c r="F130" s="401">
        <v>0</v>
      </c>
      <c r="G130" s="362">
        <v>259663.18</v>
      </c>
    </row>
    <row r="131" spans="1:7" x14ac:dyDescent="0.25">
      <c r="A131" t="s">
        <v>332</v>
      </c>
      <c r="B131" t="s">
        <v>333</v>
      </c>
      <c r="C131" s="362">
        <v>5083507.32</v>
      </c>
      <c r="D131" s="401">
        <v>4529693.87</v>
      </c>
      <c r="E131" s="362">
        <v>10211.39</v>
      </c>
      <c r="F131" s="401">
        <v>543602.06000000006</v>
      </c>
      <c r="G131" s="362">
        <v>5083507.32</v>
      </c>
    </row>
    <row r="132" spans="1:7" x14ac:dyDescent="0.25">
      <c r="A132" t="s">
        <v>425</v>
      </c>
      <c r="B132" t="s">
        <v>426</v>
      </c>
      <c r="C132" s="362">
        <v>987888.49</v>
      </c>
      <c r="D132" s="401">
        <v>987888.49</v>
      </c>
      <c r="E132" s="362">
        <v>0</v>
      </c>
      <c r="F132" s="401">
        <v>0</v>
      </c>
      <c r="G132" s="362">
        <v>987888.49</v>
      </c>
    </row>
    <row r="133" spans="1:7" x14ac:dyDescent="0.25">
      <c r="A133" t="s">
        <v>272</v>
      </c>
      <c r="B133" t="s">
        <v>273</v>
      </c>
      <c r="C133" s="362">
        <v>1098369.94</v>
      </c>
      <c r="D133" s="401">
        <v>1098369.94</v>
      </c>
      <c r="E133" s="362">
        <v>0</v>
      </c>
      <c r="F133" s="401">
        <v>0</v>
      </c>
      <c r="G133" s="362">
        <v>1098369.94</v>
      </c>
    </row>
    <row r="134" spans="1:7" x14ac:dyDescent="0.25">
      <c r="A134" t="s">
        <v>808</v>
      </c>
      <c r="B134" t="s">
        <v>809</v>
      </c>
      <c r="C134" s="362">
        <v>96369.81</v>
      </c>
      <c r="D134" s="401">
        <v>96369.81</v>
      </c>
      <c r="E134" s="362">
        <v>0</v>
      </c>
      <c r="F134" s="401">
        <v>0</v>
      </c>
      <c r="G134" s="362">
        <v>96369.81</v>
      </c>
    </row>
    <row r="135" spans="1:7" x14ac:dyDescent="0.25">
      <c r="A135" t="s">
        <v>220</v>
      </c>
      <c r="B135" t="s">
        <v>222</v>
      </c>
      <c r="C135" s="362">
        <v>120191.93</v>
      </c>
      <c r="D135" s="401">
        <v>120191.93</v>
      </c>
      <c r="E135" s="362">
        <v>0</v>
      </c>
      <c r="F135" s="401">
        <v>0</v>
      </c>
      <c r="G135" s="362">
        <v>120191.93</v>
      </c>
    </row>
    <row r="136" spans="1:7" x14ac:dyDescent="0.25">
      <c r="A136" t="s">
        <v>254</v>
      </c>
      <c r="B136" t="s">
        <v>255</v>
      </c>
      <c r="C136" s="362">
        <v>59128.37</v>
      </c>
      <c r="D136" s="401">
        <v>59128.37</v>
      </c>
      <c r="E136" s="362">
        <v>0</v>
      </c>
      <c r="F136" s="401">
        <v>0</v>
      </c>
      <c r="G136" s="362">
        <v>59128.37</v>
      </c>
    </row>
    <row r="137" spans="1:7" x14ac:dyDescent="0.25">
      <c r="A137" t="s">
        <v>750</v>
      </c>
      <c r="B137" t="s">
        <v>751</v>
      </c>
      <c r="C137" s="362">
        <v>197440.92</v>
      </c>
      <c r="D137" s="401">
        <v>197440.92</v>
      </c>
      <c r="E137" s="362">
        <v>0</v>
      </c>
      <c r="F137" s="401">
        <v>0</v>
      </c>
      <c r="G137" s="362">
        <v>197440.92</v>
      </c>
    </row>
    <row r="138" spans="1:7" x14ac:dyDescent="0.25">
      <c r="A138" t="s">
        <v>366</v>
      </c>
      <c r="B138" t="s">
        <v>367</v>
      </c>
      <c r="C138" s="362">
        <v>90634.36</v>
      </c>
      <c r="D138" s="401">
        <v>90634.36</v>
      </c>
      <c r="E138" s="362">
        <v>0</v>
      </c>
      <c r="F138" s="401">
        <v>0</v>
      </c>
      <c r="G138" s="362">
        <v>90634.36</v>
      </c>
    </row>
    <row r="139" spans="1:7" x14ac:dyDescent="0.25">
      <c r="A139" t="s">
        <v>427</v>
      </c>
      <c r="B139" t="s">
        <v>428</v>
      </c>
      <c r="C139" s="362">
        <v>85949.84</v>
      </c>
      <c r="D139" s="401">
        <v>79062.44</v>
      </c>
      <c r="E139" s="362">
        <v>0</v>
      </c>
      <c r="F139" s="401">
        <v>6887.4</v>
      </c>
      <c r="G139" s="362">
        <v>85949.84</v>
      </c>
    </row>
    <row r="140" spans="1:7" x14ac:dyDescent="0.25">
      <c r="A140" t="s">
        <v>641</v>
      </c>
      <c r="B140" t="s">
        <v>642</v>
      </c>
      <c r="C140" s="362">
        <v>26865.98</v>
      </c>
      <c r="D140" s="401">
        <v>26865.98</v>
      </c>
      <c r="E140" s="362">
        <v>0</v>
      </c>
      <c r="F140" s="401">
        <v>0</v>
      </c>
      <c r="G140" s="362">
        <v>26865.98</v>
      </c>
    </row>
    <row r="141" spans="1:7" x14ac:dyDescent="0.25">
      <c r="A141" t="s">
        <v>368</v>
      </c>
      <c r="B141" t="s">
        <v>369</v>
      </c>
      <c r="C141" s="362">
        <v>1102798.8700000001</v>
      </c>
      <c r="D141" s="401">
        <v>1102798.8700000001</v>
      </c>
      <c r="E141" s="362">
        <v>0</v>
      </c>
      <c r="F141" s="401">
        <v>0</v>
      </c>
      <c r="G141" s="362">
        <v>1102798.8700000001</v>
      </c>
    </row>
    <row r="142" spans="1:7" x14ac:dyDescent="0.25">
      <c r="A142" t="s">
        <v>796</v>
      </c>
      <c r="B142" t="s">
        <v>797</v>
      </c>
      <c r="C142" s="362">
        <v>1904819.57</v>
      </c>
      <c r="D142" s="401">
        <v>1904819.57</v>
      </c>
      <c r="E142" s="362">
        <v>0</v>
      </c>
      <c r="F142" s="401">
        <v>0</v>
      </c>
      <c r="G142" s="362">
        <v>1904819.57</v>
      </c>
    </row>
    <row r="143" spans="1:7" x14ac:dyDescent="0.25">
      <c r="A143" t="s">
        <v>458</v>
      </c>
      <c r="B143" t="s">
        <v>459</v>
      </c>
      <c r="C143" s="362">
        <v>313985.71999999997</v>
      </c>
      <c r="D143" s="401">
        <v>313985.71999999997</v>
      </c>
      <c r="E143" s="362">
        <v>0</v>
      </c>
      <c r="F143" s="401">
        <v>0</v>
      </c>
      <c r="G143" s="362">
        <v>313985.71999999997</v>
      </c>
    </row>
    <row r="144" spans="1:7" x14ac:dyDescent="0.25">
      <c r="A144" t="s">
        <v>510</v>
      </c>
      <c r="B144" t="s">
        <v>511</v>
      </c>
      <c r="C144" s="362">
        <v>1332683.79</v>
      </c>
      <c r="D144" s="401">
        <v>1332683.79</v>
      </c>
      <c r="E144" s="362">
        <v>0</v>
      </c>
      <c r="F144" s="401">
        <v>0</v>
      </c>
      <c r="G144" s="362">
        <v>1332683.79</v>
      </c>
    </row>
    <row r="145" spans="1:7" x14ac:dyDescent="0.25">
      <c r="A145" t="s">
        <v>344</v>
      </c>
      <c r="B145" t="s">
        <v>345</v>
      </c>
      <c r="C145" s="362">
        <v>101922.61</v>
      </c>
      <c r="D145" s="401">
        <v>72199.77</v>
      </c>
      <c r="E145" s="362">
        <v>633.41</v>
      </c>
      <c r="F145" s="401">
        <v>29089.43</v>
      </c>
      <c r="G145" s="362">
        <v>101922.61</v>
      </c>
    </row>
    <row r="146" spans="1:7" x14ac:dyDescent="0.25">
      <c r="A146" t="s">
        <v>496</v>
      </c>
      <c r="B146" t="s">
        <v>497</v>
      </c>
      <c r="C146" s="362">
        <v>830549.78</v>
      </c>
      <c r="D146" s="401">
        <v>828809.9</v>
      </c>
      <c r="E146" s="362">
        <v>518.57000000000005</v>
      </c>
      <c r="F146" s="401">
        <v>1221.31</v>
      </c>
      <c r="G146" s="362">
        <v>830549.78</v>
      </c>
    </row>
    <row r="147" spans="1:7" x14ac:dyDescent="0.25">
      <c r="A147" t="s">
        <v>492</v>
      </c>
      <c r="B147" t="s">
        <v>493</v>
      </c>
      <c r="C147" s="362">
        <v>575689.49</v>
      </c>
      <c r="D147" s="401">
        <v>467339.49</v>
      </c>
      <c r="E147" s="362">
        <v>2016.78</v>
      </c>
      <c r="F147" s="401">
        <v>106333.22</v>
      </c>
      <c r="G147" s="362">
        <v>575689.49</v>
      </c>
    </row>
    <row r="148" spans="1:7" x14ac:dyDescent="0.25">
      <c r="A148" t="s">
        <v>191</v>
      </c>
      <c r="B148" t="s">
        <v>192</v>
      </c>
      <c r="C148" s="362">
        <v>796957.35</v>
      </c>
      <c r="D148" s="401">
        <v>796957.35</v>
      </c>
      <c r="E148" s="362">
        <v>0</v>
      </c>
      <c r="F148" s="401">
        <v>0</v>
      </c>
      <c r="G148" s="362">
        <v>796957.35</v>
      </c>
    </row>
    <row r="149" spans="1:7" x14ac:dyDescent="0.25">
      <c r="A149" t="s">
        <v>804</v>
      </c>
      <c r="B149" t="s">
        <v>805</v>
      </c>
      <c r="C149" s="362">
        <v>1140078.18</v>
      </c>
      <c r="D149" s="401">
        <v>1140078.18</v>
      </c>
      <c r="E149" s="362">
        <v>0</v>
      </c>
      <c r="F149" s="401">
        <v>0</v>
      </c>
      <c r="G149" s="362">
        <v>1140078.18</v>
      </c>
    </row>
    <row r="150" spans="1:7" x14ac:dyDescent="0.25">
      <c r="A150" t="s">
        <v>225</v>
      </c>
      <c r="B150" t="s">
        <v>226</v>
      </c>
      <c r="C150" s="362">
        <v>198688.97</v>
      </c>
      <c r="D150" s="401">
        <v>176560.33</v>
      </c>
      <c r="E150" s="362">
        <v>0</v>
      </c>
      <c r="F150" s="401">
        <v>22128.639999999999</v>
      </c>
      <c r="G150" s="362">
        <v>198688.96999999997</v>
      </c>
    </row>
    <row r="151" spans="1:7" x14ac:dyDescent="0.25">
      <c r="A151" t="s">
        <v>740</v>
      </c>
      <c r="B151" t="s">
        <v>741</v>
      </c>
      <c r="C151" s="362">
        <v>1636529.36</v>
      </c>
      <c r="D151" s="401">
        <v>1198639.3899999999</v>
      </c>
      <c r="E151" s="362">
        <v>0</v>
      </c>
      <c r="F151" s="401">
        <v>437889.97</v>
      </c>
      <c r="G151" s="362">
        <v>1636529.3599999999</v>
      </c>
    </row>
    <row r="152" spans="1:7" x14ac:dyDescent="0.25">
      <c r="A152" t="s">
        <v>556</v>
      </c>
      <c r="B152" t="s">
        <v>557</v>
      </c>
      <c r="C152" s="362">
        <v>985949.64</v>
      </c>
      <c r="D152" s="401">
        <v>983327.79</v>
      </c>
      <c r="E152" s="362">
        <v>2621.85</v>
      </c>
      <c r="F152" s="401">
        <v>0</v>
      </c>
      <c r="G152" s="362">
        <v>985949.64</v>
      </c>
    </row>
    <row r="153" spans="1:7" x14ac:dyDescent="0.25">
      <c r="A153" t="s">
        <v>584</v>
      </c>
      <c r="B153" t="s">
        <v>585</v>
      </c>
      <c r="C153" s="362">
        <v>455768.41</v>
      </c>
      <c r="D153" s="401">
        <v>447684.41</v>
      </c>
      <c r="E153" s="362">
        <v>8084</v>
      </c>
      <c r="F153" s="401">
        <v>0</v>
      </c>
      <c r="G153" s="362">
        <v>455768.41</v>
      </c>
    </row>
    <row r="154" spans="1:7" x14ac:dyDescent="0.25">
      <c r="A154" t="s">
        <v>262</v>
      </c>
      <c r="B154" t="s">
        <v>263</v>
      </c>
      <c r="C154" s="362">
        <v>4748151.8600000003</v>
      </c>
      <c r="D154" s="401">
        <v>4252361.75</v>
      </c>
      <c r="E154" s="362">
        <v>28474.400000000001</v>
      </c>
      <c r="F154" s="401">
        <v>467315.71</v>
      </c>
      <c r="G154" s="362">
        <v>4748151.8600000003</v>
      </c>
    </row>
    <row r="155" spans="1:7" x14ac:dyDescent="0.25">
      <c r="A155" t="s">
        <v>792</v>
      </c>
      <c r="B155" t="s">
        <v>793</v>
      </c>
      <c r="C155" s="362">
        <v>461179.19</v>
      </c>
      <c r="D155" s="401">
        <v>461179.19</v>
      </c>
      <c r="E155" s="362">
        <v>0</v>
      </c>
      <c r="F155" s="401">
        <v>0</v>
      </c>
      <c r="G155" s="362">
        <v>461179.19</v>
      </c>
    </row>
    <row r="156" spans="1:7" x14ac:dyDescent="0.25">
      <c r="A156" t="s">
        <v>260</v>
      </c>
      <c r="B156" t="s">
        <v>261</v>
      </c>
      <c r="C156" s="362">
        <v>6933961.3200000003</v>
      </c>
      <c r="D156" s="401">
        <v>5529895.9400000004</v>
      </c>
      <c r="E156" s="362">
        <v>14841.9</v>
      </c>
      <c r="F156" s="401">
        <v>1389223.48</v>
      </c>
      <c r="G156" s="362">
        <v>6933961.3200000003</v>
      </c>
    </row>
    <row r="157" spans="1:7" x14ac:dyDescent="0.25">
      <c r="A157" t="s">
        <v>694</v>
      </c>
      <c r="B157" t="s">
        <v>695</v>
      </c>
      <c r="C157" s="362">
        <v>147034.48000000001</v>
      </c>
      <c r="D157" s="401">
        <v>147034.48000000001</v>
      </c>
      <c r="E157" s="362">
        <v>0</v>
      </c>
      <c r="F157" s="401">
        <v>0</v>
      </c>
      <c r="G157" s="362">
        <v>147034.48000000001</v>
      </c>
    </row>
    <row r="158" spans="1:7" x14ac:dyDescent="0.25">
      <c r="A158" t="s">
        <v>623</v>
      </c>
      <c r="B158" t="s">
        <v>624</v>
      </c>
      <c r="C158" s="362">
        <v>511915.22</v>
      </c>
      <c r="D158" s="401">
        <v>508005.13</v>
      </c>
      <c r="E158" s="362">
        <v>0</v>
      </c>
      <c r="F158" s="401">
        <v>3910.09</v>
      </c>
      <c r="G158" s="362">
        <v>511915.22000000003</v>
      </c>
    </row>
    <row r="159" spans="1:7" x14ac:dyDescent="0.25">
      <c r="A159" t="s">
        <v>193</v>
      </c>
      <c r="B159" t="s">
        <v>195</v>
      </c>
      <c r="C159" s="362">
        <v>154465.15</v>
      </c>
      <c r="D159" s="401">
        <v>154465.15</v>
      </c>
      <c r="E159" s="362">
        <v>0</v>
      </c>
      <c r="F159" s="401">
        <v>0</v>
      </c>
      <c r="G159" s="362">
        <v>154465.15</v>
      </c>
    </row>
    <row r="160" spans="1:7" x14ac:dyDescent="0.25">
      <c r="A160" t="s">
        <v>300</v>
      </c>
      <c r="B160" t="s">
        <v>301</v>
      </c>
      <c r="C160" s="362">
        <v>162019.79</v>
      </c>
      <c r="D160" s="401">
        <v>121919.79</v>
      </c>
      <c r="E160" s="362">
        <v>0</v>
      </c>
      <c r="F160" s="401">
        <v>40100</v>
      </c>
      <c r="G160" s="362">
        <v>162019.78999999998</v>
      </c>
    </row>
    <row r="161" spans="1:7" x14ac:dyDescent="0.25">
      <c r="A161" t="s">
        <v>548</v>
      </c>
      <c r="B161" t="s">
        <v>549</v>
      </c>
      <c r="C161" s="362">
        <v>254290.99</v>
      </c>
      <c r="D161" s="401">
        <v>254290.99</v>
      </c>
      <c r="E161" s="362">
        <v>0</v>
      </c>
      <c r="F161" s="401">
        <v>0</v>
      </c>
      <c r="G161" s="362">
        <v>254290.99</v>
      </c>
    </row>
    <row r="162" spans="1:7" x14ac:dyDescent="0.25">
      <c r="A162" t="s">
        <v>798</v>
      </c>
      <c r="B162" t="s">
        <v>799</v>
      </c>
      <c r="C162" s="362">
        <v>323494.2</v>
      </c>
      <c r="D162" s="401">
        <v>296694.2</v>
      </c>
      <c r="E162" s="362">
        <v>0</v>
      </c>
      <c r="F162" s="401">
        <v>26800</v>
      </c>
      <c r="G162" s="362">
        <v>323494.2</v>
      </c>
    </row>
    <row r="163" spans="1:7" x14ac:dyDescent="0.25">
      <c r="A163" t="s">
        <v>388</v>
      </c>
      <c r="B163" t="s">
        <v>389</v>
      </c>
      <c r="C163" s="362">
        <v>226276.21</v>
      </c>
      <c r="D163" s="401">
        <v>226276.21</v>
      </c>
      <c r="E163" s="362">
        <v>0</v>
      </c>
      <c r="F163" s="401">
        <v>0</v>
      </c>
      <c r="G163" s="362">
        <v>226276.21</v>
      </c>
    </row>
    <row r="164" spans="1:7" x14ac:dyDescent="0.25">
      <c r="A164" t="s">
        <v>310</v>
      </c>
      <c r="B164" t="s">
        <v>311</v>
      </c>
      <c r="C164" s="362">
        <v>617671.86</v>
      </c>
      <c r="D164" s="401">
        <v>617671.86</v>
      </c>
      <c r="E164" s="362">
        <v>0</v>
      </c>
      <c r="F164" s="401">
        <v>0</v>
      </c>
      <c r="G164" s="362">
        <v>617671.86</v>
      </c>
    </row>
    <row r="165" spans="1:7" x14ac:dyDescent="0.25">
      <c r="A165" t="s">
        <v>688</v>
      </c>
      <c r="B165" t="s">
        <v>689</v>
      </c>
      <c r="C165" s="362">
        <v>288535.94</v>
      </c>
      <c r="D165" s="401">
        <v>288535.94</v>
      </c>
      <c r="E165" s="362">
        <v>0</v>
      </c>
      <c r="F165" s="401">
        <v>0</v>
      </c>
      <c r="G165" s="362">
        <v>288535.94</v>
      </c>
    </row>
    <row r="166" spans="1:7" x14ac:dyDescent="0.25">
      <c r="A166" t="s">
        <v>378</v>
      </c>
      <c r="B166" t="s">
        <v>379</v>
      </c>
      <c r="C166" s="362">
        <v>298634.02</v>
      </c>
      <c r="D166" s="401">
        <v>250733.93</v>
      </c>
      <c r="E166" s="362">
        <v>0</v>
      </c>
      <c r="F166" s="401">
        <v>47900.09</v>
      </c>
      <c r="G166" s="362">
        <v>298634.02</v>
      </c>
    </row>
    <row r="167" spans="1:7" x14ac:dyDescent="0.25">
      <c r="A167" t="s">
        <v>667</v>
      </c>
      <c r="B167" t="s">
        <v>668</v>
      </c>
      <c r="C167" s="362">
        <v>7833288.1900000004</v>
      </c>
      <c r="D167" s="401">
        <v>6816453.6500000004</v>
      </c>
      <c r="E167" s="362">
        <v>0</v>
      </c>
      <c r="F167" s="401">
        <v>1016834.54</v>
      </c>
      <c r="G167" s="362">
        <v>7833288.1900000004</v>
      </c>
    </row>
    <row r="168" spans="1:7" x14ac:dyDescent="0.25">
      <c r="A168" t="s">
        <v>468</v>
      </c>
      <c r="B168" t="s">
        <v>1196</v>
      </c>
      <c r="C168" s="362">
        <v>1989408.47</v>
      </c>
      <c r="D168" s="401">
        <v>1989408.47</v>
      </c>
      <c r="E168" s="362">
        <v>0</v>
      </c>
      <c r="F168" s="401">
        <v>0</v>
      </c>
      <c r="G168" s="362">
        <v>1989408.47</v>
      </c>
    </row>
    <row r="169" spans="1:7" x14ac:dyDescent="0.25">
      <c r="A169" t="s">
        <v>588</v>
      </c>
      <c r="B169" t="s">
        <v>589</v>
      </c>
      <c r="C169" s="362">
        <v>1133402.42</v>
      </c>
      <c r="D169" s="401">
        <v>1098309.9099999999</v>
      </c>
      <c r="E169" s="362">
        <v>2220.75</v>
      </c>
      <c r="F169" s="401">
        <v>32871.760000000002</v>
      </c>
      <c r="G169" s="362">
        <v>1133402.42</v>
      </c>
    </row>
    <row r="170" spans="1:7" x14ac:dyDescent="0.25">
      <c r="A170" t="s">
        <v>528</v>
      </c>
      <c r="B170" t="s">
        <v>529</v>
      </c>
      <c r="C170" s="362">
        <v>3453179.6</v>
      </c>
      <c r="D170" s="401">
        <v>3440797.12</v>
      </c>
      <c r="E170" s="362">
        <v>12382.48</v>
      </c>
      <c r="F170" s="401">
        <v>0</v>
      </c>
      <c r="G170" s="362">
        <v>3453179.6</v>
      </c>
    </row>
    <row r="171" spans="1:7" x14ac:dyDescent="0.25">
      <c r="A171" t="s">
        <v>396</v>
      </c>
      <c r="B171" t="s">
        <v>397</v>
      </c>
      <c r="C171" s="362">
        <v>790328.77</v>
      </c>
      <c r="D171" s="401">
        <v>398317.25</v>
      </c>
      <c r="E171" s="362">
        <v>392011.52000000002</v>
      </c>
      <c r="F171" s="401">
        <v>0</v>
      </c>
      <c r="G171" s="362">
        <v>790328.77</v>
      </c>
    </row>
    <row r="172" spans="1:7" x14ac:dyDescent="0.25">
      <c r="A172" t="s">
        <v>514</v>
      </c>
      <c r="B172" t="s">
        <v>515</v>
      </c>
      <c r="C172" s="362">
        <v>163153.06</v>
      </c>
      <c r="D172" s="401">
        <v>163153.06</v>
      </c>
      <c r="E172" s="362">
        <v>0</v>
      </c>
      <c r="F172" s="401">
        <v>0</v>
      </c>
      <c r="G172" s="362">
        <v>163153.06</v>
      </c>
    </row>
    <row r="173" spans="1:7" x14ac:dyDescent="0.25">
      <c r="A173" t="s">
        <v>554</v>
      </c>
      <c r="B173" t="s">
        <v>555</v>
      </c>
      <c r="C173" s="362">
        <v>6655879.8099999996</v>
      </c>
      <c r="D173" s="401">
        <v>6615879.8099999996</v>
      </c>
      <c r="E173" s="362">
        <v>0</v>
      </c>
      <c r="F173" s="401">
        <v>40000</v>
      </c>
      <c r="G173" s="362">
        <v>6655879.8099999996</v>
      </c>
    </row>
    <row r="174" spans="1:7" x14ac:dyDescent="0.25">
      <c r="A174" t="s">
        <v>550</v>
      </c>
      <c r="B174" t="s">
        <v>551</v>
      </c>
      <c r="C174" s="362">
        <v>1346875.58</v>
      </c>
      <c r="D174" s="401">
        <v>1346875.58</v>
      </c>
      <c r="E174" s="362">
        <v>0</v>
      </c>
      <c r="F174" s="401">
        <v>0</v>
      </c>
      <c r="G174" s="362">
        <v>1346875.58</v>
      </c>
    </row>
    <row r="175" spans="1:7" x14ac:dyDescent="0.25">
      <c r="A175" t="s">
        <v>230</v>
      </c>
      <c r="B175" t="s">
        <v>232</v>
      </c>
      <c r="C175" s="362">
        <v>1212622.24</v>
      </c>
      <c r="D175" s="401">
        <v>1201612.24</v>
      </c>
      <c r="E175" s="362">
        <v>0</v>
      </c>
      <c r="F175" s="401">
        <v>11010</v>
      </c>
      <c r="G175" s="362">
        <v>1212622.24</v>
      </c>
    </row>
    <row r="176" spans="1:7" x14ac:dyDescent="0.25">
      <c r="A176" t="s">
        <v>580</v>
      </c>
      <c r="B176" t="s">
        <v>581</v>
      </c>
      <c r="C176" s="362">
        <v>351073.85</v>
      </c>
      <c r="D176" s="401">
        <v>351073.85</v>
      </c>
      <c r="E176" s="362">
        <v>0</v>
      </c>
      <c r="F176" s="401">
        <v>0</v>
      </c>
      <c r="G176" s="362">
        <v>351073.85</v>
      </c>
    </row>
    <row r="177" spans="1:7" x14ac:dyDescent="0.25">
      <c r="A177" t="s">
        <v>484</v>
      </c>
      <c r="B177" t="s">
        <v>485</v>
      </c>
      <c r="C177" s="362">
        <v>694361.02</v>
      </c>
      <c r="D177" s="401">
        <v>694361.02</v>
      </c>
      <c r="E177" s="362">
        <v>0</v>
      </c>
      <c r="F177" s="401">
        <v>0</v>
      </c>
      <c r="G177" s="362">
        <v>694361.02</v>
      </c>
    </row>
    <row r="178" spans="1:7" x14ac:dyDescent="0.25">
      <c r="A178" t="s">
        <v>742</v>
      </c>
      <c r="B178" t="s">
        <v>743</v>
      </c>
      <c r="C178" s="362">
        <v>1099408.6399999999</v>
      </c>
      <c r="D178" s="401">
        <v>1092115.96</v>
      </c>
      <c r="E178" s="362">
        <v>7292.68</v>
      </c>
      <c r="F178" s="401">
        <v>0</v>
      </c>
      <c r="G178" s="362">
        <v>1099408.6399999999</v>
      </c>
    </row>
    <row r="179" spans="1:7" x14ac:dyDescent="0.25">
      <c r="A179" t="s">
        <v>568</v>
      </c>
      <c r="B179" t="s">
        <v>569</v>
      </c>
      <c r="C179" s="362">
        <v>675032.35</v>
      </c>
      <c r="D179" s="401">
        <v>675032.35</v>
      </c>
      <c r="E179" s="362">
        <v>0</v>
      </c>
      <c r="F179" s="401">
        <v>0</v>
      </c>
      <c r="G179" s="362">
        <v>675032.35</v>
      </c>
    </row>
    <row r="180" spans="1:7" x14ac:dyDescent="0.25">
      <c r="A180" t="s">
        <v>544</v>
      </c>
      <c r="B180" t="s">
        <v>545</v>
      </c>
      <c r="C180" s="362">
        <v>2063444.06</v>
      </c>
      <c r="D180" s="401">
        <v>2063444.06</v>
      </c>
      <c r="E180" s="362">
        <v>0</v>
      </c>
      <c r="F180" s="401">
        <v>0</v>
      </c>
      <c r="G180" s="362">
        <v>2063444.06</v>
      </c>
    </row>
    <row r="181" spans="1:7" x14ac:dyDescent="0.25">
      <c r="A181" t="s">
        <v>621</v>
      </c>
      <c r="B181" t="s">
        <v>622</v>
      </c>
      <c r="C181" s="362">
        <v>847917.73</v>
      </c>
      <c r="D181" s="401">
        <v>620690.81000000006</v>
      </c>
      <c r="E181" s="362">
        <v>0</v>
      </c>
      <c r="F181" s="401">
        <v>227226.92</v>
      </c>
      <c r="G181" s="362">
        <v>847917.7300000001</v>
      </c>
    </row>
    <row r="182" spans="1:7" x14ac:dyDescent="0.25">
      <c r="A182" t="s">
        <v>682</v>
      </c>
      <c r="B182" t="s">
        <v>683</v>
      </c>
      <c r="C182" s="362">
        <v>832873.46</v>
      </c>
      <c r="D182" s="401">
        <v>798787.79</v>
      </c>
      <c r="E182" s="362">
        <v>0</v>
      </c>
      <c r="F182" s="401">
        <v>34085.67</v>
      </c>
      <c r="G182" s="362">
        <v>832873.46000000008</v>
      </c>
    </row>
    <row r="183" spans="1:7" x14ac:dyDescent="0.25">
      <c r="A183" t="s">
        <v>512</v>
      </c>
      <c r="B183" t="s">
        <v>1199</v>
      </c>
      <c r="C183" s="362">
        <v>410725.24</v>
      </c>
      <c r="D183" s="401">
        <v>410725.24</v>
      </c>
      <c r="E183" s="362">
        <v>0</v>
      </c>
      <c r="F183" s="401">
        <v>0</v>
      </c>
      <c r="G183" s="362">
        <v>410725.24</v>
      </c>
    </row>
    <row r="184" spans="1:7" x14ac:dyDescent="0.25">
      <c r="A184" t="s">
        <v>800</v>
      </c>
      <c r="B184" t="s">
        <v>801</v>
      </c>
      <c r="C184" s="362">
        <v>541777.56000000006</v>
      </c>
      <c r="D184" s="401">
        <v>483958.16</v>
      </c>
      <c r="E184" s="362">
        <v>0</v>
      </c>
      <c r="F184" s="401">
        <v>57819.4</v>
      </c>
      <c r="G184" s="362">
        <v>541777.55999999994</v>
      </c>
    </row>
    <row r="185" spans="1:7" x14ac:dyDescent="0.25">
      <c r="A185" t="s">
        <v>530</v>
      </c>
      <c r="B185" t="s">
        <v>531</v>
      </c>
      <c r="C185" s="362">
        <v>90793.72</v>
      </c>
      <c r="D185" s="401">
        <v>90793.72</v>
      </c>
      <c r="E185" s="362">
        <v>0</v>
      </c>
      <c r="F185" s="401">
        <v>0</v>
      </c>
      <c r="G185" s="362">
        <v>90793.72</v>
      </c>
    </row>
    <row r="186" spans="1:7" x14ac:dyDescent="0.25">
      <c r="A186" t="s">
        <v>516</v>
      </c>
      <c r="B186" t="s">
        <v>517</v>
      </c>
      <c r="C186" s="362">
        <v>1591279.84</v>
      </c>
      <c r="D186" s="401">
        <v>1568002.93</v>
      </c>
      <c r="E186" s="362">
        <v>0</v>
      </c>
      <c r="F186" s="401">
        <v>23276.91</v>
      </c>
      <c r="G186" s="362">
        <v>1591279.8399999999</v>
      </c>
    </row>
    <row r="187" spans="1:7" x14ac:dyDescent="0.25">
      <c r="A187" t="s">
        <v>304</v>
      </c>
      <c r="B187" t="s">
        <v>305</v>
      </c>
      <c r="C187" s="362">
        <v>315577.13</v>
      </c>
      <c r="D187" s="401">
        <v>315577.13</v>
      </c>
      <c r="E187" s="362">
        <v>0</v>
      </c>
      <c r="F187" s="401">
        <v>0</v>
      </c>
      <c r="G187" s="362">
        <v>315577.13</v>
      </c>
    </row>
    <row r="188" spans="1:7" x14ac:dyDescent="0.25">
      <c r="A188" t="s">
        <v>661</v>
      </c>
      <c r="B188" t="s">
        <v>662</v>
      </c>
      <c r="C188" s="362">
        <v>390765.79</v>
      </c>
      <c r="D188" s="401">
        <v>390765.79</v>
      </c>
      <c r="E188" s="362">
        <v>0</v>
      </c>
      <c r="F188" s="401">
        <v>0</v>
      </c>
      <c r="G188" s="362">
        <v>390765.79</v>
      </c>
    </row>
    <row r="189" spans="1:7" x14ac:dyDescent="0.25">
      <c r="A189" t="s">
        <v>706</v>
      </c>
      <c r="B189" t="s">
        <v>707</v>
      </c>
      <c r="C189" s="362">
        <v>4545203.7300000004</v>
      </c>
      <c r="D189" s="401">
        <v>4544675.67</v>
      </c>
      <c r="E189" s="362">
        <v>528.05999999999995</v>
      </c>
      <c r="F189" s="401">
        <v>0</v>
      </c>
      <c r="G189" s="362">
        <v>4545203.7299999995</v>
      </c>
    </row>
    <row r="190" spans="1:7" x14ac:dyDescent="0.25">
      <c r="A190" t="s">
        <v>604</v>
      </c>
      <c r="B190" t="s">
        <v>605</v>
      </c>
      <c r="C190" s="362">
        <v>34755456.920000002</v>
      </c>
      <c r="D190" s="401">
        <v>31719049.719999999</v>
      </c>
      <c r="E190" s="362">
        <v>139198.32</v>
      </c>
      <c r="F190" s="401">
        <v>2897208.88</v>
      </c>
      <c r="G190" s="362">
        <v>34755456.920000002</v>
      </c>
    </row>
    <row r="191" spans="1:7" x14ac:dyDescent="0.25">
      <c r="A191" t="s">
        <v>728</v>
      </c>
      <c r="B191" t="s">
        <v>729</v>
      </c>
      <c r="C191" s="362">
        <v>54372429.130000003</v>
      </c>
      <c r="D191" s="401">
        <v>47595340.780000001</v>
      </c>
      <c r="E191" s="362">
        <v>158837.29999999999</v>
      </c>
      <c r="F191" s="401">
        <v>6618251.0499999998</v>
      </c>
      <c r="G191" s="362">
        <v>54372429.130000003</v>
      </c>
    </row>
    <row r="192" spans="1:7" x14ac:dyDescent="0.25">
      <c r="A192" t="s">
        <v>243</v>
      </c>
      <c r="B192" t="s">
        <v>244</v>
      </c>
      <c r="C192" s="362">
        <v>241538.08</v>
      </c>
      <c r="D192" s="401">
        <v>241538.08</v>
      </c>
      <c r="E192" s="362">
        <v>0</v>
      </c>
      <c r="F192" s="401">
        <v>0</v>
      </c>
      <c r="G192" s="362">
        <v>241538.08</v>
      </c>
    </row>
    <row r="193" spans="1:8" x14ac:dyDescent="0.25">
      <c r="A193" t="s">
        <v>758</v>
      </c>
      <c r="B193" t="s">
        <v>759</v>
      </c>
      <c r="C193" s="362">
        <v>7915985.4400000004</v>
      </c>
      <c r="D193" s="401">
        <v>7760389.5199999996</v>
      </c>
      <c r="E193" s="362">
        <v>89550.399999999994</v>
      </c>
      <c r="F193" s="401">
        <v>66045.52</v>
      </c>
      <c r="G193" s="362">
        <v>7915985.4399999995</v>
      </c>
    </row>
    <row r="194" spans="1:8" x14ac:dyDescent="0.25">
      <c r="A194" t="s">
        <v>722</v>
      </c>
      <c r="B194" t="s">
        <v>723</v>
      </c>
      <c r="C194" s="362">
        <v>15859940.279999999</v>
      </c>
      <c r="D194" s="401">
        <v>13186394.82</v>
      </c>
      <c r="E194" s="362">
        <v>106986.48</v>
      </c>
      <c r="F194" s="401">
        <v>2566558.98</v>
      </c>
      <c r="G194" s="362">
        <v>15859940.280000001</v>
      </c>
    </row>
    <row r="195" spans="1:8" x14ac:dyDescent="0.25">
      <c r="A195" t="s">
        <v>316</v>
      </c>
      <c r="B195" t="s">
        <v>317</v>
      </c>
      <c r="C195" s="362">
        <v>3466659.2</v>
      </c>
      <c r="D195" s="401">
        <v>2173251.66</v>
      </c>
      <c r="E195" s="362">
        <v>11657.52</v>
      </c>
      <c r="F195" s="401">
        <v>1281750.02</v>
      </c>
      <c r="G195" s="362">
        <v>3466659.2</v>
      </c>
    </row>
    <row r="196" spans="1:8" x14ac:dyDescent="0.25">
      <c r="A196" t="s">
        <v>570</v>
      </c>
      <c r="B196" t="s">
        <v>571</v>
      </c>
      <c r="C196" s="362">
        <v>4396628.0199999996</v>
      </c>
      <c r="D196" s="401">
        <v>4368061.88</v>
      </c>
      <c r="E196" s="362">
        <v>28566.14</v>
      </c>
      <c r="F196" s="401">
        <v>0</v>
      </c>
      <c r="G196" s="362">
        <v>4396628.0199999996</v>
      </c>
    </row>
    <row r="197" spans="1:8" x14ac:dyDescent="0.25">
      <c r="A197" t="s">
        <v>274</v>
      </c>
      <c r="B197" t="s">
        <v>275</v>
      </c>
      <c r="C197" s="362">
        <v>24240551.07</v>
      </c>
      <c r="D197" s="401">
        <v>22724471.649999999</v>
      </c>
      <c r="E197" s="362">
        <v>43362.36</v>
      </c>
      <c r="F197" s="401">
        <v>1472717.06</v>
      </c>
      <c r="G197" s="362">
        <v>24240551.07</v>
      </c>
    </row>
    <row r="198" spans="1:8" x14ac:dyDescent="0.25">
      <c r="A198" t="s">
        <v>586</v>
      </c>
      <c r="B198" t="s">
        <v>587</v>
      </c>
      <c r="C198" s="362">
        <v>16412904.35</v>
      </c>
      <c r="D198" s="401">
        <v>16393914.970000001</v>
      </c>
      <c r="E198" s="362">
        <v>1812.38</v>
      </c>
      <c r="F198" s="401">
        <v>17177</v>
      </c>
      <c r="G198" s="362">
        <v>16412904.350000001</v>
      </c>
    </row>
    <row r="199" spans="1:8" x14ac:dyDescent="0.25">
      <c r="A199" t="s">
        <v>360</v>
      </c>
      <c r="B199" t="s">
        <v>361</v>
      </c>
      <c r="C199" s="362">
        <v>16396520.27</v>
      </c>
      <c r="D199" s="401">
        <v>16223497.800000001</v>
      </c>
      <c r="E199" s="362">
        <v>173022.47</v>
      </c>
      <c r="F199" s="401">
        <v>0</v>
      </c>
      <c r="G199" s="362">
        <v>16396520.270000001</v>
      </c>
    </row>
    <row r="200" spans="1:8" x14ac:dyDescent="0.25">
      <c r="A200" t="s">
        <v>218</v>
      </c>
      <c r="B200" t="s">
        <v>219</v>
      </c>
      <c r="C200" s="362">
        <v>31198798.960000001</v>
      </c>
      <c r="D200" s="401">
        <v>29019813.02</v>
      </c>
      <c r="E200" s="362">
        <v>125991.42</v>
      </c>
      <c r="F200" s="401">
        <v>2052994.52</v>
      </c>
      <c r="G200" s="362">
        <v>31198798.960000001</v>
      </c>
    </row>
    <row r="201" spans="1:8" x14ac:dyDescent="0.25">
      <c r="A201" t="s">
        <v>328</v>
      </c>
      <c r="B201" t="s">
        <v>329</v>
      </c>
      <c r="C201" s="362">
        <v>2439689.9700000002</v>
      </c>
      <c r="D201" s="401">
        <v>2432012.4</v>
      </c>
      <c r="E201" s="362">
        <v>7677.57</v>
      </c>
      <c r="F201" s="401">
        <v>0</v>
      </c>
      <c r="G201" s="362">
        <v>2439689.9699999997</v>
      </c>
    </row>
    <row r="202" spans="1:8" x14ac:dyDescent="0.25">
      <c r="A202" t="s">
        <v>794</v>
      </c>
      <c r="B202" t="s">
        <v>795</v>
      </c>
      <c r="C202" s="362">
        <v>6354149.2699999996</v>
      </c>
      <c r="D202" s="401">
        <v>6284651.7300000004</v>
      </c>
      <c r="E202" s="362">
        <v>6553.37</v>
      </c>
      <c r="F202" s="401">
        <v>62944.17</v>
      </c>
      <c r="G202" s="362">
        <v>6354149.2700000005</v>
      </c>
    </row>
    <row r="203" spans="1:8" x14ac:dyDescent="0.25">
      <c r="A203" t="s">
        <v>356</v>
      </c>
      <c r="B203" t="s">
        <v>357</v>
      </c>
      <c r="C203" s="362">
        <v>5665243.6799999997</v>
      </c>
      <c r="D203" s="401">
        <v>5637074.21</v>
      </c>
      <c r="E203" s="362">
        <v>28169.47</v>
      </c>
      <c r="F203" s="401">
        <v>0</v>
      </c>
      <c r="G203" s="362">
        <v>5665243.6799999997</v>
      </c>
    </row>
    <row r="204" spans="1:8" x14ac:dyDescent="0.25">
      <c r="A204" t="s">
        <v>1301</v>
      </c>
      <c r="B204" t="s">
        <v>1423</v>
      </c>
      <c r="C204" s="362">
        <v>0</v>
      </c>
      <c r="D204" s="401">
        <v>0</v>
      </c>
      <c r="E204" s="362">
        <v>0</v>
      </c>
      <c r="F204" s="401">
        <v>0</v>
      </c>
      <c r="G204" s="362">
        <v>0</v>
      </c>
    </row>
    <row r="205" spans="1:8" x14ac:dyDescent="0.25">
      <c r="A205" t="s">
        <v>382</v>
      </c>
      <c r="B205" t="s">
        <v>1398</v>
      </c>
      <c r="C205" s="362">
        <v>443791.09</v>
      </c>
      <c r="D205" s="401">
        <v>71960.78</v>
      </c>
      <c r="E205" s="362">
        <v>109125.44</v>
      </c>
      <c r="F205" s="401">
        <v>262704.87</v>
      </c>
      <c r="G205" s="362">
        <v>443791.08999999997</v>
      </c>
    </row>
    <row r="206" spans="1:8" x14ac:dyDescent="0.25">
      <c r="A206" t="s">
        <v>716</v>
      </c>
      <c r="B206" t="s">
        <v>1424</v>
      </c>
      <c r="C206" s="362">
        <v>262512.45</v>
      </c>
      <c r="D206" s="401">
        <v>262512.45</v>
      </c>
      <c r="E206" s="362">
        <v>0</v>
      </c>
      <c r="F206" s="401">
        <v>0</v>
      </c>
      <c r="G206" s="362">
        <v>262512.45</v>
      </c>
    </row>
    <row r="207" spans="1:8" x14ac:dyDescent="0.25">
      <c r="A207" t="s">
        <v>681</v>
      </c>
      <c r="B207" t="s">
        <v>1404</v>
      </c>
      <c r="C207" s="362">
        <v>421912.43</v>
      </c>
      <c r="D207" s="401">
        <v>240644.05</v>
      </c>
      <c r="E207" s="362">
        <v>0</v>
      </c>
      <c r="F207" s="401">
        <v>181268.38</v>
      </c>
      <c r="G207" s="362">
        <v>421912.43</v>
      </c>
      <c r="H207">
        <v>421912.43</v>
      </c>
    </row>
    <row r="208" spans="1:8" x14ac:dyDescent="0.25">
      <c r="A208" t="s">
        <v>665</v>
      </c>
      <c r="B208" t="s">
        <v>1403</v>
      </c>
      <c r="C208" s="362">
        <v>0</v>
      </c>
      <c r="D208" s="401">
        <v>0</v>
      </c>
      <c r="E208" s="362">
        <v>0</v>
      </c>
      <c r="F208" s="401">
        <v>0</v>
      </c>
      <c r="G208" s="362">
        <v>0</v>
      </c>
    </row>
    <row r="209" spans="1:8" x14ac:dyDescent="0.25">
      <c r="A209" t="s">
        <v>560</v>
      </c>
      <c r="B209" t="s">
        <v>1200</v>
      </c>
      <c r="C209" s="362">
        <v>1292824.69</v>
      </c>
      <c r="D209" s="401">
        <v>1265198.8700000001</v>
      </c>
      <c r="E209" s="362">
        <v>27625.82</v>
      </c>
      <c r="F209" s="401">
        <v>0</v>
      </c>
      <c r="G209" s="362">
        <v>1292824.6900000002</v>
      </c>
    </row>
    <row r="210" spans="1:8" x14ac:dyDescent="0.25">
      <c r="A210" t="s">
        <v>455</v>
      </c>
      <c r="B210" t="s">
        <v>456</v>
      </c>
      <c r="C210" s="362">
        <v>533676.49</v>
      </c>
      <c r="D210" s="401">
        <v>380526.69</v>
      </c>
      <c r="E210" s="362">
        <v>2727.57</v>
      </c>
      <c r="F210" s="401">
        <v>150422.23000000001</v>
      </c>
      <c r="G210" s="362">
        <v>533676.49</v>
      </c>
    </row>
    <row r="211" spans="1:8" x14ac:dyDescent="0.25">
      <c r="A211" t="s">
        <v>647</v>
      </c>
      <c r="B211" t="s">
        <v>648</v>
      </c>
      <c r="C211" s="362">
        <v>1445579.67</v>
      </c>
      <c r="D211" s="401">
        <v>1426242.15</v>
      </c>
      <c r="E211" s="362">
        <v>16527.150000000001</v>
      </c>
      <c r="F211" s="401">
        <v>2810.37</v>
      </c>
      <c r="G211" s="362">
        <v>1445579.67</v>
      </c>
    </row>
    <row r="212" spans="1:8" x14ac:dyDescent="0.25">
      <c r="A212" t="s">
        <v>288</v>
      </c>
      <c r="B212" t="s">
        <v>289</v>
      </c>
      <c r="C212" s="362">
        <v>1033090.71</v>
      </c>
      <c r="D212" s="401">
        <v>1019307.02</v>
      </c>
      <c r="E212" s="362">
        <v>11183.69</v>
      </c>
      <c r="F212" s="401">
        <v>2600</v>
      </c>
      <c r="G212" s="362">
        <v>1033090.71</v>
      </c>
    </row>
    <row r="213" spans="1:8" x14ac:dyDescent="0.25">
      <c r="A213" t="s">
        <v>237</v>
      </c>
      <c r="B213" t="s">
        <v>1185</v>
      </c>
      <c r="C213" s="362">
        <v>6836026.29</v>
      </c>
      <c r="D213" s="401">
        <v>6722872.1100000003</v>
      </c>
      <c r="E213" s="362">
        <v>113154.18</v>
      </c>
      <c r="F213" s="401">
        <v>0</v>
      </c>
      <c r="G213" s="362">
        <v>6836026.29</v>
      </c>
    </row>
    <row r="214" spans="1:8" x14ac:dyDescent="0.25">
      <c r="A214" t="s">
        <v>657</v>
      </c>
      <c r="B214" t="s">
        <v>658</v>
      </c>
      <c r="C214" s="362">
        <v>10969238.630000001</v>
      </c>
      <c r="D214" s="401">
        <v>10818055.59</v>
      </c>
      <c r="E214" s="362">
        <v>0</v>
      </c>
      <c r="F214" s="401">
        <v>151183.04000000001</v>
      </c>
      <c r="G214" s="362">
        <v>10969238.629999999</v>
      </c>
    </row>
    <row r="215" spans="1:8" x14ac:dyDescent="0.25">
      <c r="A215" t="s">
        <v>196</v>
      </c>
      <c r="B215" t="s">
        <v>198</v>
      </c>
      <c r="C215" s="362">
        <v>3938951.05</v>
      </c>
      <c r="D215" s="401">
        <v>3875471.71</v>
      </c>
      <c r="E215" s="362">
        <v>63479.34</v>
      </c>
      <c r="F215" s="401">
        <v>0</v>
      </c>
      <c r="G215" s="362">
        <v>3938951.05</v>
      </c>
    </row>
    <row r="216" spans="1:8" x14ac:dyDescent="0.25">
      <c r="A216" t="s">
        <v>431</v>
      </c>
      <c r="B216" t="s">
        <v>432</v>
      </c>
      <c r="C216" s="362">
        <v>1004923.63</v>
      </c>
      <c r="D216" s="401">
        <v>926918.07</v>
      </c>
      <c r="E216" s="362">
        <v>52698.3</v>
      </c>
      <c r="F216" s="401">
        <v>25307.26</v>
      </c>
      <c r="G216" s="362">
        <v>1004923.6299999999</v>
      </c>
      <c r="H216">
        <v>952225.33</v>
      </c>
    </row>
    <row r="217" spans="1:8" x14ac:dyDescent="0.25">
      <c r="A217" t="s">
        <v>290</v>
      </c>
      <c r="B217" t="s">
        <v>291</v>
      </c>
      <c r="C217" s="362">
        <v>579041.75</v>
      </c>
      <c r="D217" s="401">
        <v>434107.22</v>
      </c>
      <c r="E217" s="362">
        <v>11112.64</v>
      </c>
      <c r="F217" s="401">
        <v>133821.89000000001</v>
      </c>
      <c r="G217" s="362">
        <v>579041.75</v>
      </c>
    </row>
    <row r="218" spans="1:8" x14ac:dyDescent="0.25">
      <c r="A218" t="s">
        <v>504</v>
      </c>
      <c r="B218" t="s">
        <v>1198</v>
      </c>
      <c r="C218" s="362">
        <v>13574452.48</v>
      </c>
      <c r="D218" s="401">
        <v>10826207.1</v>
      </c>
      <c r="E218" s="362">
        <v>199710.31</v>
      </c>
      <c r="F218" s="401">
        <v>2548535.0699999998</v>
      </c>
      <c r="G218" s="362">
        <v>13574452.48</v>
      </c>
    </row>
    <row r="219" spans="1:8" x14ac:dyDescent="0.25">
      <c r="A219" t="s">
        <v>671</v>
      </c>
      <c r="B219" t="s">
        <v>672</v>
      </c>
      <c r="C219" s="362">
        <v>135130.04999999999</v>
      </c>
      <c r="D219" s="401">
        <v>135130.04999999999</v>
      </c>
      <c r="E219" s="362">
        <v>0</v>
      </c>
      <c r="F219" s="401">
        <v>0</v>
      </c>
      <c r="G219" s="362">
        <v>135130.04999999999</v>
      </c>
    </row>
    <row r="220" spans="1:8" x14ac:dyDescent="0.25">
      <c r="A220" t="s">
        <v>502</v>
      </c>
      <c r="B220" t="s">
        <v>503</v>
      </c>
      <c r="C220" s="362">
        <v>74249.87</v>
      </c>
      <c r="D220" s="401">
        <v>74249.87</v>
      </c>
      <c r="E220" s="362">
        <v>0</v>
      </c>
      <c r="F220" s="401">
        <v>0</v>
      </c>
      <c r="G220" s="362">
        <v>74249.87</v>
      </c>
    </row>
    <row r="221" spans="1:8" x14ac:dyDescent="0.25">
      <c r="A221" t="s">
        <v>486</v>
      </c>
      <c r="B221" t="s">
        <v>487</v>
      </c>
      <c r="C221" s="362">
        <v>78275.95</v>
      </c>
      <c r="D221" s="401">
        <v>78275.95</v>
      </c>
      <c r="E221" s="362">
        <v>0</v>
      </c>
      <c r="F221" s="401">
        <v>0</v>
      </c>
      <c r="G221" s="362">
        <v>78275.95</v>
      </c>
    </row>
    <row r="222" spans="1:8" x14ac:dyDescent="0.25">
      <c r="A222" t="s">
        <v>710</v>
      </c>
      <c r="B222" t="s">
        <v>711</v>
      </c>
      <c r="C222" s="362">
        <v>1381756.82</v>
      </c>
      <c r="D222" s="401">
        <v>1381756.82</v>
      </c>
      <c r="E222" s="362">
        <v>0</v>
      </c>
      <c r="F222" s="401">
        <v>0</v>
      </c>
      <c r="G222" s="362">
        <v>1381756.82</v>
      </c>
    </row>
    <row r="223" spans="1:8" x14ac:dyDescent="0.25">
      <c r="A223" t="s">
        <v>346</v>
      </c>
      <c r="B223" t="s">
        <v>347</v>
      </c>
      <c r="C223" s="362">
        <v>38226676.920000002</v>
      </c>
      <c r="D223" s="401">
        <v>37419393.299999997</v>
      </c>
      <c r="E223" s="362">
        <v>0</v>
      </c>
      <c r="F223" s="401">
        <v>807283.62</v>
      </c>
      <c r="G223" s="362">
        <v>38226676.919999994</v>
      </c>
    </row>
    <row r="224" spans="1:8" x14ac:dyDescent="0.25">
      <c r="A224" t="s">
        <v>439</v>
      </c>
      <c r="B224" t="s">
        <v>440</v>
      </c>
      <c r="C224" s="362">
        <v>16532703.92</v>
      </c>
      <c r="D224" s="401">
        <v>16489361.630000001</v>
      </c>
      <c r="E224" s="362">
        <v>43342.29</v>
      </c>
      <c r="F224" s="401">
        <v>0</v>
      </c>
      <c r="G224" s="362">
        <v>16532703.92</v>
      </c>
    </row>
    <row r="225" spans="1:7" x14ac:dyDescent="0.25">
      <c r="A225" t="s">
        <v>506</v>
      </c>
      <c r="B225" t="s">
        <v>507</v>
      </c>
      <c r="C225" s="362">
        <v>28438242.890000001</v>
      </c>
      <c r="D225" s="401">
        <v>25884322.23</v>
      </c>
      <c r="E225" s="362">
        <v>0</v>
      </c>
      <c r="F225" s="401">
        <v>2553920.66</v>
      </c>
      <c r="G225" s="362">
        <v>28438242.890000001</v>
      </c>
    </row>
    <row r="226" spans="1:7" x14ac:dyDescent="0.25">
      <c r="A226" t="s">
        <v>330</v>
      </c>
      <c r="B226" t="s">
        <v>331</v>
      </c>
      <c r="C226" s="362">
        <v>42791880.899999999</v>
      </c>
      <c r="D226" s="401">
        <v>35396908.509999998</v>
      </c>
      <c r="E226" s="362">
        <v>235336.68</v>
      </c>
      <c r="F226" s="401">
        <v>7159635.71</v>
      </c>
      <c r="G226" s="362">
        <v>42791880.899999999</v>
      </c>
    </row>
    <row r="227" spans="1:7" x14ac:dyDescent="0.25">
      <c r="A227" t="s">
        <v>199</v>
      </c>
      <c r="B227" t="s">
        <v>200</v>
      </c>
      <c r="C227" s="362">
        <v>9708830.1500000004</v>
      </c>
      <c r="D227" s="401">
        <v>9580914.0899999999</v>
      </c>
      <c r="E227" s="362">
        <v>79024.009999999995</v>
      </c>
      <c r="F227" s="401">
        <v>48892.05</v>
      </c>
      <c r="G227" s="362">
        <v>9708830.1500000004</v>
      </c>
    </row>
    <row r="228" spans="1:7" x14ac:dyDescent="0.25">
      <c r="A228" t="s">
        <v>472</v>
      </c>
      <c r="B228" t="s">
        <v>473</v>
      </c>
      <c r="C228" s="362">
        <v>19631553.600000001</v>
      </c>
      <c r="D228" s="401">
        <v>19592536.539999999</v>
      </c>
      <c r="E228" s="362">
        <v>39017.06</v>
      </c>
      <c r="F228" s="401">
        <v>0</v>
      </c>
      <c r="G228" s="362">
        <v>19631553.599999998</v>
      </c>
    </row>
    <row r="229" spans="1:7" x14ac:dyDescent="0.25">
      <c r="A229" t="s">
        <v>405</v>
      </c>
      <c r="B229" t="s">
        <v>406</v>
      </c>
      <c r="C229" s="362">
        <v>37302.980000000003</v>
      </c>
      <c r="D229" s="401">
        <v>37302.980000000003</v>
      </c>
      <c r="E229" s="362">
        <v>0</v>
      </c>
      <c r="F229" s="401">
        <v>0</v>
      </c>
      <c r="G229" s="362">
        <v>37302.980000000003</v>
      </c>
    </row>
    <row r="230" spans="1:7" x14ac:dyDescent="0.25">
      <c r="A230" t="s">
        <v>488</v>
      </c>
      <c r="B230" t="s">
        <v>489</v>
      </c>
      <c r="C230" s="362">
        <v>9785339.5500000007</v>
      </c>
      <c r="D230" s="401">
        <v>8807665.9399999995</v>
      </c>
      <c r="E230" s="362">
        <v>0</v>
      </c>
      <c r="F230" s="401">
        <v>977673.61</v>
      </c>
      <c r="G230" s="362">
        <v>9785339.5499999989</v>
      </c>
    </row>
    <row r="231" spans="1:7" x14ac:dyDescent="0.25">
      <c r="A231" t="s">
        <v>675</v>
      </c>
      <c r="B231" t="s">
        <v>676</v>
      </c>
      <c r="C231" s="362">
        <v>19058671.390000001</v>
      </c>
      <c r="D231" s="401">
        <v>18959208.370000001</v>
      </c>
      <c r="E231" s="362">
        <v>40193.040000000001</v>
      </c>
      <c r="F231" s="401">
        <v>59269.98</v>
      </c>
      <c r="G231" s="362">
        <v>19058671.390000001</v>
      </c>
    </row>
    <row r="232" spans="1:7" x14ac:dyDescent="0.25">
      <c r="A232" t="s">
        <v>443</v>
      </c>
      <c r="B232" t="s">
        <v>444</v>
      </c>
      <c r="C232" s="362">
        <v>3932337.7</v>
      </c>
      <c r="D232" s="401">
        <v>3896660.23</v>
      </c>
      <c r="E232" s="362">
        <v>35677.47</v>
      </c>
      <c r="F232" s="401">
        <v>0</v>
      </c>
      <c r="G232" s="362">
        <v>3932337.7</v>
      </c>
    </row>
    <row r="233" spans="1:7" x14ac:dyDescent="0.25">
      <c r="A233" t="s">
        <v>712</v>
      </c>
      <c r="B233" t="s">
        <v>713</v>
      </c>
      <c r="C233" s="362">
        <v>3899385.52</v>
      </c>
      <c r="D233" s="401">
        <v>3899385.52</v>
      </c>
      <c r="E233" s="362">
        <v>0</v>
      </c>
      <c r="F233" s="401">
        <v>0</v>
      </c>
      <c r="G233" s="362">
        <v>3899385.52</v>
      </c>
    </row>
    <row r="234" spans="1:7" x14ac:dyDescent="0.25">
      <c r="A234" t="s">
        <v>308</v>
      </c>
      <c r="B234" t="s">
        <v>309</v>
      </c>
      <c r="C234" s="362">
        <v>680903.32</v>
      </c>
      <c r="D234" s="401">
        <v>659113.15</v>
      </c>
      <c r="E234" s="362">
        <v>7224.74</v>
      </c>
      <c r="F234" s="401">
        <v>14565.43</v>
      </c>
      <c r="G234" s="362">
        <v>680903.32000000007</v>
      </c>
    </row>
    <row r="235" spans="1:7" x14ac:dyDescent="0.25">
      <c r="A235" t="s">
        <v>376</v>
      </c>
      <c r="B235" t="s">
        <v>377</v>
      </c>
      <c r="C235" s="362">
        <v>4866450.6399999997</v>
      </c>
      <c r="D235" s="401">
        <v>4872194.04</v>
      </c>
      <c r="E235" s="362">
        <v>0</v>
      </c>
      <c r="F235" s="401">
        <v>0</v>
      </c>
      <c r="G235" s="362">
        <v>4872194.04</v>
      </c>
    </row>
    <row r="236" spans="1:7" x14ac:dyDescent="0.25">
      <c r="A236" t="s">
        <v>698</v>
      </c>
      <c r="B236" t="s">
        <v>1405</v>
      </c>
      <c r="C236" s="362">
        <v>9471937.2200000007</v>
      </c>
      <c r="D236" s="401">
        <v>9471937.2200000007</v>
      </c>
      <c r="E236" s="362">
        <v>0</v>
      </c>
      <c r="F236" s="401">
        <v>0</v>
      </c>
      <c r="G236" s="362">
        <v>9471937.2200000007</v>
      </c>
    </row>
    <row r="237" spans="1:7" x14ac:dyDescent="0.25">
      <c r="A237" t="s">
        <v>690</v>
      </c>
      <c r="B237" t="s">
        <v>691</v>
      </c>
      <c r="C237" s="362">
        <v>53565421.530000001</v>
      </c>
      <c r="D237" s="401">
        <v>47702053.490000002</v>
      </c>
      <c r="E237" s="362">
        <v>504792.6</v>
      </c>
      <c r="F237" s="401">
        <v>5358575.4400000004</v>
      </c>
      <c r="G237" s="362">
        <v>53565421.530000001</v>
      </c>
    </row>
    <row r="238" spans="1:7" x14ac:dyDescent="0.25">
      <c r="A238" t="s">
        <v>562</v>
      </c>
      <c r="B238" t="s">
        <v>563</v>
      </c>
      <c r="C238" s="362">
        <v>80760.11</v>
      </c>
      <c r="D238" s="401">
        <v>54249.08</v>
      </c>
      <c r="E238" s="362">
        <v>0</v>
      </c>
      <c r="F238" s="401">
        <v>26511.03</v>
      </c>
      <c r="G238" s="362">
        <v>80760.11</v>
      </c>
    </row>
    <row r="239" spans="1:7" x14ac:dyDescent="0.25">
      <c r="A239" t="s">
        <v>380</v>
      </c>
      <c r="B239" t="s">
        <v>381</v>
      </c>
      <c r="C239" s="362">
        <v>41678.15</v>
      </c>
      <c r="D239" s="401">
        <v>37702.269999999997</v>
      </c>
      <c r="E239" s="362">
        <v>0</v>
      </c>
      <c r="F239" s="401">
        <v>3975.88</v>
      </c>
      <c r="G239" s="362">
        <v>41678.149999999994</v>
      </c>
    </row>
    <row r="240" spans="1:7" x14ac:dyDescent="0.25">
      <c r="A240" t="s">
        <v>518</v>
      </c>
      <c r="B240" t="s">
        <v>519</v>
      </c>
      <c r="C240" s="362">
        <v>1736374.07</v>
      </c>
      <c r="D240" s="401">
        <v>1736374.07</v>
      </c>
      <c r="E240" s="362">
        <v>0</v>
      </c>
      <c r="F240" s="401">
        <v>0</v>
      </c>
      <c r="G240" s="362">
        <v>1736374.07</v>
      </c>
    </row>
    <row r="241" spans="1:7" x14ac:dyDescent="0.25">
      <c r="A241" t="s">
        <v>478</v>
      </c>
      <c r="B241" t="s">
        <v>479</v>
      </c>
      <c r="C241" s="362">
        <v>2372635.65</v>
      </c>
      <c r="D241" s="401">
        <v>2184184.85</v>
      </c>
      <c r="E241" s="362">
        <v>14.85</v>
      </c>
      <c r="F241" s="401">
        <v>188435.95</v>
      </c>
      <c r="G241" s="362">
        <v>2372635.65</v>
      </c>
    </row>
    <row r="242" spans="1:7" x14ac:dyDescent="0.25">
      <c r="A242" t="s">
        <v>476</v>
      </c>
      <c r="B242" t="s">
        <v>477</v>
      </c>
      <c r="C242" s="362">
        <v>15976989.27</v>
      </c>
      <c r="D242" s="401">
        <v>14547317.140000001</v>
      </c>
      <c r="E242" s="362">
        <v>0</v>
      </c>
      <c r="F242" s="401">
        <v>1429672.13</v>
      </c>
      <c r="G242" s="362">
        <v>15976989.27</v>
      </c>
    </row>
    <row r="243" spans="1:7" x14ac:dyDescent="0.25">
      <c r="A243" t="s">
        <v>258</v>
      </c>
      <c r="B243" t="s">
        <v>259</v>
      </c>
      <c r="C243" s="362">
        <v>25595515.09</v>
      </c>
      <c r="D243" s="401">
        <v>21025267.09</v>
      </c>
      <c r="E243" s="362">
        <v>320153.39</v>
      </c>
      <c r="F243" s="401">
        <v>4250094.6100000003</v>
      </c>
      <c r="G243" s="362">
        <v>25595515.09</v>
      </c>
    </row>
    <row r="244" spans="1:7" x14ac:dyDescent="0.25">
      <c r="A244" t="s">
        <v>362</v>
      </c>
      <c r="B244" t="s">
        <v>363</v>
      </c>
      <c r="C244" s="362">
        <v>964325.17</v>
      </c>
      <c r="D244" s="401">
        <v>964325.17</v>
      </c>
      <c r="E244" s="362">
        <v>0</v>
      </c>
      <c r="F244" s="401">
        <v>0</v>
      </c>
      <c r="G244" s="362">
        <v>964325.17</v>
      </c>
    </row>
    <row r="245" spans="1:7" x14ac:dyDescent="0.25">
      <c r="A245" t="s">
        <v>264</v>
      </c>
      <c r="B245" t="s">
        <v>265</v>
      </c>
      <c r="C245" s="362">
        <v>10374267.560000001</v>
      </c>
      <c r="D245" s="401">
        <v>9781931.5299999993</v>
      </c>
      <c r="E245" s="362">
        <v>0</v>
      </c>
      <c r="F245" s="401">
        <v>592336.03</v>
      </c>
      <c r="G245" s="362">
        <v>10374267.559999999</v>
      </c>
    </row>
    <row r="246" spans="1:7" x14ac:dyDescent="0.25">
      <c r="A246" t="s">
        <v>320</v>
      </c>
      <c r="B246" t="s">
        <v>1394</v>
      </c>
      <c r="C246" s="362">
        <v>6618016.1100000003</v>
      </c>
      <c r="D246" s="401">
        <v>6063427.5099999998</v>
      </c>
      <c r="E246" s="362">
        <v>0</v>
      </c>
      <c r="F246" s="401">
        <v>554588.6</v>
      </c>
      <c r="G246" s="362">
        <v>6618016.1099999994</v>
      </c>
    </row>
    <row r="247" spans="1:7" x14ac:dyDescent="0.25">
      <c r="A247" t="s">
        <v>447</v>
      </c>
      <c r="B247" t="s">
        <v>448</v>
      </c>
      <c r="C247" s="362">
        <v>548245.06000000006</v>
      </c>
      <c r="D247" s="401">
        <v>523730.78</v>
      </c>
      <c r="E247" s="362">
        <v>0</v>
      </c>
      <c r="F247" s="401">
        <v>24514.28</v>
      </c>
      <c r="G247" s="362">
        <v>548245.06000000006</v>
      </c>
    </row>
    <row r="248" spans="1:7" x14ac:dyDescent="0.25">
      <c r="A248" t="s">
        <v>790</v>
      </c>
      <c r="B248" t="s">
        <v>1411</v>
      </c>
      <c r="C248" s="362">
        <v>4820342.53</v>
      </c>
      <c r="D248" s="401">
        <v>4320720.92</v>
      </c>
      <c r="E248" s="362">
        <v>79880.63</v>
      </c>
      <c r="F248" s="401">
        <v>419740.98</v>
      </c>
      <c r="G248" s="362">
        <v>4820342.53</v>
      </c>
    </row>
    <row r="249" spans="1:7" x14ac:dyDescent="0.25">
      <c r="A249" t="s">
        <v>314</v>
      </c>
      <c r="B249" t="s">
        <v>315</v>
      </c>
      <c r="C249" s="362">
        <v>2818953.13</v>
      </c>
      <c r="D249" s="401">
        <v>2818953.13</v>
      </c>
      <c r="E249" s="362">
        <v>0</v>
      </c>
      <c r="F249" s="401">
        <v>0</v>
      </c>
      <c r="G249" s="362">
        <v>2818953.13</v>
      </c>
    </row>
    <row r="250" spans="1:7" x14ac:dyDescent="0.25">
      <c r="A250" t="s">
        <v>635</v>
      </c>
      <c r="B250" t="s">
        <v>636</v>
      </c>
      <c r="C250" s="362">
        <v>2070853.28</v>
      </c>
      <c r="D250" s="401">
        <v>2070853.28</v>
      </c>
      <c r="E250" s="362">
        <v>0</v>
      </c>
      <c r="F250" s="401">
        <v>0</v>
      </c>
      <c r="G250" s="362">
        <v>2070853.28</v>
      </c>
    </row>
    <row r="251" spans="1:7" x14ac:dyDescent="0.25">
      <c r="A251" t="s">
        <v>692</v>
      </c>
      <c r="B251" t="s">
        <v>693</v>
      </c>
      <c r="C251" s="362">
        <v>354866.34</v>
      </c>
      <c r="D251" s="401">
        <v>354866.34</v>
      </c>
      <c r="E251" s="362">
        <v>0</v>
      </c>
      <c r="F251" s="401">
        <v>0</v>
      </c>
      <c r="G251" s="362">
        <v>354866.34</v>
      </c>
    </row>
    <row r="252" spans="1:7" x14ac:dyDescent="0.25">
      <c r="A252" t="s">
        <v>598</v>
      </c>
      <c r="B252" t="s">
        <v>599</v>
      </c>
      <c r="C252" s="362">
        <v>561271.62</v>
      </c>
      <c r="D252" s="401">
        <v>561271.62</v>
      </c>
      <c r="E252" s="362">
        <v>0</v>
      </c>
      <c r="F252" s="401">
        <v>0</v>
      </c>
      <c r="G252" s="362">
        <v>561271.62</v>
      </c>
    </row>
    <row r="253" spans="1:7" x14ac:dyDescent="0.25">
      <c r="A253" t="s">
        <v>558</v>
      </c>
      <c r="B253" t="s">
        <v>559</v>
      </c>
      <c r="C253" s="362">
        <v>51202.67</v>
      </c>
      <c r="D253" s="401">
        <v>41066.730000000003</v>
      </c>
      <c r="E253" s="362">
        <v>0</v>
      </c>
      <c r="F253" s="401">
        <v>10135.94</v>
      </c>
      <c r="G253" s="362">
        <v>51202.670000000006</v>
      </c>
    </row>
    <row r="254" spans="1:7" x14ac:dyDescent="0.25">
      <c r="A254" t="s">
        <v>266</v>
      </c>
      <c r="B254" t="s">
        <v>267</v>
      </c>
      <c r="C254" s="362">
        <v>973375.13</v>
      </c>
      <c r="D254" s="401">
        <v>961417.47</v>
      </c>
      <c r="E254" s="362">
        <v>11957.66</v>
      </c>
      <c r="F254" s="401">
        <v>0</v>
      </c>
      <c r="G254" s="362">
        <v>973375.13</v>
      </c>
    </row>
    <row r="255" spans="1:7" x14ac:dyDescent="0.25">
      <c r="A255" t="s">
        <v>784</v>
      </c>
      <c r="B255" t="s">
        <v>785</v>
      </c>
      <c r="C255" s="362">
        <v>602682.05000000005</v>
      </c>
      <c r="D255" s="401">
        <v>595631.64</v>
      </c>
      <c r="E255" s="362">
        <v>0</v>
      </c>
      <c r="F255" s="401">
        <v>7050.41</v>
      </c>
      <c r="G255" s="362">
        <v>602682.05000000005</v>
      </c>
    </row>
    <row r="256" spans="1:7" x14ac:dyDescent="0.25">
      <c r="A256" t="s">
        <v>760</v>
      </c>
      <c r="B256" t="s">
        <v>761</v>
      </c>
      <c r="C256" s="362">
        <v>853602.77</v>
      </c>
      <c r="D256" s="401">
        <v>834182.88</v>
      </c>
      <c r="E256" s="362">
        <v>0</v>
      </c>
      <c r="F256" s="401">
        <v>19419.89</v>
      </c>
      <c r="G256" s="362">
        <v>853602.77</v>
      </c>
    </row>
    <row r="257" spans="1:7" x14ac:dyDescent="0.25">
      <c r="A257" t="s">
        <v>286</v>
      </c>
      <c r="B257" t="s">
        <v>287</v>
      </c>
      <c r="C257" s="362">
        <v>2886053.1</v>
      </c>
      <c r="D257" s="401">
        <v>2886053.1</v>
      </c>
      <c r="E257" s="362">
        <v>0</v>
      </c>
      <c r="F257" s="401">
        <v>0</v>
      </c>
      <c r="G257" s="362">
        <v>2886053.1</v>
      </c>
    </row>
    <row r="258" spans="1:7" x14ac:dyDescent="0.25">
      <c r="A258" t="s">
        <v>453</v>
      </c>
      <c r="B258" t="s">
        <v>454</v>
      </c>
      <c r="C258" s="362">
        <v>175871.73</v>
      </c>
      <c r="D258" s="401">
        <v>133246.87</v>
      </c>
      <c r="E258" s="362">
        <v>0</v>
      </c>
      <c r="F258" s="401">
        <v>42624.86</v>
      </c>
      <c r="G258" s="362">
        <v>175871.72999999998</v>
      </c>
    </row>
    <row r="259" spans="1:7" x14ac:dyDescent="0.25">
      <c r="A259" t="s">
        <v>720</v>
      </c>
      <c r="B259" t="s">
        <v>721</v>
      </c>
      <c r="C259" s="362">
        <v>96849.1</v>
      </c>
      <c r="D259" s="401">
        <v>96849.1</v>
      </c>
      <c r="E259" s="362">
        <v>0</v>
      </c>
      <c r="F259" s="401">
        <v>0</v>
      </c>
      <c r="G259" s="362">
        <v>96849.1</v>
      </c>
    </row>
    <row r="260" spans="1:7" x14ac:dyDescent="0.25">
      <c r="A260" t="s">
        <v>350</v>
      </c>
      <c r="B260" t="s">
        <v>1396</v>
      </c>
      <c r="C260" s="362">
        <v>22737.27</v>
      </c>
      <c r="D260" s="401">
        <v>22737.27</v>
      </c>
      <c r="E260" s="362">
        <v>0</v>
      </c>
      <c r="F260" s="401">
        <v>0</v>
      </c>
      <c r="G260" s="362">
        <v>22737.27</v>
      </c>
    </row>
    <row r="261" spans="1:7" x14ac:dyDescent="0.25">
      <c r="A261" t="s">
        <v>282</v>
      </c>
      <c r="B261" t="s">
        <v>1392</v>
      </c>
      <c r="C261" s="362">
        <v>180775.36</v>
      </c>
      <c r="D261" s="401">
        <v>172273.68</v>
      </c>
      <c r="E261" s="362">
        <v>0</v>
      </c>
      <c r="F261" s="401">
        <v>8501.68</v>
      </c>
      <c r="G261" s="362">
        <v>180775.36</v>
      </c>
    </row>
    <row r="262" spans="1:7" x14ac:dyDescent="0.25">
      <c r="A262" t="s">
        <v>470</v>
      </c>
      <c r="B262" t="s">
        <v>471</v>
      </c>
      <c r="C262" s="362">
        <v>449919.81</v>
      </c>
      <c r="D262" s="401">
        <v>449919.81</v>
      </c>
      <c r="E262" s="362">
        <v>0</v>
      </c>
      <c r="F262" s="401">
        <v>0</v>
      </c>
      <c r="G262" s="362">
        <v>449919.81</v>
      </c>
    </row>
    <row r="263" spans="1:7" x14ac:dyDescent="0.25">
      <c r="A263" t="s">
        <v>534</v>
      </c>
      <c r="B263" t="s">
        <v>535</v>
      </c>
      <c r="C263" s="362">
        <v>335139.27</v>
      </c>
      <c r="D263" s="401">
        <v>251611.34</v>
      </c>
      <c r="E263" s="362">
        <v>0</v>
      </c>
      <c r="F263" s="401">
        <v>83527.929999999993</v>
      </c>
      <c r="G263" s="362">
        <v>335139.27</v>
      </c>
    </row>
    <row r="264" spans="1:7" x14ac:dyDescent="0.25">
      <c r="A264" t="s">
        <v>421</v>
      </c>
      <c r="B264" t="s">
        <v>422</v>
      </c>
      <c r="C264" s="362">
        <v>1191585.6599999999</v>
      </c>
      <c r="D264" s="401">
        <v>1191585.6599999999</v>
      </c>
      <c r="E264" s="362">
        <v>0</v>
      </c>
      <c r="F264" s="401">
        <v>0</v>
      </c>
      <c r="G264" s="362">
        <v>1191585.6599999999</v>
      </c>
    </row>
    <row r="265" spans="1:7" x14ac:dyDescent="0.25">
      <c r="A265" t="s">
        <v>814</v>
      </c>
      <c r="B265" t="s">
        <v>1413</v>
      </c>
      <c r="C265" s="362">
        <v>9119200.9399999995</v>
      </c>
      <c r="D265" s="401">
        <v>8030414.8099999996</v>
      </c>
      <c r="E265" s="362">
        <v>14026.13</v>
      </c>
      <c r="F265" s="401">
        <v>1074760</v>
      </c>
      <c r="G265" s="362">
        <v>9119200.9399999995</v>
      </c>
    </row>
    <row r="266" spans="1:7" x14ac:dyDescent="0.25">
      <c r="A266" t="s">
        <v>532</v>
      </c>
      <c r="B266" t="s">
        <v>533</v>
      </c>
      <c r="C266" s="362">
        <v>29228365.489999998</v>
      </c>
      <c r="D266" s="401">
        <v>22169122.670000002</v>
      </c>
      <c r="E266" s="362">
        <v>122250.03</v>
      </c>
      <c r="F266" s="401">
        <v>6936992.79</v>
      </c>
      <c r="G266" s="362">
        <v>29228365.490000002</v>
      </c>
    </row>
    <row r="267" spans="1:7" x14ac:dyDescent="0.25">
      <c r="A267" t="s">
        <v>754</v>
      </c>
      <c r="B267" t="s">
        <v>755</v>
      </c>
      <c r="C267" s="362">
        <v>9131807.8300000001</v>
      </c>
      <c r="D267" s="401">
        <v>8381878.8899999997</v>
      </c>
      <c r="E267" s="362">
        <v>0</v>
      </c>
      <c r="F267" s="401">
        <v>749928.94</v>
      </c>
      <c r="G267" s="362">
        <v>9131807.8300000001</v>
      </c>
    </row>
    <row r="268" spans="1:7" x14ac:dyDescent="0.25">
      <c r="A268" t="s">
        <v>552</v>
      </c>
      <c r="B268" t="s">
        <v>553</v>
      </c>
      <c r="C268" s="362">
        <v>20723385.870000001</v>
      </c>
      <c r="D268" s="401">
        <v>20705469.449999999</v>
      </c>
      <c r="E268" s="362">
        <v>17916.419999999998</v>
      </c>
      <c r="F268" s="401">
        <v>0</v>
      </c>
      <c r="G268" s="362">
        <v>20723385.870000001</v>
      </c>
    </row>
    <row r="269" spans="1:7" x14ac:dyDescent="0.25">
      <c r="A269" t="s">
        <v>616</v>
      </c>
      <c r="B269" t="s">
        <v>617</v>
      </c>
      <c r="C269" s="362">
        <v>1044790.79</v>
      </c>
      <c r="D269" s="401">
        <v>1044615.79</v>
      </c>
      <c r="E269" s="362">
        <v>175</v>
      </c>
      <c r="F269" s="401">
        <v>0</v>
      </c>
      <c r="G269" s="362">
        <v>1044790.79</v>
      </c>
    </row>
    <row r="270" spans="1:7" x14ac:dyDescent="0.25">
      <c r="A270" t="s">
        <v>386</v>
      </c>
      <c r="B270" t="s">
        <v>387</v>
      </c>
      <c r="C270" s="362">
        <v>896173.76</v>
      </c>
      <c r="D270" s="401">
        <v>807627.88</v>
      </c>
      <c r="E270" s="362">
        <v>12599.56</v>
      </c>
      <c r="F270" s="401">
        <v>75946.320000000007</v>
      </c>
      <c r="G270" s="362">
        <v>896173.76</v>
      </c>
    </row>
    <row r="271" spans="1:7" x14ac:dyDescent="0.25">
      <c r="A271" t="s">
        <v>639</v>
      </c>
      <c r="B271" t="s">
        <v>640</v>
      </c>
      <c r="C271" s="362">
        <v>4277391.78</v>
      </c>
      <c r="D271" s="401">
        <v>3381831.53</v>
      </c>
      <c r="E271" s="362">
        <v>15817.16</v>
      </c>
      <c r="F271" s="401">
        <v>879743.09</v>
      </c>
      <c r="G271" s="362">
        <v>4277391.7799999993</v>
      </c>
    </row>
    <row r="272" spans="1:7" x14ac:dyDescent="0.25">
      <c r="A272" t="s">
        <v>736</v>
      </c>
      <c r="B272" t="s">
        <v>737</v>
      </c>
      <c r="C272" s="362">
        <v>1905001.97</v>
      </c>
      <c r="D272" s="401">
        <v>1859891.09</v>
      </c>
      <c r="E272" s="362">
        <v>35596.36</v>
      </c>
      <c r="F272" s="401">
        <v>9514.52</v>
      </c>
      <c r="G272" s="362">
        <v>1905001.9700000002</v>
      </c>
    </row>
    <row r="273" spans="1:8" x14ac:dyDescent="0.25">
      <c r="A273" t="s">
        <v>1334</v>
      </c>
      <c r="B273" t="s">
        <v>1425</v>
      </c>
      <c r="C273" s="362">
        <v>0</v>
      </c>
      <c r="D273" s="401">
        <v>0</v>
      </c>
      <c r="E273" s="362">
        <v>0</v>
      </c>
      <c r="F273" s="401">
        <v>0</v>
      </c>
      <c r="G273" s="362">
        <v>0</v>
      </c>
    </row>
    <row r="274" spans="1:8" x14ac:dyDescent="0.25">
      <c r="A274" t="s">
        <v>766</v>
      </c>
      <c r="B274" t="s">
        <v>767</v>
      </c>
      <c r="C274" s="362">
        <v>824959.23</v>
      </c>
      <c r="D274" s="401">
        <v>824959.23</v>
      </c>
      <c r="E274" s="362">
        <v>0</v>
      </c>
      <c r="F274" s="401">
        <v>0</v>
      </c>
      <c r="G274" s="362">
        <v>824959.23</v>
      </c>
    </row>
    <row r="275" spans="1:8" x14ac:dyDescent="0.25">
      <c r="A275" t="s">
        <v>318</v>
      </c>
      <c r="B275" t="s">
        <v>319</v>
      </c>
      <c r="C275" s="362">
        <v>35130.69</v>
      </c>
      <c r="D275" s="401">
        <v>35130.69</v>
      </c>
      <c r="E275" s="362">
        <v>0</v>
      </c>
      <c r="F275" s="401">
        <v>0</v>
      </c>
      <c r="G275" s="362">
        <v>35130.69</v>
      </c>
    </row>
    <row r="276" spans="1:8" x14ac:dyDescent="0.25">
      <c r="A276" t="s">
        <v>772</v>
      </c>
      <c r="B276" t="s">
        <v>773</v>
      </c>
      <c r="C276" s="362">
        <v>7864712.1699999999</v>
      </c>
      <c r="D276" s="401">
        <v>7864712.1699999999</v>
      </c>
      <c r="E276" s="362">
        <v>0</v>
      </c>
      <c r="F276" s="401">
        <v>0</v>
      </c>
      <c r="G276" s="362">
        <v>7864712.1699999999</v>
      </c>
    </row>
    <row r="277" spans="1:8" x14ac:dyDescent="0.25">
      <c r="A277" t="s">
        <v>278</v>
      </c>
      <c r="B277" t="s">
        <v>279</v>
      </c>
      <c r="C277" s="362">
        <v>1948852.02</v>
      </c>
      <c r="D277" s="401">
        <v>1871738.42</v>
      </c>
      <c r="E277" s="362">
        <v>0</v>
      </c>
      <c r="F277" s="401">
        <v>77113.600000000006</v>
      </c>
      <c r="G277" s="362">
        <v>1948852.02</v>
      </c>
    </row>
    <row r="278" spans="1:8" x14ac:dyDescent="0.25">
      <c r="A278" t="s">
        <v>746</v>
      </c>
      <c r="B278" t="s">
        <v>747</v>
      </c>
      <c r="C278" s="362">
        <v>205500</v>
      </c>
      <c r="D278" s="401">
        <v>205500</v>
      </c>
      <c r="E278" s="362">
        <v>0</v>
      </c>
      <c r="F278" s="401">
        <v>0</v>
      </c>
      <c r="G278" s="362">
        <v>205500</v>
      </c>
    </row>
    <row r="279" spans="1:8" x14ac:dyDescent="0.25">
      <c r="A279" t="s">
        <v>284</v>
      </c>
      <c r="B279" t="s">
        <v>1393</v>
      </c>
      <c r="C279" s="362">
        <v>1075250.5900000001</v>
      </c>
      <c r="D279" s="401">
        <v>1060953.28</v>
      </c>
      <c r="E279" s="362">
        <v>14297.31</v>
      </c>
      <c r="F279" s="401">
        <v>0</v>
      </c>
      <c r="G279" s="362">
        <v>1075250.5900000001</v>
      </c>
    </row>
    <row r="280" spans="1:8" x14ac:dyDescent="0.25">
      <c r="A280" t="s">
        <v>770</v>
      </c>
      <c r="B280" t="s">
        <v>771</v>
      </c>
      <c r="C280" s="362">
        <v>190004.39</v>
      </c>
      <c r="D280" s="401">
        <v>190004.39</v>
      </c>
      <c r="E280" s="362">
        <v>0</v>
      </c>
      <c r="F280" s="401">
        <v>0</v>
      </c>
      <c r="G280" s="362">
        <v>190004.39</v>
      </c>
      <c r="H280">
        <v>190004.39</v>
      </c>
    </row>
    <row r="281" spans="1:8" x14ac:dyDescent="0.25">
      <c r="A281" t="s">
        <v>596</v>
      </c>
      <c r="B281" t="s">
        <v>597</v>
      </c>
      <c r="C281" s="362">
        <v>202807.26</v>
      </c>
      <c r="D281" s="401">
        <v>202807.26</v>
      </c>
      <c r="E281" s="362">
        <v>0</v>
      </c>
      <c r="F281" s="401">
        <v>0</v>
      </c>
      <c r="G281" s="362">
        <v>202807.26</v>
      </c>
    </row>
    <row r="282" spans="1:8" x14ac:dyDescent="0.25">
      <c r="A282" t="s">
        <v>1426</v>
      </c>
      <c r="B282" t="s">
        <v>1427</v>
      </c>
      <c r="C282" s="362">
        <v>109555.28</v>
      </c>
      <c r="D282" s="401">
        <v>109555.28</v>
      </c>
      <c r="E282" s="362">
        <v>0</v>
      </c>
      <c r="F282" s="401">
        <v>0</v>
      </c>
      <c r="G282" s="362">
        <v>109555.28</v>
      </c>
    </row>
    <row r="283" spans="1:8" x14ac:dyDescent="0.25">
      <c r="A283" t="s">
        <v>214</v>
      </c>
      <c r="B283" t="s">
        <v>215</v>
      </c>
      <c r="C283" s="362">
        <v>20566873.690000001</v>
      </c>
      <c r="D283" s="401">
        <v>18071840.18</v>
      </c>
      <c r="E283" s="362">
        <v>0</v>
      </c>
      <c r="F283" s="401">
        <v>2495033.5099999998</v>
      </c>
      <c r="G283" s="362">
        <v>20566873.689999998</v>
      </c>
    </row>
    <row r="284" spans="1:8" x14ac:dyDescent="0.25">
      <c r="A284" t="s">
        <v>354</v>
      </c>
      <c r="B284" t="s">
        <v>355</v>
      </c>
      <c r="C284" s="362">
        <v>9485544.3200000003</v>
      </c>
      <c r="D284" s="401">
        <v>9485314.3200000003</v>
      </c>
      <c r="E284" s="362">
        <v>0</v>
      </c>
      <c r="F284" s="401">
        <v>230</v>
      </c>
      <c r="G284" s="362">
        <v>9485544.3200000003</v>
      </c>
    </row>
    <row r="285" spans="1:8" x14ac:dyDescent="0.25">
      <c r="A285" t="s">
        <v>223</v>
      </c>
      <c r="B285" t="s">
        <v>224</v>
      </c>
      <c r="C285" s="362">
        <v>4456099</v>
      </c>
      <c r="D285" s="401">
        <v>4441704.0199999996</v>
      </c>
      <c r="E285" s="362">
        <v>13381.98</v>
      </c>
      <c r="F285" s="401">
        <v>1013</v>
      </c>
      <c r="G285" s="362">
        <v>4456099</v>
      </c>
    </row>
    <row r="286" spans="1:8" x14ac:dyDescent="0.25">
      <c r="A286" t="s">
        <v>460</v>
      </c>
      <c r="B286" t="s">
        <v>461</v>
      </c>
      <c r="C286" s="362">
        <v>5924032.1600000001</v>
      </c>
      <c r="D286" s="401">
        <v>5324745.46</v>
      </c>
      <c r="E286" s="362">
        <v>52951.199999999997</v>
      </c>
      <c r="F286" s="401">
        <v>546335.5</v>
      </c>
      <c r="G286" s="362">
        <v>5924032.1600000001</v>
      </c>
    </row>
    <row r="287" spans="1:8" x14ac:dyDescent="0.25">
      <c r="A287" t="s">
        <v>482</v>
      </c>
      <c r="B287" t="s">
        <v>483</v>
      </c>
      <c r="C287" s="362">
        <v>2234976.9500000002</v>
      </c>
      <c r="D287" s="401">
        <v>2234976.9500000002</v>
      </c>
      <c r="E287" s="362">
        <v>0</v>
      </c>
      <c r="F287" s="401">
        <v>0</v>
      </c>
      <c r="G287" s="362">
        <v>2234976.9500000002</v>
      </c>
    </row>
    <row r="288" spans="1:8" x14ac:dyDescent="0.25">
      <c r="A288" t="s">
        <v>520</v>
      </c>
      <c r="B288" t="s">
        <v>521</v>
      </c>
      <c r="C288" s="362">
        <v>2811053.5</v>
      </c>
      <c r="D288" s="401">
        <v>2776318.95</v>
      </c>
      <c r="E288" s="362">
        <v>34734.550000000003</v>
      </c>
      <c r="F288" s="401">
        <v>0</v>
      </c>
      <c r="G288" s="362">
        <v>2811053.5</v>
      </c>
    </row>
    <row r="289" spans="1:7" x14ac:dyDescent="0.25">
      <c r="A289" t="s">
        <v>500</v>
      </c>
      <c r="B289" t="s">
        <v>501</v>
      </c>
      <c r="C289" s="362">
        <v>3802517.76</v>
      </c>
      <c r="D289" s="401">
        <v>3106232.69</v>
      </c>
      <c r="E289" s="362">
        <v>47049.21</v>
      </c>
      <c r="F289" s="401">
        <v>649235.86</v>
      </c>
      <c r="G289" s="362">
        <v>3802517.76</v>
      </c>
    </row>
    <row r="290" spans="1:7" x14ac:dyDescent="0.25">
      <c r="A290" t="s">
        <v>1314</v>
      </c>
      <c r="B290" t="s">
        <v>1400</v>
      </c>
      <c r="C290" s="362">
        <v>805444.62</v>
      </c>
      <c r="D290" s="401">
        <v>805444.62</v>
      </c>
      <c r="E290" s="362">
        <v>0</v>
      </c>
      <c r="F290" s="401">
        <v>0</v>
      </c>
      <c r="G290" s="362">
        <v>805444.62</v>
      </c>
    </row>
    <row r="291" spans="1:7" x14ac:dyDescent="0.25">
      <c r="A291" t="s">
        <v>433</v>
      </c>
      <c r="B291" t="s">
        <v>1195</v>
      </c>
      <c r="C291" s="362">
        <v>89342.88</v>
      </c>
      <c r="D291" s="401">
        <v>70244.800000000003</v>
      </c>
      <c r="E291" s="362">
        <v>0</v>
      </c>
      <c r="F291" s="401">
        <v>19098.080000000002</v>
      </c>
      <c r="G291" s="362">
        <v>89342.88</v>
      </c>
    </row>
    <row r="292" spans="1:7" x14ac:dyDescent="0.25">
      <c r="A292" t="s">
        <v>445</v>
      </c>
      <c r="B292" t="s">
        <v>446</v>
      </c>
      <c r="C292" s="362">
        <v>84840.38</v>
      </c>
      <c r="D292" s="401">
        <v>84840.38</v>
      </c>
      <c r="E292" s="362">
        <v>0</v>
      </c>
      <c r="F292" s="401">
        <v>0</v>
      </c>
      <c r="G292" s="362">
        <v>84840.38</v>
      </c>
    </row>
    <row r="293" spans="1:7" x14ac:dyDescent="0.25">
      <c r="A293" t="s">
        <v>734</v>
      </c>
      <c r="B293" t="s">
        <v>735</v>
      </c>
      <c r="C293" s="362">
        <v>314016.92</v>
      </c>
      <c r="D293" s="401">
        <v>308131.15999999997</v>
      </c>
      <c r="E293" s="362">
        <v>5885.76</v>
      </c>
      <c r="F293" s="401">
        <v>0</v>
      </c>
      <c r="G293" s="362">
        <v>314016.92</v>
      </c>
    </row>
    <row r="294" spans="1:7" x14ac:dyDescent="0.25">
      <c r="A294" t="s">
        <v>602</v>
      </c>
      <c r="B294" t="s">
        <v>603</v>
      </c>
      <c r="C294" s="362">
        <v>3018697.75</v>
      </c>
      <c r="D294" s="401">
        <v>2923545.77</v>
      </c>
      <c r="E294" s="362">
        <v>33765.67</v>
      </c>
      <c r="F294" s="401">
        <v>61386.31</v>
      </c>
      <c r="G294" s="362">
        <v>3018697.75</v>
      </c>
    </row>
    <row r="295" spans="1:7" x14ac:dyDescent="0.25">
      <c r="A295" t="s">
        <v>276</v>
      </c>
      <c r="B295" t="s">
        <v>277</v>
      </c>
      <c r="C295" s="362">
        <v>591290.18000000005</v>
      </c>
      <c r="D295" s="401">
        <v>591290.18000000005</v>
      </c>
      <c r="E295" s="362">
        <v>0</v>
      </c>
      <c r="F295" s="401">
        <v>0</v>
      </c>
      <c r="G295" s="362">
        <v>591290.18000000005</v>
      </c>
    </row>
    <row r="296" spans="1:7" x14ac:dyDescent="0.25">
      <c r="A296" t="s">
        <v>576</v>
      </c>
      <c r="B296" t="s">
        <v>577</v>
      </c>
      <c r="C296" s="362">
        <v>227885.94</v>
      </c>
      <c r="D296" s="401">
        <v>227885.94</v>
      </c>
      <c r="E296" s="362">
        <v>0</v>
      </c>
      <c r="F296" s="401">
        <v>0</v>
      </c>
      <c r="G296" s="362">
        <v>227885.94</v>
      </c>
    </row>
    <row r="297" spans="1:7" x14ac:dyDescent="0.25">
      <c r="A297" t="s">
        <v>364</v>
      </c>
      <c r="B297" t="s">
        <v>365</v>
      </c>
      <c r="C297" s="362">
        <v>246338.1</v>
      </c>
      <c r="D297" s="401">
        <v>246338.1</v>
      </c>
      <c r="E297" s="362">
        <v>0</v>
      </c>
      <c r="F297" s="401">
        <v>0</v>
      </c>
      <c r="G297" s="362">
        <v>246338.1</v>
      </c>
    </row>
    <row r="298" spans="1:7" x14ac:dyDescent="0.25">
      <c r="A298" t="s">
        <v>708</v>
      </c>
      <c r="B298" t="s">
        <v>709</v>
      </c>
      <c r="C298" s="362">
        <v>32648.74</v>
      </c>
      <c r="D298" s="401">
        <v>32648.74</v>
      </c>
      <c r="E298" s="362">
        <v>0</v>
      </c>
      <c r="F298" s="401">
        <v>0</v>
      </c>
      <c r="G298" s="362">
        <v>32648.74</v>
      </c>
    </row>
    <row r="299" spans="1:7" x14ac:dyDescent="0.25">
      <c r="A299" t="s">
        <v>280</v>
      </c>
      <c r="B299" t="s">
        <v>281</v>
      </c>
      <c r="C299" s="362">
        <v>190261.04</v>
      </c>
      <c r="D299" s="401">
        <v>190261.04</v>
      </c>
      <c r="E299" s="362">
        <v>0</v>
      </c>
      <c r="F299" s="401">
        <v>0</v>
      </c>
      <c r="G299" s="362">
        <v>190261.04</v>
      </c>
    </row>
    <row r="300" spans="1:7" x14ac:dyDescent="0.25">
      <c r="A300" t="s">
        <v>336</v>
      </c>
      <c r="B300" t="s">
        <v>337</v>
      </c>
      <c r="C300" s="362">
        <v>178565.46</v>
      </c>
      <c r="D300" s="401">
        <v>178565.46</v>
      </c>
      <c r="E300" s="362">
        <v>0</v>
      </c>
      <c r="F300" s="401">
        <v>0</v>
      </c>
      <c r="G300" s="362">
        <v>178565.46</v>
      </c>
    </row>
    <row r="301" spans="1:7" x14ac:dyDescent="0.25">
      <c r="A301" t="s">
        <v>643</v>
      </c>
      <c r="B301" t="s">
        <v>644</v>
      </c>
      <c r="C301" s="362">
        <v>233974.84</v>
      </c>
      <c r="D301" s="401">
        <v>233974.84</v>
      </c>
      <c r="E301" s="362">
        <v>0</v>
      </c>
      <c r="F301" s="401">
        <v>0</v>
      </c>
      <c r="G301" s="362">
        <v>233974.84</v>
      </c>
    </row>
    <row r="302" spans="1:7" x14ac:dyDescent="0.25">
      <c r="A302" t="s">
        <v>696</v>
      </c>
      <c r="B302" t="s">
        <v>1204</v>
      </c>
      <c r="C302" s="362">
        <v>164398.43</v>
      </c>
      <c r="D302" s="401">
        <v>164398.43</v>
      </c>
      <c r="E302" s="362">
        <v>0</v>
      </c>
      <c r="F302" s="401">
        <v>0</v>
      </c>
      <c r="G302" s="362">
        <v>164398.43</v>
      </c>
    </row>
    <row r="303" spans="1:7" x14ac:dyDescent="0.25">
      <c r="A303" t="s">
        <v>540</v>
      </c>
      <c r="B303" t="s">
        <v>541</v>
      </c>
      <c r="C303" s="362">
        <v>126432.9</v>
      </c>
      <c r="D303" s="401">
        <v>126432.9</v>
      </c>
      <c r="E303" s="362">
        <v>0</v>
      </c>
      <c r="F303" s="401">
        <v>0</v>
      </c>
      <c r="G303" s="362">
        <v>126432.9</v>
      </c>
    </row>
    <row r="304" spans="1:7" x14ac:dyDescent="0.25">
      <c r="A304" t="s">
        <v>756</v>
      </c>
      <c r="B304" t="s">
        <v>757</v>
      </c>
      <c r="C304" s="362">
        <v>588419.09</v>
      </c>
      <c r="D304" s="401">
        <v>582451</v>
      </c>
      <c r="E304" s="362">
        <v>0</v>
      </c>
      <c r="F304" s="401">
        <v>5968.09</v>
      </c>
      <c r="G304" s="362">
        <v>588419.09</v>
      </c>
    </row>
    <row r="305" spans="1:7" x14ac:dyDescent="0.25">
      <c r="A305" t="s">
        <v>508</v>
      </c>
      <c r="B305" t="s">
        <v>509</v>
      </c>
      <c r="C305" s="362">
        <v>1443870.19</v>
      </c>
      <c r="D305" s="401">
        <v>1443870.19</v>
      </c>
      <c r="E305" s="362">
        <v>0</v>
      </c>
      <c r="F305" s="401">
        <v>0</v>
      </c>
      <c r="G305" s="362">
        <v>1443870.19</v>
      </c>
    </row>
    <row r="306" spans="1:7" x14ac:dyDescent="0.25">
      <c r="A306" t="s">
        <v>812</v>
      </c>
      <c r="B306" t="s">
        <v>813</v>
      </c>
      <c r="C306" s="362">
        <v>27858109.359999999</v>
      </c>
      <c r="D306" s="401">
        <v>22149581.870000001</v>
      </c>
      <c r="E306" s="362">
        <v>408806.64</v>
      </c>
      <c r="F306" s="401">
        <v>5299720.8499999996</v>
      </c>
      <c r="G306" s="362">
        <v>27858109.359999999</v>
      </c>
    </row>
    <row r="307" spans="1:7" x14ac:dyDescent="0.25">
      <c r="A307" t="s">
        <v>322</v>
      </c>
      <c r="B307" t="s">
        <v>1395</v>
      </c>
      <c r="C307" s="362">
        <v>4097502.12</v>
      </c>
      <c r="D307" s="401">
        <v>4097502.12</v>
      </c>
      <c r="E307" s="362">
        <v>0</v>
      </c>
      <c r="F307" s="401">
        <v>0</v>
      </c>
      <c r="G307" s="362">
        <v>4097502.12</v>
      </c>
    </row>
    <row r="308" spans="1:7" x14ac:dyDescent="0.25">
      <c r="A308" t="s">
        <v>659</v>
      </c>
      <c r="B308" t="s">
        <v>660</v>
      </c>
      <c r="C308" s="362">
        <v>4528701.5</v>
      </c>
      <c r="D308" s="401">
        <v>4528701.5</v>
      </c>
      <c r="E308" s="362">
        <v>0</v>
      </c>
      <c r="F308" s="401">
        <v>0</v>
      </c>
      <c r="G308" s="362">
        <v>4528701.5</v>
      </c>
    </row>
    <row r="309" spans="1:7" x14ac:dyDescent="0.25">
      <c r="A309" t="s">
        <v>462</v>
      </c>
      <c r="B309" t="s">
        <v>463</v>
      </c>
      <c r="C309" s="362">
        <v>919261.29</v>
      </c>
      <c r="D309" s="401">
        <v>919261.29</v>
      </c>
      <c r="E309" s="362">
        <v>0</v>
      </c>
      <c r="F309" s="401">
        <v>0</v>
      </c>
      <c r="G309" s="362">
        <v>919261.29</v>
      </c>
    </row>
    <row r="310" spans="1:7" x14ac:dyDescent="0.25">
      <c r="A310" t="s">
        <v>372</v>
      </c>
      <c r="B310" t="s">
        <v>373</v>
      </c>
      <c r="C310" s="362">
        <v>4311370.88</v>
      </c>
      <c r="D310" s="401">
        <v>4311370.88</v>
      </c>
      <c r="E310" s="362">
        <v>0</v>
      </c>
      <c r="F310" s="401">
        <v>0</v>
      </c>
      <c r="G310" s="362">
        <v>4311370.88</v>
      </c>
    </row>
    <row r="311" spans="1:7" x14ac:dyDescent="0.25">
      <c r="A311" t="s">
        <v>724</v>
      </c>
      <c r="B311" t="s">
        <v>725</v>
      </c>
      <c r="C311" s="362">
        <v>9383109.4499999993</v>
      </c>
      <c r="D311" s="401">
        <v>9383109.4499999993</v>
      </c>
      <c r="E311" s="362">
        <v>0</v>
      </c>
      <c r="F311" s="401">
        <v>0</v>
      </c>
      <c r="G311" s="362">
        <v>9383109.4499999993</v>
      </c>
    </row>
    <row r="312" spans="1:7" x14ac:dyDescent="0.25">
      <c r="A312" t="s">
        <v>744</v>
      </c>
      <c r="B312" t="s">
        <v>745</v>
      </c>
      <c r="C312" s="362">
        <v>4378376.38</v>
      </c>
      <c r="D312" s="401">
        <v>4378376.38</v>
      </c>
      <c r="E312" s="362">
        <v>0</v>
      </c>
      <c r="F312" s="401">
        <v>0</v>
      </c>
      <c r="G312" s="362">
        <v>4378376.38</v>
      </c>
    </row>
    <row r="313" spans="1:7" x14ac:dyDescent="0.25">
      <c r="A313" t="s">
        <v>390</v>
      </c>
      <c r="B313" t="s">
        <v>391</v>
      </c>
      <c r="C313" s="362">
        <v>1242461.5900000001</v>
      </c>
      <c r="D313" s="401">
        <v>1242461.5900000001</v>
      </c>
      <c r="E313" s="362">
        <v>0</v>
      </c>
      <c r="F313" s="401">
        <v>0</v>
      </c>
      <c r="G313" s="362">
        <v>1242461.5900000001</v>
      </c>
    </row>
    <row r="314" spans="1:7" x14ac:dyDescent="0.25">
      <c r="A314" t="s">
        <v>374</v>
      </c>
      <c r="B314" t="s">
        <v>375</v>
      </c>
      <c r="C314" s="362">
        <v>1582358.89</v>
      </c>
      <c r="D314" s="401">
        <v>1582358.89</v>
      </c>
      <c r="E314" s="362">
        <v>0</v>
      </c>
      <c r="F314" s="401">
        <v>0</v>
      </c>
      <c r="G314" s="362">
        <v>1582358.89</v>
      </c>
    </row>
    <row r="315" spans="1:7" x14ac:dyDescent="0.25">
      <c r="A315" t="s">
        <v>816</v>
      </c>
      <c r="B315" t="s">
        <v>817</v>
      </c>
      <c r="C315" s="362">
        <v>1367216.16</v>
      </c>
      <c r="D315" s="401">
        <v>1367216.16</v>
      </c>
      <c r="E315" s="362">
        <v>0</v>
      </c>
      <c r="F315" s="401">
        <v>0</v>
      </c>
      <c r="G315" s="362">
        <v>1367216.16</v>
      </c>
    </row>
    <row r="316" spans="1:7" x14ac:dyDescent="0.25">
      <c r="A316" t="s">
        <v>774</v>
      </c>
      <c r="B316" t="s">
        <v>775</v>
      </c>
      <c r="C316" s="362">
        <v>3480821.72</v>
      </c>
      <c r="D316" s="401">
        <v>3480821.72</v>
      </c>
      <c r="E316" s="362">
        <v>0</v>
      </c>
      <c r="F316" s="401">
        <v>0</v>
      </c>
      <c r="G316" s="362">
        <v>3480821.72</v>
      </c>
    </row>
    <row r="317" spans="1:7" x14ac:dyDescent="0.25">
      <c r="A317" t="s">
        <v>788</v>
      </c>
      <c r="B317" t="s">
        <v>1412</v>
      </c>
      <c r="C317" s="362">
        <v>7953418.9000000004</v>
      </c>
      <c r="D317" s="401">
        <v>7953418.9000000004</v>
      </c>
      <c r="E317" s="362">
        <v>0</v>
      </c>
      <c r="F317" s="401">
        <v>0</v>
      </c>
      <c r="G317" s="362">
        <v>7953418.9000000004</v>
      </c>
    </row>
    <row r="318" spans="1:7" x14ac:dyDescent="0.25">
      <c r="A318" t="s">
        <v>498</v>
      </c>
      <c r="B318" t="s">
        <v>499</v>
      </c>
      <c r="C318" s="362">
        <v>1332640.7</v>
      </c>
      <c r="D318" s="401">
        <v>1332640.7</v>
      </c>
      <c r="E318" s="362">
        <v>0</v>
      </c>
      <c r="F318" s="401">
        <v>0</v>
      </c>
      <c r="G318" s="362">
        <v>1332640.7</v>
      </c>
    </row>
  </sheetData>
  <autoFilter ref="A5:G5" xr:uid="{ACC6BBEB-F51A-4ABD-BB0B-5376181BCC8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pageSetUpPr autoPageBreaks="0"/>
  </sheetPr>
  <dimension ref="A1:AB75"/>
  <sheetViews>
    <sheetView showGridLines="0" topLeftCell="G1" zoomScale="90" zoomScaleNormal="90" zoomScalePageLayoutView="90" workbookViewId="0">
      <pane ySplit="3" topLeftCell="A62" activePane="bottomLeft" state="frozen"/>
      <selection activeCell="D21" sqref="D21"/>
      <selection pane="bottomLeft" activeCell="I73" sqref="I73"/>
    </sheetView>
  </sheetViews>
  <sheetFormatPr defaultColWidth="0" defaultRowHeight="15.75"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x14ac:dyDescent="0.25">
      <c r="A1" s="57" t="s">
        <v>58</v>
      </c>
      <c r="D1" s="59" t="s">
        <v>14</v>
      </c>
      <c r="E1" s="10" t="str">
        <f>IF('2. Getting Started'!$B2="","",'2. Getting Started'!$B2)</f>
        <v/>
      </c>
      <c r="G1" s="667" t="s">
        <v>174</v>
      </c>
      <c r="K1" s="59" t="s">
        <v>14</v>
      </c>
      <c r="L1" s="10" t="str">
        <f>IF('2. Getting Started'!$B2="","",'2. Getting Started'!$B2)</f>
        <v/>
      </c>
    </row>
    <row r="2" spans="1:20" ht="25.9" customHeight="1" thickBot="1" x14ac:dyDescent="0.3">
      <c r="A2" s="338" t="s">
        <v>170</v>
      </c>
      <c r="D2" s="59"/>
      <c r="E2" s="10"/>
      <c r="G2" s="667"/>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Started'!B6+2," Budget")</f>
        <v>Eligibility Standard -- Exceptions to MOE as Permitted by 34 CFR §300.204 and Adjustment to MOE as Permitted by 34 CFR §300.205 -- Projections for State Fiscal Year 2023 Budget</v>
      </c>
      <c r="B3" s="61"/>
      <c r="C3" s="61"/>
      <c r="D3" s="61"/>
      <c r="E3" s="61"/>
      <c r="F3" s="62"/>
      <c r="G3" s="667"/>
      <c r="H3" s="60" t="str">
        <f>CONCATENATE("Compliance Standard -- Exceptions to MOE as Permitted by 34 CFR §300.204 and Adjustment to MOE as Permitted by 34 CFR §300.205 -- Final Expenditures for  State Fiscal Year ",'2. Getting Started'!B6+2)</f>
        <v>Compliance Standard -- Exceptions to MOE as Permitted by 34 CFR §300.204 and Adjustment to MOE as Permitted by 34 CFR §300.205 -- Final Expenditures for  State Fiscal Year 2023</v>
      </c>
      <c r="I3" s="61"/>
      <c r="J3" s="61"/>
      <c r="K3" s="61"/>
      <c r="L3" s="61"/>
      <c r="M3" s="62"/>
      <c r="O3" s="64"/>
      <c r="P3" s="64"/>
      <c r="Q3" s="64"/>
      <c r="R3" s="64"/>
      <c r="S3" s="64"/>
      <c r="T3" s="64"/>
    </row>
    <row r="4" spans="1:20" x14ac:dyDescent="0.25">
      <c r="A4" s="65" t="s">
        <v>59</v>
      </c>
      <c r="B4" s="66"/>
      <c r="C4" s="67"/>
      <c r="D4" s="67"/>
      <c r="E4" s="67"/>
      <c r="F4" s="68"/>
      <c r="G4" s="667"/>
      <c r="H4" s="65" t="s">
        <v>59</v>
      </c>
      <c r="I4" s="66"/>
      <c r="J4" s="67"/>
      <c r="K4" s="67"/>
      <c r="L4" s="67"/>
      <c r="M4" s="68"/>
      <c r="N4" s="70"/>
      <c r="O4" s="70"/>
      <c r="P4" s="70"/>
      <c r="Q4" s="70"/>
      <c r="R4" s="70"/>
      <c r="S4" s="70"/>
    </row>
    <row r="5" spans="1:20" x14ac:dyDescent="0.25">
      <c r="A5" s="71" t="s">
        <v>60</v>
      </c>
      <c r="B5" s="72"/>
      <c r="C5" s="69"/>
      <c r="D5" s="69"/>
      <c r="E5" s="69"/>
      <c r="F5" s="73"/>
      <c r="G5" s="667"/>
      <c r="H5" s="71" t="s">
        <v>60</v>
      </c>
      <c r="I5" s="72"/>
      <c r="J5" s="69"/>
      <c r="K5" s="69"/>
      <c r="L5" s="69"/>
      <c r="M5" s="73"/>
      <c r="N5" s="74"/>
      <c r="O5" s="74"/>
      <c r="P5" s="74"/>
      <c r="Q5" s="74"/>
      <c r="R5" s="74"/>
    </row>
    <row r="6" spans="1:20" ht="35.65" customHeight="1" thickBot="1" x14ac:dyDescent="0.3">
      <c r="A6" s="75" t="s">
        <v>61</v>
      </c>
      <c r="B6" s="76"/>
      <c r="C6" s="76"/>
      <c r="D6" s="76"/>
      <c r="E6" s="76"/>
      <c r="F6" s="77"/>
      <c r="G6" s="667"/>
      <c r="H6" s="75" t="s">
        <v>61</v>
      </c>
      <c r="I6" s="76"/>
      <c r="J6" s="76"/>
      <c r="K6" s="76"/>
      <c r="L6" s="76"/>
      <c r="M6" s="77"/>
      <c r="N6" s="74"/>
      <c r="O6" s="74"/>
      <c r="P6" s="74"/>
      <c r="Q6" s="74"/>
      <c r="R6" s="74"/>
      <c r="S6" s="74"/>
    </row>
    <row r="7" spans="1:20" x14ac:dyDescent="0.25">
      <c r="A7" s="78" t="s">
        <v>62</v>
      </c>
      <c r="B7" s="79" t="s">
        <v>63</v>
      </c>
      <c r="C7" s="80" t="s">
        <v>64</v>
      </c>
      <c r="D7" s="80" t="s">
        <v>65</v>
      </c>
      <c r="E7" s="81" t="s">
        <v>66</v>
      </c>
      <c r="F7" s="82" t="s">
        <v>67</v>
      </c>
      <c r="G7" s="667"/>
      <c r="H7" s="78" t="s">
        <v>62</v>
      </c>
      <c r="I7" s="79" t="s">
        <v>63</v>
      </c>
      <c r="J7" s="80" t="s">
        <v>64</v>
      </c>
      <c r="K7" s="80" t="s">
        <v>65</v>
      </c>
      <c r="L7" s="81" t="s">
        <v>66</v>
      </c>
      <c r="M7" s="82" t="s">
        <v>68</v>
      </c>
      <c r="N7" s="74"/>
      <c r="O7" s="74"/>
    </row>
    <row r="8" spans="1:20" x14ac:dyDescent="0.25">
      <c r="A8" s="186"/>
      <c r="B8" s="187"/>
      <c r="C8" s="187"/>
      <c r="D8" s="188"/>
      <c r="E8" s="188">
        <v>0</v>
      </c>
      <c r="F8" s="84">
        <f>D8+E8</f>
        <v>0</v>
      </c>
      <c r="G8" s="667"/>
      <c r="H8" s="186"/>
      <c r="I8" s="187"/>
      <c r="J8" s="187"/>
      <c r="K8" s="188"/>
      <c r="L8" s="188"/>
      <c r="M8" s="84">
        <f>K8+L8</f>
        <v>0</v>
      </c>
      <c r="N8" s="85"/>
      <c r="O8" s="85"/>
    </row>
    <row r="9" spans="1:20" x14ac:dyDescent="0.25">
      <c r="A9" s="186"/>
      <c r="B9" s="187"/>
      <c r="C9" s="187"/>
      <c r="D9" s="188"/>
      <c r="E9" s="188"/>
      <c r="F9" s="84">
        <f>D9+E9</f>
        <v>0</v>
      </c>
      <c r="G9" s="667"/>
      <c r="H9" s="186"/>
      <c r="I9" s="187"/>
      <c r="J9" s="187"/>
      <c r="K9" s="188"/>
      <c r="L9" s="188"/>
      <c r="M9" s="84">
        <f>K9+L9</f>
        <v>0</v>
      </c>
      <c r="N9" s="85"/>
      <c r="O9" s="85"/>
    </row>
    <row r="10" spans="1:20" x14ac:dyDescent="0.25">
      <c r="A10" s="186"/>
      <c r="B10" s="187"/>
      <c r="C10" s="187"/>
      <c r="D10" s="188"/>
      <c r="E10" s="188"/>
      <c r="F10" s="84">
        <f>D10+E10</f>
        <v>0</v>
      </c>
      <c r="G10" s="667"/>
      <c r="H10" s="186"/>
      <c r="I10" s="187"/>
      <c r="J10" s="187"/>
      <c r="K10" s="188"/>
      <c r="L10" s="188"/>
      <c r="M10" s="84">
        <f>K10+L10</f>
        <v>0</v>
      </c>
      <c r="N10" s="85"/>
      <c r="O10" s="85"/>
    </row>
    <row r="11" spans="1:20" x14ac:dyDescent="0.25">
      <c r="A11" s="186"/>
      <c r="B11" s="187"/>
      <c r="C11" s="187"/>
      <c r="D11" s="188"/>
      <c r="E11" s="188"/>
      <c r="F11" s="84">
        <f>D11+E11</f>
        <v>0</v>
      </c>
      <c r="G11" s="667"/>
      <c r="H11" s="186"/>
      <c r="I11" s="187"/>
      <c r="J11" s="187"/>
      <c r="K11" s="188"/>
      <c r="L11" s="188"/>
      <c r="M11" s="84">
        <f>K11+L11</f>
        <v>0</v>
      </c>
      <c r="N11" s="85"/>
      <c r="O11" s="85"/>
    </row>
    <row r="12" spans="1:20" x14ac:dyDescent="0.25">
      <c r="A12" s="186"/>
      <c r="B12" s="187"/>
      <c r="C12" s="187"/>
      <c r="D12" s="188"/>
      <c r="E12" s="188"/>
      <c r="F12" s="84">
        <f>D12+E12</f>
        <v>0</v>
      </c>
      <c r="G12" s="667"/>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67"/>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67"/>
      <c r="H14" s="91" t="s">
        <v>70</v>
      </c>
      <c r="I14" s="92"/>
      <c r="J14" s="92"/>
      <c r="K14" s="92"/>
      <c r="L14" s="92"/>
      <c r="M14" s="93"/>
      <c r="N14" s="74"/>
      <c r="O14" s="74"/>
      <c r="P14" s="74"/>
      <c r="Q14" s="74"/>
      <c r="R14" s="74"/>
      <c r="S14" s="94"/>
    </row>
    <row r="15" spans="1:20" x14ac:dyDescent="0.25">
      <c r="A15" s="95" t="s">
        <v>62</v>
      </c>
      <c r="B15" s="96" t="s">
        <v>63</v>
      </c>
      <c r="C15" s="97" t="s">
        <v>175</v>
      </c>
      <c r="D15" s="80" t="s">
        <v>65</v>
      </c>
      <c r="E15" s="81" t="s">
        <v>66</v>
      </c>
      <c r="F15" s="82" t="s">
        <v>67</v>
      </c>
      <c r="G15" s="667"/>
      <c r="H15" s="95" t="s">
        <v>62</v>
      </c>
      <c r="I15" s="96" t="s">
        <v>63</v>
      </c>
      <c r="J15" s="97" t="s">
        <v>175</v>
      </c>
      <c r="K15" s="80" t="s">
        <v>65</v>
      </c>
      <c r="L15" s="81" t="s">
        <v>66</v>
      </c>
      <c r="M15" s="82" t="s">
        <v>68</v>
      </c>
      <c r="N15" s="64"/>
      <c r="O15" s="99"/>
    </row>
    <row r="16" spans="1:20" x14ac:dyDescent="0.25">
      <c r="A16" s="189"/>
      <c r="B16" s="190"/>
      <c r="C16" s="100"/>
      <c r="D16" s="188"/>
      <c r="E16" s="188"/>
      <c r="F16" s="84">
        <f t="shared" ref="F16:F20" si="2">D16+E16</f>
        <v>0</v>
      </c>
      <c r="G16" s="667"/>
      <c r="H16" s="189"/>
      <c r="I16" s="190"/>
      <c r="J16" s="100"/>
      <c r="K16" s="188"/>
      <c r="L16" s="188"/>
      <c r="M16" s="84">
        <f t="shared" ref="M16:M20" si="3">K16+L16</f>
        <v>0</v>
      </c>
      <c r="N16" s="85"/>
      <c r="O16" s="85"/>
    </row>
    <row r="17" spans="1:19" x14ac:dyDescent="0.25">
      <c r="A17" s="189"/>
      <c r="B17" s="190"/>
      <c r="C17" s="100"/>
      <c r="D17" s="188"/>
      <c r="E17" s="188"/>
      <c r="F17" s="84">
        <f t="shared" si="2"/>
        <v>0</v>
      </c>
      <c r="G17" s="667"/>
      <c r="H17" s="189"/>
      <c r="I17" s="190"/>
      <c r="J17" s="100"/>
      <c r="K17" s="188"/>
      <c r="L17" s="188"/>
      <c r="M17" s="84">
        <f t="shared" si="3"/>
        <v>0</v>
      </c>
      <c r="N17" s="85"/>
      <c r="O17" s="85"/>
    </row>
    <row r="18" spans="1:19" x14ac:dyDescent="0.25">
      <c r="A18" s="189"/>
      <c r="B18" s="190"/>
      <c r="C18" s="100"/>
      <c r="D18" s="188"/>
      <c r="E18" s="188"/>
      <c r="F18" s="84">
        <f t="shared" si="2"/>
        <v>0</v>
      </c>
      <c r="G18" s="667"/>
      <c r="H18" s="189"/>
      <c r="I18" s="190"/>
      <c r="J18" s="100"/>
      <c r="K18" s="188"/>
      <c r="L18" s="188"/>
      <c r="M18" s="84">
        <f t="shared" si="3"/>
        <v>0</v>
      </c>
      <c r="N18" s="85"/>
      <c r="O18" s="85"/>
    </row>
    <row r="19" spans="1:19" x14ac:dyDescent="0.25">
      <c r="A19" s="189"/>
      <c r="B19" s="190"/>
      <c r="C19" s="100"/>
      <c r="D19" s="188"/>
      <c r="E19" s="188"/>
      <c r="F19" s="84">
        <f t="shared" si="2"/>
        <v>0</v>
      </c>
      <c r="G19" s="667"/>
      <c r="H19" s="189"/>
      <c r="I19" s="190"/>
      <c r="J19" s="100"/>
      <c r="K19" s="188"/>
      <c r="L19" s="188"/>
      <c r="M19" s="84">
        <f t="shared" si="3"/>
        <v>0</v>
      </c>
      <c r="N19" s="85"/>
      <c r="O19" s="85"/>
    </row>
    <row r="20" spans="1:19" x14ac:dyDescent="0.25">
      <c r="A20" s="189"/>
      <c r="B20" s="190"/>
      <c r="C20" s="100"/>
      <c r="D20" s="188"/>
      <c r="E20" s="188"/>
      <c r="F20" s="84">
        <f t="shared" si="2"/>
        <v>0</v>
      </c>
      <c r="G20" s="667"/>
      <c r="H20" s="189"/>
      <c r="I20" s="190"/>
      <c r="J20" s="100"/>
      <c r="K20" s="188"/>
      <c r="L20" s="188"/>
      <c r="M20" s="84">
        <f t="shared" si="3"/>
        <v>0</v>
      </c>
      <c r="N20" s="85"/>
      <c r="O20" s="85"/>
    </row>
    <row r="21" spans="1:19" x14ac:dyDescent="0.25">
      <c r="A21" s="101"/>
      <c r="B21" s="102"/>
      <c r="C21" s="103" t="s">
        <v>72</v>
      </c>
      <c r="D21" s="104">
        <f t="shared" ref="D21:F21" si="4">SUM(D16:D20)</f>
        <v>0</v>
      </c>
      <c r="E21" s="104">
        <f t="shared" si="4"/>
        <v>0</v>
      </c>
      <c r="F21" s="84">
        <f t="shared" si="4"/>
        <v>0</v>
      </c>
      <c r="G21" s="667"/>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67"/>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67"/>
      <c r="H23" s="668" t="s">
        <v>22</v>
      </c>
      <c r="I23" s="668"/>
      <c r="J23" s="668"/>
      <c r="K23" s="668"/>
      <c r="L23" s="668"/>
      <c r="M23" s="668"/>
      <c r="N23" s="94"/>
      <c r="O23" s="94"/>
      <c r="P23" s="94"/>
      <c r="Q23" s="94"/>
      <c r="R23" s="94"/>
      <c r="S23" s="94"/>
    </row>
    <row r="24" spans="1:19" x14ac:dyDescent="0.25">
      <c r="A24" s="112" t="s">
        <v>105</v>
      </c>
      <c r="B24" s="113"/>
      <c r="C24" s="113"/>
      <c r="D24" s="63"/>
      <c r="E24" s="120"/>
      <c r="F24" s="120"/>
      <c r="G24" s="667"/>
      <c r="H24" s="112" t="s">
        <v>105</v>
      </c>
      <c r="I24" s="113"/>
      <c r="J24" s="113"/>
      <c r="K24" s="63"/>
      <c r="L24" s="120"/>
      <c r="M24" s="120"/>
      <c r="N24" s="119"/>
      <c r="O24" s="119"/>
      <c r="P24" s="119"/>
      <c r="Q24" s="119"/>
    </row>
    <row r="25" spans="1:19" x14ac:dyDescent="0.25">
      <c r="A25" s="121" t="s">
        <v>71</v>
      </c>
      <c r="B25" s="122" t="s">
        <v>77</v>
      </c>
      <c r="C25" s="123"/>
      <c r="D25" s="124"/>
      <c r="E25" s="123"/>
      <c r="F25" s="123"/>
      <c r="G25" s="667"/>
      <c r="H25" s="121" t="s">
        <v>71</v>
      </c>
      <c r="I25" s="122" t="s">
        <v>77</v>
      </c>
      <c r="J25" s="123"/>
      <c r="K25" s="124"/>
      <c r="L25" s="123"/>
      <c r="M25" s="123"/>
      <c r="N25" s="119"/>
      <c r="O25" s="119"/>
      <c r="P25" s="119"/>
      <c r="Q25" s="119"/>
    </row>
    <row r="26" spans="1:19" x14ac:dyDescent="0.25">
      <c r="A26" s="125" t="str">
        <f>CONCATENATE("SFY ",'2. Getting Started'!B6+2," Projected Child Count")</f>
        <v>SFY 2023 Projected Child Count</v>
      </c>
      <c r="B26" s="126">
        <f>IF('11. Year 3 Amounts'!B1="","",'11. Year 3 Amounts'!B1)</f>
        <v>0</v>
      </c>
      <c r="C26" s="123"/>
      <c r="D26" s="124"/>
      <c r="E26" s="123"/>
      <c r="F26" s="123"/>
      <c r="G26" s="667"/>
      <c r="H26" s="125" t="str">
        <f>CONCATENATE("SFY ",'2. Getting Started'!B6+2," Child Count")</f>
        <v>SFY 2023 Child Count</v>
      </c>
      <c r="I26" s="126">
        <f>IF('11. Year 3 Amounts'!I1="","",'11. Year 3 Amounts'!I1)</f>
        <v>0</v>
      </c>
      <c r="J26" s="123"/>
      <c r="K26" s="124"/>
      <c r="L26" s="123"/>
      <c r="M26" s="123"/>
      <c r="N26" s="119"/>
      <c r="O26" s="119"/>
      <c r="P26" s="119"/>
      <c r="Q26" s="119"/>
    </row>
    <row r="27" spans="1:19" x14ac:dyDescent="0.25">
      <c r="A27" s="125" t="str">
        <f>CONCATENATE("SFY ",'2. Getting Started'!B6+1," Projected Child Count")</f>
        <v>SFY 2022 Projected Child Count</v>
      </c>
      <c r="B27" s="126" t="e">
        <f>IF('8. Year 2 Amounts'!B1="","",'8. Year 2 Amounts'!B1)</f>
        <v>#N/A</v>
      </c>
      <c r="C27" s="119"/>
      <c r="D27" s="128"/>
      <c r="E27" s="119"/>
      <c r="F27" s="123"/>
      <c r="G27" s="667"/>
      <c r="H27" s="125" t="str">
        <f>CONCATENATE("SFY ",'2. Getting Started'!B6+1," Child Count")</f>
        <v>SFY 2022 Child Count</v>
      </c>
      <c r="I27" s="126" t="e">
        <f>IF('8. Year 2 Amounts'!I1="","",'8. Year 2 Amounts'!I1)</f>
        <v>#N/A</v>
      </c>
      <c r="J27" s="119"/>
      <c r="K27" s="128"/>
      <c r="L27" s="119"/>
      <c r="M27" s="123"/>
      <c r="N27" s="129"/>
      <c r="O27" s="129"/>
      <c r="P27" s="129"/>
      <c r="Q27" s="129"/>
    </row>
    <row r="28" spans="1:19" x14ac:dyDescent="0.25">
      <c r="A28" s="127" t="s">
        <v>78</v>
      </c>
      <c r="B28" s="130" t="e">
        <f>IF(B26="","",B26-B27)</f>
        <v>#N/A</v>
      </c>
      <c r="C28" s="123" t="e">
        <f>IF(B28="","",IF(B28&gt;=0,"Not eligible for this exception",""))</f>
        <v>#N/A</v>
      </c>
      <c r="D28" s="124"/>
      <c r="E28" s="123"/>
      <c r="F28" s="123"/>
      <c r="G28" s="667"/>
      <c r="H28" s="127" t="s">
        <v>78</v>
      </c>
      <c r="I28" s="130" t="e">
        <f>IF(I26="","",I26-I27)</f>
        <v>#N/A</v>
      </c>
      <c r="J28" s="123" t="e">
        <f>IF(I28="","",IF(I28&gt;=0,"Not eligible for this exception",""))</f>
        <v>#N/A</v>
      </c>
      <c r="K28" s="124"/>
      <c r="L28" s="123"/>
      <c r="M28" s="123"/>
      <c r="N28" s="132"/>
      <c r="O28" s="132"/>
      <c r="P28" s="132"/>
      <c r="Q28" s="132"/>
    </row>
    <row r="29" spans="1:19" x14ac:dyDescent="0.25">
      <c r="A29" s="133" t="s">
        <v>79</v>
      </c>
      <c r="B29" s="134" t="e">
        <f>IF(B26="","",IF(B28&lt;=0,ABS(B28/B27),""))</f>
        <v>#N/A</v>
      </c>
      <c r="C29" s="135"/>
      <c r="D29" s="136"/>
      <c r="E29" s="135"/>
      <c r="F29" s="10"/>
      <c r="G29" s="667"/>
      <c r="H29" s="133" t="s">
        <v>79</v>
      </c>
      <c r="I29" s="134" t="e">
        <f>IF(I26="","",IF(I28&lt;=0,ABS(I28/I27),""))</f>
        <v>#N/A</v>
      </c>
      <c r="J29" s="135"/>
      <c r="K29" s="136"/>
      <c r="L29" s="135"/>
      <c r="M29" s="10"/>
      <c r="N29" s="137"/>
      <c r="O29" s="137"/>
      <c r="P29" s="138"/>
      <c r="Q29" s="138"/>
    </row>
    <row r="30" spans="1:19" ht="31.5" x14ac:dyDescent="0.25">
      <c r="A30" s="115" t="s">
        <v>71</v>
      </c>
      <c r="B30" s="116" t="s">
        <v>0</v>
      </c>
      <c r="C30" s="116" t="s">
        <v>2</v>
      </c>
      <c r="D30" s="10"/>
      <c r="E30" s="72"/>
      <c r="F30" s="72"/>
      <c r="G30" s="667"/>
      <c r="H30" s="115" t="s">
        <v>71</v>
      </c>
      <c r="I30" s="116" t="s">
        <v>75</v>
      </c>
      <c r="J30" s="116" t="s">
        <v>76</v>
      </c>
      <c r="K30" s="10"/>
      <c r="L30" s="72"/>
      <c r="M30" s="72"/>
      <c r="N30" s="138"/>
      <c r="O30" s="138"/>
    </row>
    <row r="31" spans="1:19" x14ac:dyDescent="0.25">
      <c r="A31" s="139" t="str">
        <f>CONCATENATE("SFY ",'2. Getting Started'!B6+1," Budget")</f>
        <v>SFY 2022 Budget</v>
      </c>
      <c r="B31" s="140">
        <f>IF('8. Year 2 Amounts'!D30="","",'8. Year 2 Amounts'!D30)</f>
        <v>0</v>
      </c>
      <c r="C31" s="140">
        <f>IF('8. Year 2 Amounts'!F30="","",'8. Year 2 Amounts'!F30)</f>
        <v>0</v>
      </c>
      <c r="D31" s="141"/>
      <c r="E31" s="74"/>
      <c r="F31" s="74"/>
      <c r="G31" s="667"/>
      <c r="H31" s="139" t="str">
        <f>CONCATENATE("SFY ",'2. Getting Started'!B6+1," Final Expenditures")</f>
        <v>SFY 2022 Final Expenditures</v>
      </c>
      <c r="I31" s="140">
        <f>IF('8. Year 2 Amounts'!K30="","",'8. Year 2 Amounts'!K30)</f>
        <v>0</v>
      </c>
      <c r="J31" s="140">
        <f>IF('8. Year 2 Amounts'!M30="","",'8. Year 2 Amounts'!M30)</f>
        <v>0</v>
      </c>
      <c r="K31" s="142"/>
      <c r="L31" s="74"/>
      <c r="M31" s="74"/>
    </row>
    <row r="32" spans="1:19" x14ac:dyDescent="0.25">
      <c r="A32" s="117" t="s">
        <v>80</v>
      </c>
      <c r="B32" s="143" t="e">
        <f>IF(OR($B26="",B29="",B31=""),"",($B29*B31))</f>
        <v>#N/A</v>
      </c>
      <c r="C32" s="143" t="e">
        <f>IF(OR($B26="",B29="",C31=""),"",($B29*C31))</f>
        <v>#N/A</v>
      </c>
      <c r="D32" s="142"/>
      <c r="E32" s="118"/>
      <c r="F32" s="118"/>
      <c r="G32" s="667"/>
      <c r="H32" s="117" t="s">
        <v>81</v>
      </c>
      <c r="I32" s="143" t="e">
        <f>IF(OR($I26="",I29="",I31=""),"",($I29*I31))</f>
        <v>#N/A</v>
      </c>
      <c r="J32" s="143" t="e">
        <f>IF(OR($I26="",I29="",J31=""),"",($I29*J31))</f>
        <v>#N/A</v>
      </c>
      <c r="K32" s="142"/>
      <c r="L32" s="118"/>
      <c r="M32" s="118"/>
    </row>
    <row r="33" spans="1:28" ht="16.5" thickBot="1" x14ac:dyDescent="0.3">
      <c r="A33" s="663" t="s">
        <v>22</v>
      </c>
      <c r="B33" s="663"/>
      <c r="C33" s="663"/>
      <c r="D33" s="123"/>
      <c r="E33" s="123"/>
      <c r="F33" s="123"/>
      <c r="G33" s="667"/>
      <c r="H33" s="663" t="s">
        <v>22</v>
      </c>
      <c r="I33" s="663"/>
      <c r="J33" s="663"/>
      <c r="K33" s="123"/>
      <c r="L33" s="123"/>
      <c r="M33" s="123"/>
      <c r="P33" s="118"/>
      <c r="Q33" s="118"/>
      <c r="R33" s="118"/>
      <c r="S33" s="118"/>
      <c r="T33" s="118"/>
      <c r="U33" s="74"/>
      <c r="V33" s="118"/>
      <c r="W33" s="118"/>
      <c r="X33" s="118"/>
      <c r="Y33" s="118"/>
      <c r="Z33" s="118"/>
      <c r="AA33" s="118"/>
    </row>
    <row r="34" spans="1:28" x14ac:dyDescent="0.25">
      <c r="A34" s="112" t="s">
        <v>82</v>
      </c>
      <c r="B34" s="145"/>
      <c r="C34" s="146"/>
      <c r="D34" s="147"/>
      <c r="E34" s="131"/>
      <c r="F34" s="131"/>
      <c r="G34" s="667"/>
      <c r="H34" s="112" t="s">
        <v>82</v>
      </c>
      <c r="I34" s="145"/>
      <c r="J34" s="146"/>
      <c r="K34" s="147"/>
      <c r="L34" s="131"/>
      <c r="M34" s="131"/>
      <c r="P34" s="118"/>
      <c r="Q34" s="118"/>
      <c r="R34" s="118"/>
      <c r="S34" s="118"/>
      <c r="T34" s="118"/>
      <c r="U34" s="118"/>
      <c r="V34" s="118"/>
      <c r="W34" s="118"/>
      <c r="X34" s="118"/>
      <c r="Y34" s="118"/>
      <c r="Z34" s="118"/>
      <c r="AA34" s="118"/>
    </row>
    <row r="35" spans="1:28" x14ac:dyDescent="0.25">
      <c r="A35" s="148" t="s">
        <v>83</v>
      </c>
      <c r="B35" s="72"/>
      <c r="C35" s="149"/>
      <c r="D35" s="150"/>
      <c r="E35" s="10"/>
      <c r="F35" s="10"/>
      <c r="G35" s="667"/>
      <c r="H35" s="148" t="s">
        <v>83</v>
      </c>
      <c r="I35" s="72"/>
      <c r="J35" s="149"/>
      <c r="K35" s="150"/>
      <c r="L35" s="10"/>
      <c r="M35" s="10"/>
      <c r="P35" s="74"/>
      <c r="Q35" s="74"/>
      <c r="R35" s="74"/>
      <c r="S35" s="74"/>
      <c r="T35" s="74"/>
      <c r="U35" s="74"/>
      <c r="V35" s="74"/>
      <c r="W35" s="74"/>
      <c r="X35" s="74"/>
      <c r="Y35" s="74"/>
      <c r="Z35" s="74"/>
      <c r="AA35" s="74"/>
    </row>
    <row r="36" spans="1:28" x14ac:dyDescent="0.25">
      <c r="A36" s="151" t="s">
        <v>84</v>
      </c>
      <c r="B36" s="72"/>
      <c r="C36" s="152"/>
      <c r="D36" s="150"/>
      <c r="E36" s="10"/>
      <c r="F36" s="10"/>
      <c r="G36" s="667"/>
      <c r="H36" s="151" t="s">
        <v>84</v>
      </c>
      <c r="I36" s="72"/>
      <c r="J36" s="152"/>
      <c r="K36" s="150"/>
      <c r="L36" s="10"/>
      <c r="M36" s="10"/>
      <c r="Q36" s="74"/>
      <c r="R36" s="74"/>
      <c r="S36" s="74"/>
      <c r="T36" s="74"/>
      <c r="U36" s="74"/>
      <c r="V36" s="74"/>
      <c r="W36" s="74"/>
      <c r="X36" s="74"/>
      <c r="Y36" s="74"/>
      <c r="Z36" s="74"/>
      <c r="AA36" s="74"/>
      <c r="AB36" s="74"/>
    </row>
    <row r="37" spans="1:28" x14ac:dyDescent="0.25">
      <c r="A37" s="153" t="s">
        <v>85</v>
      </c>
      <c r="B37" s="154" t="s">
        <v>86</v>
      </c>
      <c r="C37" s="155" t="s">
        <v>87</v>
      </c>
      <c r="D37" s="118"/>
      <c r="E37" s="144"/>
      <c r="F37" s="144"/>
      <c r="G37" s="667"/>
      <c r="H37" s="153" t="s">
        <v>85</v>
      </c>
      <c r="I37" s="154" t="s">
        <v>86</v>
      </c>
      <c r="J37" s="155" t="s">
        <v>88</v>
      </c>
      <c r="K37" s="118"/>
      <c r="L37" s="144"/>
      <c r="M37" s="144"/>
      <c r="P37" s="94"/>
      <c r="Q37" s="94"/>
      <c r="R37" s="94"/>
      <c r="S37" s="94"/>
      <c r="T37" s="94"/>
      <c r="U37" s="94"/>
      <c r="V37" s="94"/>
      <c r="W37" s="94"/>
      <c r="X37" s="94"/>
      <c r="Y37" s="94"/>
      <c r="Z37" s="94"/>
      <c r="AA37" s="94"/>
    </row>
    <row r="38" spans="1:28" x14ac:dyDescent="0.25">
      <c r="A38" s="191"/>
      <c r="B38" s="192"/>
      <c r="C38" s="193"/>
      <c r="D38" s="144"/>
      <c r="E38" s="144"/>
      <c r="F38" s="144"/>
      <c r="G38" s="667"/>
      <c r="H38" s="191"/>
      <c r="I38" s="192"/>
      <c r="J38" s="193"/>
      <c r="K38" s="144"/>
      <c r="L38" s="144"/>
      <c r="M38" s="144"/>
      <c r="P38" s="94"/>
      <c r="Q38" s="94"/>
      <c r="R38" s="94"/>
      <c r="S38" s="94"/>
      <c r="T38" s="94"/>
      <c r="U38" s="94"/>
      <c r="V38" s="94"/>
      <c r="W38" s="94"/>
      <c r="X38" s="94"/>
      <c r="Y38" s="94"/>
      <c r="Z38" s="94"/>
      <c r="AA38" s="94"/>
    </row>
    <row r="39" spans="1:28" x14ac:dyDescent="0.25">
      <c r="A39" s="191"/>
      <c r="B39" s="192"/>
      <c r="C39" s="193"/>
      <c r="D39" s="144"/>
      <c r="E39" s="72"/>
      <c r="F39" s="72"/>
      <c r="G39" s="667"/>
      <c r="H39" s="191"/>
      <c r="I39" s="192"/>
      <c r="J39" s="193"/>
      <c r="K39" s="144"/>
      <c r="L39" s="72"/>
      <c r="M39" s="72"/>
      <c r="P39" s="94"/>
      <c r="Q39" s="94"/>
      <c r="R39" s="94"/>
      <c r="S39" s="94"/>
      <c r="T39" s="94"/>
      <c r="U39" s="94"/>
      <c r="V39" s="94"/>
      <c r="W39" s="94"/>
      <c r="X39" s="94"/>
      <c r="Y39" s="94"/>
      <c r="Z39" s="94"/>
      <c r="AA39" s="94"/>
    </row>
    <row r="40" spans="1:28" x14ac:dyDescent="0.25">
      <c r="A40" s="191"/>
      <c r="B40" s="192"/>
      <c r="C40" s="193"/>
      <c r="D40" s="144"/>
      <c r="E40" s="72"/>
      <c r="F40" s="72"/>
      <c r="G40" s="667"/>
      <c r="H40" s="191"/>
      <c r="I40" s="192"/>
      <c r="J40" s="193"/>
      <c r="K40" s="144"/>
      <c r="L40" s="72"/>
      <c r="M40" s="72"/>
      <c r="P40" s="94"/>
      <c r="Q40" s="94"/>
      <c r="R40" s="94"/>
      <c r="S40" s="94"/>
      <c r="T40" s="94"/>
      <c r="U40" s="94"/>
      <c r="V40" s="94"/>
      <c r="W40" s="94"/>
      <c r="X40" s="94"/>
      <c r="Y40" s="94"/>
      <c r="Z40" s="94"/>
      <c r="AA40" s="94"/>
    </row>
    <row r="41" spans="1:28" x14ac:dyDescent="0.25">
      <c r="A41" s="191"/>
      <c r="B41" s="192"/>
      <c r="C41" s="193"/>
      <c r="D41" s="144"/>
      <c r="E41" s="120"/>
      <c r="F41" s="120"/>
      <c r="G41" s="667"/>
      <c r="H41" s="191"/>
      <c r="I41" s="192"/>
      <c r="J41" s="193"/>
      <c r="K41" s="144"/>
      <c r="L41" s="120"/>
      <c r="M41" s="120"/>
      <c r="P41" s="94"/>
      <c r="Q41" s="94"/>
      <c r="R41" s="94"/>
      <c r="S41" s="94"/>
      <c r="T41" s="94"/>
      <c r="U41" s="94"/>
      <c r="V41" s="94"/>
      <c r="W41" s="94"/>
      <c r="X41" s="94"/>
      <c r="Y41" s="94"/>
      <c r="Z41" s="94"/>
      <c r="AA41" s="94"/>
    </row>
    <row r="42" spans="1:28" x14ac:dyDescent="0.25">
      <c r="A42" s="191"/>
      <c r="B42" s="192"/>
      <c r="C42" s="193"/>
      <c r="D42" s="144"/>
      <c r="F42" s="10"/>
      <c r="G42" s="667"/>
      <c r="H42" s="191"/>
      <c r="I42" s="192"/>
      <c r="J42" s="193"/>
      <c r="K42" s="144"/>
      <c r="M42" s="10"/>
      <c r="P42" s="74"/>
      <c r="Q42" s="74"/>
      <c r="R42" s="74"/>
      <c r="S42" s="74"/>
      <c r="T42" s="74"/>
      <c r="U42" s="74"/>
      <c r="V42" s="74"/>
      <c r="W42" s="74"/>
      <c r="X42" s="74"/>
      <c r="Y42" s="74"/>
      <c r="Z42" s="74"/>
      <c r="AA42" s="74"/>
    </row>
    <row r="43" spans="1:28" x14ac:dyDescent="0.25">
      <c r="A43" s="157" t="s">
        <v>89</v>
      </c>
      <c r="B43" s="158"/>
      <c r="C43" s="159">
        <f>SUM(C38:C42)</f>
        <v>0</v>
      </c>
      <c r="D43" s="144"/>
      <c r="E43" s="74"/>
      <c r="F43" s="72"/>
      <c r="G43" s="667"/>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67"/>
      <c r="H44" s="669" t="s">
        <v>22</v>
      </c>
      <c r="I44" s="669"/>
      <c r="J44" s="669"/>
      <c r="K44" s="72"/>
      <c r="L44" s="72"/>
      <c r="M44" s="72"/>
      <c r="P44" s="94"/>
      <c r="Q44" s="94"/>
      <c r="R44" s="94"/>
      <c r="S44" s="94"/>
      <c r="T44" s="94"/>
      <c r="U44" s="94"/>
      <c r="V44" s="94"/>
      <c r="W44" s="94"/>
      <c r="X44" s="94"/>
      <c r="Y44" s="94"/>
      <c r="Z44" s="94"/>
      <c r="AA44" s="94"/>
    </row>
    <row r="45" spans="1:28" x14ac:dyDescent="0.25">
      <c r="A45" s="112" t="s">
        <v>91</v>
      </c>
      <c r="B45" s="114"/>
      <c r="C45" s="120"/>
      <c r="D45" s="120"/>
      <c r="E45" s="120"/>
      <c r="F45" s="120"/>
      <c r="G45" s="667"/>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67"/>
      <c r="H46" s="71" t="s">
        <v>92</v>
      </c>
      <c r="I46" s="152"/>
      <c r="J46" s="120"/>
      <c r="K46" s="72"/>
      <c r="L46" s="74"/>
      <c r="M46" s="74"/>
      <c r="O46" s="94"/>
      <c r="P46" s="94"/>
      <c r="Q46" s="94"/>
      <c r="R46" s="94"/>
      <c r="S46" s="94"/>
      <c r="T46" s="94"/>
      <c r="U46" s="94"/>
      <c r="V46" s="94"/>
      <c r="W46" s="94"/>
      <c r="X46" s="94"/>
      <c r="Y46" s="94"/>
      <c r="Z46" s="94"/>
    </row>
    <row r="47" spans="1:28" x14ac:dyDescent="0.25">
      <c r="A47" s="160" t="s">
        <v>93</v>
      </c>
      <c r="B47" s="161" t="s">
        <v>94</v>
      </c>
      <c r="C47" s="118"/>
      <c r="D47" s="118"/>
      <c r="E47" s="144"/>
      <c r="F47" s="110"/>
      <c r="G47" s="667"/>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67"/>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67"/>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67"/>
      <c r="H50" s="194"/>
      <c r="I50" s="195"/>
      <c r="J50" s="144"/>
      <c r="K50" s="144"/>
      <c r="L50" s="72"/>
      <c r="M50" s="72"/>
    </row>
    <row r="51" spans="1:26" ht="60" customHeight="1" x14ac:dyDescent="0.25">
      <c r="A51" s="194"/>
      <c r="B51" s="195"/>
      <c r="C51" s="144"/>
      <c r="D51" s="144"/>
      <c r="E51" s="162"/>
      <c r="F51" s="162"/>
      <c r="G51" s="667"/>
      <c r="H51" s="194"/>
      <c r="I51" s="195"/>
      <c r="J51" s="144"/>
      <c r="K51" s="144"/>
      <c r="L51" s="162"/>
      <c r="M51" s="162"/>
    </row>
    <row r="52" spans="1:26" ht="60" customHeight="1" x14ac:dyDescent="0.25">
      <c r="A52" s="194"/>
      <c r="B52" s="195"/>
      <c r="C52" s="144"/>
      <c r="D52" s="144"/>
      <c r="E52" s="163"/>
      <c r="F52" s="163"/>
      <c r="G52" s="667"/>
      <c r="H52" s="194"/>
      <c r="I52" s="195"/>
      <c r="J52" s="144"/>
      <c r="K52" s="144"/>
      <c r="L52" s="163"/>
      <c r="M52" s="163"/>
    </row>
    <row r="53" spans="1:26" x14ac:dyDescent="0.25">
      <c r="A53" s="164" t="s">
        <v>89</v>
      </c>
      <c r="B53" s="165">
        <f>SUM(B48:B52)</f>
        <v>0</v>
      </c>
      <c r="C53" s="144"/>
      <c r="D53" s="144"/>
      <c r="E53" s="74"/>
      <c r="G53" s="667"/>
      <c r="H53" s="166" t="s">
        <v>90</v>
      </c>
      <c r="I53" s="165">
        <f>SUM(I48:I52)</f>
        <v>0</v>
      </c>
      <c r="J53" s="144"/>
      <c r="K53" s="144"/>
      <c r="L53" s="74"/>
    </row>
    <row r="54" spans="1:26" ht="16.5" thickBot="1" x14ac:dyDescent="0.3">
      <c r="A54" s="663" t="s">
        <v>22</v>
      </c>
      <c r="B54" s="663"/>
      <c r="C54" s="10"/>
      <c r="D54" s="72"/>
      <c r="E54" s="72"/>
      <c r="F54" s="72"/>
      <c r="G54" s="667"/>
      <c r="H54" s="663" t="s">
        <v>22</v>
      </c>
      <c r="I54" s="663"/>
      <c r="J54" s="10"/>
      <c r="K54" s="72"/>
      <c r="L54" s="72"/>
      <c r="M54" s="72"/>
    </row>
    <row r="55" spans="1:26" x14ac:dyDescent="0.25">
      <c r="A55" s="167" t="str">
        <f>IF('3b. High Cost Fund'!B5="No","This exception is not valid in your state.","Exception (e) The assumption of cost by the high cost fund operated by the")</f>
        <v>Exception (e) The assumption of cost by the high cost fund operated by the</v>
      </c>
      <c r="B55" s="146"/>
      <c r="C55" s="147"/>
      <c r="D55" s="131"/>
      <c r="E55" s="131"/>
      <c r="F55" s="144"/>
      <c r="G55" s="667"/>
      <c r="H55" s="167" t="str">
        <f>IF('3b. High Cost Fund'!B5="No","This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Fund'!B5="No","","SEA under §300.704. MUST be explicitly permitted by the SEA.")</f>
        <v>SEA under §300.704. MUST be explicitly permitted by the SEA.</v>
      </c>
      <c r="B56" s="168"/>
      <c r="C56" s="169"/>
      <c r="D56" s="170"/>
      <c r="E56" s="163"/>
      <c r="F56" s="144"/>
      <c r="G56" s="667"/>
      <c r="H56" s="71" t="str">
        <f>IF('3b. High Cost Fund'!B5="No","","SEA under §300.704. MUST be explicitly permitted by the SEA.")</f>
        <v>SEA under §300.704. MUST be explicitly permitted by the SEA.</v>
      </c>
      <c r="I56" s="168"/>
      <c r="J56" s="147"/>
      <c r="K56" s="170"/>
      <c r="L56" s="163"/>
      <c r="M56" s="144"/>
    </row>
    <row r="57" spans="1:26" x14ac:dyDescent="0.25">
      <c r="A57" s="171" t="s">
        <v>85</v>
      </c>
      <c r="B57" s="172" t="s">
        <v>96</v>
      </c>
      <c r="C57" s="118"/>
      <c r="D57" s="144"/>
      <c r="E57" s="144"/>
      <c r="F57" s="10"/>
      <c r="G57" s="667"/>
      <c r="H57" s="171" t="s">
        <v>85</v>
      </c>
      <c r="I57" s="172" t="s">
        <v>97</v>
      </c>
      <c r="J57" s="118"/>
      <c r="K57" s="144"/>
      <c r="L57" s="144"/>
      <c r="M57" s="10"/>
    </row>
    <row r="58" spans="1:26" ht="15.4" customHeight="1" x14ac:dyDescent="0.25">
      <c r="A58" s="196"/>
      <c r="B58" s="197"/>
      <c r="C58" s="337" t="str">
        <f>IF(AND(B58&lt;&gt;"",'3b. High Cost Fund'!$B5="No"),"Invalid entry. This exception is valid only in states with high-cost funds. If your state has a high-cost fund, please indicate that on tab 3b.","")</f>
        <v/>
      </c>
      <c r="D58" s="144"/>
      <c r="E58" s="144"/>
      <c r="F58" s="10"/>
      <c r="G58" s="667"/>
      <c r="H58" s="196"/>
      <c r="I58" s="197"/>
      <c r="J58" s="337" t="str">
        <f>IF(AND(I58&lt;&gt;"",'3b. High Cost Fund'!$B5="No"),"Invalid entry. This exception is valid only in states with high-cost funds. If your state has a high-cost fund, please indicate that on tab 3b.","")</f>
        <v/>
      </c>
      <c r="K58" s="144"/>
      <c r="L58" s="144"/>
      <c r="M58" s="10"/>
    </row>
    <row r="59" spans="1:26" x14ac:dyDescent="0.25">
      <c r="A59" s="196"/>
      <c r="B59" s="197"/>
      <c r="C59" s="144"/>
      <c r="D59" s="10"/>
      <c r="E59" s="10"/>
      <c r="F59" s="10"/>
      <c r="G59" s="667"/>
      <c r="H59" s="196"/>
      <c r="I59" s="197"/>
      <c r="J59" s="144"/>
      <c r="K59" s="10"/>
      <c r="L59" s="10"/>
      <c r="M59" s="10"/>
    </row>
    <row r="60" spans="1:26" x14ac:dyDescent="0.25">
      <c r="A60" s="196"/>
      <c r="B60" s="197"/>
      <c r="C60" s="144"/>
      <c r="D60" s="10"/>
      <c r="E60" s="10"/>
      <c r="F60" s="10"/>
      <c r="G60" s="667"/>
      <c r="H60" s="196"/>
      <c r="I60" s="197"/>
      <c r="J60" s="144"/>
      <c r="K60" s="10"/>
      <c r="L60" s="10"/>
      <c r="M60" s="10"/>
    </row>
    <row r="61" spans="1:26" x14ac:dyDescent="0.25">
      <c r="A61" s="196"/>
      <c r="B61" s="197"/>
      <c r="C61" s="144"/>
      <c r="D61" s="10"/>
      <c r="E61" s="10"/>
      <c r="F61" s="10"/>
      <c r="G61" s="667"/>
      <c r="H61" s="196"/>
      <c r="I61" s="197"/>
      <c r="J61" s="144"/>
      <c r="K61" s="10"/>
      <c r="L61" s="10"/>
      <c r="M61" s="10"/>
    </row>
    <row r="62" spans="1:26" x14ac:dyDescent="0.25">
      <c r="A62" s="196"/>
      <c r="B62" s="197"/>
      <c r="C62" s="144"/>
      <c r="D62" s="10"/>
      <c r="E62" s="10"/>
      <c r="F62" s="10"/>
      <c r="G62" s="667"/>
      <c r="H62" s="196"/>
      <c r="I62" s="197"/>
      <c r="J62" s="144"/>
      <c r="K62" s="10"/>
      <c r="L62" s="10"/>
      <c r="M62" s="10"/>
    </row>
    <row r="63" spans="1:26" x14ac:dyDescent="0.25">
      <c r="A63" s="173" t="s">
        <v>89</v>
      </c>
      <c r="B63" s="174">
        <f>IF('3b. High Cost Fund'!B5="No",0,SUM(B58:B62))</f>
        <v>0</v>
      </c>
      <c r="C63" s="144"/>
      <c r="D63" s="10"/>
      <c r="E63" s="10"/>
      <c r="F63" s="10"/>
      <c r="G63" s="667"/>
      <c r="H63" s="175" t="s">
        <v>90</v>
      </c>
      <c r="I63" s="174">
        <f>IF('3b. High Cost Fund'!B5="No",0,SUM(I58:I62))</f>
        <v>0</v>
      </c>
      <c r="J63" s="144"/>
      <c r="K63" s="10"/>
      <c r="L63" s="10"/>
      <c r="M63" s="10"/>
    </row>
    <row r="64" spans="1:26" ht="16.5" thickBot="1" x14ac:dyDescent="0.3">
      <c r="A64" s="666" t="s">
        <v>22</v>
      </c>
      <c r="B64" s="666"/>
      <c r="C64" s="144"/>
      <c r="D64" s="10"/>
      <c r="E64" s="10"/>
      <c r="F64" s="10"/>
      <c r="G64" s="667"/>
      <c r="H64" s="666" t="s">
        <v>22</v>
      </c>
      <c r="I64" s="666"/>
      <c r="J64" s="144"/>
      <c r="K64" s="10"/>
      <c r="L64" s="10"/>
      <c r="M64" s="10"/>
    </row>
    <row r="65" spans="1:13" x14ac:dyDescent="0.25">
      <c r="A65" s="347" t="s">
        <v>107</v>
      </c>
      <c r="B65" s="348"/>
      <c r="C65" s="144"/>
      <c r="D65" s="10"/>
      <c r="E65" s="10"/>
      <c r="F65" s="10"/>
      <c r="G65" s="667"/>
      <c r="H65" s="347" t="s">
        <v>106</v>
      </c>
      <c r="I65" s="348"/>
      <c r="J65" s="144"/>
      <c r="K65" s="10"/>
      <c r="L65" s="10"/>
      <c r="M65" s="10"/>
    </row>
    <row r="66" spans="1:13" x14ac:dyDescent="0.25">
      <c r="A66" s="242" t="s">
        <v>123</v>
      </c>
      <c r="B66" s="265" t="s">
        <v>124</v>
      </c>
      <c r="C66" s="144"/>
      <c r="D66" s="10"/>
      <c r="E66" s="10"/>
      <c r="F66" s="10"/>
      <c r="G66" s="667"/>
      <c r="H66" s="269" t="s">
        <v>123</v>
      </c>
      <c r="I66" s="270" t="s">
        <v>124</v>
      </c>
      <c r="J66" s="144"/>
      <c r="K66" s="10"/>
      <c r="L66" s="10"/>
      <c r="M66" s="10"/>
    </row>
    <row r="67" spans="1:13" x14ac:dyDescent="0.25">
      <c r="A67" s="103" t="s">
        <v>0</v>
      </c>
      <c r="B67" s="240" t="e">
        <f>IF(B$28&gt;=0,(F$22+C$43+B$53+B$63),(F$22+C$43+B$53+B$63+B$32))</f>
        <v>#N/A</v>
      </c>
      <c r="C67" s="144"/>
      <c r="D67" s="10"/>
      <c r="E67" s="10"/>
      <c r="F67" s="10"/>
      <c r="G67" s="667"/>
      <c r="H67" s="103" t="s">
        <v>0</v>
      </c>
      <c r="I67" s="240" t="e">
        <f>IF(I$28&gt;=0,(M$22+J$43+I$53+I$63),(M$22+J$43+I$53+I$63+I$32))</f>
        <v>#N/A</v>
      </c>
      <c r="J67" s="144"/>
      <c r="K67" s="10"/>
      <c r="L67" s="10"/>
      <c r="M67" s="10"/>
    </row>
    <row r="68" spans="1:13" x14ac:dyDescent="0.25">
      <c r="A68" s="241" t="s">
        <v>2</v>
      </c>
      <c r="B68" s="174" t="e">
        <f>IF(B$28&gt;=0,(F$22+C$43+B$53+B$63),(F$22+C$43+B$53+B$63+C$32))</f>
        <v>#N/A</v>
      </c>
      <c r="C68" s="144"/>
      <c r="D68" s="10"/>
      <c r="E68" s="10"/>
      <c r="F68" s="10"/>
      <c r="G68" s="667"/>
      <c r="H68" s="241" t="s">
        <v>2</v>
      </c>
      <c r="I68" s="174" t="e">
        <f>IF(I$28&gt;=0,(M$22+J$43+I$53+I$63),(M$22+J$43+I$53+I$63+J$32))</f>
        <v>#N/A</v>
      </c>
      <c r="J68" s="144"/>
      <c r="K68" s="10"/>
      <c r="L68" s="10"/>
      <c r="M68" s="10"/>
    </row>
    <row r="69" spans="1:13" ht="16.5" thickBot="1" x14ac:dyDescent="0.3">
      <c r="A69" s="664" t="s">
        <v>22</v>
      </c>
      <c r="B69" s="664"/>
      <c r="C69" s="10"/>
      <c r="D69" s="10"/>
      <c r="E69" s="10"/>
      <c r="F69" s="10"/>
      <c r="G69" s="667"/>
      <c r="H69" s="664" t="s">
        <v>22</v>
      </c>
      <c r="I69" s="664"/>
      <c r="J69" s="10"/>
      <c r="K69" s="10"/>
      <c r="L69" s="10"/>
      <c r="M69" s="10"/>
    </row>
    <row r="70" spans="1:13" ht="31.15" customHeight="1" x14ac:dyDescent="0.25">
      <c r="A70" s="336" t="s">
        <v>98</v>
      </c>
      <c r="B70" s="177"/>
      <c r="C70" s="11"/>
      <c r="D70" s="178"/>
      <c r="E70" s="10"/>
      <c r="F70" s="10"/>
      <c r="G70" s="667"/>
      <c r="H70" s="336" t="s">
        <v>98</v>
      </c>
      <c r="I70" s="177"/>
      <c r="J70" s="11"/>
      <c r="K70" s="178"/>
      <c r="L70" s="10"/>
      <c r="M70" s="10"/>
    </row>
    <row r="71" spans="1:13" x14ac:dyDescent="0.25">
      <c r="A71" s="179" t="s">
        <v>71</v>
      </c>
      <c r="B71" s="180" t="s">
        <v>99</v>
      </c>
      <c r="C71" s="11" t="s">
        <v>100</v>
      </c>
      <c r="E71" s="10"/>
      <c r="F71" s="10"/>
      <c r="G71" s="667"/>
      <c r="H71" s="179" t="s">
        <v>71</v>
      </c>
      <c r="I71" s="180" t="s">
        <v>101</v>
      </c>
      <c r="J71" s="11" t="s">
        <v>100</v>
      </c>
      <c r="K71" s="10"/>
      <c r="L71" s="10"/>
      <c r="M71" s="10"/>
    </row>
    <row r="72" spans="1:13" x14ac:dyDescent="0.25">
      <c r="A72" s="181" t="s">
        <v>102</v>
      </c>
      <c r="B72" s="198">
        <v>0</v>
      </c>
      <c r="C72" s="182" t="s">
        <v>103</v>
      </c>
      <c r="D72" s="10"/>
      <c r="E72" s="10"/>
      <c r="F72" s="10"/>
      <c r="G72" s="667"/>
      <c r="H72" s="181" t="s">
        <v>104</v>
      </c>
      <c r="I72" s="198" t="e">
        <f>IF(I$28&gt;=0,(M$22+J$43+I$53+I$63),(M$22+J$43+I$53+I$63+J$32))</f>
        <v>#N/A</v>
      </c>
      <c r="J72" s="182" t="s">
        <v>103</v>
      </c>
      <c r="K72" s="10"/>
      <c r="L72" s="10"/>
      <c r="M72" s="10"/>
    </row>
    <row r="73" spans="1:13" ht="30" customHeight="1" x14ac:dyDescent="0.25">
      <c r="A73" s="345" t="s">
        <v>184</v>
      </c>
      <c r="B73" s="183"/>
      <c r="C73" s="183"/>
      <c r="D73" s="183"/>
      <c r="E73" s="183"/>
      <c r="F73" s="183"/>
      <c r="G73" s="667"/>
      <c r="H73" s="183"/>
      <c r="I73" s="183"/>
      <c r="J73" s="183"/>
      <c r="K73" s="183"/>
      <c r="L73" s="183"/>
      <c r="M73" s="183"/>
    </row>
    <row r="74" spans="1:13" s="185" customFormat="1" x14ac:dyDescent="0.25">
      <c r="A74" s="358" t="s">
        <v>183</v>
      </c>
      <c r="B74" s="184"/>
      <c r="C74" s="184"/>
      <c r="D74" s="184"/>
      <c r="E74" s="184"/>
      <c r="F74" s="184"/>
      <c r="G74" s="667"/>
      <c r="H74" s="184"/>
      <c r="I74" s="184"/>
      <c r="J74" s="184"/>
      <c r="K74" s="184"/>
      <c r="L74" s="184"/>
      <c r="M74" s="184"/>
    </row>
    <row r="75" spans="1:13" x14ac:dyDescent="0.25">
      <c r="A75" s="665" t="s">
        <v>24</v>
      </c>
      <c r="B75" s="665"/>
      <c r="C75" s="665"/>
      <c r="D75" s="665"/>
      <c r="E75" s="665"/>
      <c r="F75" s="665"/>
      <c r="G75" s="665"/>
      <c r="H75" s="665"/>
      <c r="I75" s="665"/>
      <c r="J75" s="665"/>
      <c r="K75" s="665"/>
      <c r="L75" s="665"/>
      <c r="M75" s="665"/>
    </row>
  </sheetData>
  <sheetProtection algorithmName="SHA-512" hashValue="pw5KGpGKCJfk/4bkT8MmIAyHulRcTIM1u/CRIdb3vqZQMttvcU9rV7mHUKHGwXQD7iIxP3o0RVHB6oEf/zhelw==" saltValue="uQ3wFm14Lu73aULFoGKKkw=="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220" priority="2" operator="containsText" text="not valid">
      <formula>NOT(ISERROR(SEARCH("not valid",A55)))</formula>
    </cfRule>
  </conditionalFormatting>
  <conditionalFormatting sqref="H55">
    <cfRule type="containsText" dxfId="219" priority="1" operator="containsText" text="not valid">
      <formula>NOT(ISERROR(SEARCH("not valid",H55)))</formula>
    </cfRule>
  </conditionalFormatting>
  <dataValidations count="1">
    <dataValidation type="list" allowBlank="1" showInputMessage="1" showErrorMessage="1" sqref="B38:B42 I38:I42" xr:uid="{00000000-0002-0000-0D00-000000000000}">
      <formula1>Exception_c</formula1>
    </dataValidation>
  </dataValidations>
  <hyperlinks>
    <hyperlink ref="C72" r:id="rId1" xr:uid="{00000000-0004-0000-0D00-000000000000}"/>
    <hyperlink ref="J72" r:id="rId2" xr:uid="{00000000-0004-0000-0D00-000001000000}"/>
    <hyperlink ref="A74" r:id="rId3" xr:uid="{00000000-0004-0000-0D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pageSetUpPr autoPageBreaks="0"/>
  </sheetPr>
  <dimension ref="A1:N35"/>
  <sheetViews>
    <sheetView showGridLines="0" workbookViewId="0">
      <pane ySplit="4" topLeftCell="A5" activePane="bottomLeft" state="frozen"/>
      <selection activeCell="K5" sqref="K5"/>
      <selection pane="bottomLeft" activeCell="K5" sqref="K5"/>
    </sheetView>
  </sheetViews>
  <sheetFormatPr defaultColWidth="0" defaultRowHeight="0" customHeight="1"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f>IFERROR(VLOOKUP('2. Getting Started'!B3,'42. SEA or LEA Worksheet'!$A$4:$AI$324,35,0),0)</f>
        <v>0</v>
      </c>
      <c r="D1" s="21" t="s">
        <v>14</v>
      </c>
      <c r="E1" s="20" t="str">
        <f>IF('2. Getting Started'!B2="","",'2. Getting Started'!B2)</f>
        <v/>
      </c>
      <c r="G1" s="661" t="s">
        <v>22</v>
      </c>
      <c r="H1" s="19" t="s">
        <v>49</v>
      </c>
      <c r="I1" s="48">
        <f>IFERROR(VLOOKUP('2. Getting Started'!B3,'42. SEA or LEA Worksheet'!$A$4:$AZ$324,35,0),0)</f>
        <v>0</v>
      </c>
      <c r="K1" s="21" t="s">
        <v>14</v>
      </c>
      <c r="L1" s="20" t="str">
        <f>IF('2. Getting Started'!B2="","",'2. Getting Started'!B2)</f>
        <v/>
      </c>
    </row>
    <row r="2" spans="1:13" s="25" customFormat="1" ht="37.9" customHeight="1" thickBot="1" x14ac:dyDescent="0.3">
      <c r="A2" s="22" t="str">
        <f>CONCATENATE("Eligibility Standard - State Fiscal Year ",'2. Getting Started'!B6+3," -  LEA Effort - Budgeted Amounts")</f>
        <v>Eligibility Standard - State Fiscal Year 2024 -  LEA Effort - Budgeted Amounts</v>
      </c>
      <c r="B2" s="23"/>
      <c r="C2" s="23"/>
      <c r="D2" s="23"/>
      <c r="E2" s="23"/>
      <c r="F2" s="24"/>
      <c r="G2" s="661"/>
      <c r="H2" s="22" t="str">
        <f>CONCATENATE("Compliance Standard - State Fiscal Year ",'2. Getting Started'!B6+3," - LEA Effort - Final Expenditures")</f>
        <v>Compliance Standard - State Fiscal Year 2024 - LEA Effort - Final Expenditures</v>
      </c>
      <c r="I2" s="23"/>
      <c r="J2" s="23"/>
      <c r="K2" s="23"/>
      <c r="L2" s="23"/>
      <c r="M2" s="24"/>
    </row>
    <row r="3" spans="1:13" s="25" customFormat="1" ht="24" customHeight="1" x14ac:dyDescent="0.25">
      <c r="A3" s="26"/>
      <c r="B3" s="27"/>
      <c r="D3" s="28" t="str">
        <f>CONCATENATE("SFY ",'2. Getting Started'!$B6+3," Budget")</f>
        <v>SFY 2024 Budget</v>
      </c>
      <c r="E3" s="29"/>
      <c r="F3" s="30"/>
      <c r="G3" s="661"/>
      <c r="H3" s="26"/>
      <c r="I3" s="27"/>
      <c r="J3" s="31"/>
      <c r="K3" s="28" t="str">
        <f>CONCATENATE("SFY ",'2. Getting Started'!$B6+3," Final Expenditures")</f>
        <v>SFY 2024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ht="15.75" x14ac:dyDescent="0.25">
      <c r="A5" s="49"/>
      <c r="B5" s="50"/>
      <c r="C5" s="51"/>
      <c r="D5" s="52"/>
      <c r="E5" s="52"/>
      <c r="F5" s="38" t="str">
        <f>IF(AND(D5="",E5=""),"",SUM(D5:E5))</f>
        <v/>
      </c>
      <c r="G5" s="661"/>
      <c r="H5" s="49"/>
      <c r="I5" s="50"/>
      <c r="J5" s="51"/>
      <c r="K5" s="52">
        <f>IFERROR(VLOOKUP('2. Getting Started'!B3,'42. SEA or LEA Worksheet'!$A$4:$AL$324,36,0),0)</f>
        <v>0</v>
      </c>
      <c r="L5" s="52">
        <f>IFERROR(VLOOKUP('2. Getting Started'!B3,'42. SEA or LEA Worksheet'!$A$4:$AL$324,37,0),0)</f>
        <v>0</v>
      </c>
      <c r="M5" s="38">
        <f>IF(AND(K5="",L5=""),"",SUM(K5:L5))</f>
        <v>0</v>
      </c>
    </row>
    <row r="6" spans="1:13" ht="15.75" x14ac:dyDescent="0.25">
      <c r="A6" s="49"/>
      <c r="B6" s="50"/>
      <c r="C6" s="51"/>
      <c r="D6" s="52"/>
      <c r="E6" s="52"/>
      <c r="F6" s="38" t="str">
        <f t="shared" ref="F6:F29" si="0">IF(AND(D6="",E6=""),"",SUM(D6:E6))</f>
        <v/>
      </c>
      <c r="G6" s="661"/>
      <c r="H6" s="49"/>
      <c r="I6" s="50"/>
      <c r="J6" s="51"/>
      <c r="K6" s="52"/>
      <c r="L6" s="52">
        <f>IFERROR(VLOOKUP(I2,'42. SEA or LEA Worksheet'!$A$4:$AF$324,32,0),0)</f>
        <v>0</v>
      </c>
      <c r="M6" s="38">
        <f t="shared" ref="M6:M29" si="1">IF(AND(K6="",L6=""),"",SUM(K6:L6))</f>
        <v>0</v>
      </c>
    </row>
    <row r="7" spans="1:13" ht="15.75" x14ac:dyDescent="0.25">
      <c r="A7" s="49"/>
      <c r="B7" s="50"/>
      <c r="C7" s="51"/>
      <c r="D7" s="52"/>
      <c r="E7" s="52"/>
      <c r="F7" s="38" t="str">
        <f t="shared" si="0"/>
        <v/>
      </c>
      <c r="G7" s="661"/>
      <c r="H7" s="49"/>
      <c r="I7" s="50"/>
      <c r="J7" s="51"/>
      <c r="K7" s="52"/>
      <c r="L7" s="52">
        <f>IFERROR(VLOOKUP(I3,'42. SEA or LEA Worksheet'!$A$4:$AF$324,32,0),0)</f>
        <v>0</v>
      </c>
      <c r="M7" s="38">
        <f t="shared" si="1"/>
        <v>0</v>
      </c>
    </row>
    <row r="8" spans="1:13" ht="15.75" x14ac:dyDescent="0.25">
      <c r="A8" s="49"/>
      <c r="B8" s="50"/>
      <c r="C8" s="51"/>
      <c r="D8" s="52"/>
      <c r="E8" s="52"/>
      <c r="F8" s="38" t="str">
        <f t="shared" si="0"/>
        <v/>
      </c>
      <c r="G8" s="661"/>
      <c r="H8" s="49"/>
      <c r="I8" s="50"/>
      <c r="J8" s="51"/>
      <c r="K8" s="52"/>
      <c r="L8" s="52">
        <f>IFERROR(VLOOKUP(I4,'42. SEA or LEA Worksheet'!$A$4:$AF$324,32,0),0)</f>
        <v>0</v>
      </c>
      <c r="M8" s="38">
        <f t="shared" si="1"/>
        <v>0</v>
      </c>
    </row>
    <row r="9" spans="1:13" ht="15.75" x14ac:dyDescent="0.25">
      <c r="A9" s="49"/>
      <c r="B9" s="50"/>
      <c r="C9" s="51"/>
      <c r="D9" s="52"/>
      <c r="E9" s="52"/>
      <c r="F9" s="38" t="str">
        <f t="shared" si="0"/>
        <v/>
      </c>
      <c r="G9" s="661"/>
      <c r="H9" s="49"/>
      <c r="I9" s="50"/>
      <c r="J9" s="51"/>
      <c r="K9" s="52"/>
      <c r="L9" s="52">
        <f>IFERROR(VLOOKUP(I5,'42. SEA or LEA Worksheet'!$A$4:$AF$324,32,0),0)</f>
        <v>0</v>
      </c>
      <c r="M9" s="38">
        <f t="shared" si="1"/>
        <v>0</v>
      </c>
    </row>
    <row r="10" spans="1:13" ht="15.75" x14ac:dyDescent="0.25">
      <c r="A10" s="49"/>
      <c r="B10" s="50"/>
      <c r="C10" s="51"/>
      <c r="D10" s="52"/>
      <c r="E10" s="52"/>
      <c r="F10" s="38" t="str">
        <f t="shared" si="0"/>
        <v/>
      </c>
      <c r="G10" s="661"/>
      <c r="H10" s="49"/>
      <c r="I10" s="50"/>
      <c r="J10" s="51"/>
      <c r="K10" s="52"/>
      <c r="L10" s="52">
        <f>IFERROR(VLOOKUP(I6,'42. SEA or LEA Worksheet'!$A$4:$AF$324,32,0),0)</f>
        <v>0</v>
      </c>
      <c r="M10" s="38">
        <f t="shared" si="1"/>
        <v>0</v>
      </c>
    </row>
    <row r="11" spans="1:13" ht="15.75" x14ac:dyDescent="0.25">
      <c r="A11" s="49"/>
      <c r="B11" s="50"/>
      <c r="C11" s="51"/>
      <c r="D11" s="52"/>
      <c r="E11" s="52"/>
      <c r="F11" s="38" t="str">
        <f t="shared" si="0"/>
        <v/>
      </c>
      <c r="G11" s="661"/>
      <c r="H11" s="49"/>
      <c r="I11" s="50"/>
      <c r="J11" s="51"/>
      <c r="K11" s="52"/>
      <c r="L11" s="52">
        <f>IFERROR(VLOOKUP(I7,'42. SEA or LEA Worksheet'!$A$4:$AF$324,32,0),0)</f>
        <v>0</v>
      </c>
      <c r="M11" s="38">
        <f t="shared" si="1"/>
        <v>0</v>
      </c>
    </row>
    <row r="12" spans="1:13" ht="15.75" x14ac:dyDescent="0.25">
      <c r="A12" s="49"/>
      <c r="B12" s="50"/>
      <c r="C12" s="51"/>
      <c r="D12" s="52"/>
      <c r="E12" s="52"/>
      <c r="F12" s="38" t="str">
        <f t="shared" si="0"/>
        <v/>
      </c>
      <c r="G12" s="661"/>
      <c r="H12" s="49"/>
      <c r="I12" s="50"/>
      <c r="J12" s="51"/>
      <c r="K12" s="52"/>
      <c r="L12" s="52">
        <f>IFERROR(VLOOKUP(I8,'42. SEA or LEA Worksheet'!$A$4:$AF$324,32,0),0)</f>
        <v>0</v>
      </c>
      <c r="M12" s="38">
        <f t="shared" si="1"/>
        <v>0</v>
      </c>
    </row>
    <row r="13" spans="1:13" ht="15.75" x14ac:dyDescent="0.25">
      <c r="A13" s="49"/>
      <c r="B13" s="50"/>
      <c r="C13" s="51"/>
      <c r="D13" s="52"/>
      <c r="E13" s="52"/>
      <c r="F13" s="38" t="str">
        <f t="shared" si="0"/>
        <v/>
      </c>
      <c r="G13" s="661"/>
      <c r="H13" s="49"/>
      <c r="I13" s="50"/>
      <c r="J13" s="51"/>
      <c r="K13" s="52"/>
      <c r="L13" s="52">
        <f>IFERROR(VLOOKUP(I9,'42. SEA or LEA Worksheet'!$A$4:$AF$324,32,0),0)</f>
        <v>0</v>
      </c>
      <c r="M13" s="38">
        <f t="shared" si="1"/>
        <v>0</v>
      </c>
    </row>
    <row r="14" spans="1:13" ht="15.75" x14ac:dyDescent="0.25">
      <c r="A14" s="49"/>
      <c r="B14" s="50"/>
      <c r="C14" s="51"/>
      <c r="D14" s="52"/>
      <c r="E14" s="52"/>
      <c r="F14" s="38" t="str">
        <f t="shared" si="0"/>
        <v/>
      </c>
      <c r="G14" s="661"/>
      <c r="H14" s="49"/>
      <c r="I14" s="50"/>
      <c r="J14" s="51"/>
      <c r="K14" s="52"/>
      <c r="L14" s="52">
        <f>IFERROR(VLOOKUP(I10,'42. SEA or LEA Worksheet'!$A$4:$AF$324,32,0),0)</f>
        <v>0</v>
      </c>
      <c r="M14" s="38">
        <f t="shared" si="1"/>
        <v>0</v>
      </c>
    </row>
    <row r="15" spans="1:13" ht="15.75" x14ac:dyDescent="0.25">
      <c r="A15" s="49"/>
      <c r="B15" s="50"/>
      <c r="C15" s="51"/>
      <c r="D15" s="52"/>
      <c r="E15" s="52"/>
      <c r="F15" s="38" t="str">
        <f t="shared" si="0"/>
        <v/>
      </c>
      <c r="G15" s="661"/>
      <c r="H15" s="49"/>
      <c r="I15" s="50"/>
      <c r="J15" s="51"/>
      <c r="K15" s="52"/>
      <c r="L15" s="52">
        <f>IFERROR(VLOOKUP(I11,'42. SEA or LEA Worksheet'!$A$4:$AF$324,32,0),0)</f>
        <v>0</v>
      </c>
      <c r="M15" s="38">
        <f t="shared" si="1"/>
        <v>0</v>
      </c>
    </row>
    <row r="16" spans="1:13" ht="15.75" x14ac:dyDescent="0.25">
      <c r="A16" s="49"/>
      <c r="B16" s="50"/>
      <c r="C16" s="51"/>
      <c r="D16" s="52"/>
      <c r="E16" s="52"/>
      <c r="F16" s="38" t="str">
        <f t="shared" si="0"/>
        <v/>
      </c>
      <c r="G16" s="661"/>
      <c r="H16" s="49"/>
      <c r="I16" s="50"/>
      <c r="J16" s="51"/>
      <c r="K16" s="52"/>
      <c r="L16" s="52">
        <f>IFERROR(VLOOKUP(I12,'42. SEA or LEA Worksheet'!$A$4:$AF$324,32,0),0)</f>
        <v>0</v>
      </c>
      <c r="M16" s="38">
        <f t="shared" si="1"/>
        <v>0</v>
      </c>
    </row>
    <row r="17" spans="1:13" ht="15.75" x14ac:dyDescent="0.25">
      <c r="A17" s="49"/>
      <c r="B17" s="50"/>
      <c r="C17" s="51"/>
      <c r="D17" s="52"/>
      <c r="E17" s="52"/>
      <c r="F17" s="38" t="str">
        <f t="shared" si="0"/>
        <v/>
      </c>
      <c r="G17" s="661"/>
      <c r="H17" s="49"/>
      <c r="I17" s="50"/>
      <c r="J17" s="51"/>
      <c r="K17" s="52"/>
      <c r="L17" s="52">
        <f>IFERROR(VLOOKUP(I13,'42. SEA or LEA Worksheet'!$A$4:$AF$324,32,0),0)</f>
        <v>0</v>
      </c>
      <c r="M17" s="38">
        <f t="shared" si="1"/>
        <v>0</v>
      </c>
    </row>
    <row r="18" spans="1:13" ht="15.75" x14ac:dyDescent="0.25">
      <c r="A18" s="49"/>
      <c r="B18" s="50"/>
      <c r="C18" s="51"/>
      <c r="D18" s="52"/>
      <c r="E18" s="52"/>
      <c r="F18" s="38" t="str">
        <f t="shared" si="0"/>
        <v/>
      </c>
      <c r="G18" s="661"/>
      <c r="H18" s="49"/>
      <c r="I18" s="50"/>
      <c r="J18" s="51"/>
      <c r="K18" s="52"/>
      <c r="L18" s="52">
        <f>IFERROR(VLOOKUP(I14,'42. SEA or LEA Worksheet'!$A$4:$AF$324,32,0),0)</f>
        <v>0</v>
      </c>
      <c r="M18" s="38">
        <f t="shared" si="1"/>
        <v>0</v>
      </c>
    </row>
    <row r="19" spans="1:13" ht="15.75" x14ac:dyDescent="0.25">
      <c r="A19" s="49"/>
      <c r="B19" s="50"/>
      <c r="C19" s="51"/>
      <c r="D19" s="52"/>
      <c r="E19" s="52"/>
      <c r="F19" s="38" t="str">
        <f t="shared" si="0"/>
        <v/>
      </c>
      <c r="G19" s="661"/>
      <c r="H19" s="49"/>
      <c r="I19" s="50"/>
      <c r="J19" s="51"/>
      <c r="K19" s="52"/>
      <c r="L19" s="52">
        <f>IFERROR(VLOOKUP(I15,'42. SEA or LEA Worksheet'!$A$4:$AF$324,32,0),0)</f>
        <v>0</v>
      </c>
      <c r="M19" s="38">
        <f t="shared" si="1"/>
        <v>0</v>
      </c>
    </row>
    <row r="20" spans="1:13" ht="15.75" x14ac:dyDescent="0.25">
      <c r="A20" s="49"/>
      <c r="B20" s="50"/>
      <c r="C20" s="51"/>
      <c r="D20" s="52"/>
      <c r="E20" s="52"/>
      <c r="F20" s="38" t="str">
        <f t="shared" si="0"/>
        <v/>
      </c>
      <c r="G20" s="661"/>
      <c r="H20" s="49"/>
      <c r="I20" s="50"/>
      <c r="J20" s="51"/>
      <c r="K20" s="52"/>
      <c r="L20" s="52">
        <f>IFERROR(VLOOKUP(I16,'42. SEA or LEA Worksheet'!$A$4:$AF$324,32,0),0)</f>
        <v>0</v>
      </c>
      <c r="M20" s="38">
        <f t="shared" si="1"/>
        <v>0</v>
      </c>
    </row>
    <row r="21" spans="1:13" ht="15.75" x14ac:dyDescent="0.25">
      <c r="A21" s="49"/>
      <c r="B21" s="50"/>
      <c r="C21" s="51"/>
      <c r="D21" s="52"/>
      <c r="E21" s="52"/>
      <c r="F21" s="38" t="str">
        <f t="shared" si="0"/>
        <v/>
      </c>
      <c r="G21" s="661"/>
      <c r="H21" s="49"/>
      <c r="I21" s="50"/>
      <c r="J21" s="51"/>
      <c r="K21" s="52"/>
      <c r="L21" s="52">
        <f>IFERROR(VLOOKUP(I17,'42. SEA or LEA Worksheet'!$A$4:$AF$324,32,0),0)</f>
        <v>0</v>
      </c>
      <c r="M21" s="38">
        <f t="shared" si="1"/>
        <v>0</v>
      </c>
    </row>
    <row r="22" spans="1:13" ht="15.75" x14ac:dyDescent="0.25">
      <c r="A22" s="49"/>
      <c r="B22" s="50"/>
      <c r="C22" s="51"/>
      <c r="D22" s="52"/>
      <c r="E22" s="52"/>
      <c r="F22" s="38" t="str">
        <f t="shared" si="0"/>
        <v/>
      </c>
      <c r="G22" s="661"/>
      <c r="H22" s="49"/>
      <c r="I22" s="50"/>
      <c r="J22" s="51"/>
      <c r="K22" s="52"/>
      <c r="L22" s="52">
        <f>IFERROR(VLOOKUP(I18,'42. SEA or LEA Worksheet'!$A$4:$AF$324,32,0),0)</f>
        <v>0</v>
      </c>
      <c r="M22" s="38">
        <f t="shared" si="1"/>
        <v>0</v>
      </c>
    </row>
    <row r="23" spans="1:13" ht="15.75" x14ac:dyDescent="0.25">
      <c r="A23" s="49"/>
      <c r="B23" s="50"/>
      <c r="C23" s="51"/>
      <c r="D23" s="52"/>
      <c r="E23" s="52"/>
      <c r="F23" s="38" t="str">
        <f t="shared" si="0"/>
        <v/>
      </c>
      <c r="G23" s="661"/>
      <c r="H23" s="49"/>
      <c r="I23" s="50"/>
      <c r="J23" s="51"/>
      <c r="K23" s="52"/>
      <c r="L23" s="52">
        <f>IFERROR(VLOOKUP(I19,'42. SEA or LEA Worksheet'!$A$4:$AF$324,32,0),0)</f>
        <v>0</v>
      </c>
      <c r="M23" s="38">
        <f t="shared" si="1"/>
        <v>0</v>
      </c>
    </row>
    <row r="24" spans="1:13" ht="15.75" x14ac:dyDescent="0.25">
      <c r="A24" s="49"/>
      <c r="B24" s="50"/>
      <c r="C24" s="51"/>
      <c r="D24" s="52"/>
      <c r="E24" s="52"/>
      <c r="F24" s="38" t="str">
        <f t="shared" si="0"/>
        <v/>
      </c>
      <c r="G24" s="661"/>
      <c r="H24" s="49"/>
      <c r="I24" s="50"/>
      <c r="J24" s="51"/>
      <c r="K24" s="52"/>
      <c r="L24" s="52">
        <f>IFERROR(VLOOKUP(I20,'42. SEA or LEA Worksheet'!$A$4:$AF$324,32,0),0)</f>
        <v>0</v>
      </c>
      <c r="M24" s="38">
        <f t="shared" si="1"/>
        <v>0</v>
      </c>
    </row>
    <row r="25" spans="1:13" ht="15.75" x14ac:dyDescent="0.25">
      <c r="A25" s="49"/>
      <c r="B25" s="50"/>
      <c r="C25" s="51"/>
      <c r="D25" s="52"/>
      <c r="E25" s="52"/>
      <c r="F25" s="38" t="str">
        <f t="shared" si="0"/>
        <v/>
      </c>
      <c r="G25" s="661"/>
      <c r="H25" s="49"/>
      <c r="I25" s="50"/>
      <c r="J25" s="51"/>
      <c r="K25" s="52"/>
      <c r="L25" s="52">
        <f>IFERROR(VLOOKUP(I21,'42. SEA or LEA Worksheet'!$A$4:$AF$324,32,0),0)</f>
        <v>0</v>
      </c>
      <c r="M25" s="38">
        <f t="shared" si="1"/>
        <v>0</v>
      </c>
    </row>
    <row r="26" spans="1:13" ht="15.75" x14ac:dyDescent="0.25">
      <c r="A26" s="49"/>
      <c r="B26" s="50"/>
      <c r="C26" s="51"/>
      <c r="D26" s="52"/>
      <c r="E26" s="52"/>
      <c r="F26" s="38" t="str">
        <f t="shared" si="0"/>
        <v/>
      </c>
      <c r="G26" s="661"/>
      <c r="H26" s="49"/>
      <c r="I26" s="50"/>
      <c r="J26" s="51"/>
      <c r="K26" s="52"/>
      <c r="L26" s="52">
        <f>IFERROR(VLOOKUP(I22,'42. SEA or LEA Worksheet'!$A$4:$AF$324,32,0),0)</f>
        <v>0</v>
      </c>
      <c r="M26" s="38">
        <f t="shared" si="1"/>
        <v>0</v>
      </c>
    </row>
    <row r="27" spans="1:13" ht="15.75" x14ac:dyDescent="0.25">
      <c r="A27" s="49"/>
      <c r="B27" s="50"/>
      <c r="C27" s="51"/>
      <c r="D27" s="52"/>
      <c r="E27" s="52"/>
      <c r="F27" s="38" t="str">
        <f t="shared" si="0"/>
        <v/>
      </c>
      <c r="G27" s="661"/>
      <c r="H27" s="49"/>
      <c r="I27" s="50"/>
      <c r="J27" s="51"/>
      <c r="K27" s="52"/>
      <c r="L27" s="52">
        <f>IFERROR(VLOOKUP(I23,'42. SEA or LEA Worksheet'!$A$4:$AF$324,32,0),0)</f>
        <v>0</v>
      </c>
      <c r="M27" s="38">
        <f t="shared" si="1"/>
        <v>0</v>
      </c>
    </row>
    <row r="28" spans="1:13" ht="15.75" x14ac:dyDescent="0.25">
      <c r="A28" s="49"/>
      <c r="B28" s="50"/>
      <c r="C28" s="51"/>
      <c r="D28" s="52"/>
      <c r="E28" s="52"/>
      <c r="F28" s="38" t="str">
        <f t="shared" si="0"/>
        <v/>
      </c>
      <c r="G28" s="661"/>
      <c r="H28" s="49"/>
      <c r="I28" s="50"/>
      <c r="J28" s="51"/>
      <c r="K28" s="52"/>
      <c r="L28" s="52">
        <f>IFERROR(VLOOKUP(I24,'42. SEA or LEA Worksheet'!$A$4:$AF$324,32,0),0)</f>
        <v>0</v>
      </c>
      <c r="M28" s="38">
        <f t="shared" si="1"/>
        <v>0</v>
      </c>
    </row>
    <row r="29" spans="1:13" ht="16.5" thickBot="1" x14ac:dyDescent="0.3">
      <c r="A29" s="53"/>
      <c r="B29" s="54"/>
      <c r="C29" s="55"/>
      <c r="D29" s="56"/>
      <c r="E29" s="56"/>
      <c r="F29" s="38" t="str">
        <f t="shared" si="0"/>
        <v/>
      </c>
      <c r="G29" s="661"/>
      <c r="H29" s="53"/>
      <c r="I29" s="54"/>
      <c r="J29" s="55"/>
      <c r="K29" s="56"/>
      <c r="L29" s="56">
        <f>IFERROR(VLOOKUP(I25,'42. SEA or LEA Worksheet'!$A$4:$AF$324,32,0),0)</f>
        <v>0</v>
      </c>
      <c r="M29" s="38">
        <f t="shared" si="1"/>
        <v>0</v>
      </c>
    </row>
    <row r="30" spans="1:13" ht="19.5" thickBot="1" x14ac:dyDescent="0.3">
      <c r="A30" s="39"/>
      <c r="B30" s="40"/>
      <c r="C30" s="41" t="s">
        <v>56</v>
      </c>
      <c r="D30" s="42" t="str">
        <f>IF(AND(D5="",D6="",D7="",D8="",D9="",D10="",D11="",D12="",D13="",D14="",D15="",D16="",D17="",D18="",D19="",D20="",D21="",D22="",D23="",D24="",D25="",D26="",D27="",D28="",D29=""),"",SUM(D5:D29))</f>
        <v/>
      </c>
      <c r="E30" s="43"/>
      <c r="F30" s="42" t="str">
        <f>IF(AND(F5="",F6="",F7="",F8="",F9="",F10="",F11="",F12="",F13="",F14="",F15="",F16="",F17="",F18="",F19="",F20="",F21="",F22="",F23="",F24="",F25="",F26="",F27="",F28="",F29=""),"",SUM(F5:F29))</f>
        <v/>
      </c>
      <c r="G30" s="661"/>
      <c r="H30" s="39"/>
      <c r="I30" s="40"/>
      <c r="J30" s="41" t="s">
        <v>56</v>
      </c>
      <c r="K30" s="42">
        <f>IF(AND(K5="",K6="",K7="",K8="",K9="",K10="",K11="",K12="",K13="",K14="",K15="",K16="",K17="",K18="",K19="",K20="",K21="",K22="",K23="",K24="",K25="",K26="",K27="",K28="",K29=""),"",SUM(K5:K29))</f>
        <v>0</v>
      </c>
      <c r="L30" s="43"/>
      <c r="M30" s="42">
        <f>IF(AND(M5="",M6="",M7="",M8="",M9="",M10="",M11="",M12="",M13="",M14="",M15="",M16="",M17="",M18="",M19="",M20="",M21="",M22="",M23="",M24="",M25="",M26="",M27="",M28="",M29=""),"",SUM(M5:M29))</f>
        <v>0</v>
      </c>
    </row>
    <row r="31" spans="1:13" ht="19.5" thickBot="1" x14ac:dyDescent="0.3">
      <c r="A31" s="39"/>
      <c r="B31" s="39"/>
      <c r="C31" s="44" t="s">
        <v>57</v>
      </c>
      <c r="D31" s="42" t="str">
        <f>IF(OR($B1="",D30=""),"",(D30/$B1))</f>
        <v/>
      </c>
      <c r="E31" s="39"/>
      <c r="F31" s="42" t="str">
        <f>IF(OR($B1="",F30=""),"",(F30/$B1))</f>
        <v/>
      </c>
      <c r="G31" s="661"/>
      <c r="H31" s="39"/>
      <c r="I31" s="39"/>
      <c r="J31" s="44" t="s">
        <v>57</v>
      </c>
      <c r="K31" s="42" t="e">
        <f>IF(OR($I1="",K30=""),"",(K30/$I1))</f>
        <v>#DIV/0!</v>
      </c>
      <c r="L31" s="39"/>
      <c r="M31" s="42" t="e">
        <f>IF(OR($I1="",M30=""),"",(M30/$I1))</f>
        <v>#DIV/0!</v>
      </c>
    </row>
    <row r="32" spans="1:13" s="25" customFormat="1" ht="18.75" x14ac:dyDescent="0.2">
      <c r="A32" s="345" t="s">
        <v>184</v>
      </c>
      <c r="B32" s="45"/>
      <c r="C32" s="45"/>
      <c r="D32" s="45"/>
      <c r="E32" s="45"/>
      <c r="F32" s="45"/>
      <c r="G32" s="45"/>
      <c r="H32" s="45"/>
      <c r="I32" s="45"/>
      <c r="J32" s="45"/>
      <c r="K32" s="45"/>
      <c r="L32" s="45"/>
      <c r="M32" s="45"/>
    </row>
    <row r="33" spans="1:13" s="47" customFormat="1" ht="15.75"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row r="35" spans="1:13" ht="15.75" hidden="1" x14ac:dyDescent="0.25"/>
  </sheetData>
  <sheetProtection algorithmName="SHA-512" hashValue="WsxTGes7ZN7zbe055iZAWMvK+vzJtjo60IVJBKS2Bcf/KBSbv9ou74Pm9J8TTG8bmG5PEDFyjFOOi99mAk4MVw==" saltValue="9mI7+JU5R8XYtN02l1wxpw==" spinCount="100000" sheet="1" formatColumns="0" formatRows="0"/>
  <mergeCells count="2">
    <mergeCell ref="G1:G31"/>
    <mergeCell ref="A34:M34"/>
  </mergeCells>
  <dataValidations disablePrompts="1" count="2">
    <dataValidation allowBlank="1" showInputMessage="1" showErrorMessage="1" prompt="Don't forget to enter Projected Child Count in Cell B1." sqref="A5" xr:uid="{00000000-0002-0000-0F00-000000000000}"/>
    <dataValidation allowBlank="1" showInputMessage="1" showErrorMessage="1" prompt="Don't forget to enter Child Count in Cell I1." sqref="H5" xr:uid="{00000000-0002-0000-0F00-000001000000}"/>
  </dataValidations>
  <hyperlinks>
    <hyperlink ref="A33" r:id="rId1" xr:uid="{00000000-0004-0000-0F00-000000000000}"/>
  </hyperlinks>
  <pageMargins left="0.75" right="0.75" top="1" bottom="1" header="0.5" footer="0.5"/>
  <pageSetup orientation="portrait" horizontalDpi="4294967292" verticalDpi="4294967292"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pageSetUpPr autoPageBreaks="0"/>
  </sheetPr>
  <dimension ref="A1:AB75"/>
  <sheetViews>
    <sheetView showGridLines="0" zoomScale="90" zoomScaleNormal="90" zoomScalePageLayoutView="90" workbookViewId="0">
      <pane ySplit="3" topLeftCell="A65" activePane="bottomLeft" state="frozen"/>
      <selection activeCell="D21" sqref="D21"/>
      <selection pane="bottomLeft" activeCell="I72" sqref="I72"/>
    </sheetView>
  </sheetViews>
  <sheetFormatPr defaultColWidth="0" defaultRowHeight="15.75"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x14ac:dyDescent="0.25">
      <c r="A1" s="57" t="s">
        <v>58</v>
      </c>
      <c r="D1" s="59" t="s">
        <v>14</v>
      </c>
      <c r="E1" s="10" t="str">
        <f>IF('2. Getting Started'!$B2="","",'2. Getting Started'!$B2)</f>
        <v/>
      </c>
      <c r="G1" s="667" t="s">
        <v>176</v>
      </c>
      <c r="K1" s="59" t="s">
        <v>14</v>
      </c>
      <c r="L1" s="10" t="str">
        <f>IF('2. Getting Started'!$B2="","",'2. Getting Started'!$B2)</f>
        <v/>
      </c>
    </row>
    <row r="2" spans="1:20" ht="25.9" customHeight="1" thickBot="1" x14ac:dyDescent="0.3">
      <c r="A2" s="338" t="s">
        <v>170</v>
      </c>
      <c r="D2" s="59"/>
      <c r="E2" s="10"/>
      <c r="G2" s="667"/>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Started'!B6+3," Budget")</f>
        <v>Eligibility Standard -- Exceptions to MOE as Permitted by 34 CFR §300.204 and Adjustment to MOE as Permitted by 34 CFR §300.205 -- Projections for State Fiscal Year 2024 Budget</v>
      </c>
      <c r="B3" s="61"/>
      <c r="C3" s="61"/>
      <c r="D3" s="61"/>
      <c r="E3" s="61"/>
      <c r="F3" s="62"/>
      <c r="G3" s="667"/>
      <c r="H3" s="60" t="str">
        <f>CONCATENATE("Compliance Standard -- Exceptions to MOE as Permitted by 34 CFR §300.204 and Adjustment to MOE as Permitted by 34 CFR §300.205 -- Final Expenditures for  State Fiscal Year ",'2. Getting Started'!B6+3)</f>
        <v>Compliance Standard -- Exceptions to MOE as Permitted by 34 CFR §300.204 and Adjustment to MOE as Permitted by 34 CFR §300.205 -- Final Expenditures for  State Fiscal Year 2024</v>
      </c>
      <c r="I3" s="61"/>
      <c r="J3" s="61"/>
      <c r="K3" s="61"/>
      <c r="L3" s="61"/>
      <c r="M3" s="62"/>
      <c r="O3" s="64"/>
      <c r="P3" s="64"/>
      <c r="Q3" s="64"/>
      <c r="R3" s="64"/>
      <c r="S3" s="64"/>
      <c r="T3" s="64"/>
    </row>
    <row r="4" spans="1:20" x14ac:dyDescent="0.25">
      <c r="A4" s="65" t="s">
        <v>59</v>
      </c>
      <c r="B4" s="66"/>
      <c r="C4" s="67"/>
      <c r="D4" s="67"/>
      <c r="E4" s="67"/>
      <c r="F4" s="68"/>
      <c r="G4" s="667"/>
      <c r="H4" s="65" t="s">
        <v>59</v>
      </c>
      <c r="I4" s="66"/>
      <c r="J4" s="67"/>
      <c r="K4" s="67"/>
      <c r="L4" s="67"/>
      <c r="M4" s="68"/>
      <c r="N4" s="70"/>
      <c r="O4" s="70"/>
      <c r="P4" s="70"/>
      <c r="Q4" s="70"/>
      <c r="R4" s="70"/>
      <c r="S4" s="70"/>
    </row>
    <row r="5" spans="1:20" x14ac:dyDescent="0.25">
      <c r="A5" s="71" t="s">
        <v>60</v>
      </c>
      <c r="B5" s="72"/>
      <c r="C5" s="69"/>
      <c r="D5" s="69"/>
      <c r="E5" s="69"/>
      <c r="F5" s="73"/>
      <c r="G5" s="667"/>
      <c r="H5" s="71" t="s">
        <v>60</v>
      </c>
      <c r="I5" s="72"/>
      <c r="J5" s="69"/>
      <c r="K5" s="69"/>
      <c r="L5" s="69"/>
      <c r="M5" s="73"/>
      <c r="N5" s="74"/>
      <c r="O5" s="74"/>
      <c r="P5" s="74"/>
      <c r="Q5" s="74"/>
      <c r="R5" s="74"/>
    </row>
    <row r="6" spans="1:20" ht="35.65" customHeight="1" thickBot="1" x14ac:dyDescent="0.3">
      <c r="A6" s="75" t="s">
        <v>61</v>
      </c>
      <c r="B6" s="76"/>
      <c r="C6" s="76"/>
      <c r="D6" s="76"/>
      <c r="E6" s="76"/>
      <c r="F6" s="77"/>
      <c r="G6" s="667"/>
      <c r="H6" s="75" t="s">
        <v>61</v>
      </c>
      <c r="I6" s="76"/>
      <c r="J6" s="76"/>
      <c r="K6" s="76"/>
      <c r="L6" s="76"/>
      <c r="M6" s="77"/>
      <c r="N6" s="74"/>
      <c r="O6" s="74"/>
      <c r="P6" s="74"/>
      <c r="Q6" s="74"/>
      <c r="R6" s="74"/>
      <c r="S6" s="74"/>
    </row>
    <row r="7" spans="1:20" x14ac:dyDescent="0.25">
      <c r="A7" s="78" t="s">
        <v>62</v>
      </c>
      <c r="B7" s="79" t="s">
        <v>63</v>
      </c>
      <c r="C7" s="80" t="s">
        <v>64</v>
      </c>
      <c r="D7" s="80" t="s">
        <v>65</v>
      </c>
      <c r="E7" s="81" t="s">
        <v>66</v>
      </c>
      <c r="F7" s="82" t="s">
        <v>67</v>
      </c>
      <c r="G7" s="667"/>
      <c r="H7" s="78" t="s">
        <v>62</v>
      </c>
      <c r="I7" s="79" t="s">
        <v>63</v>
      </c>
      <c r="J7" s="80" t="s">
        <v>64</v>
      </c>
      <c r="K7" s="80" t="s">
        <v>65</v>
      </c>
      <c r="L7" s="81" t="s">
        <v>66</v>
      </c>
      <c r="M7" s="82" t="s">
        <v>68</v>
      </c>
      <c r="N7" s="74"/>
      <c r="O7" s="74"/>
    </row>
    <row r="8" spans="1:20" x14ac:dyDescent="0.25">
      <c r="A8" s="186"/>
      <c r="B8" s="187"/>
      <c r="C8" s="187"/>
      <c r="D8" s="188"/>
      <c r="E8" s="188"/>
      <c r="F8" s="84">
        <f>D8+E8</f>
        <v>0</v>
      </c>
      <c r="G8" s="667"/>
      <c r="H8" s="186"/>
      <c r="I8" s="187"/>
      <c r="J8" s="187"/>
      <c r="K8" s="188"/>
      <c r="L8" s="188"/>
      <c r="M8" s="84">
        <f>K8+L8</f>
        <v>0</v>
      </c>
      <c r="N8" s="85"/>
      <c r="O8" s="85"/>
    </row>
    <row r="9" spans="1:20" x14ac:dyDescent="0.25">
      <c r="A9" s="186"/>
      <c r="B9" s="187"/>
      <c r="C9" s="187"/>
      <c r="D9" s="188"/>
      <c r="E9" s="188"/>
      <c r="F9" s="84">
        <f>D9+E9</f>
        <v>0</v>
      </c>
      <c r="G9" s="667"/>
      <c r="H9" s="186"/>
      <c r="I9" s="187"/>
      <c r="J9" s="187"/>
      <c r="K9" s="188"/>
      <c r="L9" s="188"/>
      <c r="M9" s="84">
        <f>K9+L9</f>
        <v>0</v>
      </c>
      <c r="N9" s="85"/>
      <c r="O9" s="85"/>
    </row>
    <row r="10" spans="1:20" x14ac:dyDescent="0.25">
      <c r="A10" s="186"/>
      <c r="B10" s="187"/>
      <c r="C10" s="187"/>
      <c r="D10" s="188"/>
      <c r="E10" s="188"/>
      <c r="F10" s="84">
        <f>D10+E10</f>
        <v>0</v>
      </c>
      <c r="G10" s="667"/>
      <c r="H10" s="186"/>
      <c r="I10" s="187"/>
      <c r="J10" s="187"/>
      <c r="K10" s="188"/>
      <c r="L10" s="188"/>
      <c r="M10" s="84">
        <f>K10+L10</f>
        <v>0</v>
      </c>
      <c r="N10" s="85"/>
      <c r="O10" s="85"/>
    </row>
    <row r="11" spans="1:20" x14ac:dyDescent="0.25">
      <c r="A11" s="186"/>
      <c r="B11" s="187"/>
      <c r="C11" s="187"/>
      <c r="D11" s="188"/>
      <c r="E11" s="188"/>
      <c r="F11" s="84">
        <f>D11+E11</f>
        <v>0</v>
      </c>
      <c r="G11" s="667"/>
      <c r="H11" s="186"/>
      <c r="I11" s="187"/>
      <c r="J11" s="187"/>
      <c r="K11" s="188"/>
      <c r="L11" s="188"/>
      <c r="M11" s="84">
        <f>K11+L11</f>
        <v>0</v>
      </c>
      <c r="N11" s="85"/>
      <c r="O11" s="85"/>
    </row>
    <row r="12" spans="1:20" x14ac:dyDescent="0.25">
      <c r="A12" s="186"/>
      <c r="B12" s="187"/>
      <c r="C12" s="187"/>
      <c r="D12" s="188"/>
      <c r="E12" s="188"/>
      <c r="F12" s="84">
        <f>D12+E12</f>
        <v>0</v>
      </c>
      <c r="G12" s="667"/>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67"/>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67"/>
      <c r="H14" s="91" t="s">
        <v>70</v>
      </c>
      <c r="I14" s="92"/>
      <c r="J14" s="92"/>
      <c r="K14" s="92"/>
      <c r="L14" s="92"/>
      <c r="M14" s="93"/>
      <c r="N14" s="74"/>
      <c r="O14" s="74"/>
      <c r="P14" s="74"/>
      <c r="Q14" s="74"/>
      <c r="R14" s="74"/>
      <c r="S14" s="94"/>
    </row>
    <row r="15" spans="1:20" x14ac:dyDescent="0.25">
      <c r="A15" s="95" t="s">
        <v>62</v>
      </c>
      <c r="B15" s="96" t="s">
        <v>63</v>
      </c>
      <c r="C15" s="97" t="s">
        <v>175</v>
      </c>
      <c r="D15" s="80" t="s">
        <v>65</v>
      </c>
      <c r="E15" s="81" t="s">
        <v>66</v>
      </c>
      <c r="F15" s="82" t="s">
        <v>67</v>
      </c>
      <c r="G15" s="667"/>
      <c r="H15" s="95" t="s">
        <v>62</v>
      </c>
      <c r="I15" s="96" t="s">
        <v>63</v>
      </c>
      <c r="J15" s="97" t="s">
        <v>175</v>
      </c>
      <c r="K15" s="80" t="s">
        <v>65</v>
      </c>
      <c r="L15" s="81" t="s">
        <v>66</v>
      </c>
      <c r="M15" s="82" t="s">
        <v>68</v>
      </c>
      <c r="N15" s="64"/>
      <c r="O15" s="99"/>
    </row>
    <row r="16" spans="1:20" x14ac:dyDescent="0.25">
      <c r="A16" s="189"/>
      <c r="B16" s="190"/>
      <c r="C16" s="100"/>
      <c r="D16" s="188"/>
      <c r="E16" s="188"/>
      <c r="F16" s="84">
        <f t="shared" ref="F16:F20" si="2">D16+E16</f>
        <v>0</v>
      </c>
      <c r="G16" s="667"/>
      <c r="H16" s="189"/>
      <c r="I16" s="190"/>
      <c r="J16" s="100"/>
      <c r="K16" s="188"/>
      <c r="L16" s="188"/>
      <c r="M16" s="84">
        <f t="shared" ref="M16:M20" si="3">K16+L16</f>
        <v>0</v>
      </c>
      <c r="N16" s="85"/>
      <c r="O16" s="85"/>
    </row>
    <row r="17" spans="1:19" x14ac:dyDescent="0.25">
      <c r="A17" s="189"/>
      <c r="B17" s="190"/>
      <c r="C17" s="100"/>
      <c r="D17" s="188"/>
      <c r="E17" s="188"/>
      <c r="F17" s="84">
        <f t="shared" si="2"/>
        <v>0</v>
      </c>
      <c r="G17" s="667"/>
      <c r="H17" s="189"/>
      <c r="I17" s="190"/>
      <c r="J17" s="100"/>
      <c r="K17" s="188"/>
      <c r="L17" s="188"/>
      <c r="M17" s="84">
        <f t="shared" si="3"/>
        <v>0</v>
      </c>
      <c r="N17" s="85"/>
      <c r="O17" s="85"/>
    </row>
    <row r="18" spans="1:19" x14ac:dyDescent="0.25">
      <c r="A18" s="189"/>
      <c r="B18" s="190"/>
      <c r="C18" s="100"/>
      <c r="D18" s="188"/>
      <c r="E18" s="188"/>
      <c r="F18" s="84">
        <f t="shared" si="2"/>
        <v>0</v>
      </c>
      <c r="G18" s="667"/>
      <c r="H18" s="189"/>
      <c r="I18" s="190"/>
      <c r="J18" s="100"/>
      <c r="K18" s="188"/>
      <c r="L18" s="188"/>
      <c r="M18" s="84">
        <f t="shared" si="3"/>
        <v>0</v>
      </c>
      <c r="N18" s="85"/>
      <c r="O18" s="85"/>
    </row>
    <row r="19" spans="1:19" x14ac:dyDescent="0.25">
      <c r="A19" s="189"/>
      <c r="B19" s="190"/>
      <c r="C19" s="100"/>
      <c r="D19" s="188"/>
      <c r="E19" s="188"/>
      <c r="F19" s="84">
        <f t="shared" si="2"/>
        <v>0</v>
      </c>
      <c r="G19" s="667"/>
      <c r="H19" s="189"/>
      <c r="I19" s="190"/>
      <c r="J19" s="100"/>
      <c r="K19" s="188"/>
      <c r="L19" s="188"/>
      <c r="M19" s="84">
        <f t="shared" si="3"/>
        <v>0</v>
      </c>
      <c r="N19" s="85"/>
      <c r="O19" s="85"/>
    </row>
    <row r="20" spans="1:19" x14ac:dyDescent="0.25">
      <c r="A20" s="189"/>
      <c r="B20" s="190"/>
      <c r="C20" s="100"/>
      <c r="D20" s="188"/>
      <c r="E20" s="188"/>
      <c r="F20" s="84">
        <f t="shared" si="2"/>
        <v>0</v>
      </c>
      <c r="G20" s="667"/>
      <c r="H20" s="189"/>
      <c r="I20" s="190"/>
      <c r="J20" s="100"/>
      <c r="K20" s="188"/>
      <c r="L20" s="188"/>
      <c r="M20" s="84">
        <f t="shared" si="3"/>
        <v>0</v>
      </c>
      <c r="N20" s="85"/>
      <c r="O20" s="85"/>
    </row>
    <row r="21" spans="1:19" x14ac:dyDescent="0.25">
      <c r="A21" s="101"/>
      <c r="B21" s="102"/>
      <c r="C21" s="103" t="s">
        <v>72</v>
      </c>
      <c r="D21" s="104">
        <f t="shared" ref="D21:F21" si="4">SUM(D16:D20)</f>
        <v>0</v>
      </c>
      <c r="E21" s="104">
        <f t="shared" si="4"/>
        <v>0</v>
      </c>
      <c r="F21" s="84">
        <f t="shared" si="4"/>
        <v>0</v>
      </c>
      <c r="G21" s="667"/>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67"/>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67"/>
      <c r="H23" s="668" t="s">
        <v>22</v>
      </c>
      <c r="I23" s="668"/>
      <c r="J23" s="668"/>
      <c r="K23" s="668"/>
      <c r="L23" s="668"/>
      <c r="M23" s="668"/>
      <c r="N23" s="94"/>
      <c r="O23" s="94"/>
      <c r="P23" s="94"/>
      <c r="Q23" s="94"/>
      <c r="R23" s="94"/>
      <c r="S23" s="94"/>
    </row>
    <row r="24" spans="1:19" x14ac:dyDescent="0.25">
      <c r="A24" s="112" t="s">
        <v>105</v>
      </c>
      <c r="B24" s="113"/>
      <c r="C24" s="113"/>
      <c r="D24" s="63"/>
      <c r="E24" s="120"/>
      <c r="F24" s="120"/>
      <c r="G24" s="667"/>
      <c r="H24" s="112" t="s">
        <v>105</v>
      </c>
      <c r="I24" s="113"/>
      <c r="J24" s="113"/>
      <c r="K24" s="63"/>
      <c r="L24" s="120"/>
      <c r="M24" s="120"/>
      <c r="N24" s="119"/>
      <c r="O24" s="119"/>
      <c r="P24" s="119"/>
      <c r="Q24" s="119"/>
    </row>
    <row r="25" spans="1:19" x14ac:dyDescent="0.25">
      <c r="A25" s="121" t="s">
        <v>71</v>
      </c>
      <c r="B25" s="122" t="s">
        <v>77</v>
      </c>
      <c r="C25" s="123"/>
      <c r="D25" s="124"/>
      <c r="E25" s="123"/>
      <c r="F25" s="123"/>
      <c r="G25" s="667"/>
      <c r="H25" s="121" t="s">
        <v>71</v>
      </c>
      <c r="I25" s="122" t="s">
        <v>77</v>
      </c>
      <c r="J25" s="123"/>
      <c r="K25" s="124"/>
      <c r="L25" s="123"/>
      <c r="M25" s="123"/>
      <c r="N25" s="119"/>
      <c r="O25" s="119"/>
      <c r="P25" s="119"/>
      <c r="Q25" s="119"/>
    </row>
    <row r="26" spans="1:19" x14ac:dyDescent="0.25">
      <c r="A26" s="125" t="str">
        <f>CONCATENATE("SFY ",'2. Getting Started'!B6+3," Projected Child Count")</f>
        <v>SFY 2024 Projected Child Count</v>
      </c>
      <c r="B26" s="126">
        <f>IF('14. Year 4 Amounts'!B1="","",'14. Year 4 Amounts'!B1)</f>
        <v>0</v>
      </c>
      <c r="C26" s="123"/>
      <c r="D26" s="124"/>
      <c r="E26" s="123"/>
      <c r="F26" s="123"/>
      <c r="G26" s="667"/>
      <c r="H26" s="125" t="str">
        <f>CONCATENATE("SFY ",'2. Getting Started'!B6+3," Child Count")</f>
        <v>SFY 2024 Child Count</v>
      </c>
      <c r="I26" s="126">
        <f>IF('14. Year 4 Amounts'!I1="","",'14. Year 4 Amounts'!I1)</f>
        <v>0</v>
      </c>
      <c r="J26" s="123"/>
      <c r="K26" s="124"/>
      <c r="L26" s="123"/>
      <c r="M26" s="123"/>
      <c r="N26" s="119"/>
      <c r="O26" s="119"/>
      <c r="P26" s="119"/>
      <c r="Q26" s="119"/>
    </row>
    <row r="27" spans="1:19" x14ac:dyDescent="0.25">
      <c r="A27" s="125" t="str">
        <f>CONCATENATE("SFY ",'2. Getting Started'!B6+2," Projected Child Count")</f>
        <v>SFY 2023 Projected Child Count</v>
      </c>
      <c r="B27" s="126">
        <f>IF('11. Year 3 Amounts'!B1="","",'11. Year 3 Amounts'!B1)</f>
        <v>0</v>
      </c>
      <c r="C27" s="119"/>
      <c r="D27" s="128"/>
      <c r="E27" s="119"/>
      <c r="F27" s="123"/>
      <c r="G27" s="667"/>
      <c r="H27" s="125" t="str">
        <f>CONCATENATE("SFY ",'2. Getting Started'!B6+2," Child Count")</f>
        <v>SFY 2023 Child Count</v>
      </c>
      <c r="I27" s="126">
        <f>IF('11. Year 3 Amounts'!I1="","",'11. Year 3 Amounts'!I1)</f>
        <v>0</v>
      </c>
      <c r="J27" s="119"/>
      <c r="K27" s="128"/>
      <c r="L27" s="119"/>
      <c r="M27" s="123"/>
      <c r="N27" s="129"/>
      <c r="O27" s="129"/>
      <c r="P27" s="129"/>
      <c r="Q27" s="129"/>
    </row>
    <row r="28" spans="1:19" x14ac:dyDescent="0.25">
      <c r="A28" s="127" t="s">
        <v>78</v>
      </c>
      <c r="B28" s="130">
        <f>IF(B26="","",B26-B27)</f>
        <v>0</v>
      </c>
      <c r="C28" s="123" t="str">
        <f>IF(B28="","",IF(B28&gt;=0,"Not eligible for this exception",""))</f>
        <v>Not eligible for this exception</v>
      </c>
      <c r="D28" s="124"/>
      <c r="E28" s="123"/>
      <c r="F28" s="123"/>
      <c r="G28" s="667"/>
      <c r="H28" s="127" t="s">
        <v>78</v>
      </c>
      <c r="I28" s="130">
        <f>IF(I26="","",I26-I27)</f>
        <v>0</v>
      </c>
      <c r="J28" s="123" t="str">
        <f>IF(I28="","",IF(I28&gt;=0,"Not eligible for this exception",""))</f>
        <v>Not eligible for this exception</v>
      </c>
      <c r="K28" s="124"/>
      <c r="L28" s="123"/>
      <c r="M28" s="123"/>
      <c r="N28" s="132"/>
      <c r="O28" s="132"/>
      <c r="P28" s="132"/>
      <c r="Q28" s="132"/>
    </row>
    <row r="29" spans="1:19" x14ac:dyDescent="0.25">
      <c r="A29" s="133" t="s">
        <v>79</v>
      </c>
      <c r="B29" s="134" t="e">
        <f>IF(B26="","",IF(B28&lt;=0,ABS(B28/B27),""))</f>
        <v>#DIV/0!</v>
      </c>
      <c r="C29" s="135"/>
      <c r="D29" s="136"/>
      <c r="E29" s="135"/>
      <c r="F29" s="10"/>
      <c r="G29" s="667"/>
      <c r="H29" s="133" t="s">
        <v>79</v>
      </c>
      <c r="I29" s="134" t="e">
        <f>IF(I26="","",IF(I28&lt;=0,ABS(I28/I27),""))</f>
        <v>#DIV/0!</v>
      </c>
      <c r="J29" s="135"/>
      <c r="K29" s="136"/>
      <c r="L29" s="135"/>
      <c r="M29" s="10"/>
      <c r="N29" s="137"/>
      <c r="O29" s="137"/>
      <c r="P29" s="138"/>
      <c r="Q29" s="138"/>
    </row>
    <row r="30" spans="1:19" ht="31.5" x14ac:dyDescent="0.25">
      <c r="A30" s="115" t="s">
        <v>71</v>
      </c>
      <c r="B30" s="116" t="s">
        <v>0</v>
      </c>
      <c r="C30" s="116" t="s">
        <v>2</v>
      </c>
      <c r="D30" s="10"/>
      <c r="E30" s="72"/>
      <c r="F30" s="72"/>
      <c r="G30" s="667"/>
      <c r="H30" s="115" t="s">
        <v>71</v>
      </c>
      <c r="I30" s="116" t="s">
        <v>75</v>
      </c>
      <c r="J30" s="116" t="s">
        <v>76</v>
      </c>
      <c r="K30" s="10"/>
      <c r="L30" s="72"/>
      <c r="M30" s="72"/>
      <c r="N30" s="138"/>
      <c r="O30" s="138"/>
    </row>
    <row r="31" spans="1:19" x14ac:dyDescent="0.25">
      <c r="A31" s="139" t="str">
        <f>CONCATENATE("SFY ",'2. Getting Started'!B6+2," Budget")</f>
        <v>SFY 2023 Budget</v>
      </c>
      <c r="B31" s="140" t="str">
        <f>IF('11. Year 3 Amounts'!D30="","",'11. Year 3 Amounts'!D30)</f>
        <v/>
      </c>
      <c r="C31" s="140" t="str">
        <f>IF('11. Year 3 Amounts'!F30="","",'11. Year 3 Amounts'!F30)</f>
        <v/>
      </c>
      <c r="D31" s="141"/>
      <c r="E31" s="74"/>
      <c r="F31" s="74"/>
      <c r="G31" s="667"/>
      <c r="H31" s="139" t="str">
        <f>CONCATENATE("SFY ",'2. Getting Started'!B6+2," Final Expenditures")</f>
        <v>SFY 2023 Final Expenditures</v>
      </c>
      <c r="I31" s="140">
        <f>IF('11. Year 3 Amounts'!K30="","",'11. Year 3 Amounts'!K30)</f>
        <v>0</v>
      </c>
      <c r="J31" s="140">
        <f>IF('11. Year 3 Amounts'!M30="","",'11. Year 3 Amounts'!M30)</f>
        <v>0</v>
      </c>
      <c r="K31" s="142"/>
      <c r="L31" s="74"/>
      <c r="M31" s="74"/>
    </row>
    <row r="32" spans="1:19" x14ac:dyDescent="0.25">
      <c r="A32" s="117" t="s">
        <v>80</v>
      </c>
      <c r="B32" s="143" t="e">
        <f>IF(OR($B26="",B29="",B31=""),"",($B29*B31))</f>
        <v>#DIV/0!</v>
      </c>
      <c r="C32" s="143" t="e">
        <f>IF(OR($B26="",B29="",C31=""),"",($B29*C31))</f>
        <v>#DIV/0!</v>
      </c>
      <c r="D32" s="142"/>
      <c r="E32" s="118"/>
      <c r="F32" s="118"/>
      <c r="G32" s="667"/>
      <c r="H32" s="117" t="s">
        <v>81</v>
      </c>
      <c r="I32" s="143" t="e">
        <f>IF(OR($I26="",I29="",I31=""),"",($I29*I31))</f>
        <v>#DIV/0!</v>
      </c>
      <c r="J32" s="143" t="e">
        <f>IF(OR($I26="",I29="",J31=""),"",($I29*J31))</f>
        <v>#DIV/0!</v>
      </c>
      <c r="K32" s="142"/>
      <c r="L32" s="118"/>
      <c r="M32" s="118"/>
    </row>
    <row r="33" spans="1:28" ht="16.5" thickBot="1" x14ac:dyDescent="0.3">
      <c r="A33" s="663" t="s">
        <v>22</v>
      </c>
      <c r="B33" s="663"/>
      <c r="C33" s="663"/>
      <c r="D33" s="123"/>
      <c r="E33" s="123"/>
      <c r="F33" s="123"/>
      <c r="G33" s="667"/>
      <c r="H33" s="663" t="s">
        <v>22</v>
      </c>
      <c r="I33" s="663"/>
      <c r="J33" s="663"/>
      <c r="K33" s="123"/>
      <c r="L33" s="123"/>
      <c r="M33" s="123"/>
      <c r="P33" s="118"/>
      <c r="Q33" s="118"/>
      <c r="R33" s="118"/>
      <c r="S33" s="118"/>
      <c r="T33" s="118"/>
      <c r="U33" s="74"/>
      <c r="V33" s="118"/>
      <c r="W33" s="118"/>
      <c r="X33" s="118"/>
      <c r="Y33" s="118"/>
      <c r="Z33" s="118"/>
      <c r="AA33" s="118"/>
    </row>
    <row r="34" spans="1:28" x14ac:dyDescent="0.25">
      <c r="A34" s="112" t="s">
        <v>82</v>
      </c>
      <c r="B34" s="145"/>
      <c r="C34" s="146"/>
      <c r="D34" s="147"/>
      <c r="E34" s="131"/>
      <c r="F34" s="131"/>
      <c r="G34" s="667"/>
      <c r="H34" s="112" t="s">
        <v>82</v>
      </c>
      <c r="I34" s="145"/>
      <c r="J34" s="146"/>
      <c r="K34" s="147"/>
      <c r="L34" s="131"/>
      <c r="M34" s="131"/>
      <c r="P34" s="118"/>
      <c r="Q34" s="118"/>
      <c r="R34" s="118"/>
      <c r="S34" s="118"/>
      <c r="T34" s="118"/>
      <c r="U34" s="118"/>
      <c r="V34" s="118"/>
      <c r="W34" s="118"/>
      <c r="X34" s="118"/>
      <c r="Y34" s="118"/>
      <c r="Z34" s="118"/>
      <c r="AA34" s="118"/>
    </row>
    <row r="35" spans="1:28" x14ac:dyDescent="0.25">
      <c r="A35" s="148" t="s">
        <v>83</v>
      </c>
      <c r="B35" s="72"/>
      <c r="C35" s="149"/>
      <c r="D35" s="150"/>
      <c r="E35" s="10"/>
      <c r="F35" s="10"/>
      <c r="G35" s="667"/>
      <c r="H35" s="148" t="s">
        <v>83</v>
      </c>
      <c r="I35" s="72"/>
      <c r="J35" s="149"/>
      <c r="K35" s="150"/>
      <c r="L35" s="10"/>
      <c r="M35" s="10"/>
      <c r="P35" s="74"/>
      <c r="Q35" s="74"/>
      <c r="R35" s="74"/>
      <c r="S35" s="74"/>
      <c r="T35" s="74"/>
      <c r="U35" s="74"/>
      <c r="V35" s="74"/>
      <c r="W35" s="74"/>
      <c r="X35" s="74"/>
      <c r="Y35" s="74"/>
      <c r="Z35" s="74"/>
      <c r="AA35" s="74"/>
    </row>
    <row r="36" spans="1:28" x14ac:dyDescent="0.25">
      <c r="A36" s="151" t="s">
        <v>84</v>
      </c>
      <c r="B36" s="72"/>
      <c r="C36" s="152"/>
      <c r="D36" s="150"/>
      <c r="E36" s="10"/>
      <c r="F36" s="10"/>
      <c r="G36" s="667"/>
      <c r="H36" s="151" t="s">
        <v>84</v>
      </c>
      <c r="I36" s="72"/>
      <c r="J36" s="152"/>
      <c r="K36" s="150"/>
      <c r="L36" s="10"/>
      <c r="M36" s="10"/>
      <c r="Q36" s="74"/>
      <c r="R36" s="74"/>
      <c r="S36" s="74"/>
      <c r="T36" s="74"/>
      <c r="U36" s="74"/>
      <c r="V36" s="74"/>
      <c r="W36" s="74"/>
      <c r="X36" s="74"/>
      <c r="Y36" s="74"/>
      <c r="Z36" s="74"/>
      <c r="AA36" s="74"/>
      <c r="AB36" s="74"/>
    </row>
    <row r="37" spans="1:28" x14ac:dyDescent="0.25">
      <c r="A37" s="153" t="s">
        <v>85</v>
      </c>
      <c r="B37" s="154" t="s">
        <v>86</v>
      </c>
      <c r="C37" s="155" t="s">
        <v>87</v>
      </c>
      <c r="D37" s="118"/>
      <c r="E37" s="144"/>
      <c r="F37" s="144"/>
      <c r="G37" s="667"/>
      <c r="H37" s="153" t="s">
        <v>85</v>
      </c>
      <c r="I37" s="154" t="s">
        <v>86</v>
      </c>
      <c r="J37" s="155" t="s">
        <v>88</v>
      </c>
      <c r="K37" s="118"/>
      <c r="L37" s="144"/>
      <c r="M37" s="144"/>
      <c r="P37" s="94"/>
      <c r="Q37" s="94"/>
      <c r="R37" s="94"/>
      <c r="S37" s="94"/>
      <c r="T37" s="94"/>
      <c r="U37" s="94"/>
      <c r="V37" s="94"/>
      <c r="W37" s="94"/>
      <c r="X37" s="94"/>
      <c r="Y37" s="94"/>
      <c r="Z37" s="94"/>
      <c r="AA37" s="94"/>
    </row>
    <row r="38" spans="1:28" x14ac:dyDescent="0.25">
      <c r="A38" s="191"/>
      <c r="B38" s="192"/>
      <c r="C38" s="193"/>
      <c r="D38" s="144"/>
      <c r="E38" s="144"/>
      <c r="F38" s="144"/>
      <c r="G38" s="667"/>
      <c r="H38" s="191"/>
      <c r="I38" s="192"/>
      <c r="J38" s="193"/>
      <c r="K38" s="144"/>
      <c r="L38" s="144"/>
      <c r="M38" s="144"/>
      <c r="P38" s="94"/>
      <c r="Q38" s="94"/>
      <c r="R38" s="94"/>
      <c r="S38" s="94"/>
      <c r="T38" s="94"/>
      <c r="U38" s="94"/>
      <c r="V38" s="94"/>
      <c r="W38" s="94"/>
      <c r="X38" s="94"/>
      <c r="Y38" s="94"/>
      <c r="Z38" s="94"/>
      <c r="AA38" s="94"/>
    </row>
    <row r="39" spans="1:28" x14ac:dyDescent="0.25">
      <c r="A39" s="191"/>
      <c r="B39" s="192"/>
      <c r="C39" s="193"/>
      <c r="D39" s="144"/>
      <c r="E39" s="72"/>
      <c r="F39" s="72"/>
      <c r="G39" s="667"/>
      <c r="H39" s="191"/>
      <c r="I39" s="192"/>
      <c r="J39" s="193"/>
      <c r="K39" s="144"/>
      <c r="L39" s="72"/>
      <c r="M39" s="72"/>
      <c r="P39" s="94"/>
      <c r="Q39" s="94"/>
      <c r="R39" s="94"/>
      <c r="S39" s="94"/>
      <c r="T39" s="94"/>
      <c r="U39" s="94"/>
      <c r="V39" s="94"/>
      <c r="W39" s="94"/>
      <c r="X39" s="94"/>
      <c r="Y39" s="94"/>
      <c r="Z39" s="94"/>
      <c r="AA39" s="94"/>
    </row>
    <row r="40" spans="1:28" x14ac:dyDescent="0.25">
      <c r="A40" s="191"/>
      <c r="B40" s="192"/>
      <c r="C40" s="193"/>
      <c r="D40" s="144"/>
      <c r="E40" s="72"/>
      <c r="F40" s="72"/>
      <c r="G40" s="667"/>
      <c r="H40" s="191"/>
      <c r="I40" s="192"/>
      <c r="J40" s="193"/>
      <c r="K40" s="144"/>
      <c r="L40" s="72"/>
      <c r="M40" s="72"/>
      <c r="P40" s="94"/>
      <c r="Q40" s="94"/>
      <c r="R40" s="94"/>
      <c r="S40" s="94"/>
      <c r="T40" s="94"/>
      <c r="U40" s="94"/>
      <c r="V40" s="94"/>
      <c r="W40" s="94"/>
      <c r="X40" s="94"/>
      <c r="Y40" s="94"/>
      <c r="Z40" s="94"/>
      <c r="AA40" s="94"/>
    </row>
    <row r="41" spans="1:28" x14ac:dyDescent="0.25">
      <c r="A41" s="191"/>
      <c r="B41" s="192"/>
      <c r="C41" s="193"/>
      <c r="D41" s="144"/>
      <c r="E41" s="120"/>
      <c r="F41" s="120"/>
      <c r="G41" s="667"/>
      <c r="H41" s="191"/>
      <c r="I41" s="192"/>
      <c r="J41" s="193"/>
      <c r="K41" s="144"/>
      <c r="L41" s="120"/>
      <c r="M41" s="120"/>
      <c r="P41" s="94"/>
      <c r="Q41" s="94"/>
      <c r="R41" s="94"/>
      <c r="S41" s="94"/>
      <c r="T41" s="94"/>
      <c r="U41" s="94"/>
      <c r="V41" s="94"/>
      <c r="W41" s="94"/>
      <c r="X41" s="94"/>
      <c r="Y41" s="94"/>
      <c r="Z41" s="94"/>
      <c r="AA41" s="94"/>
    </row>
    <row r="42" spans="1:28" x14ac:dyDescent="0.25">
      <c r="A42" s="191"/>
      <c r="B42" s="192"/>
      <c r="C42" s="193"/>
      <c r="D42" s="144"/>
      <c r="F42" s="10"/>
      <c r="G42" s="667"/>
      <c r="H42" s="191"/>
      <c r="I42" s="192"/>
      <c r="J42" s="193"/>
      <c r="K42" s="144"/>
      <c r="M42" s="10"/>
      <c r="P42" s="74"/>
      <c r="Q42" s="74"/>
      <c r="R42" s="74"/>
      <c r="S42" s="74"/>
      <c r="T42" s="74"/>
      <c r="U42" s="74"/>
      <c r="V42" s="74"/>
      <c r="W42" s="74"/>
      <c r="X42" s="74"/>
      <c r="Y42" s="74"/>
      <c r="Z42" s="74"/>
      <c r="AA42" s="74"/>
    </row>
    <row r="43" spans="1:28" x14ac:dyDescent="0.25">
      <c r="A43" s="157" t="s">
        <v>89</v>
      </c>
      <c r="B43" s="158"/>
      <c r="C43" s="159">
        <f>SUM(C38:C42)</f>
        <v>0</v>
      </c>
      <c r="D43" s="144"/>
      <c r="E43" s="74"/>
      <c r="F43" s="72"/>
      <c r="G43" s="667"/>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67"/>
      <c r="H44" s="669" t="s">
        <v>22</v>
      </c>
      <c r="I44" s="669"/>
      <c r="J44" s="669"/>
      <c r="K44" s="72"/>
      <c r="L44" s="72"/>
      <c r="M44" s="72"/>
      <c r="P44" s="94"/>
      <c r="Q44" s="94"/>
      <c r="R44" s="94"/>
      <c r="S44" s="94"/>
      <c r="T44" s="94"/>
      <c r="U44" s="94"/>
      <c r="V44" s="94"/>
      <c r="W44" s="94"/>
      <c r="X44" s="94"/>
      <c r="Y44" s="94"/>
      <c r="Z44" s="94"/>
      <c r="AA44" s="94"/>
    </row>
    <row r="45" spans="1:28" x14ac:dyDescent="0.25">
      <c r="A45" s="112" t="s">
        <v>91</v>
      </c>
      <c r="B45" s="114"/>
      <c r="C45" s="120"/>
      <c r="D45" s="120"/>
      <c r="E45" s="120"/>
      <c r="F45" s="120"/>
      <c r="G45" s="667"/>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67"/>
      <c r="H46" s="71" t="s">
        <v>92</v>
      </c>
      <c r="I46" s="152"/>
      <c r="J46" s="120"/>
      <c r="K46" s="72"/>
      <c r="L46" s="74"/>
      <c r="M46" s="74"/>
      <c r="O46" s="94"/>
      <c r="P46" s="94"/>
      <c r="Q46" s="94"/>
      <c r="R46" s="94"/>
      <c r="S46" s="94"/>
      <c r="T46" s="94"/>
      <c r="U46" s="94"/>
      <c r="V46" s="94"/>
      <c r="W46" s="94"/>
      <c r="X46" s="94"/>
      <c r="Y46" s="94"/>
      <c r="Z46" s="94"/>
    </row>
    <row r="47" spans="1:28" x14ac:dyDescent="0.25">
      <c r="A47" s="160" t="s">
        <v>93</v>
      </c>
      <c r="B47" s="161" t="s">
        <v>94</v>
      </c>
      <c r="C47" s="118"/>
      <c r="D47" s="118"/>
      <c r="E47" s="144"/>
      <c r="F47" s="110"/>
      <c r="G47" s="667"/>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67"/>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67"/>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67"/>
      <c r="H50" s="194"/>
      <c r="I50" s="195"/>
      <c r="J50" s="144"/>
      <c r="K50" s="144"/>
      <c r="L50" s="72"/>
      <c r="M50" s="72"/>
    </row>
    <row r="51" spans="1:26" ht="60" customHeight="1" x14ac:dyDescent="0.25">
      <c r="A51" s="194"/>
      <c r="B51" s="195"/>
      <c r="C51" s="144"/>
      <c r="D51" s="144"/>
      <c r="E51" s="162"/>
      <c r="F51" s="162"/>
      <c r="G51" s="667"/>
      <c r="H51" s="194"/>
      <c r="I51" s="195"/>
      <c r="J51" s="144"/>
      <c r="K51" s="144"/>
      <c r="L51" s="162"/>
      <c r="M51" s="162"/>
    </row>
    <row r="52" spans="1:26" ht="60" customHeight="1" x14ac:dyDescent="0.25">
      <c r="A52" s="194"/>
      <c r="B52" s="195"/>
      <c r="C52" s="144"/>
      <c r="D52" s="144"/>
      <c r="E52" s="163"/>
      <c r="F52" s="163"/>
      <c r="G52" s="667"/>
      <c r="H52" s="194"/>
      <c r="I52" s="195"/>
      <c r="J52" s="144"/>
      <c r="K52" s="144"/>
      <c r="L52" s="163"/>
      <c r="M52" s="163"/>
    </row>
    <row r="53" spans="1:26" x14ac:dyDescent="0.25">
      <c r="A53" s="164" t="s">
        <v>89</v>
      </c>
      <c r="B53" s="165">
        <f>SUM(B48:B52)</f>
        <v>0</v>
      </c>
      <c r="C53" s="144"/>
      <c r="D53" s="144"/>
      <c r="E53" s="74"/>
      <c r="G53" s="667"/>
      <c r="H53" s="166" t="s">
        <v>90</v>
      </c>
      <c r="I53" s="165">
        <f>SUM(I48:I52)</f>
        <v>0</v>
      </c>
      <c r="J53" s="144"/>
      <c r="K53" s="144"/>
      <c r="L53" s="74"/>
    </row>
    <row r="54" spans="1:26" ht="16.5" thickBot="1" x14ac:dyDescent="0.3">
      <c r="A54" s="663" t="s">
        <v>22</v>
      </c>
      <c r="B54" s="663"/>
      <c r="C54" s="10"/>
      <c r="D54" s="72"/>
      <c r="E54" s="72"/>
      <c r="F54" s="72"/>
      <c r="G54" s="667"/>
      <c r="H54" s="663" t="s">
        <v>22</v>
      </c>
      <c r="I54" s="663"/>
      <c r="J54" s="10"/>
      <c r="K54" s="72"/>
      <c r="L54" s="72"/>
      <c r="M54" s="72"/>
    </row>
    <row r="55" spans="1:26" x14ac:dyDescent="0.25">
      <c r="A55" s="167" t="str">
        <f>IF('3b. High Cost Fund'!B6="No","This exception is not valid in your state.","Exception (e) The assumption of cost by the high cost fund operated by the")</f>
        <v>Exception (e) The assumption of cost by the high cost fund operated by the</v>
      </c>
      <c r="B55" s="146"/>
      <c r="C55" s="147"/>
      <c r="D55" s="131"/>
      <c r="E55" s="131"/>
      <c r="F55" s="144"/>
      <c r="G55" s="667"/>
      <c r="H55" s="167" t="str">
        <f>IF('3b. High Cost Fund'!B6="No","This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Fund'!B6="No","","SEA under §300.704. MUST be explicitly permitted by the SEA.")</f>
        <v>SEA under §300.704. MUST be explicitly permitted by the SEA.</v>
      </c>
      <c r="B56" s="168"/>
      <c r="C56" s="169"/>
      <c r="D56" s="170"/>
      <c r="E56" s="163"/>
      <c r="F56" s="144"/>
      <c r="G56" s="667"/>
      <c r="H56" s="71" t="str">
        <f>IF('3b. High Cost Fund'!B6="No","","SEA under §300.704. MUST be explicitly permitted by the SEA.")</f>
        <v>SEA under §300.704. MUST be explicitly permitted by the SEA.</v>
      </c>
      <c r="I56" s="168"/>
      <c r="J56" s="147"/>
      <c r="K56" s="170"/>
      <c r="L56" s="163"/>
      <c r="M56" s="144"/>
    </row>
    <row r="57" spans="1:26" x14ac:dyDescent="0.25">
      <c r="A57" s="171" t="s">
        <v>85</v>
      </c>
      <c r="B57" s="172" t="s">
        <v>96</v>
      </c>
      <c r="C57" s="118"/>
      <c r="D57" s="144"/>
      <c r="E57" s="144"/>
      <c r="F57" s="10"/>
      <c r="G57" s="667"/>
      <c r="H57" s="352" t="s">
        <v>85</v>
      </c>
      <c r="I57" s="172" t="s">
        <v>97</v>
      </c>
      <c r="J57" s="118"/>
      <c r="K57" s="144"/>
      <c r="L57" s="144"/>
      <c r="M57" s="10"/>
    </row>
    <row r="58" spans="1:26" ht="15.4" customHeight="1" x14ac:dyDescent="0.25">
      <c r="A58" s="196"/>
      <c r="B58" s="197"/>
      <c r="C58" s="337" t="str">
        <f>IF(AND(B58&lt;&gt;"",'3b. High Cost Fund'!$B6="No"),"Invalid entry. This exception is valid only in states with high-cost funds. If your state has a high-cost fund, please indicate that on tab 3b.","")</f>
        <v/>
      </c>
      <c r="D58" s="144"/>
      <c r="E58" s="144"/>
      <c r="F58" s="10"/>
      <c r="G58" s="667"/>
      <c r="H58" s="353"/>
      <c r="I58" s="197"/>
      <c r="J58" s="337" t="str">
        <f>IF(AND(I58&lt;&gt;"",'3b. High Cost Fund'!$B6="No"),"Invalid entry. This exception is valid only in states with high-cost funds. If your state has a high-cost fund, please indicate that on tab 3b.","")</f>
        <v/>
      </c>
      <c r="K58" s="144"/>
      <c r="L58" s="144"/>
      <c r="M58" s="10"/>
    </row>
    <row r="59" spans="1:26" x14ac:dyDescent="0.25">
      <c r="A59" s="196"/>
      <c r="B59" s="197"/>
      <c r="C59" s="144"/>
      <c r="D59" s="10"/>
      <c r="E59" s="10"/>
      <c r="F59" s="10"/>
      <c r="G59" s="667"/>
      <c r="H59" s="353"/>
      <c r="I59" s="197"/>
      <c r="J59" s="144"/>
      <c r="K59" s="10"/>
      <c r="L59" s="10"/>
      <c r="M59" s="10"/>
    </row>
    <row r="60" spans="1:26" x14ac:dyDescent="0.25">
      <c r="A60" s="196"/>
      <c r="B60" s="197"/>
      <c r="C60" s="144"/>
      <c r="D60" s="10"/>
      <c r="E60" s="10"/>
      <c r="F60" s="10"/>
      <c r="G60" s="667"/>
      <c r="H60" s="353"/>
      <c r="I60" s="197"/>
      <c r="J60" s="144"/>
      <c r="K60" s="10"/>
      <c r="L60" s="10"/>
      <c r="M60" s="10"/>
    </row>
    <row r="61" spans="1:26" x14ac:dyDescent="0.25">
      <c r="A61" s="196"/>
      <c r="B61" s="197"/>
      <c r="C61" s="144"/>
      <c r="D61" s="10"/>
      <c r="E61" s="10"/>
      <c r="F61" s="10"/>
      <c r="G61" s="667"/>
      <c r="H61" s="353"/>
      <c r="I61" s="197"/>
      <c r="J61" s="144"/>
      <c r="K61" s="10"/>
      <c r="L61" s="10"/>
      <c r="M61" s="10"/>
    </row>
    <row r="62" spans="1:26" x14ac:dyDescent="0.25">
      <c r="A62" s="196"/>
      <c r="B62" s="197"/>
      <c r="C62" s="144"/>
      <c r="D62" s="10"/>
      <c r="E62" s="10"/>
      <c r="F62" s="10"/>
      <c r="G62" s="667"/>
      <c r="H62" s="353"/>
      <c r="I62" s="197"/>
      <c r="J62" s="144"/>
      <c r="K62" s="10"/>
      <c r="L62" s="10"/>
      <c r="M62" s="10"/>
    </row>
    <row r="63" spans="1:26" x14ac:dyDescent="0.25">
      <c r="A63" s="173" t="s">
        <v>89</v>
      </c>
      <c r="B63" s="174">
        <f>IF('3b. High Cost Fund'!$B6="No",0,SUM(B58:B62))</f>
        <v>0</v>
      </c>
      <c r="C63" s="144"/>
      <c r="D63" s="10"/>
      <c r="E63" s="10"/>
      <c r="F63" s="10"/>
      <c r="G63" s="667"/>
      <c r="H63" s="354" t="s">
        <v>90</v>
      </c>
      <c r="I63" s="174">
        <f>IF('3b. High Cost Fund'!$B6="No",0,SUM(I58:I62))</f>
        <v>0</v>
      </c>
      <c r="J63" s="144"/>
      <c r="K63" s="10"/>
      <c r="L63" s="10"/>
      <c r="M63" s="10"/>
    </row>
    <row r="64" spans="1:26" ht="16.5" thickBot="1" x14ac:dyDescent="0.3">
      <c r="A64" s="663" t="s">
        <v>22</v>
      </c>
      <c r="B64" s="663"/>
      <c r="C64" s="144"/>
      <c r="D64" s="10"/>
      <c r="E64" s="10"/>
      <c r="F64" s="10"/>
      <c r="G64" s="667"/>
      <c r="H64" s="663" t="s">
        <v>22</v>
      </c>
      <c r="I64" s="663"/>
      <c r="J64" s="144"/>
      <c r="K64" s="10"/>
      <c r="L64" s="10"/>
      <c r="M64" s="10"/>
    </row>
    <row r="65" spans="1:13" x14ac:dyDescent="0.25">
      <c r="A65" s="347" t="s">
        <v>107</v>
      </c>
      <c r="B65" s="348"/>
      <c r="C65" s="144"/>
      <c r="D65" s="10"/>
      <c r="E65" s="10"/>
      <c r="F65" s="10"/>
      <c r="G65" s="667"/>
      <c r="H65" s="347" t="s">
        <v>106</v>
      </c>
      <c r="I65" s="348"/>
      <c r="J65" s="144"/>
      <c r="K65" s="10"/>
      <c r="L65" s="10"/>
      <c r="M65" s="10"/>
    </row>
    <row r="66" spans="1:13" x14ac:dyDescent="0.25">
      <c r="A66" s="242" t="s">
        <v>123</v>
      </c>
      <c r="B66" s="265" t="s">
        <v>124</v>
      </c>
      <c r="C66" s="144"/>
      <c r="D66" s="10"/>
      <c r="E66" s="10"/>
      <c r="F66" s="10"/>
      <c r="G66" s="667"/>
      <c r="H66" s="269" t="s">
        <v>123</v>
      </c>
      <c r="I66" s="270" t="s">
        <v>124</v>
      </c>
      <c r="J66" s="144"/>
      <c r="K66" s="10"/>
      <c r="L66" s="10"/>
      <c r="M66" s="10"/>
    </row>
    <row r="67" spans="1:13" x14ac:dyDescent="0.25">
      <c r="A67" s="103" t="s">
        <v>0</v>
      </c>
      <c r="B67" s="240">
        <f>IF(B$28&gt;=0,(F$22+C$43+B$53+B$63),(F$22+C$43+B$53+B$63+B$32))</f>
        <v>0</v>
      </c>
      <c r="C67" s="144"/>
      <c r="D67" s="10"/>
      <c r="E67" s="10"/>
      <c r="F67" s="10"/>
      <c r="G67" s="667"/>
      <c r="H67" s="103" t="s">
        <v>0</v>
      </c>
      <c r="I67" s="240">
        <f>IF(I$28&gt;=0,(M$22+J$43+I$53+I$63),(M$22+J$43+I$53+I$63+I$32))</f>
        <v>0</v>
      </c>
      <c r="J67" s="144"/>
      <c r="K67" s="10"/>
      <c r="L67" s="10"/>
      <c r="M67" s="10"/>
    </row>
    <row r="68" spans="1:13" x14ac:dyDescent="0.25">
      <c r="A68" s="241" t="s">
        <v>2</v>
      </c>
      <c r="B68" s="174">
        <f>IF(B$28&gt;=0,(F$22+C$43+B$53+B$63),(F$22+C$43+B$53+B$63+C$32))</f>
        <v>0</v>
      </c>
      <c r="C68" s="144"/>
      <c r="D68" s="10"/>
      <c r="E68" s="10"/>
      <c r="F68" s="10"/>
      <c r="G68" s="667"/>
      <c r="H68" s="241" t="s">
        <v>2</v>
      </c>
      <c r="I68" s="174">
        <f>IF(I$28&gt;=0,(M$22+J$43+I$53+I$63),(M$22+J$43+I$53+I$63+J$32))</f>
        <v>0</v>
      </c>
      <c r="J68" s="144"/>
      <c r="K68" s="10"/>
      <c r="L68" s="10"/>
      <c r="M68" s="10"/>
    </row>
    <row r="69" spans="1:13" ht="16.5" thickBot="1" x14ac:dyDescent="0.3">
      <c r="A69" s="664" t="s">
        <v>22</v>
      </c>
      <c r="B69" s="664"/>
      <c r="C69" s="10"/>
      <c r="D69" s="10"/>
      <c r="E69" s="10"/>
      <c r="F69" s="10"/>
      <c r="G69" s="667"/>
      <c r="H69" s="664" t="s">
        <v>22</v>
      </c>
      <c r="I69" s="664"/>
      <c r="J69" s="10"/>
      <c r="K69" s="10"/>
      <c r="L69" s="10"/>
      <c r="M69" s="10"/>
    </row>
    <row r="70" spans="1:13" ht="31.15" customHeight="1" x14ac:dyDescent="0.25">
      <c r="A70" s="336" t="s">
        <v>98</v>
      </c>
      <c r="B70" s="177"/>
      <c r="C70" s="11"/>
      <c r="D70" s="178"/>
      <c r="E70" s="10"/>
      <c r="F70" s="10"/>
      <c r="G70" s="667"/>
      <c r="H70" s="336" t="s">
        <v>98</v>
      </c>
      <c r="I70" s="177"/>
      <c r="J70" s="11"/>
      <c r="K70" s="178"/>
      <c r="L70" s="10"/>
      <c r="M70" s="10"/>
    </row>
    <row r="71" spans="1:13" x14ac:dyDescent="0.25">
      <c r="A71" s="179" t="s">
        <v>71</v>
      </c>
      <c r="B71" s="180" t="s">
        <v>99</v>
      </c>
      <c r="C71" s="11" t="s">
        <v>100</v>
      </c>
      <c r="E71" s="10"/>
      <c r="F71" s="10"/>
      <c r="G71" s="667"/>
      <c r="H71" s="179" t="s">
        <v>71</v>
      </c>
      <c r="I71" s="180" t="s">
        <v>101</v>
      </c>
      <c r="J71" s="11" t="s">
        <v>100</v>
      </c>
      <c r="K71" s="10"/>
      <c r="L71" s="10"/>
      <c r="M71" s="10"/>
    </row>
    <row r="72" spans="1:13" x14ac:dyDescent="0.25">
      <c r="A72" s="181" t="s">
        <v>102</v>
      </c>
      <c r="B72" s="198">
        <v>0</v>
      </c>
      <c r="C72" s="182" t="s">
        <v>103</v>
      </c>
      <c r="D72" s="10"/>
      <c r="E72" s="10"/>
      <c r="F72" s="10"/>
      <c r="G72" s="667"/>
      <c r="H72" s="181" t="s">
        <v>104</v>
      </c>
      <c r="I72" s="198">
        <f>IF(I$28&gt;=0,(M$22+J$43+I$53+I$63),(M$22+J$43+I$53+I$63+J$32))</f>
        <v>0</v>
      </c>
      <c r="J72" s="182" t="s">
        <v>103</v>
      </c>
      <c r="K72" s="10"/>
      <c r="L72" s="10"/>
      <c r="M72" s="10"/>
    </row>
    <row r="73" spans="1:13" ht="30" customHeight="1" x14ac:dyDescent="0.25">
      <c r="A73" s="345" t="s">
        <v>184</v>
      </c>
      <c r="B73" s="183"/>
      <c r="C73" s="183"/>
      <c r="D73" s="183"/>
      <c r="E73" s="183"/>
      <c r="F73" s="183"/>
      <c r="G73" s="667"/>
      <c r="H73" s="183"/>
      <c r="I73" s="183"/>
      <c r="J73" s="183"/>
      <c r="K73" s="183"/>
      <c r="L73" s="183"/>
      <c r="M73" s="183"/>
    </row>
    <row r="74" spans="1:13" s="185" customFormat="1" x14ac:dyDescent="0.25">
      <c r="A74" s="358" t="s">
        <v>183</v>
      </c>
      <c r="B74" s="184"/>
      <c r="C74" s="184"/>
      <c r="D74" s="184"/>
      <c r="E74" s="184"/>
      <c r="F74" s="184"/>
      <c r="G74" s="667"/>
      <c r="H74" s="184"/>
      <c r="I74" s="184"/>
      <c r="J74" s="184"/>
      <c r="K74" s="184"/>
      <c r="L74" s="184"/>
      <c r="M74" s="184"/>
    </row>
    <row r="75" spans="1:13" x14ac:dyDescent="0.25">
      <c r="A75" s="665" t="s">
        <v>24</v>
      </c>
      <c r="B75" s="665"/>
      <c r="C75" s="665"/>
      <c r="D75" s="665"/>
      <c r="E75" s="665"/>
      <c r="F75" s="665"/>
      <c r="G75" s="665"/>
      <c r="H75" s="665"/>
      <c r="I75" s="665"/>
      <c r="J75" s="665"/>
      <c r="K75" s="665"/>
      <c r="L75" s="665"/>
      <c r="M75" s="665"/>
    </row>
  </sheetData>
  <sheetProtection algorithmName="SHA-512" hashValue="5i/oNPGHkYmpmVsAq6O48+YX1KOGO5sCIWFwKbmEjM+Edmp0gb08rdCcTk7v+RIFSaGFmYAhADMBfxPNy062aQ==" saltValue="BOUqIdP/oCTQjchZMI0WeQ==" spinCount="100000" sheet="1" formatColumns="0" formatRows="0"/>
  <mergeCells count="14">
    <mergeCell ref="A75:M75"/>
    <mergeCell ref="A64:B64"/>
    <mergeCell ref="H64:I64"/>
    <mergeCell ref="A23:F23"/>
    <mergeCell ref="H23:M23"/>
    <mergeCell ref="A33:C33"/>
    <mergeCell ref="H33:J33"/>
    <mergeCell ref="A44:C44"/>
    <mergeCell ref="H44:J44"/>
    <mergeCell ref="G1:G74"/>
    <mergeCell ref="A54:B54"/>
    <mergeCell ref="H54:I54"/>
    <mergeCell ref="A69:B69"/>
    <mergeCell ref="H69:I69"/>
  </mergeCells>
  <conditionalFormatting sqref="A55">
    <cfRule type="containsText" dxfId="218" priority="2" operator="containsText" text="not valid">
      <formula>NOT(ISERROR(SEARCH("not valid",A55)))</formula>
    </cfRule>
  </conditionalFormatting>
  <conditionalFormatting sqref="H55">
    <cfRule type="containsText" dxfId="217" priority="1" operator="containsText" text="not valid">
      <formula>NOT(ISERROR(SEARCH("not valid",H55)))</formula>
    </cfRule>
  </conditionalFormatting>
  <dataValidations count="1">
    <dataValidation type="list" allowBlank="1" showInputMessage="1" showErrorMessage="1" sqref="B38:B42 I38:I42" xr:uid="{00000000-0002-0000-1000-000000000000}">
      <formula1>Exception_c</formula1>
    </dataValidation>
  </dataValidations>
  <hyperlinks>
    <hyperlink ref="C72" r:id="rId1" xr:uid="{00000000-0004-0000-1000-000000000000}"/>
    <hyperlink ref="J72" r:id="rId2" xr:uid="{00000000-0004-0000-1000-000001000000}"/>
    <hyperlink ref="A74" r:id="rId3" xr:uid="{00000000-0004-0000-10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pageSetUpPr autoPageBreaks="0"/>
  </sheetPr>
  <dimension ref="A1:N34"/>
  <sheetViews>
    <sheetView showGridLines="0" workbookViewId="0">
      <pane ySplit="4" topLeftCell="A5" activePane="bottomLeft" state="frozen"/>
      <selection activeCell="H5" sqref="H5"/>
      <selection pane="bottomLeft" activeCell="K5" sqref="K5"/>
    </sheetView>
  </sheetViews>
  <sheetFormatPr defaultColWidth="0" defaultRowHeight="15.75"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9.140625" style="20" hidden="1"/>
  </cols>
  <sheetData>
    <row r="1" spans="1:13" ht="16.5" thickBot="1" x14ac:dyDescent="0.3">
      <c r="A1" s="19" t="s">
        <v>48</v>
      </c>
      <c r="B1" s="48">
        <f>IFERROR(VLOOKUP('2. Getting Started'!B3,'42. SEA or LEA Worksheet'!A4:T324,20,0),0)</f>
        <v>0</v>
      </c>
      <c r="D1" s="21" t="s">
        <v>14</v>
      </c>
      <c r="E1" s="20" t="str">
        <f>IF('2. Getting Started'!B2="","",'2. Getting Started'!B2)</f>
        <v/>
      </c>
      <c r="G1" s="661" t="s">
        <v>22</v>
      </c>
      <c r="H1" s="19" t="s">
        <v>49</v>
      </c>
      <c r="I1" s="48">
        <f>IFERROR(VLOOKUP('2. Getting Started'!B3,'42. SEA or LEA Worksheet'!A4:T324,20,0),0)</f>
        <v>0</v>
      </c>
      <c r="K1" s="21" t="s">
        <v>14</v>
      </c>
      <c r="L1" s="20" t="str">
        <f>IF('2. Getting Started'!B2="","",'2. Getting Started'!B2)</f>
        <v/>
      </c>
    </row>
    <row r="2" spans="1:13" s="25" customFormat="1" ht="37.9" customHeight="1" thickBot="1" x14ac:dyDescent="0.3">
      <c r="A2" s="22" t="str">
        <f>CONCATENATE("Eligibility Standard - State Fiscal Year ",'2. Getting Started'!B6," -  LEA Effort - Budgeted Amounts")</f>
        <v>Eligibility Standard - State Fiscal Year 2021 -  LEA Effort - Budgeted Amounts</v>
      </c>
      <c r="B2" s="23"/>
      <c r="C2" s="23"/>
      <c r="D2" s="23"/>
      <c r="E2" s="23"/>
      <c r="F2" s="24"/>
      <c r="G2" s="661"/>
      <c r="H2" s="22" t="str">
        <f>CONCATENATE("Compliance Standard - State Fiscal Year ",'2. Getting Started'!B6," - LEA Effort - Final Expenditures")</f>
        <v>Compliance Standard - State Fiscal Year 2021 - LEA Effort - Final Expenditures</v>
      </c>
      <c r="I2" s="23"/>
      <c r="J2" s="23"/>
      <c r="K2" s="23"/>
      <c r="L2" s="23"/>
      <c r="M2" s="24"/>
    </row>
    <row r="3" spans="1:13" s="25" customFormat="1" ht="24" customHeight="1" x14ac:dyDescent="0.25">
      <c r="A3" s="26"/>
      <c r="B3" s="27"/>
      <c r="D3" s="28" t="str">
        <f>CONCATENATE("SFY ",'2. Getting Started'!$B6," Budget")</f>
        <v>SFY 2021 Budget</v>
      </c>
      <c r="E3" s="29"/>
      <c r="F3" s="30"/>
      <c r="G3" s="661"/>
      <c r="H3" s="26"/>
      <c r="I3" s="27"/>
      <c r="J3" s="31"/>
      <c r="K3" s="28" t="str">
        <f>CONCATENATE("SFY ",'2. Getting Started'!$B6," Final Expenditures")</f>
        <v>SFY 2021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x14ac:dyDescent="0.25">
      <c r="A5" s="49"/>
      <c r="B5" s="50"/>
      <c r="C5" s="51"/>
      <c r="D5" s="52">
        <v>0</v>
      </c>
      <c r="E5" s="52">
        <v>0</v>
      </c>
      <c r="F5" s="38">
        <f>IF(AND(D5="",E5=""),"",SUM(D5:E5))</f>
        <v>0</v>
      </c>
      <c r="G5" s="661"/>
      <c r="H5" s="49"/>
      <c r="I5" s="50"/>
      <c r="J5" s="51"/>
      <c r="K5" s="52">
        <f>IFERROR(VLOOKUP('2. Getting Started'!B3,'42. SEA or LEA Worksheet'!A4:U324,21,0),0)</f>
        <v>0</v>
      </c>
      <c r="L5" s="52">
        <f>IFERROR(VLOOKUP('2. Getting Started'!B3,'42. SEA or LEA Worksheet'!A4:V324,22,0),0)</f>
        <v>0</v>
      </c>
      <c r="M5" s="38">
        <f>IF(AND(K5="",L5=""),"",SUM(K5:L5))</f>
        <v>0</v>
      </c>
    </row>
    <row r="6" spans="1:13" x14ac:dyDescent="0.25">
      <c r="A6" s="49"/>
      <c r="B6" s="50"/>
      <c r="C6" s="51"/>
      <c r="D6" s="52"/>
      <c r="E6" s="52"/>
      <c r="F6" s="38" t="str">
        <f t="shared" ref="F6:F29" si="0">IF(AND(D6="",E6=""),"",SUM(D6:E6))</f>
        <v/>
      </c>
      <c r="G6" s="661"/>
      <c r="H6" s="49"/>
      <c r="I6" s="50"/>
      <c r="J6" s="51"/>
      <c r="K6" s="52"/>
      <c r="L6" s="52">
        <f>IFERROR(VLOOKUP('2. Getting Started'!B4,'42. SEA or LEA Worksheet'!A5:V325,22,0),0)</f>
        <v>0</v>
      </c>
      <c r="M6" s="38">
        <f t="shared" ref="M6:M29" si="1">IF(AND(K6="",L6=""),"",SUM(K6:L6))</f>
        <v>0</v>
      </c>
    </row>
    <row r="7" spans="1:13" x14ac:dyDescent="0.25">
      <c r="A7" s="49"/>
      <c r="B7" s="50"/>
      <c r="C7" s="51"/>
      <c r="D7" s="52"/>
      <c r="E7" s="52"/>
      <c r="F7" s="38" t="str">
        <f t="shared" si="0"/>
        <v/>
      </c>
      <c r="G7" s="661"/>
      <c r="H7" s="49"/>
      <c r="I7" s="50"/>
      <c r="J7" s="51"/>
      <c r="K7" s="52"/>
      <c r="L7" s="52">
        <f>IFERROR(VLOOKUP('2. Getting Started'!B5,'42. SEA or LEA Worksheet'!A6:V326,22,0),0)</f>
        <v>0</v>
      </c>
      <c r="M7" s="38">
        <f t="shared" si="1"/>
        <v>0</v>
      </c>
    </row>
    <row r="8" spans="1:13" x14ac:dyDescent="0.25">
      <c r="A8" s="49"/>
      <c r="B8" s="50"/>
      <c r="C8" s="51"/>
      <c r="D8" s="52"/>
      <c r="E8" s="52"/>
      <c r="F8" s="38" t="str">
        <f t="shared" si="0"/>
        <v/>
      </c>
      <c r="G8" s="661"/>
      <c r="H8" s="49"/>
      <c r="I8" s="50"/>
      <c r="J8" s="51"/>
      <c r="K8" s="52"/>
      <c r="L8" s="52">
        <f>IFERROR(VLOOKUP('2. Getting Started'!B6,'42. SEA or LEA Worksheet'!A7:V327,22,0),0)</f>
        <v>0</v>
      </c>
      <c r="M8" s="38">
        <f t="shared" si="1"/>
        <v>0</v>
      </c>
    </row>
    <row r="9" spans="1:13" x14ac:dyDescent="0.25">
      <c r="A9" s="49"/>
      <c r="B9" s="50"/>
      <c r="C9" s="51"/>
      <c r="D9" s="52"/>
      <c r="E9" s="52"/>
      <c r="F9" s="38" t="str">
        <f t="shared" si="0"/>
        <v/>
      </c>
      <c r="G9" s="661"/>
      <c r="H9" s="49"/>
      <c r="I9" s="50"/>
      <c r="J9" s="51"/>
      <c r="K9" s="52"/>
      <c r="L9" s="52">
        <f>IFERROR(VLOOKUP('2. Getting Started'!B7,'42. SEA or LEA Worksheet'!A8:V328,22,0),0)</f>
        <v>0</v>
      </c>
      <c r="M9" s="38">
        <f t="shared" si="1"/>
        <v>0</v>
      </c>
    </row>
    <row r="10" spans="1:13" x14ac:dyDescent="0.25">
      <c r="A10" s="49"/>
      <c r="B10" s="50"/>
      <c r="C10" s="51"/>
      <c r="D10" s="52"/>
      <c r="E10" s="52"/>
      <c r="F10" s="38" t="str">
        <f t="shared" si="0"/>
        <v/>
      </c>
      <c r="G10" s="661"/>
      <c r="H10" s="49"/>
      <c r="I10" s="50"/>
      <c r="J10" s="51"/>
      <c r="K10" s="52"/>
      <c r="L10" s="52">
        <f>IFERROR(VLOOKUP('2. Getting Started'!B8,'42. SEA or LEA Worksheet'!A9:V329,22,0),0)</f>
        <v>0</v>
      </c>
      <c r="M10" s="38">
        <f t="shared" si="1"/>
        <v>0</v>
      </c>
    </row>
    <row r="11" spans="1:13" x14ac:dyDescent="0.25">
      <c r="A11" s="49"/>
      <c r="B11" s="50"/>
      <c r="C11" s="51"/>
      <c r="D11" s="52"/>
      <c r="E11" s="52"/>
      <c r="F11" s="38" t="str">
        <f t="shared" si="0"/>
        <v/>
      </c>
      <c r="G11" s="661"/>
      <c r="H11" s="49"/>
      <c r="I11" s="50"/>
      <c r="J11" s="51"/>
      <c r="K11" s="52"/>
      <c r="L11" s="52">
        <f>IFERROR(VLOOKUP('2. Getting Started'!B9,'42. SEA or LEA Worksheet'!A10:V330,22,0),0)</f>
        <v>0</v>
      </c>
      <c r="M11" s="38">
        <f t="shared" si="1"/>
        <v>0</v>
      </c>
    </row>
    <row r="12" spans="1:13" x14ac:dyDescent="0.25">
      <c r="A12" s="49"/>
      <c r="B12" s="50"/>
      <c r="C12" s="51"/>
      <c r="D12" s="52"/>
      <c r="E12" s="52"/>
      <c r="F12" s="38" t="str">
        <f t="shared" si="0"/>
        <v/>
      </c>
      <c r="G12" s="661"/>
      <c r="H12" s="49"/>
      <c r="I12" s="50"/>
      <c r="J12" s="51"/>
      <c r="K12" s="52"/>
      <c r="L12" s="52">
        <f>IFERROR(VLOOKUP('2. Getting Started'!B10,'42. SEA or LEA Worksheet'!A11:V331,22,0),0)</f>
        <v>0</v>
      </c>
      <c r="M12" s="38">
        <f t="shared" si="1"/>
        <v>0</v>
      </c>
    </row>
    <row r="13" spans="1:13" x14ac:dyDescent="0.25">
      <c r="A13" s="49"/>
      <c r="B13" s="50"/>
      <c r="C13" s="51"/>
      <c r="D13" s="52"/>
      <c r="E13" s="52"/>
      <c r="F13" s="38" t="str">
        <f t="shared" si="0"/>
        <v/>
      </c>
      <c r="G13" s="661"/>
      <c r="H13" s="49"/>
      <c r="I13" s="50"/>
      <c r="J13" s="51"/>
      <c r="K13" s="52"/>
      <c r="L13" s="52">
        <f>IFERROR(VLOOKUP('2. Getting Started'!B11,'42. SEA or LEA Worksheet'!A12:V332,22,0),0)</f>
        <v>0</v>
      </c>
      <c r="M13" s="38">
        <f t="shared" si="1"/>
        <v>0</v>
      </c>
    </row>
    <row r="14" spans="1:13" x14ac:dyDescent="0.25">
      <c r="A14" s="49"/>
      <c r="B14" s="50"/>
      <c r="C14" s="51"/>
      <c r="D14" s="52"/>
      <c r="E14" s="52"/>
      <c r="F14" s="38" t="str">
        <f t="shared" si="0"/>
        <v/>
      </c>
      <c r="G14" s="661"/>
      <c r="H14" s="49"/>
      <c r="I14" s="50"/>
      <c r="J14" s="51"/>
      <c r="K14" s="52"/>
      <c r="L14" s="52">
        <f>IFERROR(VLOOKUP('2. Getting Started'!B12,'42. SEA or LEA Worksheet'!A13:V333,22,0),0)</f>
        <v>0</v>
      </c>
      <c r="M14" s="38">
        <f t="shared" si="1"/>
        <v>0</v>
      </c>
    </row>
    <row r="15" spans="1:13" x14ac:dyDescent="0.25">
      <c r="A15" s="49"/>
      <c r="B15" s="50"/>
      <c r="C15" s="51"/>
      <c r="D15" s="52"/>
      <c r="E15" s="52"/>
      <c r="F15" s="38" t="str">
        <f t="shared" si="0"/>
        <v/>
      </c>
      <c r="G15" s="661"/>
      <c r="H15" s="49"/>
      <c r="I15" s="50"/>
      <c r="J15" s="51"/>
      <c r="K15" s="52"/>
      <c r="L15" s="52">
        <f>IFERROR(VLOOKUP('2. Getting Started'!B13,'42. SEA or LEA Worksheet'!A14:V334,22,0),0)</f>
        <v>0</v>
      </c>
      <c r="M15" s="38">
        <f t="shared" si="1"/>
        <v>0</v>
      </c>
    </row>
    <row r="16" spans="1:13" x14ac:dyDescent="0.25">
      <c r="A16" s="49"/>
      <c r="B16" s="50"/>
      <c r="C16" s="51"/>
      <c r="D16" s="52"/>
      <c r="E16" s="52"/>
      <c r="F16" s="38" t="str">
        <f t="shared" si="0"/>
        <v/>
      </c>
      <c r="G16" s="661"/>
      <c r="H16" s="49"/>
      <c r="I16" s="50"/>
      <c r="J16" s="51"/>
      <c r="K16" s="52"/>
      <c r="L16" s="52">
        <f>IFERROR(VLOOKUP('2. Getting Started'!B14,'42. SEA or LEA Worksheet'!A15:V335,22,0),0)</f>
        <v>0</v>
      </c>
      <c r="M16" s="38">
        <f t="shared" si="1"/>
        <v>0</v>
      </c>
    </row>
    <row r="17" spans="1:13" x14ac:dyDescent="0.25">
      <c r="A17" s="49"/>
      <c r="B17" s="50"/>
      <c r="C17" s="51"/>
      <c r="D17" s="52"/>
      <c r="E17" s="52"/>
      <c r="F17" s="38" t="str">
        <f t="shared" si="0"/>
        <v/>
      </c>
      <c r="G17" s="661"/>
      <c r="H17" s="49"/>
      <c r="I17" s="50"/>
      <c r="J17" s="51"/>
      <c r="K17" s="52"/>
      <c r="L17" s="52">
        <f>IFERROR(VLOOKUP('2. Getting Started'!B15,'42. SEA or LEA Worksheet'!A16:V336,22,0),0)</f>
        <v>0</v>
      </c>
      <c r="M17" s="38">
        <f t="shared" si="1"/>
        <v>0</v>
      </c>
    </row>
    <row r="18" spans="1:13" x14ac:dyDescent="0.25">
      <c r="A18" s="49"/>
      <c r="B18" s="50"/>
      <c r="C18" s="51"/>
      <c r="D18" s="52"/>
      <c r="E18" s="52"/>
      <c r="F18" s="38" t="str">
        <f t="shared" si="0"/>
        <v/>
      </c>
      <c r="G18" s="661"/>
      <c r="H18" s="49"/>
      <c r="I18" s="50"/>
      <c r="J18" s="51"/>
      <c r="K18" s="52"/>
      <c r="L18" s="52">
        <f>IFERROR(VLOOKUP('2. Getting Started'!B16,'42. SEA or LEA Worksheet'!A17:V337,22,0),0)</f>
        <v>0</v>
      </c>
      <c r="M18" s="38">
        <f t="shared" si="1"/>
        <v>0</v>
      </c>
    </row>
    <row r="19" spans="1:13" x14ac:dyDescent="0.25">
      <c r="A19" s="49"/>
      <c r="B19" s="50"/>
      <c r="C19" s="51"/>
      <c r="D19" s="52"/>
      <c r="E19" s="52"/>
      <c r="F19" s="38" t="str">
        <f t="shared" si="0"/>
        <v/>
      </c>
      <c r="G19" s="661"/>
      <c r="H19" s="49"/>
      <c r="I19" s="50"/>
      <c r="J19" s="51"/>
      <c r="K19" s="52"/>
      <c r="L19" s="52">
        <f>IFERROR(VLOOKUP('2. Getting Started'!B17,'42. SEA or LEA Worksheet'!A18:V338,22,0),0)</f>
        <v>0</v>
      </c>
      <c r="M19" s="38">
        <f t="shared" si="1"/>
        <v>0</v>
      </c>
    </row>
    <row r="20" spans="1:13" x14ac:dyDescent="0.25">
      <c r="A20" s="49"/>
      <c r="B20" s="50"/>
      <c r="C20" s="51"/>
      <c r="D20" s="52"/>
      <c r="E20" s="52"/>
      <c r="F20" s="38" t="str">
        <f t="shared" si="0"/>
        <v/>
      </c>
      <c r="G20" s="661"/>
      <c r="H20" s="49"/>
      <c r="I20" s="50"/>
      <c r="J20" s="51"/>
      <c r="K20" s="52"/>
      <c r="L20" s="52">
        <f>IFERROR(VLOOKUP('2. Getting Started'!B18,'42. SEA or LEA Worksheet'!A19:V339,22,0),0)</f>
        <v>0</v>
      </c>
      <c r="M20" s="38">
        <f t="shared" si="1"/>
        <v>0</v>
      </c>
    </row>
    <row r="21" spans="1:13" x14ac:dyDescent="0.25">
      <c r="A21" s="49"/>
      <c r="B21" s="50"/>
      <c r="C21" s="51"/>
      <c r="D21" s="52"/>
      <c r="E21" s="52"/>
      <c r="F21" s="38" t="str">
        <f t="shared" si="0"/>
        <v/>
      </c>
      <c r="G21" s="661"/>
      <c r="H21" s="49"/>
      <c r="I21" s="50"/>
      <c r="J21" s="51"/>
      <c r="K21" s="52"/>
      <c r="L21" s="52">
        <f>IFERROR(VLOOKUP('2. Getting Started'!B19,'42. SEA or LEA Worksheet'!A20:V340,22,0),0)</f>
        <v>0</v>
      </c>
      <c r="M21" s="38">
        <f t="shared" si="1"/>
        <v>0</v>
      </c>
    </row>
    <row r="22" spans="1:13" x14ac:dyDescent="0.25">
      <c r="A22" s="49"/>
      <c r="B22" s="50"/>
      <c r="C22" s="51"/>
      <c r="D22" s="52"/>
      <c r="E22" s="52"/>
      <c r="F22" s="38" t="str">
        <f t="shared" si="0"/>
        <v/>
      </c>
      <c r="G22" s="661"/>
      <c r="H22" s="49"/>
      <c r="I22" s="50"/>
      <c r="J22" s="51"/>
      <c r="K22" s="52"/>
      <c r="L22" s="52">
        <f>IFERROR(VLOOKUP('2. Getting Started'!B20,'42. SEA or LEA Worksheet'!A21:V341,22,0),0)</f>
        <v>0</v>
      </c>
      <c r="M22" s="38">
        <f t="shared" si="1"/>
        <v>0</v>
      </c>
    </row>
    <row r="23" spans="1:13" x14ac:dyDescent="0.25">
      <c r="A23" s="49"/>
      <c r="B23" s="50"/>
      <c r="C23" s="51"/>
      <c r="D23" s="52"/>
      <c r="E23" s="52"/>
      <c r="F23" s="38" t="str">
        <f t="shared" si="0"/>
        <v/>
      </c>
      <c r="G23" s="661"/>
      <c r="H23" s="49"/>
      <c r="I23" s="50"/>
      <c r="J23" s="51"/>
      <c r="K23" s="52"/>
      <c r="L23" s="52">
        <f>IFERROR(VLOOKUP('2. Getting Started'!B21,'42. SEA or LEA Worksheet'!A22:V342,22,0),0)</f>
        <v>0</v>
      </c>
      <c r="M23" s="38">
        <f t="shared" si="1"/>
        <v>0</v>
      </c>
    </row>
    <row r="24" spans="1:13" x14ac:dyDescent="0.25">
      <c r="A24" s="49"/>
      <c r="B24" s="50"/>
      <c r="C24" s="51"/>
      <c r="D24" s="52"/>
      <c r="E24" s="52"/>
      <c r="F24" s="38" t="str">
        <f t="shared" si="0"/>
        <v/>
      </c>
      <c r="G24" s="661"/>
      <c r="H24" s="49"/>
      <c r="I24" s="50"/>
      <c r="J24" s="51"/>
      <c r="K24" s="52"/>
      <c r="L24" s="52">
        <f>IFERROR(VLOOKUP('2. Getting Started'!B22,'42. SEA or LEA Worksheet'!A23:V343,22,0),0)</f>
        <v>0</v>
      </c>
      <c r="M24" s="38">
        <f t="shared" si="1"/>
        <v>0</v>
      </c>
    </row>
    <row r="25" spans="1:13" x14ac:dyDescent="0.25">
      <c r="A25" s="49"/>
      <c r="B25" s="50"/>
      <c r="C25" s="51"/>
      <c r="D25" s="52"/>
      <c r="E25" s="52"/>
      <c r="F25" s="38" t="str">
        <f t="shared" si="0"/>
        <v/>
      </c>
      <c r="G25" s="661"/>
      <c r="H25" s="49"/>
      <c r="I25" s="50"/>
      <c r="J25" s="51"/>
      <c r="K25" s="52"/>
      <c r="L25" s="52">
        <f>IFERROR(VLOOKUP('2. Getting Started'!B23,'42. SEA or LEA Worksheet'!A24:V344,22,0),0)</f>
        <v>0</v>
      </c>
      <c r="M25" s="38">
        <f t="shared" si="1"/>
        <v>0</v>
      </c>
    </row>
    <row r="26" spans="1:13" x14ac:dyDescent="0.25">
      <c r="A26" s="49"/>
      <c r="B26" s="50"/>
      <c r="C26" s="51"/>
      <c r="D26" s="52"/>
      <c r="E26" s="52"/>
      <c r="F26" s="38" t="str">
        <f t="shared" si="0"/>
        <v/>
      </c>
      <c r="G26" s="661"/>
      <c r="H26" s="49"/>
      <c r="I26" s="50"/>
      <c r="J26" s="51"/>
      <c r="K26" s="52"/>
      <c r="L26" s="52">
        <f>IFERROR(VLOOKUP('2. Getting Started'!B24,'42. SEA or LEA Worksheet'!A25:V345,22,0),0)</f>
        <v>0</v>
      </c>
      <c r="M26" s="38">
        <f t="shared" si="1"/>
        <v>0</v>
      </c>
    </row>
    <row r="27" spans="1:13" x14ac:dyDescent="0.25">
      <c r="A27" s="49"/>
      <c r="B27" s="50"/>
      <c r="C27" s="51"/>
      <c r="D27" s="52"/>
      <c r="E27" s="52"/>
      <c r="F27" s="38" t="str">
        <f t="shared" si="0"/>
        <v/>
      </c>
      <c r="G27" s="661"/>
      <c r="H27" s="49"/>
      <c r="I27" s="50"/>
      <c r="J27" s="51"/>
      <c r="K27" s="52"/>
      <c r="L27" s="52">
        <f>IFERROR(VLOOKUP('2. Getting Started'!B25,'42. SEA or LEA Worksheet'!A26:V346,22,0),0)</f>
        <v>0</v>
      </c>
      <c r="M27" s="38">
        <f t="shared" si="1"/>
        <v>0</v>
      </c>
    </row>
    <row r="28" spans="1:13" x14ac:dyDescent="0.25">
      <c r="A28" s="49"/>
      <c r="B28" s="50"/>
      <c r="C28" s="51"/>
      <c r="D28" s="52"/>
      <c r="E28" s="52"/>
      <c r="F28" s="38" t="str">
        <f t="shared" si="0"/>
        <v/>
      </c>
      <c r="G28" s="661"/>
      <c r="H28" s="49"/>
      <c r="I28" s="50"/>
      <c r="J28" s="51"/>
      <c r="K28" s="52"/>
      <c r="L28" s="52">
        <f>IFERROR(VLOOKUP('2. Getting Started'!B26,'42. SEA or LEA Worksheet'!A27:V347,22,0),0)</f>
        <v>0</v>
      </c>
      <c r="M28" s="38">
        <f t="shared" si="1"/>
        <v>0</v>
      </c>
    </row>
    <row r="29" spans="1:13" ht="16.5" thickBot="1" x14ac:dyDescent="0.3">
      <c r="A29" s="53"/>
      <c r="B29" s="54"/>
      <c r="C29" s="55"/>
      <c r="D29" s="56"/>
      <c r="E29" s="56"/>
      <c r="F29" s="38" t="str">
        <f t="shared" si="0"/>
        <v/>
      </c>
      <c r="G29" s="661"/>
      <c r="H29" s="53"/>
      <c r="I29" s="54"/>
      <c r="J29" s="55"/>
      <c r="K29" s="56"/>
      <c r="L29" s="56">
        <f>IFERROR(VLOOKUP('2. Getting Started'!B27,'42. SEA or LEA Worksheet'!A28:V348,22,0),0)</f>
        <v>0</v>
      </c>
      <c r="M29" s="38">
        <f t="shared" si="1"/>
        <v>0</v>
      </c>
    </row>
    <row r="30" spans="1:13" ht="19.5" thickBot="1" x14ac:dyDescent="0.3">
      <c r="A30" s="39"/>
      <c r="B30" s="40"/>
      <c r="C30" s="41" t="s">
        <v>56</v>
      </c>
      <c r="D30" s="42">
        <f>IF(AND(D5="",D6="",D7="",D8="",D9="",D10="",D11="",D12="",D13="",D14="",D15="",D16="",D17="",D18="",D19="",D20="",D21="",D22="",D23="",D24="",D25="",D26="",D27="",D28="",D29=""),"",SUM(D5:D29))</f>
        <v>0</v>
      </c>
      <c r="E30" s="43"/>
      <c r="F30" s="42">
        <f>IF(AND(F5="",F6="",F7="",F8="",F9="",F10="",F11="",F12="",F13="",F14="",F15="",F16="",F17="",F18="",F19="",F20="",F21="",F22="",F23="",F24="",F25="",F26="",F27="",F28="",F29=""),"",SUM(F5:F29))</f>
        <v>0</v>
      </c>
      <c r="G30" s="661"/>
      <c r="H30" s="39"/>
      <c r="I30" s="40"/>
      <c r="J30" s="41" t="s">
        <v>56</v>
      </c>
      <c r="K30" s="42">
        <f>IF(AND(K5="",K6="",K7="",K8="",K9="",K10="",K11="",K12="",K13="",K14="",K15="",K16="",K17="",K18="",K19="",K20="",K21="",K22="",K23="",K24="",K25="",K26="",K27="",K28="",K29=""),"",SUM(K5:K29))</f>
        <v>0</v>
      </c>
      <c r="L30" s="43"/>
      <c r="M30" s="42">
        <f>IF(AND(M5="",M6="",M7="",M8="",M9="",M10="",M11="",M12="",M13="",M14="",M15="",M16="",M17="",M18="",M19="",M20="",M21="",M22="",M23="",M24="",M25="",M26="",M27="",M28="",M29=""),"",SUM(M5:M29))</f>
        <v>0</v>
      </c>
    </row>
    <row r="31" spans="1:13" ht="19.5" thickBot="1" x14ac:dyDescent="0.3">
      <c r="A31" s="39"/>
      <c r="B31" s="39"/>
      <c r="C31" s="44" t="s">
        <v>57</v>
      </c>
      <c r="D31" s="42" t="e">
        <f>IF(OR($B1="",D30=""),"",(D30/$B1))</f>
        <v>#DIV/0!</v>
      </c>
      <c r="E31" s="39"/>
      <c r="F31" s="42" t="e">
        <f>IF(OR($B1="",F30=""),"",(F30/$B1))</f>
        <v>#DIV/0!</v>
      </c>
      <c r="G31" s="661"/>
      <c r="H31" s="39"/>
      <c r="I31" s="39"/>
      <c r="J31" s="44" t="s">
        <v>57</v>
      </c>
      <c r="K31" s="42" t="e">
        <f>IF(OR($I1="",K30=""),"",(K30/$I1))</f>
        <v>#DIV/0!</v>
      </c>
      <c r="L31" s="39"/>
      <c r="M31" s="42" t="e">
        <f>IF(OR($I1="",M30=""),"",(M30/$I1))</f>
        <v>#DIV/0!</v>
      </c>
    </row>
    <row r="32" spans="1:13" s="25" customFormat="1" ht="18.75" x14ac:dyDescent="0.2">
      <c r="A32" s="345" t="s">
        <v>184</v>
      </c>
      <c r="B32" s="45"/>
      <c r="C32" s="45"/>
      <c r="D32" s="45"/>
      <c r="E32" s="45"/>
      <c r="F32" s="45"/>
      <c r="G32" s="45"/>
      <c r="H32" s="45"/>
      <c r="I32" s="45"/>
      <c r="J32" s="45"/>
      <c r="K32" s="45"/>
      <c r="L32" s="45"/>
      <c r="M32" s="45"/>
    </row>
    <row r="33" spans="1:13" s="47" customFormat="1"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sheetData>
  <sheetProtection algorithmName="SHA-512" hashValue="5Yg0ZaHk64D1rmRPXnUtt54I3yZNap9ooFejKyVeZFkwk/I+sFBKXtQ3O/CbeZKkbKZvXdzLvvhhqzvwKpc7fA==" saltValue="Ii69p6Qu05RqWlcxE+Um9Q=="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600-000000000000}"/>
    <dataValidation allowBlank="1" showInputMessage="1" showErrorMessage="1" prompt="Don't forget to enter Child Count in Cell I1." sqref="H5" xr:uid="{00000000-0002-0000-0600-000001000000}"/>
  </dataValidations>
  <hyperlinks>
    <hyperlink ref="A33" r:id="rId1" xr:uid="{00000000-0004-0000-0600-000000000000}"/>
  </hyperlinks>
  <pageMargins left="0.75" right="0.75" top="1" bottom="1" header="0.5" footer="0.5"/>
  <pageSetup orientation="portrait" horizontalDpi="4294967292" verticalDpi="4294967292"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5"/>
    <pageSetUpPr autoPageBreaks="0"/>
  </sheetPr>
  <dimension ref="A1:AB75"/>
  <sheetViews>
    <sheetView showGridLines="0" topLeftCell="H1" zoomScale="90" zoomScaleNormal="90" zoomScalePageLayoutView="90" workbookViewId="0">
      <pane ySplit="3" topLeftCell="A4" activePane="bottomLeft" state="frozen"/>
      <selection activeCell="D21" sqref="D21"/>
      <selection pane="bottomLeft" activeCell="K1" sqref="K1"/>
    </sheetView>
  </sheetViews>
  <sheetFormatPr defaultColWidth="0" defaultRowHeight="15.75"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8" width="12.28515625" style="58" hidden="1" customWidth="1"/>
    <col min="19" max="19" width="13.7109375" style="58" hidden="1" customWidth="1"/>
    <col min="20" max="28" width="0" style="58" hidden="1" customWidth="1"/>
    <col min="29" max="16384" width="12.28515625" style="58" hidden="1"/>
  </cols>
  <sheetData>
    <row r="1" spans="1:20" ht="25.9" customHeight="1" x14ac:dyDescent="0.25">
      <c r="A1" s="57" t="s">
        <v>58</v>
      </c>
      <c r="D1" s="59" t="s">
        <v>14</v>
      </c>
      <c r="E1" s="10" t="str">
        <f>IF('2. Getting Started'!$B2="","",'2. Getting Started'!$B2)</f>
        <v/>
      </c>
      <c r="G1" s="670" t="s">
        <v>174</v>
      </c>
      <c r="K1" s="59" t="s">
        <v>14</v>
      </c>
      <c r="L1" s="10" t="str">
        <f>IF('2. Getting Started'!$B2="","",'2. Getting Started'!$B2)</f>
        <v/>
      </c>
    </row>
    <row r="2" spans="1:20" ht="25.5" customHeight="1" thickBot="1" x14ac:dyDescent="0.3">
      <c r="A2" s="338" t="s">
        <v>170</v>
      </c>
      <c r="D2" s="59"/>
      <c r="E2" s="10"/>
      <c r="G2" s="670"/>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 Budget")</f>
        <v>Eligibility Standard -- Exceptions to MOE as Permitted by 34 CFR §300.204 and Adjustment to MOE as Permitted by 34 CFR §300.205 -- Projections for State Fiscal Year 2021 Budget</v>
      </c>
      <c r="B3" s="61"/>
      <c r="C3" s="61"/>
      <c r="D3" s="61"/>
      <c r="E3" s="61"/>
      <c r="F3" s="62"/>
      <c r="G3" s="670"/>
      <c r="H3" s="60" t="str">
        <f>CONCATENATE("Compliance Standard -- Exceptions to MOE as Permitted by 34 CFR §300.204 and Adjustment to MOE as Permitted by 34 CFR §300.205 -- Final Expenditures for  State Fiscal Year ",'2. Getting Started'!B6)</f>
        <v>Compliance Standard -- Exceptions to MOE as Permitted by 34 CFR §300.204 and Adjustment to MOE as Permitted by 34 CFR §300.205 -- Final Expenditures for  State Fiscal Year 2021</v>
      </c>
      <c r="I3" s="61"/>
      <c r="J3" s="61"/>
      <c r="K3" s="61"/>
      <c r="L3" s="61"/>
      <c r="M3" s="62"/>
      <c r="O3" s="64"/>
      <c r="P3" s="64"/>
      <c r="Q3" s="64"/>
      <c r="R3" s="64"/>
      <c r="S3" s="64"/>
      <c r="T3" s="64"/>
    </row>
    <row r="4" spans="1:20" x14ac:dyDescent="0.25">
      <c r="A4" s="65" t="s">
        <v>59</v>
      </c>
      <c r="B4" s="66"/>
      <c r="C4" s="67"/>
      <c r="D4" s="67"/>
      <c r="E4" s="67"/>
      <c r="F4" s="68"/>
      <c r="G4" s="670"/>
      <c r="H4" s="65" t="s">
        <v>59</v>
      </c>
      <c r="I4" s="66"/>
      <c r="J4" s="67"/>
      <c r="K4" s="67"/>
      <c r="L4" s="67"/>
      <c r="M4" s="68"/>
      <c r="N4" s="70"/>
      <c r="O4" s="70"/>
      <c r="P4" s="70"/>
      <c r="Q4" s="70"/>
      <c r="R4" s="70"/>
      <c r="S4" s="70"/>
    </row>
    <row r="5" spans="1:20" x14ac:dyDescent="0.25">
      <c r="A5" s="71" t="s">
        <v>60</v>
      </c>
      <c r="B5" s="72"/>
      <c r="C5" s="69"/>
      <c r="D5" s="69"/>
      <c r="E5" s="69"/>
      <c r="F5" s="73"/>
      <c r="G5" s="670"/>
      <c r="H5" s="71" t="s">
        <v>60</v>
      </c>
      <c r="I5" s="72"/>
      <c r="J5" s="69"/>
      <c r="K5" s="69"/>
      <c r="L5" s="69"/>
      <c r="M5" s="73"/>
      <c r="N5" s="74"/>
      <c r="O5" s="74"/>
      <c r="P5" s="74"/>
      <c r="Q5" s="74"/>
      <c r="R5" s="74"/>
    </row>
    <row r="6" spans="1:20" ht="35.65" customHeight="1" thickBot="1" x14ac:dyDescent="0.3">
      <c r="A6" s="75" t="s">
        <v>61</v>
      </c>
      <c r="B6" s="76"/>
      <c r="C6" s="76"/>
      <c r="D6" s="76"/>
      <c r="E6" s="76"/>
      <c r="F6" s="77"/>
      <c r="G6" s="670"/>
      <c r="H6" s="75" t="s">
        <v>61</v>
      </c>
      <c r="I6" s="76"/>
      <c r="J6" s="76"/>
      <c r="K6" s="76"/>
      <c r="L6" s="76"/>
      <c r="M6" s="77"/>
      <c r="N6" s="74"/>
      <c r="O6" s="74"/>
      <c r="P6" s="74"/>
      <c r="Q6" s="74"/>
      <c r="R6" s="74"/>
      <c r="S6" s="74"/>
    </row>
    <row r="7" spans="1:20" x14ac:dyDescent="0.25">
      <c r="A7" s="78" t="s">
        <v>62</v>
      </c>
      <c r="B7" s="79" t="s">
        <v>63</v>
      </c>
      <c r="C7" s="80" t="s">
        <v>64</v>
      </c>
      <c r="D7" s="80" t="s">
        <v>65</v>
      </c>
      <c r="E7" s="81" t="s">
        <v>66</v>
      </c>
      <c r="F7" s="82" t="s">
        <v>67</v>
      </c>
      <c r="G7" s="670"/>
      <c r="H7" s="78" t="s">
        <v>62</v>
      </c>
      <c r="I7" s="79" t="s">
        <v>63</v>
      </c>
      <c r="J7" s="80" t="s">
        <v>64</v>
      </c>
      <c r="K7" s="80" t="s">
        <v>65</v>
      </c>
      <c r="L7" s="81" t="s">
        <v>66</v>
      </c>
      <c r="M7" s="82" t="s">
        <v>68</v>
      </c>
      <c r="N7" s="74"/>
      <c r="O7" s="74"/>
    </row>
    <row r="8" spans="1:20" x14ac:dyDescent="0.25">
      <c r="A8" s="186"/>
      <c r="B8" s="187"/>
      <c r="C8" s="187"/>
      <c r="D8" s="188"/>
      <c r="E8" s="188"/>
      <c r="F8" s="84">
        <f>D8+E8</f>
        <v>0</v>
      </c>
      <c r="G8" s="670"/>
      <c r="H8" s="186"/>
      <c r="I8" s="187"/>
      <c r="J8" s="187"/>
      <c r="K8" s="188"/>
      <c r="L8" s="188"/>
      <c r="M8" s="84">
        <f>K8+L8</f>
        <v>0</v>
      </c>
      <c r="N8" s="85"/>
      <c r="O8" s="85"/>
    </row>
    <row r="9" spans="1:20" x14ac:dyDescent="0.25">
      <c r="A9" s="186"/>
      <c r="B9" s="187"/>
      <c r="C9" s="187"/>
      <c r="D9" s="188"/>
      <c r="E9" s="188"/>
      <c r="F9" s="84">
        <f>D9+E9</f>
        <v>0</v>
      </c>
      <c r="G9" s="670"/>
      <c r="H9" s="186"/>
      <c r="I9" s="187"/>
      <c r="J9" s="187"/>
      <c r="K9" s="188"/>
      <c r="L9" s="188"/>
      <c r="M9" s="84">
        <f>K9+L9</f>
        <v>0</v>
      </c>
      <c r="N9" s="85"/>
      <c r="O9" s="85"/>
    </row>
    <row r="10" spans="1:20" x14ac:dyDescent="0.25">
      <c r="A10" s="186"/>
      <c r="B10" s="187"/>
      <c r="C10" s="187"/>
      <c r="D10" s="188"/>
      <c r="E10" s="188"/>
      <c r="F10" s="84">
        <f>D10+E10</f>
        <v>0</v>
      </c>
      <c r="G10" s="670"/>
      <c r="H10" s="186"/>
      <c r="I10" s="187"/>
      <c r="J10" s="187"/>
      <c r="K10" s="188"/>
      <c r="L10" s="188"/>
      <c r="M10" s="84">
        <f>K10+L10</f>
        <v>0</v>
      </c>
      <c r="N10" s="85"/>
      <c r="O10" s="85"/>
    </row>
    <row r="11" spans="1:20" x14ac:dyDescent="0.25">
      <c r="A11" s="186"/>
      <c r="B11" s="187"/>
      <c r="C11" s="187"/>
      <c r="D11" s="188"/>
      <c r="E11" s="188"/>
      <c r="F11" s="84">
        <f>D11+E11</f>
        <v>0</v>
      </c>
      <c r="G11" s="670"/>
      <c r="H11" s="186"/>
      <c r="I11" s="187"/>
      <c r="J11" s="187"/>
      <c r="K11" s="188"/>
      <c r="L11" s="188"/>
      <c r="M11" s="84">
        <f>K11+L11</f>
        <v>0</v>
      </c>
      <c r="N11" s="85"/>
      <c r="O11" s="85"/>
    </row>
    <row r="12" spans="1:20" x14ac:dyDescent="0.25">
      <c r="A12" s="186"/>
      <c r="B12" s="187"/>
      <c r="C12" s="187"/>
      <c r="D12" s="188"/>
      <c r="E12" s="188"/>
      <c r="F12" s="84">
        <f>D12+E12</f>
        <v>0</v>
      </c>
      <c r="G12" s="670"/>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70"/>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70"/>
      <c r="H14" s="91" t="s">
        <v>70</v>
      </c>
      <c r="I14" s="92"/>
      <c r="J14" s="92"/>
      <c r="K14" s="92"/>
      <c r="L14" s="92"/>
      <c r="M14" s="93"/>
      <c r="N14" s="74"/>
      <c r="O14" s="74"/>
      <c r="P14" s="74"/>
      <c r="Q14" s="74"/>
      <c r="R14" s="74"/>
      <c r="S14" s="94"/>
    </row>
    <row r="15" spans="1:20" x14ac:dyDescent="0.25">
      <c r="A15" s="95" t="s">
        <v>62</v>
      </c>
      <c r="B15" s="96" t="s">
        <v>63</v>
      </c>
      <c r="C15" s="97" t="s">
        <v>175</v>
      </c>
      <c r="D15" s="80" t="s">
        <v>65</v>
      </c>
      <c r="E15" s="81" t="s">
        <v>66</v>
      </c>
      <c r="F15" s="82" t="s">
        <v>67</v>
      </c>
      <c r="G15" s="670"/>
      <c r="H15" s="95" t="s">
        <v>62</v>
      </c>
      <c r="I15" s="96" t="s">
        <v>63</v>
      </c>
      <c r="J15" s="97" t="s">
        <v>175</v>
      </c>
      <c r="K15" s="80" t="s">
        <v>65</v>
      </c>
      <c r="L15" s="81" t="s">
        <v>66</v>
      </c>
      <c r="M15" s="82" t="s">
        <v>68</v>
      </c>
      <c r="N15" s="64"/>
      <c r="O15" s="99"/>
    </row>
    <row r="16" spans="1:20" x14ac:dyDescent="0.25">
      <c r="A16" s="189"/>
      <c r="B16" s="190"/>
      <c r="C16" s="100"/>
      <c r="D16" s="188"/>
      <c r="E16" s="188"/>
      <c r="F16" s="84">
        <f t="shared" ref="F16:F20" si="2">D16+E16</f>
        <v>0</v>
      </c>
      <c r="G16" s="670"/>
      <c r="H16" s="189"/>
      <c r="I16" s="190"/>
      <c r="J16" s="100"/>
      <c r="K16" s="188"/>
      <c r="L16" s="188"/>
      <c r="M16" s="84">
        <f t="shared" ref="M16:M20" si="3">K16+L16</f>
        <v>0</v>
      </c>
      <c r="N16" s="85"/>
      <c r="O16" s="85"/>
    </row>
    <row r="17" spans="1:19" x14ac:dyDescent="0.25">
      <c r="A17" s="189"/>
      <c r="B17" s="190"/>
      <c r="C17" s="100"/>
      <c r="D17" s="188"/>
      <c r="E17" s="188"/>
      <c r="F17" s="84">
        <f t="shared" si="2"/>
        <v>0</v>
      </c>
      <c r="G17" s="670"/>
      <c r="H17" s="189"/>
      <c r="I17" s="190"/>
      <c r="J17" s="100"/>
      <c r="K17" s="188"/>
      <c r="L17" s="188"/>
      <c r="M17" s="84">
        <f t="shared" si="3"/>
        <v>0</v>
      </c>
      <c r="N17" s="85"/>
      <c r="O17" s="85"/>
    </row>
    <row r="18" spans="1:19" x14ac:dyDescent="0.25">
      <c r="A18" s="189"/>
      <c r="B18" s="190"/>
      <c r="C18" s="100"/>
      <c r="D18" s="188"/>
      <c r="E18" s="188"/>
      <c r="F18" s="84">
        <f t="shared" si="2"/>
        <v>0</v>
      </c>
      <c r="G18" s="670"/>
      <c r="H18" s="189"/>
      <c r="I18" s="190"/>
      <c r="J18" s="100"/>
      <c r="K18" s="188"/>
      <c r="L18" s="188"/>
      <c r="M18" s="84">
        <f t="shared" si="3"/>
        <v>0</v>
      </c>
      <c r="N18" s="85"/>
      <c r="O18" s="85"/>
    </row>
    <row r="19" spans="1:19" x14ac:dyDescent="0.25">
      <c r="A19" s="189"/>
      <c r="B19" s="190"/>
      <c r="C19" s="100"/>
      <c r="D19" s="188"/>
      <c r="E19" s="188"/>
      <c r="F19" s="84">
        <f t="shared" si="2"/>
        <v>0</v>
      </c>
      <c r="G19" s="670"/>
      <c r="H19" s="189"/>
      <c r="I19" s="190"/>
      <c r="J19" s="100"/>
      <c r="K19" s="188"/>
      <c r="L19" s="188"/>
      <c r="M19" s="84">
        <f t="shared" si="3"/>
        <v>0</v>
      </c>
      <c r="N19" s="85"/>
      <c r="O19" s="85"/>
    </row>
    <row r="20" spans="1:19" x14ac:dyDescent="0.25">
      <c r="A20" s="189"/>
      <c r="B20" s="190"/>
      <c r="C20" s="100"/>
      <c r="D20" s="188"/>
      <c r="E20" s="188"/>
      <c r="F20" s="84">
        <f t="shared" si="2"/>
        <v>0</v>
      </c>
      <c r="G20" s="670"/>
      <c r="H20" s="189"/>
      <c r="I20" s="190"/>
      <c r="J20" s="100"/>
      <c r="K20" s="188"/>
      <c r="L20" s="188"/>
      <c r="M20" s="84">
        <f t="shared" si="3"/>
        <v>0</v>
      </c>
      <c r="N20" s="85"/>
      <c r="O20" s="85"/>
    </row>
    <row r="21" spans="1:19" x14ac:dyDescent="0.25">
      <c r="A21" s="101"/>
      <c r="B21" s="102"/>
      <c r="C21" s="103" t="s">
        <v>72</v>
      </c>
      <c r="D21" s="104">
        <f t="shared" ref="D21:F21" si="4">SUM(D16:D20)</f>
        <v>0</v>
      </c>
      <c r="E21" s="104">
        <f t="shared" si="4"/>
        <v>0</v>
      </c>
      <c r="F21" s="84">
        <f t="shared" si="4"/>
        <v>0</v>
      </c>
      <c r="G21" s="670"/>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70"/>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70"/>
      <c r="H23" s="668" t="s">
        <v>22</v>
      </c>
      <c r="I23" s="668"/>
      <c r="J23" s="668"/>
      <c r="K23" s="668"/>
      <c r="L23" s="668"/>
      <c r="M23" s="668"/>
      <c r="N23" s="94"/>
      <c r="O23" s="94"/>
      <c r="P23" s="94"/>
      <c r="Q23" s="94"/>
      <c r="R23" s="94"/>
      <c r="S23" s="94"/>
    </row>
    <row r="24" spans="1:19" x14ac:dyDescent="0.25">
      <c r="A24" s="112" t="s">
        <v>105</v>
      </c>
      <c r="B24" s="113"/>
      <c r="C24" s="113"/>
      <c r="D24" s="63"/>
      <c r="E24" s="120"/>
      <c r="F24" s="120"/>
      <c r="G24" s="670"/>
      <c r="H24" s="112" t="s">
        <v>105</v>
      </c>
      <c r="I24" s="113"/>
      <c r="J24" s="113"/>
      <c r="K24" s="63"/>
      <c r="L24" s="120"/>
      <c r="M24" s="120"/>
      <c r="N24" s="119"/>
      <c r="O24" s="119"/>
      <c r="P24" s="119"/>
      <c r="Q24" s="119"/>
    </row>
    <row r="25" spans="1:19" x14ac:dyDescent="0.25">
      <c r="A25" s="121" t="s">
        <v>71</v>
      </c>
      <c r="B25" s="122" t="s">
        <v>77</v>
      </c>
      <c r="C25" s="123"/>
      <c r="D25" s="124"/>
      <c r="E25" s="123"/>
      <c r="F25" s="123"/>
      <c r="G25" s="670"/>
      <c r="H25" s="121" t="s">
        <v>71</v>
      </c>
      <c r="I25" s="122" t="s">
        <v>77</v>
      </c>
      <c r="J25" s="123"/>
      <c r="K25" s="124"/>
      <c r="L25" s="123"/>
      <c r="M25" s="123"/>
      <c r="N25" s="119"/>
      <c r="O25" s="119"/>
      <c r="P25" s="119"/>
      <c r="Q25" s="119"/>
    </row>
    <row r="26" spans="1:19" x14ac:dyDescent="0.25">
      <c r="A26" s="125" t="str">
        <f>CONCATENATE("SFY ",'2. Getting Started'!B6," Projected Child Count")</f>
        <v>SFY 2021 Projected Child Count</v>
      </c>
      <c r="B26" s="126">
        <f>IF('5. Year 1 Amounts'!B1="","",'5. Year 1 Amounts'!B1)</f>
        <v>0</v>
      </c>
      <c r="C26" s="123"/>
      <c r="D26" s="124"/>
      <c r="E26" s="123"/>
      <c r="F26" s="123"/>
      <c r="G26" s="670"/>
      <c r="H26" s="125" t="str">
        <f>CONCATENATE("SFY ",'2. Getting Started'!B6," Child Count")</f>
        <v>SFY 2021 Child Count</v>
      </c>
      <c r="I26" s="126">
        <f>IF('5. Year 1 Amounts'!I1="","",'5. Year 1 Amounts'!I1)</f>
        <v>0</v>
      </c>
      <c r="J26" s="123"/>
      <c r="K26" s="124"/>
      <c r="L26" s="123"/>
      <c r="M26" s="123"/>
      <c r="N26" s="119"/>
      <c r="O26" s="119"/>
      <c r="P26" s="119"/>
      <c r="Q26" s="119"/>
    </row>
    <row r="27" spans="1:19" x14ac:dyDescent="0.25">
      <c r="A27" s="125" t="str">
        <f>CONCATENATE("SFY ",'2. Getting Started'!B6-1," Projected Child Count")</f>
        <v>SFY 2020 Projected Child Count</v>
      </c>
      <c r="B27" s="351" t="e">
        <f>IF('2. Getting Started'!B19="","",'2. Getting Started'!B19)</f>
        <v>#N/A</v>
      </c>
      <c r="C27" s="119"/>
      <c r="D27" s="128"/>
      <c r="E27" s="119"/>
      <c r="F27" s="123"/>
      <c r="G27" s="670"/>
      <c r="H27" s="125" t="str">
        <f>CONCATENATE("SFY ",'2. Getting Started'!B6-1," Child Count")</f>
        <v>SFY 2020 Child Count</v>
      </c>
      <c r="I27" s="351">
        <f>IF('2. Getting Started'!C19="Please enter data","",'2. Getting Started'!C19)</f>
        <v>0</v>
      </c>
      <c r="J27" s="119"/>
      <c r="K27" s="128"/>
      <c r="L27" s="119"/>
      <c r="M27" s="123"/>
      <c r="N27" s="129"/>
      <c r="O27" s="129"/>
      <c r="P27" s="129"/>
      <c r="Q27" s="129"/>
    </row>
    <row r="28" spans="1:19" x14ac:dyDescent="0.25">
      <c r="A28" s="127" t="s">
        <v>78</v>
      </c>
      <c r="B28" s="130" t="e">
        <f>IF(B26="","",B26-B27)</f>
        <v>#N/A</v>
      </c>
      <c r="C28" s="123" t="e">
        <f>IF(B28="","",IF(B28&gt;=0,"Not eligible for this exception",""))</f>
        <v>#N/A</v>
      </c>
      <c r="D28" s="124"/>
      <c r="E28" s="123"/>
      <c r="F28" s="123"/>
      <c r="G28" s="670"/>
      <c r="H28" s="127" t="s">
        <v>78</v>
      </c>
      <c r="I28" s="130">
        <f>IF(I26="","",I26-I27)</f>
        <v>0</v>
      </c>
      <c r="J28" s="123" t="str">
        <f>IF(I28="","",IF(I28&gt;=0,"Not eligible for this exception",""))</f>
        <v>Not eligible for this exception</v>
      </c>
      <c r="K28" s="124"/>
      <c r="L28" s="123"/>
      <c r="M28" s="123"/>
      <c r="N28" s="132"/>
      <c r="O28" s="132"/>
      <c r="P28" s="132"/>
      <c r="Q28" s="132"/>
    </row>
    <row r="29" spans="1:19" x14ac:dyDescent="0.25">
      <c r="A29" s="133" t="s">
        <v>79</v>
      </c>
      <c r="B29" s="134" t="e">
        <f>IF(B26="","",IF(B28&lt;=0,ABS(B28/B27),""))</f>
        <v>#N/A</v>
      </c>
      <c r="C29" s="135"/>
      <c r="D29" s="136"/>
      <c r="E29" s="135"/>
      <c r="F29" s="10"/>
      <c r="G29" s="670"/>
      <c r="H29" s="133" t="s">
        <v>79</v>
      </c>
      <c r="I29" s="134" t="e">
        <f>IF(I26="","",IF(I28&lt;=0,ABS(I28/I27),""))</f>
        <v>#DIV/0!</v>
      </c>
      <c r="J29" s="135"/>
      <c r="K29" s="136"/>
      <c r="L29" s="135"/>
      <c r="M29" s="10"/>
      <c r="N29" s="137"/>
      <c r="O29" s="137"/>
      <c r="P29" s="138"/>
      <c r="Q29" s="138"/>
    </row>
    <row r="30" spans="1:19" ht="31.5" x14ac:dyDescent="0.25">
      <c r="A30" s="115" t="s">
        <v>71</v>
      </c>
      <c r="B30" s="116" t="s">
        <v>0</v>
      </c>
      <c r="C30" s="116" t="s">
        <v>2</v>
      </c>
      <c r="D30" s="10"/>
      <c r="E30" s="72"/>
      <c r="F30" s="72"/>
      <c r="G30" s="670"/>
      <c r="H30" s="115" t="s">
        <v>71</v>
      </c>
      <c r="I30" s="116" t="s">
        <v>75</v>
      </c>
      <c r="J30" s="116" t="s">
        <v>76</v>
      </c>
      <c r="K30" s="10"/>
      <c r="L30" s="72"/>
      <c r="M30" s="72"/>
      <c r="N30" s="138"/>
      <c r="O30" s="138"/>
    </row>
    <row r="31" spans="1:19" x14ac:dyDescent="0.25">
      <c r="A31" s="139" t="str">
        <f>CONCATENATE("SFY ",'2. Getting Started'!B6-1," Budget")</f>
        <v>SFY 2020 Budget</v>
      </c>
      <c r="B31" s="140">
        <f>IF('2. Getting Started'!B17="Please enter data","",'2. Getting Started'!B17)</f>
        <v>0</v>
      </c>
      <c r="C31" s="140">
        <f>IF('2. Getting Started'!B18="Please enter data","",'2. Getting Started'!B18)</f>
        <v>0</v>
      </c>
      <c r="D31" s="141"/>
      <c r="E31" s="74"/>
      <c r="F31" s="74"/>
      <c r="G31" s="670"/>
      <c r="H31" s="139" t="str">
        <f>CONCATENATE("SFY ",'2. Getting Started'!B6-1," Final Expenditures")</f>
        <v>SFY 2020 Final Expenditures</v>
      </c>
      <c r="I31" s="140">
        <f>IF('2. Getting Started'!C17="Please enter data","",'2. Getting Started'!C17)</f>
        <v>0</v>
      </c>
      <c r="J31" s="140">
        <f>IF('2. Getting Started'!C18="Please enter data","",'2. Getting Started'!C18)</f>
        <v>0</v>
      </c>
      <c r="K31" s="142"/>
      <c r="L31" s="74"/>
      <c r="M31" s="74"/>
    </row>
    <row r="32" spans="1:19" x14ac:dyDescent="0.25">
      <c r="A32" s="117" t="s">
        <v>80</v>
      </c>
      <c r="B32" s="143" t="e">
        <f>IF(OR($B26="",B29="",B31=""),"",($B29*B31))</f>
        <v>#N/A</v>
      </c>
      <c r="C32" s="143" t="e">
        <f>IF(OR($B26="",B29="",C31=""),"",($B29*C31))</f>
        <v>#N/A</v>
      </c>
      <c r="D32" s="142"/>
      <c r="E32" s="118"/>
      <c r="F32" s="118"/>
      <c r="G32" s="670"/>
      <c r="H32" s="117" t="s">
        <v>81</v>
      </c>
      <c r="I32" s="143" t="e">
        <f>IF(OR($I26="",I29="",I31=""),"",($I29*I31))</f>
        <v>#DIV/0!</v>
      </c>
      <c r="J32" s="143" t="e">
        <f>IF(OR($I26="",I29="",J31=""),"",($I29*J31))</f>
        <v>#DIV/0!</v>
      </c>
      <c r="K32" s="142"/>
      <c r="L32" s="118"/>
      <c r="M32" s="118"/>
    </row>
    <row r="33" spans="1:28" ht="16.5" thickBot="1" x14ac:dyDescent="0.3">
      <c r="A33" s="663" t="s">
        <v>22</v>
      </c>
      <c r="B33" s="663"/>
      <c r="C33" s="663"/>
      <c r="D33" s="123"/>
      <c r="E33" s="123"/>
      <c r="F33" s="123"/>
      <c r="G33" s="670"/>
      <c r="H33" s="663" t="s">
        <v>22</v>
      </c>
      <c r="I33" s="663"/>
      <c r="J33" s="663"/>
      <c r="K33" s="123"/>
      <c r="L33" s="123"/>
      <c r="M33" s="123"/>
      <c r="P33" s="118"/>
      <c r="Q33" s="118"/>
      <c r="R33" s="118"/>
      <c r="S33" s="118"/>
      <c r="T33" s="118"/>
      <c r="U33" s="74"/>
      <c r="V33" s="118"/>
      <c r="W33" s="118"/>
      <c r="X33" s="118"/>
      <c r="Y33" s="118"/>
      <c r="Z33" s="118"/>
      <c r="AA33" s="118"/>
    </row>
    <row r="34" spans="1:28" x14ac:dyDescent="0.25">
      <c r="A34" s="112" t="s">
        <v>82</v>
      </c>
      <c r="B34" s="145"/>
      <c r="C34" s="146"/>
      <c r="D34" s="147"/>
      <c r="E34" s="131"/>
      <c r="F34" s="131"/>
      <c r="G34" s="670"/>
      <c r="H34" s="112" t="s">
        <v>82</v>
      </c>
      <c r="I34" s="145"/>
      <c r="J34" s="146"/>
      <c r="K34" s="147"/>
      <c r="L34" s="131"/>
      <c r="M34" s="131"/>
      <c r="P34" s="118"/>
      <c r="Q34" s="118"/>
      <c r="R34" s="118"/>
      <c r="S34" s="118"/>
      <c r="T34" s="118"/>
      <c r="U34" s="118"/>
      <c r="V34" s="118"/>
      <c r="W34" s="118"/>
      <c r="X34" s="118"/>
      <c r="Y34" s="118"/>
      <c r="Z34" s="118"/>
      <c r="AA34" s="118"/>
    </row>
    <row r="35" spans="1:28" x14ac:dyDescent="0.25">
      <c r="A35" s="148" t="s">
        <v>83</v>
      </c>
      <c r="B35" s="72"/>
      <c r="C35" s="149"/>
      <c r="D35" s="150"/>
      <c r="E35" s="10"/>
      <c r="F35" s="10"/>
      <c r="G35" s="670"/>
      <c r="H35" s="148" t="s">
        <v>83</v>
      </c>
      <c r="I35" s="72"/>
      <c r="J35" s="149"/>
      <c r="K35" s="150"/>
      <c r="L35" s="10"/>
      <c r="M35" s="10"/>
      <c r="P35" s="74"/>
      <c r="Q35" s="74"/>
      <c r="R35" s="74"/>
      <c r="S35" s="74"/>
      <c r="T35" s="74"/>
      <c r="U35" s="74"/>
      <c r="V35" s="74"/>
      <c r="W35" s="74"/>
      <c r="X35" s="74"/>
      <c r="Y35" s="74"/>
      <c r="Z35" s="74"/>
      <c r="AA35" s="74"/>
    </row>
    <row r="36" spans="1:28" x14ac:dyDescent="0.25">
      <c r="A36" s="151" t="s">
        <v>84</v>
      </c>
      <c r="B36" s="72"/>
      <c r="C36" s="152"/>
      <c r="D36" s="150"/>
      <c r="E36" s="10"/>
      <c r="F36" s="10"/>
      <c r="G36" s="670"/>
      <c r="H36" s="151" t="s">
        <v>84</v>
      </c>
      <c r="I36" s="72"/>
      <c r="J36" s="152"/>
      <c r="K36" s="150"/>
      <c r="L36" s="10"/>
      <c r="M36" s="10"/>
      <c r="Q36" s="74"/>
      <c r="R36" s="74"/>
      <c r="S36" s="74"/>
      <c r="T36" s="74"/>
      <c r="U36" s="74"/>
      <c r="V36" s="74"/>
      <c r="W36" s="74"/>
      <c r="X36" s="74"/>
      <c r="Y36" s="74"/>
      <c r="Z36" s="74"/>
      <c r="AA36" s="74"/>
      <c r="AB36" s="74"/>
    </row>
    <row r="37" spans="1:28" x14ac:dyDescent="0.25">
      <c r="A37" s="153" t="s">
        <v>85</v>
      </c>
      <c r="B37" s="154" t="s">
        <v>86</v>
      </c>
      <c r="C37" s="155" t="s">
        <v>87</v>
      </c>
      <c r="D37" s="118"/>
      <c r="E37" s="144"/>
      <c r="F37" s="144"/>
      <c r="G37" s="670"/>
      <c r="H37" s="153" t="s">
        <v>85</v>
      </c>
      <c r="I37" s="154" t="s">
        <v>86</v>
      </c>
      <c r="J37" s="155" t="s">
        <v>88</v>
      </c>
      <c r="K37" s="118"/>
      <c r="L37" s="144"/>
      <c r="M37" s="144"/>
      <c r="P37" s="94"/>
      <c r="Q37" s="94"/>
      <c r="R37" s="94"/>
      <c r="S37" s="94"/>
      <c r="T37" s="94"/>
      <c r="U37" s="94"/>
      <c r="V37" s="94"/>
      <c r="W37" s="94"/>
      <c r="X37" s="94"/>
      <c r="Y37" s="94"/>
      <c r="Z37" s="94"/>
      <c r="AA37" s="94"/>
    </row>
    <row r="38" spans="1:28" x14ac:dyDescent="0.25">
      <c r="A38" s="191"/>
      <c r="B38" s="192"/>
      <c r="C38" s="193"/>
      <c r="D38" s="144"/>
      <c r="E38" s="144"/>
      <c r="F38" s="144"/>
      <c r="G38" s="670"/>
      <c r="H38" s="191"/>
      <c r="I38" s="192"/>
      <c r="J38" s="193"/>
      <c r="K38" s="144"/>
      <c r="L38" s="144"/>
      <c r="M38" s="144"/>
      <c r="P38" s="94"/>
      <c r="Q38" s="94"/>
      <c r="R38" s="94"/>
      <c r="S38" s="94"/>
      <c r="T38" s="94"/>
      <c r="U38" s="94"/>
      <c r="V38" s="94"/>
      <c r="W38" s="94"/>
      <c r="X38" s="94"/>
      <c r="Y38" s="94"/>
      <c r="Z38" s="94"/>
      <c r="AA38" s="94"/>
    </row>
    <row r="39" spans="1:28" x14ac:dyDescent="0.25">
      <c r="A39" s="191"/>
      <c r="B39" s="192"/>
      <c r="C39" s="193"/>
      <c r="D39" s="144"/>
      <c r="E39" s="72"/>
      <c r="F39" s="72"/>
      <c r="G39" s="670"/>
      <c r="H39" s="191"/>
      <c r="I39" s="192"/>
      <c r="J39" s="193"/>
      <c r="K39" s="144"/>
      <c r="L39" s="72"/>
      <c r="M39" s="72"/>
      <c r="P39" s="94"/>
      <c r="Q39" s="94"/>
      <c r="R39" s="94"/>
      <c r="S39" s="94"/>
      <c r="T39" s="94"/>
      <c r="U39" s="94"/>
      <c r="V39" s="94"/>
      <c r="W39" s="94"/>
      <c r="X39" s="94"/>
      <c r="Y39" s="94"/>
      <c r="Z39" s="94"/>
      <c r="AA39" s="94"/>
    </row>
    <row r="40" spans="1:28" x14ac:dyDescent="0.25">
      <c r="A40" s="191"/>
      <c r="B40" s="192"/>
      <c r="C40" s="193"/>
      <c r="D40" s="144"/>
      <c r="E40" s="72"/>
      <c r="F40" s="72"/>
      <c r="G40" s="670"/>
      <c r="H40" s="191"/>
      <c r="I40" s="192"/>
      <c r="J40" s="193"/>
      <c r="K40" s="144"/>
      <c r="L40" s="72"/>
      <c r="M40" s="72"/>
      <c r="P40" s="94"/>
      <c r="Q40" s="94"/>
      <c r="R40" s="94"/>
      <c r="S40" s="94"/>
      <c r="T40" s="94"/>
      <c r="U40" s="94"/>
      <c r="V40" s="94"/>
      <c r="W40" s="94"/>
      <c r="X40" s="94"/>
      <c r="Y40" s="94"/>
      <c r="Z40" s="94"/>
      <c r="AA40" s="94"/>
    </row>
    <row r="41" spans="1:28" x14ac:dyDescent="0.25">
      <c r="A41" s="191"/>
      <c r="B41" s="192"/>
      <c r="C41" s="193"/>
      <c r="D41" s="144"/>
      <c r="E41" s="120"/>
      <c r="F41" s="120"/>
      <c r="G41" s="670"/>
      <c r="H41" s="191"/>
      <c r="I41" s="192"/>
      <c r="J41" s="193"/>
      <c r="K41" s="144"/>
      <c r="L41" s="120"/>
      <c r="M41" s="120"/>
      <c r="P41" s="94"/>
      <c r="Q41" s="94"/>
      <c r="R41" s="94"/>
      <c r="S41" s="94"/>
      <c r="T41" s="94"/>
      <c r="U41" s="94"/>
      <c r="V41" s="94"/>
      <c r="W41" s="94"/>
      <c r="X41" s="94"/>
      <c r="Y41" s="94"/>
      <c r="Z41" s="94"/>
      <c r="AA41" s="94"/>
    </row>
    <row r="42" spans="1:28" x14ac:dyDescent="0.25">
      <c r="A42" s="191"/>
      <c r="B42" s="192"/>
      <c r="C42" s="193"/>
      <c r="D42" s="144"/>
      <c r="F42" s="10"/>
      <c r="G42" s="670"/>
      <c r="H42" s="191"/>
      <c r="I42" s="192"/>
      <c r="J42" s="193"/>
      <c r="K42" s="144"/>
      <c r="M42" s="10"/>
      <c r="P42" s="74"/>
      <c r="Q42" s="74"/>
      <c r="R42" s="74"/>
      <c r="S42" s="74"/>
      <c r="T42" s="74"/>
      <c r="U42" s="74"/>
      <c r="V42" s="74"/>
      <c r="W42" s="74"/>
      <c r="X42" s="74"/>
      <c r="Y42" s="74"/>
      <c r="Z42" s="74"/>
      <c r="AA42" s="74"/>
    </row>
    <row r="43" spans="1:28" x14ac:dyDescent="0.25">
      <c r="A43" s="157" t="s">
        <v>89</v>
      </c>
      <c r="B43" s="158"/>
      <c r="C43" s="159">
        <f>SUM(C38:C42)</f>
        <v>0</v>
      </c>
      <c r="D43" s="144"/>
      <c r="E43" s="74"/>
      <c r="F43" s="72"/>
      <c r="G43" s="670"/>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70"/>
      <c r="H44" s="669" t="s">
        <v>22</v>
      </c>
      <c r="I44" s="669"/>
      <c r="J44" s="669"/>
      <c r="K44" s="72"/>
      <c r="L44" s="72"/>
      <c r="M44" s="72"/>
      <c r="P44" s="94"/>
      <c r="Q44" s="94"/>
      <c r="R44" s="94"/>
      <c r="S44" s="94"/>
      <c r="T44" s="94"/>
      <c r="U44" s="94"/>
      <c r="V44" s="94"/>
      <c r="W44" s="94"/>
      <c r="X44" s="94"/>
      <c r="Y44" s="94"/>
      <c r="Z44" s="94"/>
      <c r="AA44" s="94"/>
    </row>
    <row r="45" spans="1:28" x14ac:dyDescent="0.25">
      <c r="A45" s="112" t="s">
        <v>91</v>
      </c>
      <c r="B45" s="114"/>
      <c r="C45" s="120"/>
      <c r="D45" s="120"/>
      <c r="E45" s="120"/>
      <c r="F45" s="120"/>
      <c r="G45" s="670"/>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70"/>
      <c r="H46" s="71" t="s">
        <v>92</v>
      </c>
      <c r="I46" s="152"/>
      <c r="J46" s="120"/>
      <c r="K46" s="72"/>
      <c r="L46" s="74"/>
      <c r="M46" s="74"/>
      <c r="O46" s="94"/>
      <c r="P46" s="94"/>
      <c r="Q46" s="94"/>
      <c r="R46" s="94"/>
      <c r="S46" s="94"/>
      <c r="T46" s="94"/>
      <c r="U46" s="94"/>
      <c r="V46" s="94"/>
      <c r="W46" s="94"/>
      <c r="X46" s="94"/>
      <c r="Y46" s="94"/>
      <c r="Z46" s="94"/>
    </row>
    <row r="47" spans="1:28" x14ac:dyDescent="0.25">
      <c r="A47" s="160" t="s">
        <v>93</v>
      </c>
      <c r="B47" s="161" t="s">
        <v>94</v>
      </c>
      <c r="C47" s="118"/>
      <c r="D47" s="118"/>
      <c r="E47" s="144"/>
      <c r="F47" s="110"/>
      <c r="G47" s="670"/>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70"/>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70"/>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70"/>
      <c r="H50" s="194"/>
      <c r="I50" s="195"/>
      <c r="J50" s="144"/>
      <c r="K50" s="144"/>
      <c r="L50" s="72"/>
      <c r="M50" s="72"/>
    </row>
    <row r="51" spans="1:26" ht="60" customHeight="1" x14ac:dyDescent="0.25">
      <c r="A51" s="194"/>
      <c r="B51" s="195"/>
      <c r="C51" s="144"/>
      <c r="D51" s="144"/>
      <c r="E51" s="162"/>
      <c r="F51" s="162"/>
      <c r="G51" s="670"/>
      <c r="H51" s="194"/>
      <c r="I51" s="195"/>
      <c r="J51" s="144"/>
      <c r="K51" s="144"/>
      <c r="L51" s="162"/>
      <c r="M51" s="162"/>
    </row>
    <row r="52" spans="1:26" ht="60" customHeight="1" x14ac:dyDescent="0.25">
      <c r="A52" s="194"/>
      <c r="B52" s="195"/>
      <c r="C52" s="144"/>
      <c r="D52" s="144"/>
      <c r="E52" s="163"/>
      <c r="F52" s="163"/>
      <c r="G52" s="670"/>
      <c r="H52" s="194"/>
      <c r="I52" s="195"/>
      <c r="J52" s="144"/>
      <c r="K52" s="144"/>
      <c r="L52" s="163"/>
      <c r="M52" s="163"/>
    </row>
    <row r="53" spans="1:26" x14ac:dyDescent="0.25">
      <c r="A53" s="164" t="s">
        <v>89</v>
      </c>
      <c r="B53" s="165">
        <f>SUM(B48:B52)</f>
        <v>0</v>
      </c>
      <c r="C53" s="144"/>
      <c r="D53" s="144"/>
      <c r="E53" s="74"/>
      <c r="G53" s="670"/>
      <c r="H53" s="166" t="s">
        <v>90</v>
      </c>
      <c r="I53" s="165">
        <f>SUM(I48:I52)</f>
        <v>0</v>
      </c>
      <c r="J53" s="144"/>
      <c r="K53" s="144"/>
      <c r="L53" s="74"/>
    </row>
    <row r="54" spans="1:26" ht="16.5" thickBot="1" x14ac:dyDescent="0.3">
      <c r="A54" s="663" t="s">
        <v>22</v>
      </c>
      <c r="B54" s="663"/>
      <c r="C54" s="10"/>
      <c r="D54" s="72"/>
      <c r="E54" s="72"/>
      <c r="F54" s="72"/>
      <c r="G54" s="670"/>
      <c r="H54" s="663" t="s">
        <v>22</v>
      </c>
      <c r="I54" s="663"/>
      <c r="J54" s="10"/>
      <c r="K54" s="72"/>
      <c r="L54" s="72"/>
      <c r="M54" s="72"/>
    </row>
    <row r="55" spans="1:26" x14ac:dyDescent="0.25">
      <c r="A55" s="167" t="str">
        <f>IF('3b. High Cost Fund'!B3="No","This exception is not valid in your state.","Exception (e) The assumption of cost by the high cost fund operated by the")</f>
        <v>Exception (e) The assumption of cost by the high cost fund operated by the</v>
      </c>
      <c r="B55" s="146"/>
      <c r="C55" s="147"/>
      <c r="D55" s="131"/>
      <c r="E55" s="131"/>
      <c r="F55" s="144"/>
      <c r="G55" s="670"/>
      <c r="H55" s="167" t="str">
        <f>IF('3b. High Cost Fund'!B3="No","This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Fund'!B3="No","","SEA under §300.704. MUST be explicitly permitted by the SEA.")</f>
        <v>SEA under §300.704. MUST be explicitly permitted by the SEA.</v>
      </c>
      <c r="B56" s="168"/>
      <c r="C56" s="169"/>
      <c r="D56" s="170"/>
      <c r="E56" s="163"/>
      <c r="F56" s="144"/>
      <c r="G56" s="670"/>
      <c r="H56" s="71" t="str">
        <f>IF('3b. High Cost Fund'!B3="No","","SEA under §300.704. MUST be explicitly permitted by the SEA.")</f>
        <v>SEA under §300.704. MUST be explicitly permitted by the SEA.</v>
      </c>
      <c r="I56" s="168"/>
      <c r="J56" s="147"/>
      <c r="K56" s="170"/>
      <c r="L56" s="163"/>
      <c r="M56" s="144"/>
    </row>
    <row r="57" spans="1:26" x14ac:dyDescent="0.25">
      <c r="A57" s="171" t="s">
        <v>85</v>
      </c>
      <c r="B57" s="172" t="s">
        <v>96</v>
      </c>
      <c r="C57" s="118"/>
      <c r="D57" s="144"/>
      <c r="E57" s="144"/>
      <c r="F57" s="10"/>
      <c r="G57" s="670"/>
      <c r="H57" s="171" t="s">
        <v>85</v>
      </c>
      <c r="I57" s="172" t="s">
        <v>97</v>
      </c>
      <c r="J57" s="118"/>
      <c r="K57" s="144"/>
      <c r="L57" s="144"/>
      <c r="M57" s="10"/>
    </row>
    <row r="58" spans="1:26" ht="15.4" customHeight="1" x14ac:dyDescent="0.25">
      <c r="A58" s="196"/>
      <c r="B58" s="197"/>
      <c r="C58" s="337" t="str">
        <f>IF(AND(B58&lt;&gt;"",'3b. High Cost Fund'!B3="No"),"Invalid entry. This exception is valid only in states with high-cost funds. If your state has a high-cost fund, please indicate that on tab 3b.","")</f>
        <v/>
      </c>
      <c r="D58" s="144"/>
      <c r="E58" s="144"/>
      <c r="F58" s="10"/>
      <c r="G58" s="670"/>
      <c r="H58" s="196"/>
      <c r="I58" s="197"/>
      <c r="J58" s="337" t="str">
        <f>IF(AND(I58&lt;&gt;"",'3b. High Cost Fund'!B3="No"),"Invalid entry. This exception is valid only in states with high-cost funds. If your state has a high-cost fund, please indicate that on tab 3b.","")</f>
        <v/>
      </c>
      <c r="K58" s="144"/>
      <c r="L58" s="144"/>
      <c r="M58" s="10"/>
    </row>
    <row r="59" spans="1:26" x14ac:dyDescent="0.25">
      <c r="A59" s="196"/>
      <c r="B59" s="197"/>
      <c r="C59" s="144"/>
      <c r="D59" s="10"/>
      <c r="E59" s="10"/>
      <c r="F59" s="10"/>
      <c r="G59" s="670"/>
      <c r="H59" s="196"/>
      <c r="I59" s="197"/>
      <c r="J59" s="144"/>
      <c r="K59" s="10"/>
      <c r="L59" s="10"/>
      <c r="M59" s="10"/>
    </row>
    <row r="60" spans="1:26" x14ac:dyDescent="0.25">
      <c r="A60" s="196"/>
      <c r="B60" s="197"/>
      <c r="C60" s="144"/>
      <c r="D60" s="10"/>
      <c r="E60" s="10"/>
      <c r="F60" s="10"/>
      <c r="G60" s="670"/>
      <c r="H60" s="196"/>
      <c r="I60" s="197"/>
      <c r="J60" s="144"/>
      <c r="K60" s="10"/>
      <c r="L60" s="10"/>
      <c r="M60" s="10"/>
    </row>
    <row r="61" spans="1:26" x14ac:dyDescent="0.25">
      <c r="A61" s="196"/>
      <c r="B61" s="197"/>
      <c r="C61" s="144"/>
      <c r="D61" s="10"/>
      <c r="E61" s="10"/>
      <c r="F61" s="10"/>
      <c r="G61" s="670"/>
      <c r="H61" s="196"/>
      <c r="I61" s="197"/>
      <c r="J61" s="144"/>
      <c r="K61" s="10"/>
      <c r="L61" s="10"/>
      <c r="M61" s="10"/>
    </row>
    <row r="62" spans="1:26" x14ac:dyDescent="0.25">
      <c r="A62" s="196"/>
      <c r="B62" s="197"/>
      <c r="C62" s="144"/>
      <c r="D62" s="10"/>
      <c r="E62" s="10"/>
      <c r="F62" s="10"/>
      <c r="G62" s="670"/>
      <c r="H62" s="196"/>
      <c r="I62" s="197"/>
      <c r="J62" s="144"/>
      <c r="K62" s="10"/>
      <c r="L62" s="10"/>
      <c r="M62" s="10"/>
    </row>
    <row r="63" spans="1:26" x14ac:dyDescent="0.25">
      <c r="A63" s="173" t="s">
        <v>89</v>
      </c>
      <c r="B63" s="174">
        <f>IF('3b. High Cost Fund'!B3="No",0,SUM(B58:B62))</f>
        <v>0</v>
      </c>
      <c r="C63" s="144"/>
      <c r="D63" s="10"/>
      <c r="E63" s="10"/>
      <c r="F63" s="10"/>
      <c r="G63" s="670"/>
      <c r="H63" s="175" t="s">
        <v>90</v>
      </c>
      <c r="I63" s="174">
        <f>IF('3b. High Cost Fund'!B3="No",0,SUM(I58:I62))</f>
        <v>0</v>
      </c>
      <c r="J63" s="144"/>
      <c r="K63" s="10"/>
      <c r="L63" s="10"/>
      <c r="M63" s="10"/>
    </row>
    <row r="64" spans="1:26" ht="16.5" thickBot="1" x14ac:dyDescent="0.3">
      <c r="A64" s="663" t="s">
        <v>22</v>
      </c>
      <c r="B64" s="663"/>
      <c r="C64" s="144"/>
      <c r="D64" s="10"/>
      <c r="E64" s="10"/>
      <c r="F64" s="10"/>
      <c r="G64" s="670"/>
      <c r="H64" s="163"/>
      <c r="I64" s="200"/>
      <c r="J64" s="144"/>
      <c r="K64" s="10"/>
      <c r="L64" s="10"/>
      <c r="M64" s="10"/>
    </row>
    <row r="65" spans="1:13" x14ac:dyDescent="0.25">
      <c r="A65" s="347" t="s">
        <v>107</v>
      </c>
      <c r="B65" s="348"/>
      <c r="C65" s="144"/>
      <c r="D65" s="10"/>
      <c r="E65" s="10"/>
      <c r="F65" s="10"/>
      <c r="G65" s="670"/>
      <c r="H65" s="347" t="s">
        <v>106</v>
      </c>
      <c r="I65" s="348"/>
      <c r="J65" s="144"/>
      <c r="K65" s="10"/>
      <c r="L65" s="10"/>
      <c r="M65" s="10"/>
    </row>
    <row r="66" spans="1:13" x14ac:dyDescent="0.25">
      <c r="A66" s="242" t="s">
        <v>123</v>
      </c>
      <c r="B66" s="239" t="s">
        <v>124</v>
      </c>
      <c r="C66" s="144"/>
      <c r="D66" s="10"/>
      <c r="E66" s="10"/>
      <c r="F66" s="10"/>
      <c r="G66" s="670"/>
      <c r="H66" s="242" t="s">
        <v>123</v>
      </c>
      <c r="I66" s="239" t="s">
        <v>124</v>
      </c>
      <c r="J66" s="144"/>
      <c r="K66" s="10"/>
      <c r="L66" s="10"/>
      <c r="M66" s="10"/>
    </row>
    <row r="67" spans="1:13" x14ac:dyDescent="0.25">
      <c r="A67" s="103" t="s">
        <v>0</v>
      </c>
      <c r="B67" s="240" t="e">
        <f>IF(B$28&gt;=0,(F$22+C$43+B$53+B$63),(F$22+C$43+B$53+B$63+B$32))</f>
        <v>#N/A</v>
      </c>
      <c r="C67" s="144"/>
      <c r="D67" s="10"/>
      <c r="E67" s="10"/>
      <c r="F67" s="10"/>
      <c r="G67" s="670"/>
      <c r="H67" s="103" t="s">
        <v>0</v>
      </c>
      <c r="I67" s="240">
        <f>IF(I$28&gt;=0,(M$22+J$43+I$53+I$63),(M$22+J$43+I$53+I$63+I$32))</f>
        <v>0</v>
      </c>
      <c r="J67" s="144"/>
      <c r="K67" s="10"/>
      <c r="L67" s="10"/>
      <c r="M67" s="10"/>
    </row>
    <row r="68" spans="1:13" x14ac:dyDescent="0.25">
      <c r="A68" s="241" t="s">
        <v>2</v>
      </c>
      <c r="B68" s="174" t="e">
        <f>IF(B$28&gt;=0,(F$22+C$43+B$53+B$63),(F$22+C$43+B$53+B$63+C$32))</f>
        <v>#N/A</v>
      </c>
      <c r="C68" s="144"/>
      <c r="D68" s="10"/>
      <c r="E68" s="10"/>
      <c r="F68" s="10"/>
      <c r="G68" s="670"/>
      <c r="H68" s="241" t="s">
        <v>2</v>
      </c>
      <c r="I68" s="174">
        <f>IF(I$28&gt;=0,(M$22+J$43+I$53+I$63),(M$22+J$43+I$53+I$63+J$32))</f>
        <v>0</v>
      </c>
      <c r="J68" s="144"/>
      <c r="K68" s="10"/>
      <c r="L68" s="10"/>
      <c r="M68" s="10"/>
    </row>
    <row r="69" spans="1:13" ht="16.5" thickBot="1" x14ac:dyDescent="0.3">
      <c r="A69" s="663" t="s">
        <v>22</v>
      </c>
      <c r="B69" s="663"/>
      <c r="C69" s="10"/>
      <c r="D69" s="10"/>
      <c r="E69" s="10"/>
      <c r="F69" s="10"/>
      <c r="G69" s="670"/>
      <c r="H69" s="664" t="s">
        <v>22</v>
      </c>
      <c r="I69" s="664"/>
      <c r="J69" s="10"/>
      <c r="K69" s="10"/>
      <c r="L69" s="10"/>
      <c r="M69" s="10"/>
    </row>
    <row r="70" spans="1:13" ht="31.15" customHeight="1" x14ac:dyDescent="0.25">
      <c r="A70" s="336" t="s">
        <v>98</v>
      </c>
      <c r="B70" s="177"/>
      <c r="C70" s="11"/>
      <c r="D70" s="178"/>
      <c r="E70" s="10"/>
      <c r="F70" s="10"/>
      <c r="G70" s="670"/>
      <c r="H70" s="176" t="s">
        <v>98</v>
      </c>
      <c r="I70" s="177"/>
      <c r="J70" s="11"/>
      <c r="K70" s="178"/>
      <c r="L70" s="10"/>
      <c r="M70" s="10"/>
    </row>
    <row r="71" spans="1:13" x14ac:dyDescent="0.25">
      <c r="A71" s="179" t="s">
        <v>71</v>
      </c>
      <c r="B71" s="180" t="s">
        <v>99</v>
      </c>
      <c r="C71" s="11" t="s">
        <v>100</v>
      </c>
      <c r="E71" s="10"/>
      <c r="F71" s="10"/>
      <c r="G71" s="670"/>
      <c r="H71" s="179" t="s">
        <v>71</v>
      </c>
      <c r="I71" s="180" t="s">
        <v>101</v>
      </c>
      <c r="J71" s="11" t="s">
        <v>100</v>
      </c>
      <c r="K71" s="10"/>
      <c r="L71" s="10"/>
      <c r="M71" s="10"/>
    </row>
    <row r="72" spans="1:13" x14ac:dyDescent="0.25">
      <c r="A72" s="181" t="s">
        <v>102</v>
      </c>
      <c r="B72" s="198">
        <v>0</v>
      </c>
      <c r="C72" s="182" t="s">
        <v>103</v>
      </c>
      <c r="D72" s="10"/>
      <c r="E72" s="10"/>
      <c r="F72" s="10"/>
      <c r="G72" s="670"/>
      <c r="H72" s="181" t="s">
        <v>104</v>
      </c>
      <c r="I72" s="198">
        <v>0</v>
      </c>
      <c r="J72" s="182" t="s">
        <v>103</v>
      </c>
      <c r="K72" s="10"/>
      <c r="L72" s="10"/>
      <c r="M72" s="10"/>
    </row>
    <row r="73" spans="1:13" ht="30" customHeight="1" x14ac:dyDescent="0.25">
      <c r="A73" s="345" t="s">
        <v>184</v>
      </c>
      <c r="B73" s="183"/>
      <c r="C73" s="183"/>
      <c r="D73" s="183"/>
      <c r="E73" s="183"/>
      <c r="F73" s="183"/>
      <c r="G73" s="670"/>
      <c r="H73" s="183"/>
      <c r="I73" s="183"/>
      <c r="J73" s="183"/>
      <c r="K73" s="183"/>
      <c r="L73" s="183"/>
      <c r="M73" s="183"/>
    </row>
    <row r="74" spans="1:13" s="185" customFormat="1" x14ac:dyDescent="0.25">
      <c r="A74" s="358" t="s">
        <v>183</v>
      </c>
      <c r="B74" s="184"/>
      <c r="C74" s="184"/>
      <c r="D74" s="184"/>
      <c r="E74" s="184"/>
      <c r="F74" s="184"/>
      <c r="G74" s="184"/>
      <c r="H74" s="184"/>
      <c r="I74" s="184"/>
      <c r="J74" s="184"/>
      <c r="K74" s="184"/>
      <c r="L74" s="184"/>
      <c r="M74" s="184"/>
    </row>
    <row r="75" spans="1:13" x14ac:dyDescent="0.25">
      <c r="A75" s="665" t="s">
        <v>24</v>
      </c>
      <c r="B75" s="665"/>
      <c r="C75" s="665"/>
      <c r="D75" s="665"/>
      <c r="E75" s="665"/>
      <c r="F75" s="665"/>
      <c r="G75" s="665"/>
      <c r="H75" s="665"/>
      <c r="I75" s="665"/>
      <c r="J75" s="665"/>
      <c r="K75" s="665"/>
      <c r="L75" s="665"/>
      <c r="M75" s="665"/>
    </row>
  </sheetData>
  <sheetProtection algorithmName="SHA-512" hashValue="6D18im6ieVeiCX//kxdi7MwYyABNLzT5pHLZEr3uGNoZH+tllLY1hSTrS4T/6WPi7wEH70G4LhD2sx1kw1L1nQ==" saltValue="4rLlccZv6MzXCeNlXS9w6A==" spinCount="100000" sheet="1" formatColumns="0" formatRows="0"/>
  <mergeCells count="13">
    <mergeCell ref="A23:F23"/>
    <mergeCell ref="H23:M23"/>
    <mergeCell ref="A33:C33"/>
    <mergeCell ref="H33:J33"/>
    <mergeCell ref="A75:M75"/>
    <mergeCell ref="A44:C44"/>
    <mergeCell ref="H44:J44"/>
    <mergeCell ref="A54:B54"/>
    <mergeCell ref="H54:I54"/>
    <mergeCell ref="A69:B69"/>
    <mergeCell ref="H69:I69"/>
    <mergeCell ref="G1:G73"/>
    <mergeCell ref="A64:B64"/>
  </mergeCells>
  <conditionalFormatting sqref="A55">
    <cfRule type="containsText" dxfId="216" priority="2" operator="containsText" text="not valid">
      <formula>NOT(ISERROR(SEARCH("not valid",A55)))</formula>
    </cfRule>
  </conditionalFormatting>
  <conditionalFormatting sqref="H55">
    <cfRule type="containsText" dxfId="215" priority="1" operator="containsText" text="not valid">
      <formula>NOT(ISERROR(SEARCH("not valid",H55)))</formula>
    </cfRule>
  </conditionalFormatting>
  <dataValidations count="1">
    <dataValidation type="list" allowBlank="1" showInputMessage="1" showErrorMessage="1" sqref="B38:B42 I38:I42" xr:uid="{00000000-0002-0000-0700-000000000000}">
      <formula1>Exception_c</formula1>
    </dataValidation>
  </dataValidations>
  <hyperlinks>
    <hyperlink ref="C72" r:id="rId1" xr:uid="{00000000-0004-0000-0700-000000000000}"/>
    <hyperlink ref="J72" r:id="rId2" xr:uid="{00000000-0004-0000-0700-000001000000}"/>
    <hyperlink ref="A74" r:id="rId3" xr:uid="{00000000-0004-0000-07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sheetPr>
  <dimension ref="A1:D319"/>
  <sheetViews>
    <sheetView workbookViewId="0">
      <selection activeCell="J305" sqref="J305"/>
    </sheetView>
  </sheetViews>
  <sheetFormatPr defaultRowHeight="15" x14ac:dyDescent="0.25"/>
  <cols>
    <col min="1" max="1" width="7.140625" bestFit="1" customWidth="1"/>
    <col min="2" max="2" width="4.28515625" style="365" bestFit="1" customWidth="1"/>
    <col min="3" max="3" width="35" bestFit="1" customWidth="1"/>
    <col min="4" max="4" width="17.5703125" customWidth="1"/>
  </cols>
  <sheetData>
    <row r="1" spans="1:4" ht="15.75" thickBot="1" x14ac:dyDescent="0.3">
      <c r="A1" s="361" t="s">
        <v>185</v>
      </c>
      <c r="B1" s="364" t="s">
        <v>186</v>
      </c>
      <c r="C1" s="361" t="s">
        <v>187</v>
      </c>
    </row>
    <row r="2" spans="1:4" x14ac:dyDescent="0.25">
      <c r="A2" s="363" t="s">
        <v>188</v>
      </c>
      <c r="B2" s="365" t="s">
        <v>189</v>
      </c>
      <c r="C2" t="s">
        <v>190</v>
      </c>
    </row>
    <row r="3" spans="1:4" x14ac:dyDescent="0.25">
      <c r="A3" s="363" t="s">
        <v>191</v>
      </c>
      <c r="B3" s="365" t="s">
        <v>189</v>
      </c>
      <c r="C3" t="s">
        <v>192</v>
      </c>
    </row>
    <row r="4" spans="1:4" x14ac:dyDescent="0.25">
      <c r="A4" t="s">
        <v>193</v>
      </c>
      <c r="B4" s="365" t="s">
        <v>194</v>
      </c>
      <c r="C4" t="s">
        <v>195</v>
      </c>
    </row>
    <row r="5" spans="1:4" x14ac:dyDescent="0.25">
      <c r="A5" t="s">
        <v>196</v>
      </c>
      <c r="B5" s="365" t="s">
        <v>197</v>
      </c>
      <c r="C5" t="s">
        <v>198</v>
      </c>
    </row>
    <row r="6" spans="1:4" x14ac:dyDescent="0.25">
      <c r="A6" t="s">
        <v>199</v>
      </c>
      <c r="B6" s="365" t="s">
        <v>197</v>
      </c>
      <c r="C6" t="s">
        <v>200</v>
      </c>
    </row>
    <row r="7" spans="1:4" x14ac:dyDescent="0.25">
      <c r="A7" t="s">
        <v>201</v>
      </c>
      <c r="B7" s="365" t="s">
        <v>202</v>
      </c>
      <c r="C7" t="s">
        <v>203</v>
      </c>
    </row>
    <row r="8" spans="1:4" x14ac:dyDescent="0.25">
      <c r="A8" t="s">
        <v>204</v>
      </c>
      <c r="B8" s="365" t="s">
        <v>205</v>
      </c>
      <c r="C8" t="s">
        <v>206</v>
      </c>
    </row>
    <row r="9" spans="1:4" x14ac:dyDescent="0.25">
      <c r="A9" t="s">
        <v>207</v>
      </c>
      <c r="B9" s="365" t="s">
        <v>205</v>
      </c>
      <c r="C9" t="s">
        <v>208</v>
      </c>
    </row>
    <row r="10" spans="1:4" x14ac:dyDescent="0.25">
      <c r="A10" t="s">
        <v>209</v>
      </c>
      <c r="B10" s="365" t="s">
        <v>210</v>
      </c>
      <c r="C10" t="s">
        <v>211</v>
      </c>
    </row>
    <row r="11" spans="1:4" x14ac:dyDescent="0.25">
      <c r="A11" t="s">
        <v>212</v>
      </c>
      <c r="B11" s="365" t="s">
        <v>205</v>
      </c>
      <c r="C11" t="s">
        <v>213</v>
      </c>
    </row>
    <row r="12" spans="1:4" x14ac:dyDescent="0.25">
      <c r="A12" t="s">
        <v>214</v>
      </c>
      <c r="B12" s="365" t="s">
        <v>197</v>
      </c>
      <c r="C12" t="s">
        <v>215</v>
      </c>
    </row>
    <row r="13" spans="1:4" x14ac:dyDescent="0.25">
      <c r="A13" t="s">
        <v>216</v>
      </c>
      <c r="B13" s="365" t="s">
        <v>194</v>
      </c>
      <c r="C13" t="s">
        <v>217</v>
      </c>
    </row>
    <row r="14" spans="1:4" x14ac:dyDescent="0.25">
      <c r="A14" t="s">
        <v>218</v>
      </c>
      <c r="B14" s="365" t="s">
        <v>205</v>
      </c>
      <c r="C14" t="s">
        <v>219</v>
      </c>
    </row>
    <row r="15" spans="1:4" x14ac:dyDescent="0.25">
      <c r="A15" t="s">
        <v>220</v>
      </c>
      <c r="B15" s="365" t="s">
        <v>221</v>
      </c>
      <c r="C15" t="s">
        <v>222</v>
      </c>
      <c r="D15" t="s">
        <v>819</v>
      </c>
    </row>
    <row r="16" spans="1:4" x14ac:dyDescent="0.25">
      <c r="A16" t="s">
        <v>223</v>
      </c>
      <c r="B16" s="365" t="s">
        <v>197</v>
      </c>
      <c r="C16" t="s">
        <v>224</v>
      </c>
    </row>
    <row r="17" spans="1:4" x14ac:dyDescent="0.25">
      <c r="A17" t="s">
        <v>225</v>
      </c>
      <c r="B17" s="365" t="s">
        <v>189</v>
      </c>
      <c r="C17" t="s">
        <v>226</v>
      </c>
    </row>
    <row r="18" spans="1:4" x14ac:dyDescent="0.25">
      <c r="A18" t="s">
        <v>227</v>
      </c>
      <c r="B18" s="365" t="s">
        <v>228</v>
      </c>
      <c r="C18" t="s">
        <v>229</v>
      </c>
    </row>
    <row r="19" spans="1:4" x14ac:dyDescent="0.25">
      <c r="A19" t="s">
        <v>230</v>
      </c>
      <c r="B19" s="365" t="s">
        <v>231</v>
      </c>
      <c r="C19" t="s">
        <v>232</v>
      </c>
    </row>
    <row r="20" spans="1:4" x14ac:dyDescent="0.25">
      <c r="A20" t="s">
        <v>233</v>
      </c>
      <c r="B20" s="365" t="s">
        <v>231</v>
      </c>
      <c r="C20" t="s">
        <v>234</v>
      </c>
    </row>
    <row r="21" spans="1:4" x14ac:dyDescent="0.25">
      <c r="A21" t="s">
        <v>235</v>
      </c>
      <c r="B21" s="365" t="s">
        <v>228</v>
      </c>
      <c r="C21" t="s">
        <v>236</v>
      </c>
    </row>
    <row r="22" spans="1:4" x14ac:dyDescent="0.25">
      <c r="A22" t="s">
        <v>237</v>
      </c>
      <c r="B22" s="365" t="s">
        <v>197</v>
      </c>
      <c r="C22" t="s">
        <v>238</v>
      </c>
    </row>
    <row r="23" spans="1:4" x14ac:dyDescent="0.25">
      <c r="A23" t="s">
        <v>239</v>
      </c>
      <c r="B23" s="365" t="s">
        <v>210</v>
      </c>
      <c r="C23" t="s">
        <v>240</v>
      </c>
    </row>
    <row r="24" spans="1:4" x14ac:dyDescent="0.25">
      <c r="A24" t="s">
        <v>241</v>
      </c>
      <c r="B24" s="365" t="s">
        <v>228</v>
      </c>
      <c r="C24" t="s">
        <v>242</v>
      </c>
    </row>
    <row r="25" spans="1:4" x14ac:dyDescent="0.25">
      <c r="A25" t="s">
        <v>243</v>
      </c>
      <c r="B25" s="365" t="s">
        <v>205</v>
      </c>
      <c r="C25" t="s">
        <v>244</v>
      </c>
    </row>
    <row r="26" spans="1:4" x14ac:dyDescent="0.25">
      <c r="A26" t="s">
        <v>245</v>
      </c>
      <c r="B26" s="365" t="s">
        <v>231</v>
      </c>
      <c r="C26" t="s">
        <v>246</v>
      </c>
    </row>
    <row r="27" spans="1:4" x14ac:dyDescent="0.25">
      <c r="A27" t="s">
        <v>248</v>
      </c>
      <c r="B27" s="365" t="s">
        <v>231</v>
      </c>
      <c r="C27" t="s">
        <v>249</v>
      </c>
    </row>
    <row r="28" spans="1:4" x14ac:dyDescent="0.25">
      <c r="A28" t="s">
        <v>250</v>
      </c>
      <c r="B28" s="365" t="s">
        <v>210</v>
      </c>
      <c r="C28" t="s">
        <v>251</v>
      </c>
    </row>
    <row r="29" spans="1:4" x14ac:dyDescent="0.25">
      <c r="A29" t="s">
        <v>252</v>
      </c>
      <c r="C29" t="s">
        <v>253</v>
      </c>
      <c r="D29" t="s">
        <v>1157</v>
      </c>
    </row>
    <row r="30" spans="1:4" x14ac:dyDescent="0.25">
      <c r="A30" t="s">
        <v>254</v>
      </c>
      <c r="B30" s="365" t="s">
        <v>210</v>
      </c>
      <c r="C30" t="s">
        <v>255</v>
      </c>
      <c r="D30" t="s">
        <v>819</v>
      </c>
    </row>
    <row r="31" spans="1:4" x14ac:dyDescent="0.25">
      <c r="A31" t="s">
        <v>256</v>
      </c>
      <c r="B31" s="365" t="s">
        <v>228</v>
      </c>
      <c r="C31" t="s">
        <v>257</v>
      </c>
    </row>
    <row r="32" spans="1:4" x14ac:dyDescent="0.25">
      <c r="A32" t="s">
        <v>258</v>
      </c>
      <c r="B32" s="365" t="s">
        <v>194</v>
      </c>
      <c r="C32" t="s">
        <v>259</v>
      </c>
    </row>
    <row r="33" spans="1:3" x14ac:dyDescent="0.25">
      <c r="A33" t="s">
        <v>260</v>
      </c>
      <c r="B33" s="365" t="s">
        <v>189</v>
      </c>
      <c r="C33" t="s">
        <v>261</v>
      </c>
    </row>
    <row r="34" spans="1:3" x14ac:dyDescent="0.25">
      <c r="A34" t="s">
        <v>262</v>
      </c>
      <c r="B34" s="365" t="s">
        <v>189</v>
      </c>
      <c r="C34" t="s">
        <v>263</v>
      </c>
    </row>
    <row r="35" spans="1:3" x14ac:dyDescent="0.25">
      <c r="A35" t="s">
        <v>264</v>
      </c>
      <c r="B35" s="365" t="s">
        <v>194</v>
      </c>
      <c r="C35" t="s">
        <v>265</v>
      </c>
    </row>
    <row r="36" spans="1:3" x14ac:dyDescent="0.25">
      <c r="A36" t="s">
        <v>266</v>
      </c>
      <c r="B36" s="365" t="s">
        <v>194</v>
      </c>
      <c r="C36" t="s">
        <v>267</v>
      </c>
    </row>
    <row r="37" spans="1:3" x14ac:dyDescent="0.25">
      <c r="A37" t="s">
        <v>268</v>
      </c>
      <c r="B37" s="365" t="s">
        <v>228</v>
      </c>
      <c r="C37" t="s">
        <v>269</v>
      </c>
    </row>
    <row r="38" spans="1:3" x14ac:dyDescent="0.25">
      <c r="A38" t="s">
        <v>270</v>
      </c>
      <c r="B38" s="365" t="s">
        <v>202</v>
      </c>
      <c r="C38" t="s">
        <v>271</v>
      </c>
    </row>
    <row r="39" spans="1:3" x14ac:dyDescent="0.25">
      <c r="A39" t="s">
        <v>272</v>
      </c>
      <c r="B39" s="365" t="s">
        <v>221</v>
      </c>
      <c r="C39" t="s">
        <v>273</v>
      </c>
    </row>
    <row r="40" spans="1:3" x14ac:dyDescent="0.25">
      <c r="A40" t="s">
        <v>274</v>
      </c>
      <c r="B40" s="365" t="s">
        <v>205</v>
      </c>
      <c r="C40" t="s">
        <v>275</v>
      </c>
    </row>
    <row r="41" spans="1:3" x14ac:dyDescent="0.25">
      <c r="A41" t="s">
        <v>276</v>
      </c>
      <c r="B41" s="365" t="s">
        <v>194</v>
      </c>
      <c r="C41" t="s">
        <v>277</v>
      </c>
    </row>
    <row r="42" spans="1:3" x14ac:dyDescent="0.25">
      <c r="A42" t="s">
        <v>278</v>
      </c>
      <c r="B42" s="365" t="s">
        <v>202</v>
      </c>
      <c r="C42" t="s">
        <v>279</v>
      </c>
    </row>
    <row r="43" spans="1:3" x14ac:dyDescent="0.25">
      <c r="A43" t="s">
        <v>280</v>
      </c>
      <c r="B43" s="365" t="s">
        <v>194</v>
      </c>
      <c r="C43" t="s">
        <v>281</v>
      </c>
    </row>
    <row r="44" spans="1:3" x14ac:dyDescent="0.25">
      <c r="A44" t="s">
        <v>282</v>
      </c>
      <c r="B44" s="365" t="s">
        <v>194</v>
      </c>
      <c r="C44" t="s">
        <v>283</v>
      </c>
    </row>
    <row r="45" spans="1:3" x14ac:dyDescent="0.25">
      <c r="A45" t="s">
        <v>284</v>
      </c>
      <c r="B45" s="365" t="s">
        <v>202</v>
      </c>
      <c r="C45" t="s">
        <v>285</v>
      </c>
    </row>
    <row r="46" spans="1:3" x14ac:dyDescent="0.25">
      <c r="A46" t="s">
        <v>286</v>
      </c>
      <c r="B46" s="365" t="s">
        <v>194</v>
      </c>
      <c r="C46" t="s">
        <v>287</v>
      </c>
    </row>
    <row r="47" spans="1:3" x14ac:dyDescent="0.25">
      <c r="A47" t="s">
        <v>288</v>
      </c>
      <c r="B47" s="365" t="s">
        <v>197</v>
      </c>
      <c r="C47" t="s">
        <v>289</v>
      </c>
    </row>
    <row r="48" spans="1:3" x14ac:dyDescent="0.25">
      <c r="A48" t="s">
        <v>290</v>
      </c>
      <c r="B48" s="365" t="s">
        <v>197</v>
      </c>
      <c r="C48" t="s">
        <v>291</v>
      </c>
    </row>
    <row r="49" spans="1:4" x14ac:dyDescent="0.25">
      <c r="A49" t="s">
        <v>292</v>
      </c>
      <c r="B49" s="365" t="s">
        <v>189</v>
      </c>
      <c r="C49" t="s">
        <v>293</v>
      </c>
    </row>
    <row r="50" spans="1:4" x14ac:dyDescent="0.25">
      <c r="A50" t="s">
        <v>294</v>
      </c>
      <c r="B50" s="365" t="s">
        <v>231</v>
      </c>
      <c r="C50" t="s">
        <v>295</v>
      </c>
    </row>
    <row r="51" spans="1:4" x14ac:dyDescent="0.25">
      <c r="A51" t="s">
        <v>296</v>
      </c>
      <c r="B51" s="365" t="s">
        <v>197</v>
      </c>
      <c r="C51" t="s">
        <v>297</v>
      </c>
    </row>
    <row r="52" spans="1:4" x14ac:dyDescent="0.25">
      <c r="A52" t="s">
        <v>298</v>
      </c>
      <c r="B52" s="365" t="s">
        <v>228</v>
      </c>
      <c r="C52" t="s">
        <v>299</v>
      </c>
    </row>
    <row r="53" spans="1:4" x14ac:dyDescent="0.25">
      <c r="A53" t="s">
        <v>300</v>
      </c>
      <c r="B53" s="365" t="s">
        <v>194</v>
      </c>
      <c r="C53" t="s">
        <v>301</v>
      </c>
    </row>
    <row r="54" spans="1:4" x14ac:dyDescent="0.25">
      <c r="A54" t="s">
        <v>302</v>
      </c>
      <c r="B54" s="365" t="s">
        <v>194</v>
      </c>
      <c r="C54" t="s">
        <v>303</v>
      </c>
    </row>
    <row r="55" spans="1:4" x14ac:dyDescent="0.25">
      <c r="A55" t="s">
        <v>304</v>
      </c>
      <c r="B55" s="365" t="s">
        <v>194</v>
      </c>
      <c r="C55" t="s">
        <v>305</v>
      </c>
    </row>
    <row r="56" spans="1:4" x14ac:dyDescent="0.25">
      <c r="A56" t="s">
        <v>306</v>
      </c>
      <c r="B56" s="365" t="s">
        <v>221</v>
      </c>
      <c r="C56" t="s">
        <v>307</v>
      </c>
    </row>
    <row r="57" spans="1:4" x14ac:dyDescent="0.25">
      <c r="A57" t="s">
        <v>308</v>
      </c>
      <c r="B57" s="365" t="s">
        <v>197</v>
      </c>
      <c r="C57" t="s">
        <v>309</v>
      </c>
    </row>
    <row r="58" spans="1:4" x14ac:dyDescent="0.25">
      <c r="A58" t="s">
        <v>310</v>
      </c>
      <c r="B58" s="365" t="s">
        <v>194</v>
      </c>
      <c r="C58" t="s">
        <v>311</v>
      </c>
    </row>
    <row r="59" spans="1:4" x14ac:dyDescent="0.25">
      <c r="A59" t="s">
        <v>312</v>
      </c>
      <c r="B59" s="365" t="s">
        <v>202</v>
      </c>
      <c r="C59" t="s">
        <v>313</v>
      </c>
      <c r="D59" t="s">
        <v>819</v>
      </c>
    </row>
    <row r="60" spans="1:4" x14ac:dyDescent="0.25">
      <c r="A60" t="s">
        <v>314</v>
      </c>
      <c r="B60" s="365" t="s">
        <v>194</v>
      </c>
      <c r="C60" t="s">
        <v>315</v>
      </c>
    </row>
    <row r="61" spans="1:4" x14ac:dyDescent="0.25">
      <c r="A61" t="s">
        <v>316</v>
      </c>
      <c r="B61" s="365" t="s">
        <v>205</v>
      </c>
      <c r="C61" t="s">
        <v>317</v>
      </c>
    </row>
    <row r="62" spans="1:4" x14ac:dyDescent="0.25">
      <c r="A62" t="s">
        <v>318</v>
      </c>
      <c r="B62" s="365" t="s">
        <v>202</v>
      </c>
      <c r="C62" t="s">
        <v>319</v>
      </c>
      <c r="D62" t="s">
        <v>819</v>
      </c>
    </row>
    <row r="63" spans="1:4" x14ac:dyDescent="0.25">
      <c r="A63" t="s">
        <v>320</v>
      </c>
      <c r="B63" s="365" t="s">
        <v>194</v>
      </c>
      <c r="C63" t="s">
        <v>321</v>
      </c>
    </row>
    <row r="64" spans="1:4" x14ac:dyDescent="0.25">
      <c r="A64" t="s">
        <v>322</v>
      </c>
      <c r="B64" s="365" t="s">
        <v>221</v>
      </c>
      <c r="C64" t="s">
        <v>323</v>
      </c>
    </row>
    <row r="65" spans="1:3" x14ac:dyDescent="0.25">
      <c r="A65" t="s">
        <v>324</v>
      </c>
      <c r="B65" s="365" t="s">
        <v>231</v>
      </c>
      <c r="C65" t="s">
        <v>325</v>
      </c>
    </row>
    <row r="66" spans="1:3" x14ac:dyDescent="0.25">
      <c r="A66" t="s">
        <v>326</v>
      </c>
      <c r="B66" s="365" t="s">
        <v>221</v>
      </c>
      <c r="C66" t="s">
        <v>327</v>
      </c>
    </row>
    <row r="67" spans="1:3" x14ac:dyDescent="0.25">
      <c r="A67" t="s">
        <v>328</v>
      </c>
      <c r="B67" s="365" t="s">
        <v>205</v>
      </c>
      <c r="C67" t="s">
        <v>329</v>
      </c>
    </row>
    <row r="68" spans="1:3" x14ac:dyDescent="0.25">
      <c r="A68" t="s">
        <v>330</v>
      </c>
      <c r="B68" s="365" t="s">
        <v>197</v>
      </c>
      <c r="C68" t="s">
        <v>331</v>
      </c>
    </row>
    <row r="69" spans="1:3" x14ac:dyDescent="0.25">
      <c r="A69" t="s">
        <v>332</v>
      </c>
      <c r="B69" s="365" t="s">
        <v>221</v>
      </c>
      <c r="C69" t="s">
        <v>333</v>
      </c>
    </row>
    <row r="70" spans="1:3" x14ac:dyDescent="0.25">
      <c r="A70" t="s">
        <v>334</v>
      </c>
      <c r="B70" s="365" t="s">
        <v>189</v>
      </c>
      <c r="C70" t="s">
        <v>335</v>
      </c>
    </row>
    <row r="71" spans="1:3" x14ac:dyDescent="0.25">
      <c r="A71" t="s">
        <v>336</v>
      </c>
      <c r="B71" s="365" t="s">
        <v>194</v>
      </c>
      <c r="C71" t="s">
        <v>337</v>
      </c>
    </row>
    <row r="72" spans="1:3" x14ac:dyDescent="0.25">
      <c r="A72" t="s">
        <v>338</v>
      </c>
      <c r="B72" s="365" t="s">
        <v>231</v>
      </c>
      <c r="C72" t="s">
        <v>339</v>
      </c>
    </row>
    <row r="73" spans="1:3" x14ac:dyDescent="0.25">
      <c r="A73" t="s">
        <v>340</v>
      </c>
      <c r="B73" s="365" t="s">
        <v>205</v>
      </c>
      <c r="C73" t="s">
        <v>341</v>
      </c>
    </row>
    <row r="74" spans="1:3" x14ac:dyDescent="0.25">
      <c r="A74" t="s">
        <v>342</v>
      </c>
      <c r="B74" s="365" t="s">
        <v>231</v>
      </c>
      <c r="C74" t="s">
        <v>343</v>
      </c>
    </row>
    <row r="75" spans="1:3" x14ac:dyDescent="0.25">
      <c r="A75" s="363" t="s">
        <v>818</v>
      </c>
      <c r="B75" s="365" t="s">
        <v>210</v>
      </c>
      <c r="C75" t="s">
        <v>1159</v>
      </c>
    </row>
    <row r="76" spans="1:3" x14ac:dyDescent="0.25">
      <c r="A76" t="s">
        <v>344</v>
      </c>
      <c r="B76" s="365" t="s">
        <v>189</v>
      </c>
      <c r="C76" t="s">
        <v>345</v>
      </c>
    </row>
    <row r="77" spans="1:3" x14ac:dyDescent="0.25">
      <c r="A77" t="s">
        <v>346</v>
      </c>
      <c r="B77" s="365" t="s">
        <v>197</v>
      </c>
      <c r="C77" t="s">
        <v>347</v>
      </c>
    </row>
    <row r="78" spans="1:3" x14ac:dyDescent="0.25">
      <c r="A78" t="s">
        <v>348</v>
      </c>
      <c r="B78" s="365" t="s">
        <v>210</v>
      </c>
      <c r="C78" t="s">
        <v>349</v>
      </c>
    </row>
    <row r="79" spans="1:3" x14ac:dyDescent="0.25">
      <c r="A79" t="s">
        <v>350</v>
      </c>
      <c r="B79" s="365" t="s">
        <v>194</v>
      </c>
      <c r="C79" t="s">
        <v>351</v>
      </c>
    </row>
    <row r="80" spans="1:3" x14ac:dyDescent="0.25">
      <c r="A80" t="s">
        <v>352</v>
      </c>
      <c r="B80" s="365" t="s">
        <v>205</v>
      </c>
      <c r="C80" t="s">
        <v>353</v>
      </c>
    </row>
    <row r="81" spans="1:4" x14ac:dyDescent="0.25">
      <c r="A81" t="s">
        <v>354</v>
      </c>
      <c r="B81" s="365" t="s">
        <v>197</v>
      </c>
      <c r="C81" t="s">
        <v>355</v>
      </c>
    </row>
    <row r="82" spans="1:4" x14ac:dyDescent="0.25">
      <c r="A82" t="s">
        <v>356</v>
      </c>
      <c r="B82" s="365" t="s">
        <v>205</v>
      </c>
      <c r="C82" t="s">
        <v>357</v>
      </c>
    </row>
    <row r="83" spans="1:4" x14ac:dyDescent="0.25">
      <c r="A83" t="s">
        <v>358</v>
      </c>
      <c r="B83" s="365" t="s">
        <v>202</v>
      </c>
      <c r="C83" t="s">
        <v>359</v>
      </c>
    </row>
    <row r="84" spans="1:4" x14ac:dyDescent="0.25">
      <c r="A84" t="s">
        <v>360</v>
      </c>
      <c r="B84" s="365" t="s">
        <v>205</v>
      </c>
      <c r="C84" t="s">
        <v>361</v>
      </c>
    </row>
    <row r="85" spans="1:4" x14ac:dyDescent="0.25">
      <c r="A85" t="s">
        <v>362</v>
      </c>
      <c r="B85" s="365" t="s">
        <v>194</v>
      </c>
      <c r="C85" t="s">
        <v>363</v>
      </c>
    </row>
    <row r="86" spans="1:4" x14ac:dyDescent="0.25">
      <c r="A86" t="s">
        <v>364</v>
      </c>
      <c r="B86" s="365" t="s">
        <v>194</v>
      </c>
      <c r="C86" t="s">
        <v>365</v>
      </c>
    </row>
    <row r="87" spans="1:4" x14ac:dyDescent="0.25">
      <c r="A87" t="s">
        <v>366</v>
      </c>
      <c r="B87" s="365" t="s">
        <v>210</v>
      </c>
      <c r="C87" t="s">
        <v>367</v>
      </c>
      <c r="D87" t="s">
        <v>819</v>
      </c>
    </row>
    <row r="88" spans="1:4" x14ac:dyDescent="0.25">
      <c r="A88" t="s">
        <v>368</v>
      </c>
      <c r="B88" s="365" t="s">
        <v>221</v>
      </c>
      <c r="C88" t="s">
        <v>369</v>
      </c>
      <c r="D88" t="s">
        <v>819</v>
      </c>
    </row>
    <row r="89" spans="1:4" x14ac:dyDescent="0.25">
      <c r="A89" t="s">
        <v>370</v>
      </c>
      <c r="B89" s="365" t="s">
        <v>231</v>
      </c>
      <c r="C89" t="s">
        <v>371</v>
      </c>
    </row>
    <row r="90" spans="1:4" x14ac:dyDescent="0.25">
      <c r="A90" t="s">
        <v>372</v>
      </c>
      <c r="B90" s="365" t="s">
        <v>221</v>
      </c>
      <c r="C90" t="s">
        <v>373</v>
      </c>
    </row>
    <row r="91" spans="1:4" x14ac:dyDescent="0.25">
      <c r="A91" t="s">
        <v>374</v>
      </c>
      <c r="B91" s="365" t="s">
        <v>221</v>
      </c>
      <c r="C91" t="s">
        <v>375</v>
      </c>
    </row>
    <row r="92" spans="1:4" x14ac:dyDescent="0.25">
      <c r="A92" t="s">
        <v>376</v>
      </c>
      <c r="B92" s="365" t="s">
        <v>197</v>
      </c>
      <c r="C92" t="s">
        <v>377</v>
      </c>
    </row>
    <row r="93" spans="1:4" x14ac:dyDescent="0.25">
      <c r="A93" t="s">
        <v>378</v>
      </c>
      <c r="B93" s="365" t="s">
        <v>189</v>
      </c>
      <c r="C93" t="s">
        <v>379</v>
      </c>
    </row>
    <row r="94" spans="1:4" x14ac:dyDescent="0.25">
      <c r="A94" t="s">
        <v>380</v>
      </c>
      <c r="B94" s="365" t="s">
        <v>194</v>
      </c>
      <c r="C94" t="s">
        <v>381</v>
      </c>
    </row>
    <row r="95" spans="1:4" x14ac:dyDescent="0.25">
      <c r="A95" t="s">
        <v>384</v>
      </c>
      <c r="B95" s="365" t="s">
        <v>210</v>
      </c>
      <c r="C95" t="s">
        <v>385</v>
      </c>
      <c r="D95" t="s">
        <v>819</v>
      </c>
    </row>
    <row r="96" spans="1:4" x14ac:dyDescent="0.25">
      <c r="A96" t="s">
        <v>386</v>
      </c>
      <c r="B96" s="365" t="s">
        <v>189</v>
      </c>
      <c r="C96" t="s">
        <v>387</v>
      </c>
    </row>
    <row r="97" spans="1:4" x14ac:dyDescent="0.25">
      <c r="A97" t="s">
        <v>388</v>
      </c>
      <c r="B97" s="365" t="s">
        <v>194</v>
      </c>
      <c r="C97" t="s">
        <v>389</v>
      </c>
    </row>
    <row r="98" spans="1:4" x14ac:dyDescent="0.25">
      <c r="A98" t="s">
        <v>390</v>
      </c>
      <c r="B98" s="365" t="s">
        <v>221</v>
      </c>
      <c r="C98" t="s">
        <v>391</v>
      </c>
    </row>
    <row r="99" spans="1:4" x14ac:dyDescent="0.25">
      <c r="A99" t="s">
        <v>392</v>
      </c>
      <c r="B99" s="365" t="s">
        <v>205</v>
      </c>
      <c r="C99" t="s">
        <v>393</v>
      </c>
    </row>
    <row r="100" spans="1:4" x14ac:dyDescent="0.25">
      <c r="A100" t="s">
        <v>394</v>
      </c>
      <c r="B100" s="365" t="s">
        <v>210</v>
      </c>
      <c r="C100" t="s">
        <v>395</v>
      </c>
    </row>
    <row r="101" spans="1:4" x14ac:dyDescent="0.25">
      <c r="A101" t="s">
        <v>396</v>
      </c>
      <c r="B101" s="365" t="s">
        <v>189</v>
      </c>
      <c r="C101" t="s">
        <v>397</v>
      </c>
    </row>
    <row r="102" spans="1:4" x14ac:dyDescent="0.25">
      <c r="A102" t="s">
        <v>398</v>
      </c>
      <c r="B102" s="365" t="s">
        <v>189</v>
      </c>
      <c r="C102" t="s">
        <v>399</v>
      </c>
    </row>
    <row r="103" spans="1:4" x14ac:dyDescent="0.25">
      <c r="A103" s="363" t="s">
        <v>1465</v>
      </c>
      <c r="C103" t="s">
        <v>1487</v>
      </c>
      <c r="D103" t="s">
        <v>1157</v>
      </c>
    </row>
    <row r="104" spans="1:4" x14ac:dyDescent="0.25">
      <c r="A104" t="s">
        <v>1161</v>
      </c>
      <c r="C104" t="s">
        <v>1162</v>
      </c>
      <c r="D104" t="s">
        <v>1157</v>
      </c>
    </row>
    <row r="105" spans="1:4" x14ac:dyDescent="0.25">
      <c r="A105" t="s">
        <v>400</v>
      </c>
      <c r="C105" t="s">
        <v>1163</v>
      </c>
      <c r="D105" t="s">
        <v>1157</v>
      </c>
    </row>
    <row r="106" spans="1:4" x14ac:dyDescent="0.25">
      <c r="A106" t="s">
        <v>401</v>
      </c>
      <c r="C106" t="s">
        <v>1164</v>
      </c>
      <c r="D106" t="s">
        <v>1157</v>
      </c>
    </row>
    <row r="107" spans="1:4" x14ac:dyDescent="0.25">
      <c r="A107" t="s">
        <v>403</v>
      </c>
      <c r="B107" s="365" t="s">
        <v>194</v>
      </c>
      <c r="C107" t="s">
        <v>404</v>
      </c>
    </row>
    <row r="108" spans="1:4" x14ac:dyDescent="0.25">
      <c r="A108" t="s">
        <v>405</v>
      </c>
      <c r="B108" s="365" t="s">
        <v>197</v>
      </c>
      <c r="C108" t="s">
        <v>406</v>
      </c>
    </row>
    <row r="109" spans="1:4" x14ac:dyDescent="0.25">
      <c r="A109" t="s">
        <v>407</v>
      </c>
      <c r="B109" s="365" t="s">
        <v>205</v>
      </c>
      <c r="C109" t="s">
        <v>408</v>
      </c>
    </row>
    <row r="110" spans="1:4" x14ac:dyDescent="0.25">
      <c r="A110" t="s">
        <v>409</v>
      </c>
      <c r="B110" s="365" t="s">
        <v>202</v>
      </c>
      <c r="C110" t="s">
        <v>410</v>
      </c>
      <c r="D110" t="s">
        <v>819</v>
      </c>
    </row>
    <row r="111" spans="1:4" x14ac:dyDescent="0.25">
      <c r="A111" t="s">
        <v>411</v>
      </c>
      <c r="B111" s="365" t="s">
        <v>210</v>
      </c>
      <c r="C111" t="s">
        <v>412</v>
      </c>
      <c r="D111" t="s">
        <v>819</v>
      </c>
    </row>
    <row r="112" spans="1:4" x14ac:dyDescent="0.25">
      <c r="A112" t="s">
        <v>413</v>
      </c>
      <c r="B112" s="365" t="s">
        <v>194</v>
      </c>
      <c r="C112" t="s">
        <v>414</v>
      </c>
    </row>
    <row r="113" spans="1:4" x14ac:dyDescent="0.25">
      <c r="A113" t="s">
        <v>415</v>
      </c>
      <c r="B113" s="365" t="s">
        <v>210</v>
      </c>
      <c r="C113" t="s">
        <v>416</v>
      </c>
    </row>
    <row r="114" spans="1:4" x14ac:dyDescent="0.25">
      <c r="A114" t="s">
        <v>417</v>
      </c>
      <c r="B114" s="365" t="s">
        <v>202</v>
      </c>
      <c r="C114" t="s">
        <v>418</v>
      </c>
    </row>
    <row r="115" spans="1:4" x14ac:dyDescent="0.25">
      <c r="A115" t="s">
        <v>419</v>
      </c>
      <c r="B115" s="365" t="s">
        <v>205</v>
      </c>
      <c r="C115" t="s">
        <v>420</v>
      </c>
    </row>
    <row r="116" spans="1:4" x14ac:dyDescent="0.25">
      <c r="A116" t="s">
        <v>421</v>
      </c>
      <c r="B116" s="365" t="s">
        <v>194</v>
      </c>
      <c r="C116" t="s">
        <v>422</v>
      </c>
    </row>
    <row r="117" spans="1:4" x14ac:dyDescent="0.25">
      <c r="A117" t="s">
        <v>423</v>
      </c>
      <c r="B117" s="365" t="s">
        <v>202</v>
      </c>
      <c r="C117" t="s">
        <v>424</v>
      </c>
    </row>
    <row r="118" spans="1:4" x14ac:dyDescent="0.25">
      <c r="A118" t="s">
        <v>425</v>
      </c>
      <c r="B118" s="365" t="s">
        <v>221</v>
      </c>
      <c r="C118" t="s">
        <v>426</v>
      </c>
    </row>
    <row r="119" spans="1:4" x14ac:dyDescent="0.25">
      <c r="A119" t="s">
        <v>427</v>
      </c>
      <c r="B119" s="365">
        <v>112</v>
      </c>
      <c r="C119" t="s">
        <v>428</v>
      </c>
      <c r="D119" t="s">
        <v>819</v>
      </c>
    </row>
    <row r="120" spans="1:4" x14ac:dyDescent="0.25">
      <c r="A120" t="s">
        <v>429</v>
      </c>
      <c r="B120" s="365" t="s">
        <v>210</v>
      </c>
      <c r="C120" t="s">
        <v>430</v>
      </c>
    </row>
    <row r="121" spans="1:4" x14ac:dyDescent="0.25">
      <c r="A121" t="s">
        <v>431</v>
      </c>
      <c r="B121" s="365" t="s">
        <v>197</v>
      </c>
      <c r="C121" t="s">
        <v>432</v>
      </c>
    </row>
    <row r="122" spans="1:4" x14ac:dyDescent="0.25">
      <c r="A122" t="s">
        <v>433</v>
      </c>
      <c r="B122" s="365" t="s">
        <v>194</v>
      </c>
      <c r="C122" t="s">
        <v>434</v>
      </c>
    </row>
    <row r="123" spans="1:4" x14ac:dyDescent="0.25">
      <c r="A123" t="s">
        <v>435</v>
      </c>
      <c r="B123" s="365" t="s">
        <v>231</v>
      </c>
      <c r="C123" t="s">
        <v>436</v>
      </c>
    </row>
    <row r="124" spans="1:4" x14ac:dyDescent="0.25">
      <c r="A124" t="s">
        <v>437</v>
      </c>
      <c r="B124" s="365" t="s">
        <v>189</v>
      </c>
      <c r="C124" t="s">
        <v>438</v>
      </c>
      <c r="D124" t="s">
        <v>819</v>
      </c>
    </row>
    <row r="125" spans="1:4" x14ac:dyDescent="0.25">
      <c r="A125" t="s">
        <v>439</v>
      </c>
      <c r="B125" s="365" t="s">
        <v>197</v>
      </c>
      <c r="C125" t="s">
        <v>440</v>
      </c>
    </row>
    <row r="126" spans="1:4" x14ac:dyDescent="0.25">
      <c r="A126" t="s">
        <v>441</v>
      </c>
      <c r="B126" s="365" t="s">
        <v>205</v>
      </c>
      <c r="C126" t="s">
        <v>442</v>
      </c>
    </row>
    <row r="127" spans="1:4" x14ac:dyDescent="0.25">
      <c r="A127" t="s">
        <v>443</v>
      </c>
      <c r="B127" s="365" t="s">
        <v>197</v>
      </c>
      <c r="C127" t="s">
        <v>444</v>
      </c>
    </row>
    <row r="128" spans="1:4" x14ac:dyDescent="0.25">
      <c r="A128" t="s">
        <v>445</v>
      </c>
      <c r="B128" s="365" t="s">
        <v>194</v>
      </c>
      <c r="C128" t="s">
        <v>446</v>
      </c>
    </row>
    <row r="129" spans="1:4" x14ac:dyDescent="0.25">
      <c r="A129" t="s">
        <v>447</v>
      </c>
      <c r="B129" s="365" t="s">
        <v>194</v>
      </c>
      <c r="C129" t="s">
        <v>448</v>
      </c>
    </row>
    <row r="130" spans="1:4" x14ac:dyDescent="0.25">
      <c r="A130" t="s">
        <v>449</v>
      </c>
      <c r="B130" s="365" t="s">
        <v>194</v>
      </c>
      <c r="C130" t="s">
        <v>450</v>
      </c>
    </row>
    <row r="131" spans="1:4" x14ac:dyDescent="0.25">
      <c r="A131" t="s">
        <v>451</v>
      </c>
      <c r="B131" s="365" t="s">
        <v>210</v>
      </c>
      <c r="C131" t="s">
        <v>452</v>
      </c>
    </row>
    <row r="132" spans="1:4" x14ac:dyDescent="0.25">
      <c r="A132" t="s">
        <v>453</v>
      </c>
      <c r="B132" s="365" t="s">
        <v>194</v>
      </c>
      <c r="C132" t="s">
        <v>454</v>
      </c>
    </row>
    <row r="133" spans="1:4" x14ac:dyDescent="0.25">
      <c r="A133" t="s">
        <v>455</v>
      </c>
      <c r="B133" s="365" t="s">
        <v>197</v>
      </c>
      <c r="C133" t="s">
        <v>456</v>
      </c>
    </row>
    <row r="134" spans="1:4" x14ac:dyDescent="0.25">
      <c r="A134" t="s">
        <v>457</v>
      </c>
      <c r="C134" t="s">
        <v>1172</v>
      </c>
      <c r="D134" t="s">
        <v>1157</v>
      </c>
    </row>
    <row r="135" spans="1:4" x14ac:dyDescent="0.25">
      <c r="A135" t="s">
        <v>458</v>
      </c>
      <c r="B135" s="365">
        <v>112</v>
      </c>
      <c r="C135" t="s">
        <v>459</v>
      </c>
      <c r="D135" t="s">
        <v>819</v>
      </c>
    </row>
    <row r="136" spans="1:4" x14ac:dyDescent="0.25">
      <c r="A136" t="s">
        <v>460</v>
      </c>
      <c r="B136" s="365" t="s">
        <v>197</v>
      </c>
      <c r="C136" t="s">
        <v>461</v>
      </c>
    </row>
    <row r="137" spans="1:4" x14ac:dyDescent="0.25">
      <c r="A137" t="s">
        <v>462</v>
      </c>
      <c r="B137" s="365" t="s">
        <v>221</v>
      </c>
      <c r="C137" t="s">
        <v>463</v>
      </c>
    </row>
    <row r="138" spans="1:4" x14ac:dyDescent="0.25">
      <c r="A138" t="s">
        <v>464</v>
      </c>
      <c r="B138" s="365" t="s">
        <v>231</v>
      </c>
      <c r="C138" t="s">
        <v>465</v>
      </c>
    </row>
    <row r="139" spans="1:4" x14ac:dyDescent="0.25">
      <c r="A139" t="s">
        <v>466</v>
      </c>
      <c r="B139" s="365" t="s">
        <v>231</v>
      </c>
      <c r="C139" t="s">
        <v>467</v>
      </c>
    </row>
    <row r="140" spans="1:4" x14ac:dyDescent="0.25">
      <c r="A140" t="s">
        <v>468</v>
      </c>
      <c r="B140" s="365" t="s">
        <v>189</v>
      </c>
      <c r="C140" t="s">
        <v>469</v>
      </c>
    </row>
    <row r="141" spans="1:4" x14ac:dyDescent="0.25">
      <c r="A141" t="s">
        <v>470</v>
      </c>
      <c r="B141" s="365" t="s">
        <v>194</v>
      </c>
      <c r="C141" t="s">
        <v>471</v>
      </c>
    </row>
    <row r="142" spans="1:4" x14ac:dyDescent="0.25">
      <c r="A142" t="s">
        <v>472</v>
      </c>
      <c r="B142" s="365" t="s">
        <v>197</v>
      </c>
      <c r="C142" t="s">
        <v>473</v>
      </c>
    </row>
    <row r="143" spans="1:4" x14ac:dyDescent="0.25">
      <c r="A143" t="s">
        <v>474</v>
      </c>
      <c r="B143" s="365" t="s">
        <v>189</v>
      </c>
      <c r="C143" t="s">
        <v>475</v>
      </c>
    </row>
    <row r="144" spans="1:4" x14ac:dyDescent="0.25">
      <c r="A144" t="s">
        <v>476</v>
      </c>
      <c r="B144" s="365" t="s">
        <v>194</v>
      </c>
      <c r="C144" t="s">
        <v>477</v>
      </c>
    </row>
    <row r="145" spans="1:4" x14ac:dyDescent="0.25">
      <c r="A145" t="s">
        <v>478</v>
      </c>
      <c r="B145" s="365" t="s">
        <v>194</v>
      </c>
      <c r="C145" t="s">
        <v>479</v>
      </c>
    </row>
    <row r="146" spans="1:4" x14ac:dyDescent="0.25">
      <c r="A146" t="s">
        <v>480</v>
      </c>
      <c r="B146" s="365" t="s">
        <v>205</v>
      </c>
      <c r="C146" t="s">
        <v>481</v>
      </c>
    </row>
    <row r="147" spans="1:4" x14ac:dyDescent="0.25">
      <c r="A147" t="s">
        <v>482</v>
      </c>
      <c r="B147" s="365" t="s">
        <v>197</v>
      </c>
      <c r="C147" t="s">
        <v>483</v>
      </c>
    </row>
    <row r="148" spans="1:4" x14ac:dyDescent="0.25">
      <c r="A148" t="s">
        <v>484</v>
      </c>
      <c r="B148" s="365">
        <v>171</v>
      </c>
      <c r="C148" t="s">
        <v>485</v>
      </c>
      <c r="D148" t="s">
        <v>819</v>
      </c>
    </row>
    <row r="149" spans="1:4" x14ac:dyDescent="0.25">
      <c r="A149" t="s">
        <v>486</v>
      </c>
      <c r="B149" s="365">
        <v>112</v>
      </c>
      <c r="C149" t="s">
        <v>487</v>
      </c>
      <c r="D149" t="s">
        <v>819</v>
      </c>
    </row>
    <row r="150" spans="1:4" x14ac:dyDescent="0.25">
      <c r="A150" t="s">
        <v>488</v>
      </c>
      <c r="B150" s="365" t="s">
        <v>197</v>
      </c>
      <c r="C150" t="s">
        <v>489</v>
      </c>
    </row>
    <row r="151" spans="1:4" x14ac:dyDescent="0.25">
      <c r="A151" t="s">
        <v>490</v>
      </c>
      <c r="B151" s="365" t="s">
        <v>189</v>
      </c>
      <c r="C151" t="s">
        <v>491</v>
      </c>
    </row>
    <row r="152" spans="1:4" x14ac:dyDescent="0.25">
      <c r="A152" t="s">
        <v>492</v>
      </c>
      <c r="B152" s="365" t="s">
        <v>189</v>
      </c>
      <c r="C152" t="s">
        <v>493</v>
      </c>
    </row>
    <row r="153" spans="1:4" x14ac:dyDescent="0.25">
      <c r="A153" t="s">
        <v>494</v>
      </c>
      <c r="B153" s="365" t="s">
        <v>231</v>
      </c>
      <c r="C153" t="s">
        <v>495</v>
      </c>
    </row>
    <row r="154" spans="1:4" x14ac:dyDescent="0.25">
      <c r="A154" t="s">
        <v>496</v>
      </c>
      <c r="B154" s="365" t="s">
        <v>189</v>
      </c>
      <c r="C154" t="s">
        <v>497</v>
      </c>
    </row>
    <row r="155" spans="1:4" x14ac:dyDescent="0.25">
      <c r="A155" t="s">
        <v>498</v>
      </c>
      <c r="B155" s="365" t="s">
        <v>221</v>
      </c>
      <c r="C155" t="s">
        <v>499</v>
      </c>
    </row>
    <row r="156" spans="1:4" x14ac:dyDescent="0.25">
      <c r="A156" t="s">
        <v>500</v>
      </c>
      <c r="B156" s="365" t="s">
        <v>197</v>
      </c>
      <c r="C156" t="s">
        <v>501</v>
      </c>
    </row>
    <row r="157" spans="1:4" x14ac:dyDescent="0.25">
      <c r="A157" t="s">
        <v>502</v>
      </c>
      <c r="B157" s="365">
        <v>112</v>
      </c>
      <c r="C157" t="s">
        <v>503</v>
      </c>
      <c r="D157" t="s">
        <v>819</v>
      </c>
    </row>
    <row r="158" spans="1:4" x14ac:dyDescent="0.25">
      <c r="A158" t="s">
        <v>504</v>
      </c>
      <c r="B158" s="365" t="s">
        <v>197</v>
      </c>
      <c r="C158" t="s">
        <v>505</v>
      </c>
    </row>
    <row r="159" spans="1:4" x14ac:dyDescent="0.25">
      <c r="A159" t="s">
        <v>506</v>
      </c>
      <c r="B159" s="365" t="s">
        <v>197</v>
      </c>
      <c r="C159" t="s">
        <v>507</v>
      </c>
    </row>
    <row r="160" spans="1:4" x14ac:dyDescent="0.25">
      <c r="A160" t="s">
        <v>508</v>
      </c>
      <c r="B160" s="365" t="s">
        <v>221</v>
      </c>
      <c r="C160" t="s">
        <v>509</v>
      </c>
    </row>
    <row r="161" spans="1:4" x14ac:dyDescent="0.25">
      <c r="A161" t="s">
        <v>510</v>
      </c>
      <c r="B161" s="365" t="s">
        <v>189</v>
      </c>
      <c r="C161" t="s">
        <v>511</v>
      </c>
    </row>
    <row r="162" spans="1:4" x14ac:dyDescent="0.25">
      <c r="A162" t="s">
        <v>512</v>
      </c>
      <c r="B162" s="365">
        <v>112</v>
      </c>
      <c r="C162" t="s">
        <v>513</v>
      </c>
      <c r="D162" t="s">
        <v>819</v>
      </c>
    </row>
    <row r="163" spans="1:4" x14ac:dyDescent="0.25">
      <c r="A163" t="s">
        <v>514</v>
      </c>
      <c r="B163" s="365" t="s">
        <v>231</v>
      </c>
      <c r="C163" t="s">
        <v>515</v>
      </c>
    </row>
    <row r="164" spans="1:4" x14ac:dyDescent="0.25">
      <c r="A164" t="s">
        <v>516</v>
      </c>
      <c r="B164" s="365" t="s">
        <v>194</v>
      </c>
      <c r="C164" t="s">
        <v>517</v>
      </c>
    </row>
    <row r="165" spans="1:4" x14ac:dyDescent="0.25">
      <c r="A165" t="s">
        <v>518</v>
      </c>
      <c r="B165" s="365" t="s">
        <v>194</v>
      </c>
      <c r="C165" t="s">
        <v>519</v>
      </c>
    </row>
    <row r="166" spans="1:4" x14ac:dyDescent="0.25">
      <c r="A166" t="s">
        <v>520</v>
      </c>
      <c r="B166" s="365" t="s">
        <v>197</v>
      </c>
      <c r="C166" t="s">
        <v>521</v>
      </c>
    </row>
    <row r="167" spans="1:4" x14ac:dyDescent="0.25">
      <c r="A167" t="s">
        <v>522</v>
      </c>
      <c r="B167" s="365" t="s">
        <v>189</v>
      </c>
      <c r="C167" t="s">
        <v>523</v>
      </c>
    </row>
    <row r="168" spans="1:4" x14ac:dyDescent="0.25">
      <c r="A168" t="s">
        <v>524</v>
      </c>
      <c r="B168" s="365" t="s">
        <v>202</v>
      </c>
      <c r="C168" t="s">
        <v>525</v>
      </c>
    </row>
    <row r="169" spans="1:4" x14ac:dyDescent="0.25">
      <c r="A169" t="s">
        <v>526</v>
      </c>
      <c r="B169" s="365" t="s">
        <v>228</v>
      </c>
      <c r="C169" t="s">
        <v>527</v>
      </c>
    </row>
    <row r="170" spans="1:4" x14ac:dyDescent="0.25">
      <c r="A170" t="s">
        <v>528</v>
      </c>
      <c r="B170" s="365" t="s">
        <v>228</v>
      </c>
      <c r="C170" t="s">
        <v>529</v>
      </c>
    </row>
    <row r="171" spans="1:4" x14ac:dyDescent="0.25">
      <c r="A171" t="s">
        <v>530</v>
      </c>
      <c r="B171" s="365" t="s">
        <v>189</v>
      </c>
      <c r="C171" t="s">
        <v>531</v>
      </c>
    </row>
    <row r="172" spans="1:4" x14ac:dyDescent="0.25">
      <c r="A172" t="s">
        <v>532</v>
      </c>
      <c r="B172" s="365" t="s">
        <v>189</v>
      </c>
      <c r="C172" t="s">
        <v>533</v>
      </c>
    </row>
    <row r="173" spans="1:4" x14ac:dyDescent="0.25">
      <c r="A173" t="s">
        <v>534</v>
      </c>
      <c r="B173" s="365" t="s">
        <v>194</v>
      </c>
      <c r="C173" t="s">
        <v>535</v>
      </c>
    </row>
    <row r="174" spans="1:4" x14ac:dyDescent="0.25">
      <c r="A174" t="s">
        <v>536</v>
      </c>
      <c r="B174" s="365" t="s">
        <v>205</v>
      </c>
      <c r="C174" t="s">
        <v>537</v>
      </c>
    </row>
    <row r="175" spans="1:4" x14ac:dyDescent="0.25">
      <c r="A175" t="s">
        <v>538</v>
      </c>
      <c r="B175" s="365" t="s">
        <v>197</v>
      </c>
      <c r="C175" t="s">
        <v>539</v>
      </c>
    </row>
    <row r="176" spans="1:4" x14ac:dyDescent="0.25">
      <c r="A176" t="s">
        <v>540</v>
      </c>
      <c r="B176" s="365" t="s">
        <v>194</v>
      </c>
      <c r="C176" t="s">
        <v>541</v>
      </c>
    </row>
    <row r="177" spans="1:4" x14ac:dyDescent="0.25">
      <c r="A177" t="s">
        <v>542</v>
      </c>
      <c r="B177" s="365" t="s">
        <v>189</v>
      </c>
      <c r="C177" t="s">
        <v>543</v>
      </c>
    </row>
    <row r="178" spans="1:4" x14ac:dyDescent="0.25">
      <c r="A178" t="s">
        <v>544</v>
      </c>
      <c r="B178" s="365">
        <v>112</v>
      </c>
      <c r="C178" t="s">
        <v>545</v>
      </c>
      <c r="D178" t="s">
        <v>819</v>
      </c>
    </row>
    <row r="179" spans="1:4" x14ac:dyDescent="0.25">
      <c r="A179" t="s">
        <v>546</v>
      </c>
      <c r="B179" s="365" t="s">
        <v>189</v>
      </c>
      <c r="C179" t="s">
        <v>547</v>
      </c>
    </row>
    <row r="180" spans="1:4" x14ac:dyDescent="0.25">
      <c r="A180" t="s">
        <v>548</v>
      </c>
      <c r="B180" s="365" t="s">
        <v>194</v>
      </c>
      <c r="C180" t="s">
        <v>549</v>
      </c>
    </row>
    <row r="181" spans="1:4" x14ac:dyDescent="0.25">
      <c r="A181" t="s">
        <v>550</v>
      </c>
      <c r="B181" s="365" t="s">
        <v>231</v>
      </c>
      <c r="C181" t="s">
        <v>551</v>
      </c>
    </row>
    <row r="182" spans="1:4" x14ac:dyDescent="0.25">
      <c r="A182" t="s">
        <v>552</v>
      </c>
      <c r="B182" s="365" t="s">
        <v>189</v>
      </c>
      <c r="C182" t="s">
        <v>553</v>
      </c>
    </row>
    <row r="183" spans="1:4" x14ac:dyDescent="0.25">
      <c r="A183" t="s">
        <v>554</v>
      </c>
      <c r="B183" s="365" t="s">
        <v>231</v>
      </c>
      <c r="C183" t="s">
        <v>555</v>
      </c>
    </row>
    <row r="184" spans="1:4" x14ac:dyDescent="0.25">
      <c r="A184" t="s">
        <v>556</v>
      </c>
      <c r="B184" s="365" t="s">
        <v>189</v>
      </c>
      <c r="C184" t="s">
        <v>557</v>
      </c>
    </row>
    <row r="185" spans="1:4" x14ac:dyDescent="0.25">
      <c r="A185" t="s">
        <v>558</v>
      </c>
      <c r="B185" s="365" t="s">
        <v>194</v>
      </c>
      <c r="C185" t="s">
        <v>559</v>
      </c>
    </row>
    <row r="186" spans="1:4" x14ac:dyDescent="0.25">
      <c r="A186" t="s">
        <v>560</v>
      </c>
      <c r="B186" s="365" t="s">
        <v>197</v>
      </c>
      <c r="C186" t="s">
        <v>561</v>
      </c>
    </row>
    <row r="187" spans="1:4" x14ac:dyDescent="0.25">
      <c r="A187" t="s">
        <v>562</v>
      </c>
      <c r="B187" s="365" t="s">
        <v>194</v>
      </c>
      <c r="C187" t="s">
        <v>563</v>
      </c>
    </row>
    <row r="188" spans="1:4" x14ac:dyDescent="0.25">
      <c r="A188" t="s">
        <v>564</v>
      </c>
      <c r="B188" s="365" t="s">
        <v>194</v>
      </c>
      <c r="C188" t="s">
        <v>565</v>
      </c>
    </row>
    <row r="189" spans="1:4" x14ac:dyDescent="0.25">
      <c r="A189" t="s">
        <v>566</v>
      </c>
      <c r="B189" s="365">
        <v>171</v>
      </c>
      <c r="C189" t="s">
        <v>567</v>
      </c>
      <c r="D189" t="s">
        <v>819</v>
      </c>
    </row>
    <row r="190" spans="1:4" x14ac:dyDescent="0.25">
      <c r="A190" t="s">
        <v>568</v>
      </c>
      <c r="B190" s="365" t="s">
        <v>231</v>
      </c>
      <c r="C190" t="s">
        <v>569</v>
      </c>
    </row>
    <row r="191" spans="1:4" x14ac:dyDescent="0.25">
      <c r="A191" t="s">
        <v>570</v>
      </c>
      <c r="B191" s="365" t="s">
        <v>205</v>
      </c>
      <c r="C191" t="s">
        <v>571</v>
      </c>
    </row>
    <row r="192" spans="1:4" x14ac:dyDescent="0.25">
      <c r="A192" t="s">
        <v>572</v>
      </c>
      <c r="B192" s="365" t="s">
        <v>202</v>
      </c>
      <c r="C192" t="s">
        <v>573</v>
      </c>
    </row>
    <row r="193" spans="1:4" x14ac:dyDescent="0.25">
      <c r="A193" t="s">
        <v>574</v>
      </c>
      <c r="B193" s="365" t="s">
        <v>231</v>
      </c>
      <c r="C193" t="s">
        <v>575</v>
      </c>
    </row>
    <row r="194" spans="1:4" x14ac:dyDescent="0.25">
      <c r="A194" t="s">
        <v>576</v>
      </c>
      <c r="B194" s="365" t="s">
        <v>194</v>
      </c>
      <c r="C194" t="s">
        <v>577</v>
      </c>
    </row>
    <row r="195" spans="1:4" x14ac:dyDescent="0.25">
      <c r="A195" t="s">
        <v>578</v>
      </c>
      <c r="B195" s="365" t="s">
        <v>202</v>
      </c>
      <c r="C195" t="s">
        <v>579</v>
      </c>
    </row>
    <row r="196" spans="1:4" x14ac:dyDescent="0.25">
      <c r="A196" t="s">
        <v>580</v>
      </c>
      <c r="B196" s="365" t="s">
        <v>231</v>
      </c>
      <c r="C196" t="s">
        <v>581</v>
      </c>
    </row>
    <row r="197" spans="1:4" x14ac:dyDescent="0.25">
      <c r="A197" t="s">
        <v>582</v>
      </c>
      <c r="B197" s="365" t="s">
        <v>202</v>
      </c>
      <c r="C197" t="s">
        <v>583</v>
      </c>
    </row>
    <row r="198" spans="1:4" x14ac:dyDescent="0.25">
      <c r="A198" t="s">
        <v>584</v>
      </c>
      <c r="B198" s="365" t="s">
        <v>189</v>
      </c>
      <c r="C198" t="s">
        <v>585</v>
      </c>
    </row>
    <row r="199" spans="1:4" x14ac:dyDescent="0.25">
      <c r="A199" t="s">
        <v>586</v>
      </c>
      <c r="B199" s="365" t="s">
        <v>205</v>
      </c>
      <c r="C199" t="s">
        <v>587</v>
      </c>
    </row>
    <row r="200" spans="1:4" x14ac:dyDescent="0.25">
      <c r="A200" t="s">
        <v>1165</v>
      </c>
      <c r="C200" t="s">
        <v>1166</v>
      </c>
      <c r="D200" t="s">
        <v>1157</v>
      </c>
    </row>
    <row r="201" spans="1:4" x14ac:dyDescent="0.25">
      <c r="A201" t="s">
        <v>588</v>
      </c>
      <c r="B201" s="365" t="s">
        <v>189</v>
      </c>
      <c r="C201" t="s">
        <v>589</v>
      </c>
    </row>
    <row r="202" spans="1:4" x14ac:dyDescent="0.25">
      <c r="A202" t="s">
        <v>590</v>
      </c>
      <c r="B202" s="365" t="s">
        <v>202</v>
      </c>
      <c r="C202" t="s">
        <v>591</v>
      </c>
    </row>
    <row r="203" spans="1:4" x14ac:dyDescent="0.25">
      <c r="A203" t="s">
        <v>592</v>
      </c>
      <c r="B203" s="365" t="s">
        <v>228</v>
      </c>
      <c r="C203" t="s">
        <v>593</v>
      </c>
    </row>
    <row r="204" spans="1:4" x14ac:dyDescent="0.25">
      <c r="A204" t="s">
        <v>594</v>
      </c>
      <c r="B204" s="365" t="s">
        <v>228</v>
      </c>
      <c r="C204" t="s">
        <v>595</v>
      </c>
    </row>
    <row r="205" spans="1:4" x14ac:dyDescent="0.25">
      <c r="A205" t="s">
        <v>596</v>
      </c>
      <c r="B205" s="365" t="s">
        <v>202</v>
      </c>
      <c r="C205" t="s">
        <v>597</v>
      </c>
    </row>
    <row r="206" spans="1:4" x14ac:dyDescent="0.25">
      <c r="A206" t="s">
        <v>598</v>
      </c>
      <c r="B206" s="365" t="s">
        <v>202</v>
      </c>
      <c r="C206" t="s">
        <v>599</v>
      </c>
      <c r="D206" t="s">
        <v>1157</v>
      </c>
    </row>
    <row r="207" spans="1:4" x14ac:dyDescent="0.25">
      <c r="A207" t="s">
        <v>600</v>
      </c>
      <c r="B207" s="365" t="s">
        <v>202</v>
      </c>
      <c r="C207" t="s">
        <v>601</v>
      </c>
    </row>
    <row r="208" spans="1:4" x14ac:dyDescent="0.25">
      <c r="A208" t="s">
        <v>602</v>
      </c>
      <c r="B208" s="365" t="s">
        <v>194</v>
      </c>
      <c r="C208" t="s">
        <v>603</v>
      </c>
    </row>
    <row r="209" spans="1:4" x14ac:dyDescent="0.25">
      <c r="A209" t="s">
        <v>1167</v>
      </c>
      <c r="C209" t="s">
        <v>1168</v>
      </c>
      <c r="D209" t="s">
        <v>1157</v>
      </c>
    </row>
    <row r="210" spans="1:4" x14ac:dyDescent="0.25">
      <c r="A210" t="s">
        <v>604</v>
      </c>
      <c r="B210" s="365" t="s">
        <v>205</v>
      </c>
      <c r="C210" t="s">
        <v>605</v>
      </c>
    </row>
    <row r="211" spans="1:4" x14ac:dyDescent="0.25">
      <c r="A211" t="s">
        <v>606</v>
      </c>
      <c r="B211" s="365" t="s">
        <v>228</v>
      </c>
      <c r="C211" t="s">
        <v>607</v>
      </c>
    </row>
    <row r="212" spans="1:4" x14ac:dyDescent="0.25">
      <c r="A212" t="s">
        <v>608</v>
      </c>
      <c r="B212" s="365" t="s">
        <v>228</v>
      </c>
      <c r="C212" t="s">
        <v>609</v>
      </c>
    </row>
    <row r="213" spans="1:4" x14ac:dyDescent="0.25">
      <c r="A213" t="s">
        <v>612</v>
      </c>
      <c r="B213" s="365" t="s">
        <v>228</v>
      </c>
      <c r="C213" t="s">
        <v>613</v>
      </c>
    </row>
    <row r="214" spans="1:4" x14ac:dyDescent="0.25">
      <c r="A214" t="s">
        <v>610</v>
      </c>
      <c r="C214" t="s">
        <v>611</v>
      </c>
    </row>
    <row r="215" spans="1:4" x14ac:dyDescent="0.25">
      <c r="A215" t="s">
        <v>614</v>
      </c>
      <c r="B215" s="365" t="s">
        <v>231</v>
      </c>
      <c r="C215" t="s">
        <v>615</v>
      </c>
    </row>
    <row r="216" spans="1:4" x14ac:dyDescent="0.25">
      <c r="A216" t="s">
        <v>616</v>
      </c>
      <c r="B216" s="365" t="s">
        <v>189</v>
      </c>
      <c r="C216" t="s">
        <v>617</v>
      </c>
    </row>
    <row r="217" spans="1:4" x14ac:dyDescent="0.25">
      <c r="A217" t="s">
        <v>618</v>
      </c>
      <c r="B217" s="365" t="s">
        <v>205</v>
      </c>
      <c r="C217" t="s">
        <v>619</v>
      </c>
      <c r="D217" t="s">
        <v>1157</v>
      </c>
    </row>
    <row r="218" spans="1:4" x14ac:dyDescent="0.25">
      <c r="A218" t="s">
        <v>620</v>
      </c>
      <c r="B218" s="365" t="s">
        <v>205</v>
      </c>
      <c r="C218" t="s">
        <v>1160</v>
      </c>
      <c r="D218" t="s">
        <v>1157</v>
      </c>
    </row>
    <row r="219" spans="1:4" x14ac:dyDescent="0.25">
      <c r="A219" t="s">
        <v>621</v>
      </c>
      <c r="B219" s="365">
        <v>113</v>
      </c>
      <c r="C219" t="s">
        <v>622</v>
      </c>
      <c r="D219" t="s">
        <v>819</v>
      </c>
    </row>
    <row r="220" spans="1:4" x14ac:dyDescent="0.25">
      <c r="A220" t="s">
        <v>623</v>
      </c>
      <c r="B220" s="365" t="s">
        <v>194</v>
      </c>
      <c r="C220" t="s">
        <v>624</v>
      </c>
    </row>
    <row r="221" spans="1:4" x14ac:dyDescent="0.25">
      <c r="A221" t="s">
        <v>625</v>
      </c>
      <c r="B221" s="365" t="s">
        <v>205</v>
      </c>
      <c r="C221" t="s">
        <v>626</v>
      </c>
    </row>
    <row r="222" spans="1:4" x14ac:dyDescent="0.25">
      <c r="A222" t="s">
        <v>627</v>
      </c>
      <c r="B222" s="365" t="s">
        <v>194</v>
      </c>
      <c r="C222" t="s">
        <v>628</v>
      </c>
    </row>
    <row r="223" spans="1:4" x14ac:dyDescent="0.25">
      <c r="A223" t="s">
        <v>629</v>
      </c>
      <c r="B223" s="365" t="s">
        <v>202</v>
      </c>
      <c r="C223" t="s">
        <v>630</v>
      </c>
    </row>
    <row r="224" spans="1:4" x14ac:dyDescent="0.25">
      <c r="A224" t="s">
        <v>631</v>
      </c>
      <c r="B224" s="365" t="s">
        <v>210</v>
      </c>
      <c r="C224" t="s">
        <v>632</v>
      </c>
    </row>
    <row r="225" spans="1:4" x14ac:dyDescent="0.25">
      <c r="A225" t="s">
        <v>633</v>
      </c>
      <c r="B225" s="365" t="s">
        <v>194</v>
      </c>
      <c r="C225" t="s">
        <v>634</v>
      </c>
    </row>
    <row r="226" spans="1:4" x14ac:dyDescent="0.25">
      <c r="A226" t="s">
        <v>635</v>
      </c>
      <c r="B226" s="365" t="s">
        <v>194</v>
      </c>
      <c r="C226" t="s">
        <v>636</v>
      </c>
    </row>
    <row r="227" spans="1:4" x14ac:dyDescent="0.25">
      <c r="A227" t="s">
        <v>637</v>
      </c>
      <c r="B227" s="365" t="s">
        <v>205</v>
      </c>
      <c r="C227" t="s">
        <v>638</v>
      </c>
    </row>
    <row r="228" spans="1:4" x14ac:dyDescent="0.25">
      <c r="A228" t="s">
        <v>639</v>
      </c>
      <c r="B228" s="365" t="s">
        <v>189</v>
      </c>
      <c r="C228" t="s">
        <v>640</v>
      </c>
    </row>
    <row r="229" spans="1:4" x14ac:dyDescent="0.25">
      <c r="A229" t="s">
        <v>641</v>
      </c>
      <c r="B229" s="365">
        <v>112</v>
      </c>
      <c r="C229" t="s">
        <v>642</v>
      </c>
      <c r="D229" t="s">
        <v>819</v>
      </c>
    </row>
    <row r="230" spans="1:4" x14ac:dyDescent="0.25">
      <c r="A230" s="363" t="s">
        <v>1474</v>
      </c>
      <c r="C230" t="s">
        <v>1488</v>
      </c>
      <c r="D230" t="s">
        <v>1157</v>
      </c>
    </row>
    <row r="231" spans="1:4" x14ac:dyDescent="0.25">
      <c r="A231" t="s">
        <v>643</v>
      </c>
      <c r="B231" s="365" t="s">
        <v>194</v>
      </c>
      <c r="C231" t="s">
        <v>644</v>
      </c>
    </row>
    <row r="232" spans="1:4" x14ac:dyDescent="0.25">
      <c r="A232" t="s">
        <v>645</v>
      </c>
      <c r="B232" s="365" t="s">
        <v>221</v>
      </c>
      <c r="C232" t="s">
        <v>646</v>
      </c>
    </row>
    <row r="233" spans="1:4" x14ac:dyDescent="0.25">
      <c r="A233" t="s">
        <v>647</v>
      </c>
      <c r="B233" s="365" t="s">
        <v>197</v>
      </c>
      <c r="C233" t="s">
        <v>648</v>
      </c>
    </row>
    <row r="234" spans="1:4" x14ac:dyDescent="0.25">
      <c r="A234" t="s">
        <v>649</v>
      </c>
      <c r="B234" s="365" t="s">
        <v>189</v>
      </c>
      <c r="C234" t="s">
        <v>650</v>
      </c>
    </row>
    <row r="235" spans="1:4" x14ac:dyDescent="0.25">
      <c r="A235" t="s">
        <v>651</v>
      </c>
      <c r="B235" s="365" t="s">
        <v>210</v>
      </c>
      <c r="C235" t="s">
        <v>652</v>
      </c>
    </row>
    <row r="236" spans="1:4" x14ac:dyDescent="0.25">
      <c r="A236" t="s">
        <v>653</v>
      </c>
      <c r="B236" s="365" t="s">
        <v>210</v>
      </c>
      <c r="C236" t="s">
        <v>654</v>
      </c>
    </row>
    <row r="237" spans="1:4" x14ac:dyDescent="0.25">
      <c r="A237" t="s">
        <v>655</v>
      </c>
      <c r="B237" s="365" t="s">
        <v>205</v>
      </c>
      <c r="C237" t="s">
        <v>656</v>
      </c>
    </row>
    <row r="238" spans="1:4" x14ac:dyDescent="0.25">
      <c r="A238" t="s">
        <v>657</v>
      </c>
      <c r="B238" s="365" t="s">
        <v>197</v>
      </c>
      <c r="C238" t="s">
        <v>658</v>
      </c>
    </row>
    <row r="239" spans="1:4" x14ac:dyDescent="0.25">
      <c r="A239" t="s">
        <v>659</v>
      </c>
      <c r="B239" s="365" t="s">
        <v>221</v>
      </c>
      <c r="C239" t="s">
        <v>660</v>
      </c>
    </row>
    <row r="240" spans="1:4" x14ac:dyDescent="0.25">
      <c r="A240" t="s">
        <v>661</v>
      </c>
      <c r="B240" s="365" t="s">
        <v>194</v>
      </c>
      <c r="C240" t="s">
        <v>662</v>
      </c>
    </row>
    <row r="241" spans="1:4" x14ac:dyDescent="0.25">
      <c r="A241" t="s">
        <v>663</v>
      </c>
      <c r="B241" s="365" t="s">
        <v>228</v>
      </c>
      <c r="C241" t="s">
        <v>664</v>
      </c>
    </row>
    <row r="242" spans="1:4" x14ac:dyDescent="0.25">
      <c r="A242" t="s">
        <v>665</v>
      </c>
      <c r="B242" s="365" t="s">
        <v>197</v>
      </c>
      <c r="C242" t="s">
        <v>666</v>
      </c>
    </row>
    <row r="243" spans="1:4" x14ac:dyDescent="0.25">
      <c r="A243" t="s">
        <v>667</v>
      </c>
      <c r="B243" s="365" t="s">
        <v>189</v>
      </c>
      <c r="C243" t="s">
        <v>668</v>
      </c>
    </row>
    <row r="244" spans="1:4" x14ac:dyDescent="0.25">
      <c r="A244" t="s">
        <v>669</v>
      </c>
      <c r="B244" s="365" t="s">
        <v>205</v>
      </c>
      <c r="C244" t="s">
        <v>670</v>
      </c>
    </row>
    <row r="245" spans="1:4" x14ac:dyDescent="0.25">
      <c r="A245" t="s">
        <v>671</v>
      </c>
      <c r="B245" s="365">
        <v>112</v>
      </c>
      <c r="C245" t="s">
        <v>672</v>
      </c>
      <c r="D245" t="s">
        <v>819</v>
      </c>
    </row>
    <row r="246" spans="1:4" x14ac:dyDescent="0.25">
      <c r="A246" t="s">
        <v>673</v>
      </c>
      <c r="B246" s="365" t="s">
        <v>205</v>
      </c>
      <c r="C246" t="s">
        <v>674</v>
      </c>
    </row>
    <row r="247" spans="1:4" x14ac:dyDescent="0.25">
      <c r="A247" t="s">
        <v>675</v>
      </c>
      <c r="B247" s="365" t="s">
        <v>197</v>
      </c>
      <c r="C247" t="s">
        <v>676</v>
      </c>
    </row>
    <row r="248" spans="1:4" x14ac:dyDescent="0.25">
      <c r="A248" t="s">
        <v>677</v>
      </c>
      <c r="B248" s="365" t="s">
        <v>205</v>
      </c>
      <c r="C248" t="s">
        <v>678</v>
      </c>
    </row>
    <row r="249" spans="1:4" x14ac:dyDescent="0.25">
      <c r="A249" t="s">
        <v>679</v>
      </c>
      <c r="B249" s="365" t="s">
        <v>231</v>
      </c>
      <c r="C249" t="s">
        <v>680</v>
      </c>
    </row>
    <row r="250" spans="1:4" x14ac:dyDescent="0.25">
      <c r="A250" t="s">
        <v>682</v>
      </c>
      <c r="B250" s="365" t="s">
        <v>189</v>
      </c>
      <c r="C250" t="s">
        <v>683</v>
      </c>
    </row>
    <row r="251" spans="1:4" x14ac:dyDescent="0.25">
      <c r="A251" t="s">
        <v>684</v>
      </c>
      <c r="B251" s="365" t="s">
        <v>1127</v>
      </c>
      <c r="C251" t="s">
        <v>685</v>
      </c>
    </row>
    <row r="252" spans="1:4" x14ac:dyDescent="0.25">
      <c r="A252" t="s">
        <v>686</v>
      </c>
      <c r="B252" s="365" t="s">
        <v>197</v>
      </c>
      <c r="C252" t="s">
        <v>687</v>
      </c>
    </row>
    <row r="253" spans="1:4" x14ac:dyDescent="0.25">
      <c r="A253" t="s">
        <v>688</v>
      </c>
      <c r="B253" s="365" t="s">
        <v>189</v>
      </c>
      <c r="C253" t="s">
        <v>689</v>
      </c>
    </row>
    <row r="254" spans="1:4" x14ac:dyDescent="0.25">
      <c r="A254" t="s">
        <v>690</v>
      </c>
      <c r="B254" s="365" t="s">
        <v>194</v>
      </c>
      <c r="C254" t="s">
        <v>691</v>
      </c>
    </row>
    <row r="255" spans="1:4" x14ac:dyDescent="0.25">
      <c r="A255" t="s">
        <v>692</v>
      </c>
      <c r="B255" s="365" t="s">
        <v>194</v>
      </c>
      <c r="C255" t="s">
        <v>693</v>
      </c>
      <c r="D255" t="s">
        <v>1157</v>
      </c>
    </row>
    <row r="256" spans="1:4" x14ac:dyDescent="0.25">
      <c r="A256" t="s">
        <v>694</v>
      </c>
      <c r="B256" s="365" t="s">
        <v>194</v>
      </c>
      <c r="C256" t="s">
        <v>695</v>
      </c>
    </row>
    <row r="257" spans="1:4" x14ac:dyDescent="0.25">
      <c r="A257" t="s">
        <v>696</v>
      </c>
      <c r="B257" s="365" t="s">
        <v>194</v>
      </c>
      <c r="C257" t="s">
        <v>697</v>
      </c>
    </row>
    <row r="258" spans="1:4" x14ac:dyDescent="0.25">
      <c r="A258" t="s">
        <v>698</v>
      </c>
      <c r="B258" s="365" t="s">
        <v>197</v>
      </c>
      <c r="C258" t="s">
        <v>699</v>
      </c>
    </row>
    <row r="259" spans="1:4" x14ac:dyDescent="0.25">
      <c r="A259" t="s">
        <v>700</v>
      </c>
      <c r="B259" s="365" t="s">
        <v>202</v>
      </c>
      <c r="C259" t="s">
        <v>701</v>
      </c>
    </row>
    <row r="260" spans="1:4" x14ac:dyDescent="0.25">
      <c r="A260" t="s">
        <v>702</v>
      </c>
      <c r="B260" s="365" t="s">
        <v>202</v>
      </c>
      <c r="C260" t="s">
        <v>703</v>
      </c>
    </row>
    <row r="261" spans="1:4" x14ac:dyDescent="0.25">
      <c r="A261" t="s">
        <v>704</v>
      </c>
      <c r="B261" s="365" t="s">
        <v>231</v>
      </c>
      <c r="C261" t="s">
        <v>705</v>
      </c>
    </row>
    <row r="262" spans="1:4" x14ac:dyDescent="0.25">
      <c r="A262" t="s">
        <v>706</v>
      </c>
      <c r="B262" s="365" t="s">
        <v>205</v>
      </c>
      <c r="C262" t="s">
        <v>707</v>
      </c>
    </row>
    <row r="263" spans="1:4" x14ac:dyDescent="0.25">
      <c r="A263" t="s">
        <v>708</v>
      </c>
      <c r="B263" s="365" t="s">
        <v>194</v>
      </c>
      <c r="C263" t="s">
        <v>709</v>
      </c>
    </row>
    <row r="264" spans="1:4" x14ac:dyDescent="0.25">
      <c r="A264" t="s">
        <v>710</v>
      </c>
      <c r="B264" s="365">
        <v>112</v>
      </c>
      <c r="C264" t="s">
        <v>711</v>
      </c>
      <c r="D264" t="s">
        <v>819</v>
      </c>
    </row>
    <row r="265" spans="1:4" x14ac:dyDescent="0.25">
      <c r="A265" t="s">
        <v>712</v>
      </c>
      <c r="B265" s="365" t="s">
        <v>197</v>
      </c>
      <c r="C265" t="s">
        <v>713</v>
      </c>
    </row>
    <row r="266" spans="1:4" x14ac:dyDescent="0.25">
      <c r="A266" t="s">
        <v>714</v>
      </c>
      <c r="B266" s="365" t="s">
        <v>205</v>
      </c>
      <c r="C266" t="s">
        <v>715</v>
      </c>
      <c r="D266" t="s">
        <v>1157</v>
      </c>
    </row>
    <row r="267" spans="1:4" x14ac:dyDescent="0.25">
      <c r="A267" t="s">
        <v>716</v>
      </c>
      <c r="B267" s="365" t="s">
        <v>205</v>
      </c>
      <c r="C267" t="s">
        <v>717</v>
      </c>
      <c r="D267" t="s">
        <v>1157</v>
      </c>
    </row>
    <row r="268" spans="1:4" x14ac:dyDescent="0.25">
      <c r="A268" t="s">
        <v>718</v>
      </c>
      <c r="B268" s="365" t="s">
        <v>194</v>
      </c>
      <c r="C268" t="s">
        <v>719</v>
      </c>
      <c r="D268" t="s">
        <v>1157</v>
      </c>
    </row>
    <row r="269" spans="1:4" x14ac:dyDescent="0.25">
      <c r="A269" t="s">
        <v>720</v>
      </c>
      <c r="B269" s="365" t="s">
        <v>194</v>
      </c>
      <c r="C269" t="s">
        <v>721</v>
      </c>
    </row>
    <row r="270" spans="1:4" x14ac:dyDescent="0.25">
      <c r="A270" t="s">
        <v>722</v>
      </c>
      <c r="B270" s="365" t="s">
        <v>205</v>
      </c>
      <c r="C270" t="s">
        <v>723</v>
      </c>
    </row>
    <row r="271" spans="1:4" x14ac:dyDescent="0.25">
      <c r="A271" t="s">
        <v>724</v>
      </c>
      <c r="B271" s="365" t="s">
        <v>221</v>
      </c>
      <c r="C271" t="s">
        <v>725</v>
      </c>
    </row>
    <row r="272" spans="1:4" x14ac:dyDescent="0.25">
      <c r="A272" t="s">
        <v>726</v>
      </c>
      <c r="C272" t="s">
        <v>727</v>
      </c>
      <c r="D272" t="s">
        <v>1171</v>
      </c>
    </row>
    <row r="273" spans="1:4" x14ac:dyDescent="0.25">
      <c r="A273" t="s">
        <v>728</v>
      </c>
      <c r="B273" s="365" t="s">
        <v>205</v>
      </c>
      <c r="C273" t="s">
        <v>729</v>
      </c>
    </row>
    <row r="274" spans="1:4" x14ac:dyDescent="0.25">
      <c r="A274" t="s">
        <v>730</v>
      </c>
      <c r="B274" s="365" t="s">
        <v>189</v>
      </c>
      <c r="C274" t="s">
        <v>731</v>
      </c>
    </row>
    <row r="275" spans="1:4" x14ac:dyDescent="0.25">
      <c r="A275" t="s">
        <v>732</v>
      </c>
      <c r="B275" s="365" t="s">
        <v>205</v>
      </c>
      <c r="C275" t="s">
        <v>733</v>
      </c>
    </row>
    <row r="276" spans="1:4" x14ac:dyDescent="0.25">
      <c r="A276" t="s">
        <v>734</v>
      </c>
      <c r="B276" s="365" t="s">
        <v>194</v>
      </c>
      <c r="C276" t="s">
        <v>735</v>
      </c>
    </row>
    <row r="277" spans="1:4" x14ac:dyDescent="0.25">
      <c r="A277" t="s">
        <v>736</v>
      </c>
      <c r="B277" s="365" t="s">
        <v>189</v>
      </c>
      <c r="C277" t="s">
        <v>737</v>
      </c>
    </row>
    <row r="278" spans="1:4" x14ac:dyDescent="0.25">
      <c r="A278" t="s">
        <v>738</v>
      </c>
      <c r="B278" s="365" t="s">
        <v>221</v>
      </c>
      <c r="C278" t="s">
        <v>739</v>
      </c>
    </row>
    <row r="279" spans="1:4" x14ac:dyDescent="0.25">
      <c r="A279" t="s">
        <v>740</v>
      </c>
      <c r="B279" s="365" t="s">
        <v>189</v>
      </c>
      <c r="C279" t="s">
        <v>741</v>
      </c>
    </row>
    <row r="280" spans="1:4" x14ac:dyDescent="0.25">
      <c r="A280" t="s">
        <v>742</v>
      </c>
      <c r="B280" s="365" t="s">
        <v>231</v>
      </c>
      <c r="C280" t="s">
        <v>743</v>
      </c>
    </row>
    <row r="281" spans="1:4" x14ac:dyDescent="0.25">
      <c r="A281" t="s">
        <v>744</v>
      </c>
      <c r="B281" s="365" t="s">
        <v>221</v>
      </c>
      <c r="C281" t="s">
        <v>745</v>
      </c>
    </row>
    <row r="282" spans="1:4" x14ac:dyDescent="0.25">
      <c r="A282" t="s">
        <v>746</v>
      </c>
      <c r="B282" s="365" t="s">
        <v>202</v>
      </c>
      <c r="C282" t="s">
        <v>747</v>
      </c>
    </row>
    <row r="283" spans="1:4" x14ac:dyDescent="0.25">
      <c r="A283" t="s">
        <v>748</v>
      </c>
      <c r="B283" s="365" t="s">
        <v>210</v>
      </c>
      <c r="C283" t="s">
        <v>749</v>
      </c>
      <c r="D283" t="s">
        <v>819</v>
      </c>
    </row>
    <row r="284" spans="1:4" x14ac:dyDescent="0.25">
      <c r="A284" t="s">
        <v>750</v>
      </c>
      <c r="B284" s="365" t="s">
        <v>210</v>
      </c>
      <c r="C284" t="s">
        <v>751</v>
      </c>
      <c r="D284" t="s">
        <v>819</v>
      </c>
    </row>
    <row r="285" spans="1:4" x14ac:dyDescent="0.25">
      <c r="A285" t="s">
        <v>752</v>
      </c>
      <c r="B285" s="365" t="s">
        <v>205</v>
      </c>
      <c r="C285" t="s">
        <v>753</v>
      </c>
    </row>
    <row r="286" spans="1:4" x14ac:dyDescent="0.25">
      <c r="A286" t="s">
        <v>754</v>
      </c>
      <c r="B286" s="365" t="s">
        <v>189</v>
      </c>
      <c r="C286" t="s">
        <v>755</v>
      </c>
    </row>
    <row r="287" spans="1:4" x14ac:dyDescent="0.25">
      <c r="A287" t="s">
        <v>756</v>
      </c>
      <c r="B287" s="365" t="s">
        <v>221</v>
      </c>
      <c r="C287" t="s">
        <v>757</v>
      </c>
    </row>
    <row r="288" spans="1:4" x14ac:dyDescent="0.25">
      <c r="A288" t="s">
        <v>758</v>
      </c>
      <c r="B288" s="365" t="s">
        <v>205</v>
      </c>
      <c r="C288" t="s">
        <v>759</v>
      </c>
    </row>
    <row r="289" spans="1:4" x14ac:dyDescent="0.25">
      <c r="A289" t="s">
        <v>760</v>
      </c>
      <c r="B289" s="365" t="s">
        <v>194</v>
      </c>
      <c r="C289" t="s">
        <v>761</v>
      </c>
    </row>
    <row r="290" spans="1:4" x14ac:dyDescent="0.25">
      <c r="A290" t="s">
        <v>762</v>
      </c>
      <c r="B290" s="365" t="s">
        <v>210</v>
      </c>
      <c r="C290" t="s">
        <v>763</v>
      </c>
    </row>
    <row r="291" spans="1:4" x14ac:dyDescent="0.25">
      <c r="A291" t="s">
        <v>764</v>
      </c>
      <c r="B291" s="365" t="s">
        <v>205</v>
      </c>
      <c r="C291" t="s">
        <v>765</v>
      </c>
    </row>
    <row r="292" spans="1:4" x14ac:dyDescent="0.25">
      <c r="A292" t="s">
        <v>766</v>
      </c>
      <c r="B292" s="365" t="s">
        <v>210</v>
      </c>
      <c r="C292" t="s">
        <v>767</v>
      </c>
      <c r="D292" t="s">
        <v>819</v>
      </c>
    </row>
    <row r="293" spans="1:4" x14ac:dyDescent="0.25">
      <c r="A293" t="s">
        <v>768</v>
      </c>
      <c r="B293" s="365" t="s">
        <v>221</v>
      </c>
      <c r="C293" t="s">
        <v>769</v>
      </c>
    </row>
    <row r="294" spans="1:4" x14ac:dyDescent="0.25">
      <c r="A294" t="s">
        <v>770</v>
      </c>
      <c r="B294" s="365" t="s">
        <v>202</v>
      </c>
      <c r="C294" t="s">
        <v>771</v>
      </c>
    </row>
    <row r="295" spans="1:4" x14ac:dyDescent="0.25">
      <c r="A295" t="s">
        <v>772</v>
      </c>
      <c r="B295" s="365" t="s">
        <v>202</v>
      </c>
      <c r="C295" t="s">
        <v>773</v>
      </c>
    </row>
    <row r="296" spans="1:4" x14ac:dyDescent="0.25">
      <c r="A296" t="s">
        <v>774</v>
      </c>
      <c r="B296" s="365" t="s">
        <v>221</v>
      </c>
      <c r="C296" t="s">
        <v>775</v>
      </c>
    </row>
    <row r="297" spans="1:4" x14ac:dyDescent="0.25">
      <c r="A297" t="s">
        <v>776</v>
      </c>
      <c r="B297" s="365" t="s">
        <v>231</v>
      </c>
      <c r="C297" t="s">
        <v>777</v>
      </c>
    </row>
    <row r="298" spans="1:4" x14ac:dyDescent="0.25">
      <c r="A298" t="s">
        <v>778</v>
      </c>
      <c r="B298" s="365" t="s">
        <v>210</v>
      </c>
      <c r="C298" t="s">
        <v>779</v>
      </c>
    </row>
    <row r="299" spans="1:4" x14ac:dyDescent="0.25">
      <c r="A299" t="s">
        <v>780</v>
      </c>
      <c r="B299" s="365" t="s">
        <v>194</v>
      </c>
      <c r="C299" t="s">
        <v>781</v>
      </c>
    </row>
    <row r="300" spans="1:4" x14ac:dyDescent="0.25">
      <c r="A300" t="s">
        <v>782</v>
      </c>
      <c r="B300" s="365">
        <v>171</v>
      </c>
      <c r="C300" t="s">
        <v>783</v>
      </c>
      <c r="D300" t="s">
        <v>819</v>
      </c>
    </row>
    <row r="301" spans="1:4" x14ac:dyDescent="0.25">
      <c r="A301" t="s">
        <v>784</v>
      </c>
      <c r="B301" s="365" t="s">
        <v>194</v>
      </c>
      <c r="C301" t="s">
        <v>785</v>
      </c>
    </row>
    <row r="302" spans="1:4" x14ac:dyDescent="0.25">
      <c r="A302" t="s">
        <v>786</v>
      </c>
      <c r="B302" s="365" t="s">
        <v>231</v>
      </c>
      <c r="C302" t="s">
        <v>787</v>
      </c>
    </row>
    <row r="303" spans="1:4" x14ac:dyDescent="0.25">
      <c r="A303" t="s">
        <v>788</v>
      </c>
      <c r="B303" s="365" t="s">
        <v>221</v>
      </c>
      <c r="C303" t="s">
        <v>789</v>
      </c>
    </row>
    <row r="304" spans="1:4" x14ac:dyDescent="0.25">
      <c r="A304" t="s">
        <v>790</v>
      </c>
      <c r="B304" s="365" t="s">
        <v>194</v>
      </c>
      <c r="C304" t="s">
        <v>791</v>
      </c>
    </row>
    <row r="305" spans="1:4" x14ac:dyDescent="0.25">
      <c r="A305" t="s">
        <v>1169</v>
      </c>
      <c r="C305" t="s">
        <v>1170</v>
      </c>
      <c r="D305" t="s">
        <v>1157</v>
      </c>
    </row>
    <row r="306" spans="1:4" x14ac:dyDescent="0.25">
      <c r="A306" t="s">
        <v>792</v>
      </c>
      <c r="B306" s="365" t="s">
        <v>189</v>
      </c>
      <c r="C306" t="s">
        <v>793</v>
      </c>
    </row>
    <row r="307" spans="1:4" x14ac:dyDescent="0.25">
      <c r="A307" t="s">
        <v>794</v>
      </c>
      <c r="B307" s="365" t="s">
        <v>205</v>
      </c>
      <c r="C307" t="s">
        <v>795</v>
      </c>
    </row>
    <row r="308" spans="1:4" x14ac:dyDescent="0.25">
      <c r="A308" t="s">
        <v>796</v>
      </c>
      <c r="B308" s="365">
        <v>112</v>
      </c>
      <c r="C308" t="s">
        <v>797</v>
      </c>
      <c r="D308" t="s">
        <v>819</v>
      </c>
    </row>
    <row r="309" spans="1:4" x14ac:dyDescent="0.25">
      <c r="A309" t="s">
        <v>247</v>
      </c>
      <c r="C309" t="s">
        <v>1158</v>
      </c>
      <c r="D309" t="s">
        <v>1157</v>
      </c>
    </row>
    <row r="310" spans="1:4" x14ac:dyDescent="0.25">
      <c r="A310" t="s">
        <v>798</v>
      </c>
      <c r="B310" s="365" t="s">
        <v>194</v>
      </c>
      <c r="C310" t="s">
        <v>799</v>
      </c>
    </row>
    <row r="311" spans="1:4" x14ac:dyDescent="0.25">
      <c r="A311" t="s">
        <v>800</v>
      </c>
      <c r="B311" s="365" t="s">
        <v>189</v>
      </c>
      <c r="C311" t="s">
        <v>801</v>
      </c>
    </row>
    <row r="312" spans="1:4" x14ac:dyDescent="0.25">
      <c r="A312" t="s">
        <v>802</v>
      </c>
      <c r="B312" s="365" t="s">
        <v>231</v>
      </c>
      <c r="C312" t="s">
        <v>803</v>
      </c>
    </row>
    <row r="313" spans="1:4" x14ac:dyDescent="0.25">
      <c r="A313" t="s">
        <v>804</v>
      </c>
      <c r="B313" s="365" t="s">
        <v>189</v>
      </c>
      <c r="C313" t="s">
        <v>805</v>
      </c>
    </row>
    <row r="314" spans="1:4" x14ac:dyDescent="0.25">
      <c r="A314" t="s">
        <v>806</v>
      </c>
      <c r="B314" s="365" t="s">
        <v>189</v>
      </c>
      <c r="C314" t="s">
        <v>807</v>
      </c>
    </row>
    <row r="315" spans="1:4" x14ac:dyDescent="0.25">
      <c r="A315" t="s">
        <v>808</v>
      </c>
      <c r="B315" s="365">
        <v>112</v>
      </c>
      <c r="C315" t="s">
        <v>809</v>
      </c>
      <c r="D315" t="s">
        <v>819</v>
      </c>
    </row>
    <row r="316" spans="1:4" x14ac:dyDescent="0.25">
      <c r="A316" t="s">
        <v>810</v>
      </c>
      <c r="B316" s="365" t="s">
        <v>210</v>
      </c>
      <c r="C316" t="s">
        <v>811</v>
      </c>
    </row>
    <row r="317" spans="1:4" x14ac:dyDescent="0.25">
      <c r="A317" t="s">
        <v>812</v>
      </c>
      <c r="B317" s="365" t="s">
        <v>221</v>
      </c>
      <c r="C317" t="s">
        <v>813</v>
      </c>
    </row>
    <row r="318" spans="1:4" x14ac:dyDescent="0.25">
      <c r="A318" t="s">
        <v>814</v>
      </c>
      <c r="B318" s="365" t="s">
        <v>189</v>
      </c>
      <c r="C318" t="s">
        <v>815</v>
      </c>
    </row>
    <row r="319" spans="1:4" x14ac:dyDescent="0.25">
      <c r="A319" t="s">
        <v>816</v>
      </c>
      <c r="B319" s="365" t="s">
        <v>221</v>
      </c>
      <c r="C319" t="s">
        <v>817</v>
      </c>
    </row>
  </sheetData>
  <autoFilter ref="A1:D319" xr:uid="{00000000-0009-0000-0000-00002C000000}"/>
  <sortState xmlns:xlrd2="http://schemas.microsoft.com/office/spreadsheetml/2017/richdata2" ref="A2:C319">
    <sortCondition ref="C2:C319"/>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70C0"/>
  </sheetPr>
  <dimension ref="A1:F43"/>
  <sheetViews>
    <sheetView showGridLines="0" zoomScaleNormal="100" workbookViewId="0">
      <selection activeCell="A39" sqref="A39"/>
    </sheetView>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1: State Fiscal Year ",'2. Getting Started'!B6)</f>
        <v>Summary of Year 1: State Fiscal Year 2021</v>
      </c>
      <c r="B1" s="299"/>
      <c r="C1" s="299"/>
      <c r="D1" s="21" t="s">
        <v>14</v>
      </c>
      <c r="E1" s="20" t="str">
        <f>IF('2. Getting Started'!B2="","",'2. Getting Started'!B2)</f>
        <v/>
      </c>
    </row>
    <row r="2" spans="1:5" ht="18.75" x14ac:dyDescent="0.3">
      <c r="A2" s="2" t="str">
        <f>CONCATENATE("State fiscal year ",'2. Getting Started'!B6," covers the period ",'2. Getting Started'!B4,", ",'2. Getting Started'!B6-1," through ",'2. Getting Started'!B5,", ",'2. Getting Started'!B6)</f>
        <v>State fiscal year 2021 covers the period July 1, 2020 through June 30, 2021</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18" t="s">
        <v>125</v>
      </c>
      <c r="B5" s="244" t="s">
        <v>0</v>
      </c>
      <c r="C5" s="244" t="s">
        <v>2</v>
      </c>
      <c r="D5" s="244" t="s">
        <v>3</v>
      </c>
      <c r="E5" s="245" t="s">
        <v>4</v>
      </c>
    </row>
    <row r="6" spans="1:5" x14ac:dyDescent="0.25">
      <c r="A6" s="243" t="s">
        <v>44</v>
      </c>
      <c r="B6" s="247"/>
      <c r="C6" s="248"/>
      <c r="D6" s="248"/>
      <c r="E6" s="249"/>
    </row>
    <row r="7" spans="1:5" x14ac:dyDescent="0.25">
      <c r="A7" s="243" t="s">
        <v>45</v>
      </c>
      <c r="B7" s="250"/>
      <c r="C7" s="251"/>
      <c r="D7" s="251"/>
      <c r="E7" s="252"/>
    </row>
    <row r="8" spans="1:5" x14ac:dyDescent="0.25">
      <c r="A8" s="243" t="s">
        <v>9</v>
      </c>
      <c r="B8" s="250" t="s">
        <v>109</v>
      </c>
      <c r="C8" s="251"/>
      <c r="D8" s="251"/>
      <c r="E8" s="252"/>
    </row>
    <row r="9" spans="1:5" x14ac:dyDescent="0.25">
      <c r="A9" s="243" t="s">
        <v>117</v>
      </c>
      <c r="B9" s="250"/>
      <c r="C9" s="251"/>
      <c r="D9" s="251"/>
      <c r="E9" s="252"/>
    </row>
    <row r="10" spans="1:5" x14ac:dyDescent="0.25">
      <c r="A10" s="246" t="s">
        <v>46</v>
      </c>
      <c r="B10" s="253"/>
      <c r="C10" s="254"/>
      <c r="D10" s="254"/>
      <c r="E10" s="255"/>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f>'38. Total Local Funds'!F4</f>
        <v>2020</v>
      </c>
      <c r="C14" s="3">
        <f>'39. Total State &amp; Local Funds'!F4</f>
        <v>2020</v>
      </c>
      <c r="D14" s="3">
        <f>'40. Local Funds Per Capita'!F4</f>
        <v>2020</v>
      </c>
      <c r="E14" s="257">
        <f>'41. State &amp; Local Funds Per Cap'!F4</f>
        <v>2020</v>
      </c>
    </row>
    <row r="15" spans="1:5" x14ac:dyDescent="0.25">
      <c r="A15" s="243" t="s">
        <v>45</v>
      </c>
      <c r="B15" s="17">
        <f>'38. Total Local Funds'!F5</f>
        <v>0</v>
      </c>
      <c r="C15" s="17">
        <f>'39. Total State &amp; Local Funds'!F5</f>
        <v>0</v>
      </c>
      <c r="D15" s="17" t="e">
        <f>'40. Local Funds Per Capita'!F5</f>
        <v>#DIV/0!</v>
      </c>
      <c r="E15" s="258" t="e">
        <f>'41. State &amp; Local Funds Per Cap'!F5</f>
        <v>#DIV/0!</v>
      </c>
    </row>
    <row r="16" spans="1:5" x14ac:dyDescent="0.25">
      <c r="A16" s="243" t="s">
        <v>11</v>
      </c>
      <c r="B16" s="17">
        <f>'5. Year 1 Amounts'!K30</f>
        <v>0</v>
      </c>
      <c r="C16" s="17">
        <f>'5. Year 1 Amounts'!M30</f>
        <v>0</v>
      </c>
      <c r="D16" s="17" t="e">
        <f>'5. Year 1 Amounts'!K31</f>
        <v>#DIV/0!</v>
      </c>
      <c r="E16" s="258" t="e">
        <f>'5. Year 1 Amounts'!M31</f>
        <v>#DIV/0!</v>
      </c>
    </row>
    <row r="17" spans="1:5" x14ac:dyDescent="0.25">
      <c r="A17" s="243" t="s">
        <v>117</v>
      </c>
      <c r="B17" s="201" t="str">
        <f>IF(B16="","",IF(B16&gt;=B15,"Met",IF(AND(B16&lt;B15,'38. Total Local Funds'!F14="Met"),"Met with Exceptions &amp; Adjustments","Did Not Meet")))</f>
        <v>Met</v>
      </c>
      <c r="C17" s="201" t="str">
        <f>IF(C16="","",IF(C16&gt;=C15,"Met",IF(AND(C16&lt;C15,'39. Total State &amp; Local Funds'!F14="Met"),"Met with Exceptions &amp; Adjustments","Did Not Meet")))</f>
        <v>Met</v>
      </c>
      <c r="D17" s="201" t="e">
        <f>IF(D16="","",IF(D16&gt;=D15,"Met",IF(AND(D16&lt;D15,'40. Local Funds Per Capita'!F15="Met"),"Met with Exceptions &amp; Adjustments","Did Not Meet")))</f>
        <v>#DIV/0!</v>
      </c>
      <c r="E17" s="259" t="e">
        <f>IF(E16="","",IF(E16&gt;=E15,"Met",IF(AND(E16&lt;E15,'41. State &amp; Local Funds Per Cap'!F15="Met"),"Met with Exceptions &amp; Adjustments","Did Not Meet")))</f>
        <v>#DIV/0!</v>
      </c>
    </row>
    <row r="18" spans="1:5" x14ac:dyDescent="0.25">
      <c r="A18" s="246" t="s">
        <v>46</v>
      </c>
      <c r="B18" s="256">
        <f>IF(B17="","",IF(B17="Did Not Meet",'38. Total Local Funds'!F12-'38. Total Local Funds'!F13,0))</f>
        <v>0</v>
      </c>
      <c r="C18" s="256">
        <f>IF(C17="","",IF(C17="Did Not Meet",'39. Total State &amp; Local Funds'!F12-'39. Total State &amp; Local Funds'!F13,0))</f>
        <v>0</v>
      </c>
      <c r="D18" s="256" t="e">
        <f>IF(D17="","",IF(D17="Did Not Meet",(('40. Local Funds Per Capita'!F13-'40. Local Funds Per Capita'!F14)*'5. Year 1 Amounts'!I1),0))</f>
        <v>#DIV/0!</v>
      </c>
      <c r="E18" s="261" t="e">
        <f>IF(E17="","",IF(E17="Did Not Meet",(('41. State &amp; Local Funds Per Cap'!F13-'41. State &amp; Local Funds Per Cap'!F14)*'5. Year 1 Amounts'!I1),0))</f>
        <v>#DIV/0!</v>
      </c>
    </row>
    <row r="19" spans="1:5" x14ac:dyDescent="0.25">
      <c r="A19" s="657" t="s">
        <v>174</v>
      </c>
      <c r="B19" s="657"/>
      <c r="C19" s="657"/>
      <c r="D19" s="657"/>
      <c r="E19" s="657"/>
    </row>
    <row r="20" spans="1:5" ht="15.75" x14ac:dyDescent="0.25">
      <c r="A20" s="199" t="e">
        <f>IF(AND(B17="Did Not Meet",C17="Did Not Meet",D17="Did Not Meet",E17="Did Not Meet"),"The LEA has failed the Compliance Standard by all four methods. Complete the table below.","The LEA has met the Compliance Standard by at least one method. You do not need to complete the table below.")</f>
        <v>#DIV/0!</v>
      </c>
      <c r="B20" s="9"/>
    </row>
    <row r="21" spans="1:5" x14ac:dyDescent="0.25">
      <c r="A21" s="260" t="s">
        <v>126</v>
      </c>
      <c r="B21" s="262" t="s">
        <v>127</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t="e">
        <f>MIN(B24,B18,C18,D18,E18)</f>
        <v>#DIV/0!</v>
      </c>
    </row>
    <row r="26" spans="1:5" x14ac:dyDescent="0.25">
      <c r="A26" s="243" t="s">
        <v>114</v>
      </c>
      <c r="B26" s="263"/>
    </row>
    <row r="27" spans="1:5" x14ac:dyDescent="0.25">
      <c r="A27" s="246" t="s">
        <v>115</v>
      </c>
      <c r="B27" s="26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f>
        <v>Exceptions and Adjustment Claimed for State Fiscal Year 2021</v>
      </c>
    </row>
    <row r="32" spans="1:5" x14ac:dyDescent="0.25">
      <c r="A32" s="2"/>
      <c r="B32" s="322" t="s">
        <v>147</v>
      </c>
      <c r="C32" s="4"/>
      <c r="D32" s="322" t="s">
        <v>151</v>
      </c>
      <c r="E32" s="4"/>
    </row>
    <row r="33" spans="1:5" x14ac:dyDescent="0.25">
      <c r="A33" s="218" t="s">
        <v>150</v>
      </c>
      <c r="B33" s="323" t="s">
        <v>154</v>
      </c>
      <c r="C33" s="324" t="s">
        <v>155</v>
      </c>
      <c r="D33" s="325" t="s">
        <v>152</v>
      </c>
      <c r="E33" s="324" t="s">
        <v>153</v>
      </c>
    </row>
    <row r="34" spans="1:5" x14ac:dyDescent="0.25">
      <c r="A34" s="224" t="s">
        <v>139</v>
      </c>
      <c r="B34" s="17">
        <f>'6. Year 1 Exc &amp; Adj'!F22</f>
        <v>0</v>
      </c>
      <c r="C34" s="258">
        <f>'6. Year 1 Exc &amp; Adj'!F22</f>
        <v>0</v>
      </c>
      <c r="D34" s="326">
        <f>'6. Year 1 Exc &amp; Adj'!M22</f>
        <v>0</v>
      </c>
      <c r="E34" s="17">
        <f>'6. Year 1 Exc &amp; Adj'!M22</f>
        <v>0</v>
      </c>
    </row>
    <row r="35" spans="1:5" x14ac:dyDescent="0.25">
      <c r="A35" s="224" t="s">
        <v>140</v>
      </c>
      <c r="B35" s="17" t="e">
        <f>'6. Year 1 Exc &amp; Adj'!B32</f>
        <v>#N/A</v>
      </c>
      <c r="C35" s="258" t="e">
        <f>'6. Year 1 Exc &amp; Adj'!C32</f>
        <v>#N/A</v>
      </c>
      <c r="D35" s="326" t="e">
        <f>'6. Year 1 Exc &amp; Adj'!I32</f>
        <v>#DIV/0!</v>
      </c>
      <c r="E35" s="258" t="e">
        <f>'6. Year 1 Exc &amp; Adj'!J32</f>
        <v>#DIV/0!</v>
      </c>
    </row>
    <row r="36" spans="1:5" x14ac:dyDescent="0.25">
      <c r="A36" s="224" t="s">
        <v>141</v>
      </c>
      <c r="B36" s="17">
        <f>'6. Year 1 Exc &amp; Adj'!C43</f>
        <v>0</v>
      </c>
      <c r="C36" s="258">
        <f>'6. Year 1 Exc &amp; Adj'!C43</f>
        <v>0</v>
      </c>
      <c r="D36" s="326">
        <f>'6. Year 1 Exc &amp; Adj'!J43</f>
        <v>0</v>
      </c>
      <c r="E36" s="17">
        <f>'6. Year 1 Exc &amp; Adj'!J43</f>
        <v>0</v>
      </c>
    </row>
    <row r="37" spans="1:5" x14ac:dyDescent="0.25">
      <c r="A37" s="224" t="s">
        <v>142</v>
      </c>
      <c r="B37" s="17">
        <f>'6. Year 1 Exc &amp; Adj'!B53</f>
        <v>0</v>
      </c>
      <c r="C37" s="258">
        <f>'6. Year 1 Exc &amp; Adj'!B53</f>
        <v>0</v>
      </c>
      <c r="D37" s="326">
        <f>'6. Year 1 Exc &amp; Adj'!I53</f>
        <v>0</v>
      </c>
      <c r="E37" s="17">
        <f>'6. Year 1 Exc &amp; Adj'!I53</f>
        <v>0</v>
      </c>
    </row>
    <row r="38" spans="1:5" x14ac:dyDescent="0.25">
      <c r="A38" s="224" t="str">
        <f>IF('3b. High Cost Fund'!B3="No","This exception is not valid for your state.","Exception (e)")</f>
        <v>Exception (e)</v>
      </c>
      <c r="B38" s="331">
        <f>IF('3b. High Cost Fund'!B3="No","",'6. Year 1 Exc &amp; Adj'!B63)</f>
        <v>0</v>
      </c>
      <c r="C38" s="332">
        <f>IF('3b. High Cost Fund'!B3="No","",'6. Year 1 Exc &amp; Adj'!B63)</f>
        <v>0</v>
      </c>
      <c r="D38" s="326">
        <f>IF('3b. High Cost Fund'!B3="No","",'6. Year 1 Exc &amp; Adj'!I63)</f>
        <v>0</v>
      </c>
      <c r="E38" s="331">
        <f>IF('3b. High Cost Fund'!B3="No","",'6. Year 1 Exc &amp; Adj'!I63)</f>
        <v>0</v>
      </c>
    </row>
    <row r="39" spans="1:5" x14ac:dyDescent="0.25">
      <c r="A39" s="224" t="s">
        <v>143</v>
      </c>
      <c r="B39" s="17">
        <f>AdjDataYear1Budget[Projected Adjustment]</f>
        <v>0</v>
      </c>
      <c r="C39" s="17">
        <f>AdjDataYear1Budget[Projected Adjustment]</f>
        <v>0</v>
      </c>
      <c r="D39" s="327">
        <f>AdjDataYear1Expenditures[[Adjustment ]]</f>
        <v>0</v>
      </c>
      <c r="E39" s="17">
        <f>AdjDataYear1Expenditures[[Adjustment ]]</f>
        <v>0</v>
      </c>
    </row>
    <row r="40" spans="1:5" x14ac:dyDescent="0.25">
      <c r="A40" s="246" t="s">
        <v>124</v>
      </c>
      <c r="B40" s="328" t="e">
        <f>SUM(B34:B39)</f>
        <v>#N/A</v>
      </c>
      <c r="C40" s="329" t="e">
        <f>SUM(C34:C39)</f>
        <v>#N/A</v>
      </c>
      <c r="D40" s="330" t="e">
        <f>SUM(D34:D39)</f>
        <v>#DIV/0!</v>
      </c>
      <c r="E40" s="329" t="e">
        <f>SUM(E34:E39)</f>
        <v>#DIV/0!</v>
      </c>
    </row>
    <row r="41" spans="1:5" ht="30"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NhfUGuUbTSCRwcjIKLcgiwH+1a2jKl81705eU0Hlol0Eofx1Jo5ZxP0oVZM6uu9mUkUWJsGyOE0QMGSz895v8w==" saltValue="vtrgvlFgwNn2pHwS4BgQIA==" spinCount="100000" sheet="1" objects="1" scenarios="1" formatColumns="0" formatRows="0"/>
  <mergeCells count="5">
    <mergeCell ref="A11:E11"/>
    <mergeCell ref="A19:E19"/>
    <mergeCell ref="A28:E28"/>
    <mergeCell ref="A30:E30"/>
    <mergeCell ref="A43:E43"/>
  </mergeCells>
  <conditionalFormatting sqref="B17:E17">
    <cfRule type="containsText" dxfId="214" priority="1" operator="containsText" text="Did Not Meet">
      <formula>NOT(ISERROR(SEARCH("Did Not Meet",B17)))</formula>
    </cfRule>
    <cfRule type="containsText" dxfId="213" priority="2" operator="containsText" text="Met">
      <formula>NOT(ISERROR(SEARCH("Met",B17)))</formula>
    </cfRule>
  </conditionalFormatting>
  <hyperlinks>
    <hyperlink ref="A29" location="'4. Multi-Year MOE Summary'!A4" display="Go to the Multi-Year MOE Summary" xr:uid="{00000000-0004-0000-0800-000000000000}"/>
    <hyperlink ref="A42" r:id="rId1" xr:uid="{00000000-0004-0000-08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pageSetUpPr autoPageBreaks="0"/>
  </sheetPr>
  <dimension ref="A1:N34"/>
  <sheetViews>
    <sheetView showGridLines="0" workbookViewId="0">
      <pane ySplit="4" topLeftCell="A5" activePane="bottomLeft" state="frozen"/>
      <selection activeCell="D21" sqref="D21"/>
      <selection pane="bottomLeft" activeCell="L5" sqref="L5"/>
    </sheetView>
  </sheetViews>
  <sheetFormatPr defaultColWidth="0" defaultRowHeight="15.75"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t="e">
        <f>VLOOKUP('2. Getting Started'!B3,'42. SEA or LEA Worksheet'!A4:Y324,25,0)</f>
        <v>#N/A</v>
      </c>
      <c r="D1" s="21" t="s">
        <v>14</v>
      </c>
      <c r="E1" s="20" t="str">
        <f>IF('2. Getting Started'!B2="","",'2. Getting Started'!B2)</f>
        <v/>
      </c>
      <c r="G1" s="661" t="s">
        <v>22</v>
      </c>
      <c r="H1" s="19" t="s">
        <v>49</v>
      </c>
      <c r="I1" s="48" t="e">
        <f>VLOOKUP('2. Getting Started'!B3,'42. SEA or LEA Worksheet'!A4:Y324,25,0)</f>
        <v>#N/A</v>
      </c>
      <c r="K1" s="21" t="s">
        <v>14</v>
      </c>
      <c r="L1" s="20" t="str">
        <f>IF('2. Getting Started'!B2="","",'2. Getting Started'!B2)</f>
        <v/>
      </c>
    </row>
    <row r="2" spans="1:13" s="25" customFormat="1" ht="37.9" customHeight="1" thickBot="1" x14ac:dyDescent="0.3">
      <c r="A2" s="22" t="str">
        <f>CONCATENATE("Eligibility Standard - State Fiscal Year ",'2. Getting Started'!B6+1," -  LEA Effort - Budgeted Amounts")</f>
        <v>Eligibility Standard - State Fiscal Year 2022 -  LEA Effort - Budgeted Amounts</v>
      </c>
      <c r="B2" s="23"/>
      <c r="C2" s="23"/>
      <c r="D2" s="23"/>
      <c r="E2" s="23"/>
      <c r="F2" s="24"/>
      <c r="G2" s="661"/>
      <c r="H2" s="22" t="str">
        <f>CONCATENATE("Compliance Standard - State Fiscal Year ",'2. Getting Started'!B6+1," - LEA Effort - Final Expenditures")</f>
        <v>Compliance Standard - State Fiscal Year 2022 - LEA Effort - Final Expenditures</v>
      </c>
      <c r="I2" s="23"/>
      <c r="J2" s="23"/>
      <c r="K2" s="23"/>
      <c r="L2" s="23"/>
      <c r="M2" s="24"/>
    </row>
    <row r="3" spans="1:13" s="25" customFormat="1" ht="24" customHeight="1" x14ac:dyDescent="0.25">
      <c r="A3" s="26"/>
      <c r="B3" s="27"/>
      <c r="D3" s="28" t="str">
        <f>CONCATENATE("SFY ",'2. Getting Started'!$B6+1," Budget")</f>
        <v>SFY 2022 Budget</v>
      </c>
      <c r="E3" s="29"/>
      <c r="F3" s="30"/>
      <c r="G3" s="661"/>
      <c r="H3" s="26"/>
      <c r="I3" s="27"/>
      <c r="J3" s="31"/>
      <c r="K3" s="28" t="str">
        <f>CONCATENATE("SFY ",'2. Getting Started'!$B6+1," Final Expenditures")</f>
        <v>SFY 2022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x14ac:dyDescent="0.25">
      <c r="A5" s="49"/>
      <c r="B5" s="50"/>
      <c r="C5" s="51"/>
      <c r="D5" s="52">
        <v>0</v>
      </c>
      <c r="E5" s="52">
        <v>0</v>
      </c>
      <c r="F5" s="38">
        <f>IF(AND(D5="",E5=""),"",SUM(D5:E5))</f>
        <v>0</v>
      </c>
      <c r="G5" s="661"/>
      <c r="H5" s="49"/>
      <c r="I5" s="50"/>
      <c r="J5" s="51"/>
      <c r="K5" s="52">
        <f>IFERROR(VLOOKUP('2. Getting Started'!B3,'42. SEA or LEA Worksheet'!A4:Z324,26,0),0)</f>
        <v>0</v>
      </c>
      <c r="L5" s="52">
        <f>IFERROR(VLOOKUP('2. Getting Started'!B3,'42. SEA or LEA Worksheet'!A4:AA324,27,0),0)</f>
        <v>0</v>
      </c>
      <c r="M5" s="38">
        <f>IF(AND(K5="",L5=""),"",SUM(K5:L5))</f>
        <v>0</v>
      </c>
    </row>
    <row r="6" spans="1:13" x14ac:dyDescent="0.25">
      <c r="A6" s="49"/>
      <c r="B6" s="50"/>
      <c r="C6" s="51"/>
      <c r="D6" s="52"/>
      <c r="E6" s="52"/>
      <c r="F6" s="38" t="str">
        <f t="shared" ref="F6:F29" si="0">IF(AND(D6="",E6=""),"",SUM(D6:E6))</f>
        <v/>
      </c>
      <c r="G6" s="661"/>
      <c r="H6" s="49"/>
      <c r="I6" s="50"/>
      <c r="J6" s="51"/>
      <c r="K6" s="52"/>
      <c r="L6" s="52">
        <f>IFERROR(VLOOKUP('2. Getting Started'!B4,'42. SEA or LEA Worksheet'!A5:AA325,27,0),0)</f>
        <v>0</v>
      </c>
      <c r="M6" s="38">
        <f t="shared" ref="M6:M29" si="1">IF(AND(K6="",L6=""),"",SUM(K6:L6))</f>
        <v>0</v>
      </c>
    </row>
    <row r="7" spans="1:13" x14ac:dyDescent="0.25">
      <c r="A7" s="49"/>
      <c r="B7" s="50"/>
      <c r="C7" s="51"/>
      <c r="D7" s="52"/>
      <c r="E7" s="52"/>
      <c r="F7" s="38" t="str">
        <f t="shared" si="0"/>
        <v/>
      </c>
      <c r="G7" s="661"/>
      <c r="H7" s="49"/>
      <c r="I7" s="50"/>
      <c r="J7" s="51"/>
      <c r="K7" s="52"/>
      <c r="L7" s="52">
        <f>IFERROR(VLOOKUP('2. Getting Started'!B5,'42. SEA or LEA Worksheet'!A6:AA326,27,0),0)</f>
        <v>0</v>
      </c>
      <c r="M7" s="38">
        <f t="shared" si="1"/>
        <v>0</v>
      </c>
    </row>
    <row r="8" spans="1:13" x14ac:dyDescent="0.25">
      <c r="A8" s="49"/>
      <c r="B8" s="50"/>
      <c r="C8" s="51"/>
      <c r="D8" s="52"/>
      <c r="E8" s="52"/>
      <c r="F8" s="38" t="str">
        <f t="shared" si="0"/>
        <v/>
      </c>
      <c r="G8" s="661"/>
      <c r="H8" s="49"/>
      <c r="I8" s="50"/>
      <c r="J8" s="51"/>
      <c r="K8" s="52"/>
      <c r="L8" s="52">
        <f>IFERROR(VLOOKUP('2. Getting Started'!B6,'42. SEA or LEA Worksheet'!A7:AA327,27,0),0)</f>
        <v>0</v>
      </c>
      <c r="M8" s="38">
        <f t="shared" si="1"/>
        <v>0</v>
      </c>
    </row>
    <row r="9" spans="1:13" x14ac:dyDescent="0.25">
      <c r="A9" s="49"/>
      <c r="B9" s="50"/>
      <c r="C9" s="51"/>
      <c r="D9" s="52"/>
      <c r="E9" s="52"/>
      <c r="F9" s="38" t="str">
        <f t="shared" si="0"/>
        <v/>
      </c>
      <c r="G9" s="661"/>
      <c r="H9" s="49"/>
      <c r="I9" s="50"/>
      <c r="J9" s="51"/>
      <c r="K9" s="52"/>
      <c r="L9" s="52">
        <f>IFERROR(VLOOKUP('2. Getting Started'!B7,'42. SEA or LEA Worksheet'!A8:AA328,27,0),0)</f>
        <v>0</v>
      </c>
      <c r="M9" s="38">
        <f t="shared" si="1"/>
        <v>0</v>
      </c>
    </row>
    <row r="10" spans="1:13" x14ac:dyDescent="0.25">
      <c r="A10" s="49"/>
      <c r="B10" s="50"/>
      <c r="C10" s="51"/>
      <c r="D10" s="52"/>
      <c r="E10" s="52"/>
      <c r="F10" s="38" t="str">
        <f t="shared" si="0"/>
        <v/>
      </c>
      <c r="G10" s="661"/>
      <c r="H10" s="49"/>
      <c r="I10" s="50"/>
      <c r="J10" s="51"/>
      <c r="K10" s="52"/>
      <c r="L10" s="52">
        <f>IFERROR(VLOOKUP('2. Getting Started'!B8,'42. SEA or LEA Worksheet'!A9:AA329,27,0),0)</f>
        <v>0</v>
      </c>
      <c r="M10" s="38">
        <f t="shared" si="1"/>
        <v>0</v>
      </c>
    </row>
    <row r="11" spans="1:13" x14ac:dyDescent="0.25">
      <c r="A11" s="49"/>
      <c r="B11" s="50"/>
      <c r="C11" s="51"/>
      <c r="D11" s="52"/>
      <c r="E11" s="52"/>
      <c r="F11" s="38" t="str">
        <f t="shared" si="0"/>
        <v/>
      </c>
      <c r="G11" s="661"/>
      <c r="H11" s="49"/>
      <c r="I11" s="50"/>
      <c r="J11" s="51"/>
      <c r="K11" s="52"/>
      <c r="L11" s="52">
        <f>IFERROR(VLOOKUP('2. Getting Started'!B9,'42. SEA or LEA Worksheet'!A10:AA330,27,0),0)</f>
        <v>0</v>
      </c>
      <c r="M11" s="38">
        <f t="shared" si="1"/>
        <v>0</v>
      </c>
    </row>
    <row r="12" spans="1:13" x14ac:dyDescent="0.25">
      <c r="A12" s="49"/>
      <c r="B12" s="50"/>
      <c r="C12" s="51"/>
      <c r="D12" s="52"/>
      <c r="E12" s="52"/>
      <c r="F12" s="38" t="str">
        <f t="shared" si="0"/>
        <v/>
      </c>
      <c r="G12" s="661"/>
      <c r="H12" s="49"/>
      <c r="I12" s="50"/>
      <c r="J12" s="51"/>
      <c r="K12" s="52"/>
      <c r="L12" s="52">
        <f>IFERROR(VLOOKUP('2. Getting Started'!B10,'42. SEA or LEA Worksheet'!A11:AA331,27,0),0)</f>
        <v>0</v>
      </c>
      <c r="M12" s="38">
        <f t="shared" si="1"/>
        <v>0</v>
      </c>
    </row>
    <row r="13" spans="1:13" x14ac:dyDescent="0.25">
      <c r="A13" s="49"/>
      <c r="B13" s="50"/>
      <c r="C13" s="51"/>
      <c r="D13" s="52"/>
      <c r="E13" s="52"/>
      <c r="F13" s="38" t="str">
        <f t="shared" si="0"/>
        <v/>
      </c>
      <c r="G13" s="661"/>
      <c r="H13" s="49"/>
      <c r="I13" s="50"/>
      <c r="J13" s="51"/>
      <c r="K13" s="52"/>
      <c r="L13" s="52">
        <f>IFERROR(VLOOKUP('2. Getting Started'!B11,'42. SEA or LEA Worksheet'!A12:AA332,27,0),0)</f>
        <v>0</v>
      </c>
      <c r="M13" s="38">
        <f t="shared" si="1"/>
        <v>0</v>
      </c>
    </row>
    <row r="14" spans="1:13" x14ac:dyDescent="0.25">
      <c r="A14" s="49"/>
      <c r="B14" s="50"/>
      <c r="C14" s="51"/>
      <c r="D14" s="52"/>
      <c r="E14" s="52"/>
      <c r="F14" s="38" t="str">
        <f t="shared" si="0"/>
        <v/>
      </c>
      <c r="G14" s="661"/>
      <c r="H14" s="49"/>
      <c r="I14" s="50"/>
      <c r="J14" s="51"/>
      <c r="K14" s="52"/>
      <c r="L14" s="52">
        <f>IFERROR(VLOOKUP('2. Getting Started'!B12,'42. SEA or LEA Worksheet'!A13:AA333,27,0),0)</f>
        <v>0</v>
      </c>
      <c r="M14" s="38">
        <f t="shared" si="1"/>
        <v>0</v>
      </c>
    </row>
    <row r="15" spans="1:13" x14ac:dyDescent="0.25">
      <c r="A15" s="49"/>
      <c r="B15" s="50"/>
      <c r="C15" s="51"/>
      <c r="D15" s="52"/>
      <c r="E15" s="52"/>
      <c r="F15" s="38" t="str">
        <f t="shared" si="0"/>
        <v/>
      </c>
      <c r="G15" s="661"/>
      <c r="H15" s="49"/>
      <c r="I15" s="50"/>
      <c r="J15" s="51"/>
      <c r="K15" s="52"/>
      <c r="L15" s="52">
        <f>IFERROR(VLOOKUP('2. Getting Started'!B13,'42. SEA or LEA Worksheet'!A14:AA334,27,0),0)</f>
        <v>0</v>
      </c>
      <c r="M15" s="38">
        <f t="shared" si="1"/>
        <v>0</v>
      </c>
    </row>
    <row r="16" spans="1:13" x14ac:dyDescent="0.25">
      <c r="A16" s="49"/>
      <c r="B16" s="50"/>
      <c r="C16" s="51"/>
      <c r="D16" s="52"/>
      <c r="E16" s="52"/>
      <c r="F16" s="38" t="str">
        <f t="shared" si="0"/>
        <v/>
      </c>
      <c r="G16" s="661"/>
      <c r="H16" s="49"/>
      <c r="I16" s="50"/>
      <c r="J16" s="51"/>
      <c r="K16" s="52"/>
      <c r="L16" s="52">
        <f>IFERROR(VLOOKUP('2. Getting Started'!B14,'42. SEA or LEA Worksheet'!A15:AA335,27,0),0)</f>
        <v>0</v>
      </c>
      <c r="M16" s="38">
        <f t="shared" si="1"/>
        <v>0</v>
      </c>
    </row>
    <row r="17" spans="1:13" x14ac:dyDescent="0.25">
      <c r="A17" s="49"/>
      <c r="B17" s="50"/>
      <c r="C17" s="51"/>
      <c r="D17" s="52"/>
      <c r="E17" s="52"/>
      <c r="F17" s="38" t="str">
        <f t="shared" si="0"/>
        <v/>
      </c>
      <c r="G17" s="661"/>
      <c r="H17" s="49"/>
      <c r="I17" s="50"/>
      <c r="J17" s="51"/>
      <c r="K17" s="52"/>
      <c r="L17" s="52">
        <f>IFERROR(VLOOKUP('2. Getting Started'!B15,'42. SEA or LEA Worksheet'!A16:AA336,27,0),0)</f>
        <v>0</v>
      </c>
      <c r="M17" s="38">
        <f t="shared" si="1"/>
        <v>0</v>
      </c>
    </row>
    <row r="18" spans="1:13" x14ac:dyDescent="0.25">
      <c r="A18" s="49"/>
      <c r="B18" s="50"/>
      <c r="C18" s="51"/>
      <c r="D18" s="52"/>
      <c r="E18" s="52"/>
      <c r="F18" s="38" t="str">
        <f t="shared" si="0"/>
        <v/>
      </c>
      <c r="G18" s="661"/>
      <c r="H18" s="49"/>
      <c r="I18" s="50"/>
      <c r="J18" s="51"/>
      <c r="K18" s="52"/>
      <c r="L18" s="52">
        <f>IFERROR(VLOOKUP('2. Getting Started'!B16,'42. SEA or LEA Worksheet'!A17:AA337,27,0),0)</f>
        <v>0</v>
      </c>
      <c r="M18" s="38">
        <f t="shared" si="1"/>
        <v>0</v>
      </c>
    </row>
    <row r="19" spans="1:13" x14ac:dyDescent="0.25">
      <c r="A19" s="49"/>
      <c r="B19" s="50"/>
      <c r="C19" s="51"/>
      <c r="D19" s="52"/>
      <c r="E19" s="52"/>
      <c r="F19" s="38" t="str">
        <f t="shared" si="0"/>
        <v/>
      </c>
      <c r="G19" s="661"/>
      <c r="H19" s="49"/>
      <c r="I19" s="50"/>
      <c r="J19" s="51"/>
      <c r="K19" s="52"/>
      <c r="L19" s="52">
        <f>IFERROR(VLOOKUP('2. Getting Started'!B17,'42. SEA or LEA Worksheet'!A18:AA338,27,0),0)</f>
        <v>0</v>
      </c>
      <c r="M19" s="38">
        <f t="shared" si="1"/>
        <v>0</v>
      </c>
    </row>
    <row r="20" spans="1:13" x14ac:dyDescent="0.25">
      <c r="A20" s="49"/>
      <c r="B20" s="50"/>
      <c r="C20" s="51"/>
      <c r="D20" s="52"/>
      <c r="E20" s="52"/>
      <c r="F20" s="38" t="str">
        <f t="shared" si="0"/>
        <v/>
      </c>
      <c r="G20" s="661"/>
      <c r="H20" s="49"/>
      <c r="I20" s="50"/>
      <c r="J20" s="51"/>
      <c r="K20" s="52"/>
      <c r="L20" s="52">
        <f>IFERROR(VLOOKUP('2. Getting Started'!B18,'42. SEA or LEA Worksheet'!A19:AA339,27,0),0)</f>
        <v>0</v>
      </c>
      <c r="M20" s="38">
        <f t="shared" si="1"/>
        <v>0</v>
      </c>
    </row>
    <row r="21" spans="1:13" x14ac:dyDescent="0.25">
      <c r="A21" s="49"/>
      <c r="B21" s="50"/>
      <c r="C21" s="51"/>
      <c r="D21" s="52"/>
      <c r="E21" s="52"/>
      <c r="F21" s="38" t="str">
        <f t="shared" si="0"/>
        <v/>
      </c>
      <c r="G21" s="661"/>
      <c r="H21" s="49"/>
      <c r="I21" s="50"/>
      <c r="J21" s="51"/>
      <c r="K21" s="52"/>
      <c r="L21" s="52">
        <f>IFERROR(VLOOKUP('2. Getting Started'!B19,'42. SEA or LEA Worksheet'!A20:AA340,27,0),0)</f>
        <v>0</v>
      </c>
      <c r="M21" s="38">
        <f t="shared" si="1"/>
        <v>0</v>
      </c>
    </row>
    <row r="22" spans="1:13" x14ac:dyDescent="0.25">
      <c r="A22" s="49"/>
      <c r="B22" s="50"/>
      <c r="C22" s="51"/>
      <c r="D22" s="52"/>
      <c r="E22" s="52"/>
      <c r="F22" s="38" t="str">
        <f t="shared" si="0"/>
        <v/>
      </c>
      <c r="G22" s="661"/>
      <c r="H22" s="49"/>
      <c r="I22" s="50"/>
      <c r="J22" s="51"/>
      <c r="K22" s="52"/>
      <c r="L22" s="52">
        <f>IFERROR(VLOOKUP('2. Getting Started'!B20,'42. SEA or LEA Worksheet'!A21:AA341,27,0),0)</f>
        <v>0</v>
      </c>
      <c r="M22" s="38">
        <f t="shared" si="1"/>
        <v>0</v>
      </c>
    </row>
    <row r="23" spans="1:13" x14ac:dyDescent="0.25">
      <c r="A23" s="49"/>
      <c r="B23" s="50"/>
      <c r="C23" s="51"/>
      <c r="D23" s="52"/>
      <c r="E23" s="52"/>
      <c r="F23" s="38" t="str">
        <f t="shared" si="0"/>
        <v/>
      </c>
      <c r="G23" s="661"/>
      <c r="H23" s="49"/>
      <c r="I23" s="50"/>
      <c r="J23" s="51"/>
      <c r="K23" s="52"/>
      <c r="L23" s="52">
        <f>IFERROR(VLOOKUP('2. Getting Started'!B21,'42. SEA or LEA Worksheet'!A22:AA342,27,0),0)</f>
        <v>0</v>
      </c>
      <c r="M23" s="38">
        <f t="shared" si="1"/>
        <v>0</v>
      </c>
    </row>
    <row r="24" spans="1:13" x14ac:dyDescent="0.25">
      <c r="A24" s="49"/>
      <c r="B24" s="50"/>
      <c r="C24" s="51"/>
      <c r="D24" s="52"/>
      <c r="E24" s="52"/>
      <c r="F24" s="38" t="str">
        <f t="shared" si="0"/>
        <v/>
      </c>
      <c r="G24" s="661"/>
      <c r="H24" s="49"/>
      <c r="I24" s="50"/>
      <c r="J24" s="51"/>
      <c r="K24" s="52"/>
      <c r="L24" s="52">
        <f>IFERROR(VLOOKUP('2. Getting Started'!B22,'42. SEA or LEA Worksheet'!A23:AA343,27,0),0)</f>
        <v>0</v>
      </c>
      <c r="M24" s="38">
        <f t="shared" si="1"/>
        <v>0</v>
      </c>
    </row>
    <row r="25" spans="1:13" x14ac:dyDescent="0.25">
      <c r="A25" s="49"/>
      <c r="B25" s="50"/>
      <c r="C25" s="51"/>
      <c r="D25" s="52"/>
      <c r="E25" s="52"/>
      <c r="F25" s="38" t="str">
        <f t="shared" si="0"/>
        <v/>
      </c>
      <c r="G25" s="661"/>
      <c r="H25" s="49"/>
      <c r="I25" s="50"/>
      <c r="J25" s="51"/>
      <c r="K25" s="52"/>
      <c r="L25" s="52">
        <f>IFERROR(VLOOKUP('2. Getting Started'!B23,'42. SEA or LEA Worksheet'!A24:AA344,27,0),0)</f>
        <v>0</v>
      </c>
      <c r="M25" s="38">
        <f t="shared" si="1"/>
        <v>0</v>
      </c>
    </row>
    <row r="26" spans="1:13" x14ac:dyDescent="0.25">
      <c r="A26" s="49"/>
      <c r="B26" s="50"/>
      <c r="C26" s="51"/>
      <c r="D26" s="52"/>
      <c r="E26" s="52"/>
      <c r="F26" s="38" t="str">
        <f t="shared" si="0"/>
        <v/>
      </c>
      <c r="G26" s="661"/>
      <c r="H26" s="49"/>
      <c r="I26" s="50"/>
      <c r="J26" s="51"/>
      <c r="K26" s="52"/>
      <c r="L26" s="52">
        <f>IFERROR(VLOOKUP('2. Getting Started'!B24,'42. SEA or LEA Worksheet'!A25:AA345,27,0),0)</f>
        <v>0</v>
      </c>
      <c r="M26" s="38">
        <f t="shared" si="1"/>
        <v>0</v>
      </c>
    </row>
    <row r="27" spans="1:13" x14ac:dyDescent="0.25">
      <c r="A27" s="49"/>
      <c r="B27" s="50"/>
      <c r="C27" s="51"/>
      <c r="D27" s="52"/>
      <c r="E27" s="52"/>
      <c r="F27" s="38" t="str">
        <f t="shared" si="0"/>
        <v/>
      </c>
      <c r="G27" s="661"/>
      <c r="H27" s="49"/>
      <c r="I27" s="50"/>
      <c r="J27" s="51"/>
      <c r="K27" s="52"/>
      <c r="L27" s="52">
        <f>IFERROR(VLOOKUP('2. Getting Started'!B25,'42. SEA or LEA Worksheet'!A26:AA346,27,0),0)</f>
        <v>0</v>
      </c>
      <c r="M27" s="38">
        <f t="shared" si="1"/>
        <v>0</v>
      </c>
    </row>
    <row r="28" spans="1:13" x14ac:dyDescent="0.25">
      <c r="A28" s="49"/>
      <c r="B28" s="50"/>
      <c r="C28" s="51"/>
      <c r="D28" s="52"/>
      <c r="E28" s="52"/>
      <c r="F28" s="38" t="str">
        <f t="shared" si="0"/>
        <v/>
      </c>
      <c r="G28" s="661"/>
      <c r="H28" s="49"/>
      <c r="I28" s="50"/>
      <c r="J28" s="51"/>
      <c r="K28" s="52"/>
      <c r="L28" s="52">
        <f>IFERROR(VLOOKUP('2. Getting Started'!B26,'42. SEA or LEA Worksheet'!A27:AA347,27,0),0)</f>
        <v>0</v>
      </c>
      <c r="M28" s="38">
        <f t="shared" si="1"/>
        <v>0</v>
      </c>
    </row>
    <row r="29" spans="1:13" ht="16.5" thickBot="1" x14ac:dyDescent="0.3">
      <c r="A29" s="53"/>
      <c r="B29" s="54"/>
      <c r="C29" s="55"/>
      <c r="D29" s="56"/>
      <c r="E29" s="56"/>
      <c r="F29" s="38" t="str">
        <f t="shared" si="0"/>
        <v/>
      </c>
      <c r="G29" s="661"/>
      <c r="H29" s="53"/>
      <c r="I29" s="54"/>
      <c r="J29" s="55"/>
      <c r="K29" s="56"/>
      <c r="L29" s="56">
        <f>IFERROR(VLOOKUP('2. Getting Started'!B27,'42. SEA or LEA Worksheet'!A28:AA348,27,0),0)</f>
        <v>0</v>
      </c>
      <c r="M29" s="38">
        <f t="shared" si="1"/>
        <v>0</v>
      </c>
    </row>
    <row r="30" spans="1:13" ht="19.5" thickBot="1" x14ac:dyDescent="0.3">
      <c r="A30" s="39"/>
      <c r="B30" s="40"/>
      <c r="C30" s="41" t="s">
        <v>56</v>
      </c>
      <c r="D30" s="42">
        <f>IF(AND(D5="",D6="",D7="",D8="",D9="",D10="",D11="",D12="",D13="",D14="",D15="",D16="",D17="",D18="",D19="",D20="",D21="",D22="",D23="",D24="",D25="",D26="",D27="",D28="",D29=""),"",SUM(D5:D29))</f>
        <v>0</v>
      </c>
      <c r="E30" s="43"/>
      <c r="F30" s="42">
        <f>IF(AND(F5="",F6="",F7="",F8="",F9="",F10="",F11="",F12="",F13="",F14="",F15="",F16="",F17="",F18="",F19="",F20="",F21="",F22="",F23="",F24="",F25="",F26="",F27="",F28="",F29=""),"",SUM(F5:F29))</f>
        <v>0</v>
      </c>
      <c r="G30" s="661"/>
      <c r="H30" s="39"/>
      <c r="I30" s="40"/>
      <c r="J30" s="41" t="s">
        <v>56</v>
      </c>
      <c r="K30" s="42">
        <f>IF(AND(K5="",K6="",K7="",K8="",K9="",K10="",K11="",K12="",K13="",K14="",K15="",K16="",K17="",K18="",K19="",K20="",K21="",K22="",K23="",K24="",K25="",K26="",K27="",K28="",K29=""),"",SUM(K5:K29))</f>
        <v>0</v>
      </c>
      <c r="L30" s="43"/>
      <c r="M30" s="42">
        <f>IF(AND(M5="",M6="",M7="",M8="",M9="",M10="",M11="",M12="",M13="",M14="",M15="",M16="",M17="",M18="",M19="",M20="",M21="",M22="",M23="",M24="",M25="",M26="",M27="",M28="",M29=""),"",SUM(M5:M29))</f>
        <v>0</v>
      </c>
    </row>
    <row r="31" spans="1:13" ht="19.5" thickBot="1" x14ac:dyDescent="0.3">
      <c r="A31" s="39"/>
      <c r="B31" s="39"/>
      <c r="C31" s="44" t="s">
        <v>57</v>
      </c>
      <c r="D31" s="42" t="e">
        <f>IF(OR($B1="",D30=""),"",(D30/$B1))</f>
        <v>#N/A</v>
      </c>
      <c r="E31" s="39"/>
      <c r="F31" s="42" t="e">
        <f>IF(OR($B1="",F30=""),"",(F30/$B1))</f>
        <v>#N/A</v>
      </c>
      <c r="G31" s="661"/>
      <c r="H31" s="39"/>
      <c r="I31" s="39"/>
      <c r="J31" s="44" t="s">
        <v>57</v>
      </c>
      <c r="K31" s="42" t="e">
        <f>IF(OR($I1="",K30=""),"",(K30/$I1))</f>
        <v>#N/A</v>
      </c>
      <c r="L31" s="39"/>
      <c r="M31" s="42" t="e">
        <f>IF(OR($I1="",M30=""),"",(M30/$I1))</f>
        <v>#N/A</v>
      </c>
    </row>
    <row r="32" spans="1:13" s="25" customFormat="1" ht="18.75" x14ac:dyDescent="0.2">
      <c r="A32" s="345" t="s">
        <v>184</v>
      </c>
      <c r="B32" s="45"/>
      <c r="C32" s="45"/>
      <c r="D32" s="45"/>
      <c r="E32" s="45"/>
      <c r="F32" s="45"/>
      <c r="G32" s="45"/>
      <c r="H32" s="45"/>
      <c r="I32" s="45"/>
      <c r="J32" s="45"/>
      <c r="K32" s="45"/>
      <c r="L32" s="45"/>
      <c r="M32" s="45"/>
    </row>
    <row r="33" spans="1:13" s="47" customFormat="1"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sheetData>
  <sheetProtection algorithmName="SHA-512" hashValue="Mq2UZGip0P4LBf4u8mHJfSebKdHadLKMrPJ0Czpt7/dyF1a4iGwkhFoa6WY27rn6FZIYwk3KQD4HNDSZ7jG1gw==" saltValue="TEgk09RFmo3I8Q6OitG/pg=="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900-000000000000}"/>
    <dataValidation allowBlank="1" showInputMessage="1" showErrorMessage="1" prompt="Don't forget to enter Child Count in Cell I1." sqref="H5" xr:uid="{00000000-0002-0000-0900-000001000000}"/>
  </dataValidations>
  <hyperlinks>
    <hyperlink ref="A33" r:id="rId1" xr:uid="{00000000-0004-0000-0900-000000000000}"/>
  </hyperlinks>
  <pageMargins left="0.75" right="0.75" top="1" bottom="1" header="0.5" footer="0.5"/>
  <pageSetup orientation="portrait" horizontalDpi="4294967292" verticalDpi="4294967292" r:id="rId2"/>
  <tableParts count="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5"/>
    <pageSetUpPr autoPageBreaks="0"/>
  </sheetPr>
  <dimension ref="A1:AB75"/>
  <sheetViews>
    <sheetView showGridLines="0" zoomScale="90" zoomScaleNormal="90" zoomScalePageLayoutView="90" workbookViewId="0">
      <pane ySplit="3" topLeftCell="A8" activePane="bottomLeft" state="frozen"/>
      <selection activeCell="D21" sqref="D21"/>
      <selection pane="bottomLeft" activeCell="I26" sqref="I26"/>
    </sheetView>
  </sheetViews>
  <sheetFormatPr defaultColWidth="0" defaultRowHeight="15.75"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x14ac:dyDescent="0.25">
      <c r="A1" s="57" t="s">
        <v>58</v>
      </c>
      <c r="D1" s="59" t="s">
        <v>14</v>
      </c>
      <c r="E1" s="10" t="str">
        <f>IF('2. Getting Started'!$B2="","",'2. Getting Started'!$B2)</f>
        <v/>
      </c>
      <c r="G1" s="667" t="s">
        <v>174</v>
      </c>
      <c r="K1" s="59" t="s">
        <v>14</v>
      </c>
      <c r="L1" s="10" t="str">
        <f>IF('2. Getting Started'!$B2="","",'2. Getting Started'!$B2)</f>
        <v/>
      </c>
    </row>
    <row r="2" spans="1:20" ht="25.9" customHeight="1" thickBot="1" x14ac:dyDescent="0.3">
      <c r="A2" s="338" t="s">
        <v>170</v>
      </c>
      <c r="D2" s="59"/>
      <c r="E2" s="10"/>
      <c r="G2" s="667"/>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Started'!B6+1," Budget")</f>
        <v>Eligibility Standard -- Exceptions to MOE as Permitted by 34 CFR §300.204 and Adjustment to MOE as Permitted by 34 CFR §300.205 -- Projections for State Fiscal Year 2022 Budget</v>
      </c>
      <c r="B3" s="61"/>
      <c r="C3" s="61"/>
      <c r="D3" s="61"/>
      <c r="E3" s="61"/>
      <c r="F3" s="62"/>
      <c r="G3" s="667"/>
      <c r="H3" s="60" t="str">
        <f>CONCATENATE("Compliance Standard -- Exceptions to MOE as Permitted by 34 CFR §300.204 and Adjustment to MOE as Permitted by 34 CFR §300.205 -- Final Expenditures for  State Fiscal Year ",'2. Getting Started'!B6+1)</f>
        <v>Compliance Standard -- Exceptions to MOE as Permitted by 34 CFR §300.204 and Adjustment to MOE as Permitted by 34 CFR §300.205 -- Final Expenditures for  State Fiscal Year 2022</v>
      </c>
      <c r="I3" s="61"/>
      <c r="J3" s="61"/>
      <c r="K3" s="61"/>
      <c r="L3" s="61"/>
      <c r="M3" s="62"/>
      <c r="O3" s="64"/>
      <c r="P3" s="64"/>
      <c r="Q3" s="64"/>
      <c r="R3" s="64"/>
      <c r="S3" s="64"/>
      <c r="T3" s="64"/>
    </row>
    <row r="4" spans="1:20" x14ac:dyDescent="0.25">
      <c r="A4" s="65" t="s">
        <v>59</v>
      </c>
      <c r="B4" s="66"/>
      <c r="C4" s="67"/>
      <c r="D4" s="67"/>
      <c r="E4" s="67"/>
      <c r="F4" s="68"/>
      <c r="G4" s="667"/>
      <c r="H4" s="65" t="s">
        <v>59</v>
      </c>
      <c r="I4" s="66"/>
      <c r="J4" s="67"/>
      <c r="K4" s="67"/>
      <c r="L4" s="67"/>
      <c r="M4" s="68"/>
      <c r="N4" s="70"/>
      <c r="O4" s="70"/>
      <c r="P4" s="70"/>
      <c r="Q4" s="70"/>
      <c r="R4" s="70"/>
      <c r="S4" s="70"/>
    </row>
    <row r="5" spans="1:20" x14ac:dyDescent="0.25">
      <c r="A5" s="71" t="s">
        <v>60</v>
      </c>
      <c r="B5" s="72"/>
      <c r="C5" s="69"/>
      <c r="D5" s="69"/>
      <c r="E5" s="69"/>
      <c r="F5" s="73"/>
      <c r="G5" s="667"/>
      <c r="H5" s="71" t="s">
        <v>60</v>
      </c>
      <c r="I5" s="72"/>
      <c r="J5" s="69"/>
      <c r="K5" s="69"/>
      <c r="L5" s="69"/>
      <c r="M5" s="73"/>
      <c r="N5" s="74"/>
      <c r="O5" s="74"/>
      <c r="P5" s="74"/>
      <c r="Q5" s="74"/>
      <c r="R5" s="74"/>
    </row>
    <row r="6" spans="1:20" ht="35.65" customHeight="1" thickBot="1" x14ac:dyDescent="0.3">
      <c r="A6" s="75" t="s">
        <v>61</v>
      </c>
      <c r="B6" s="76"/>
      <c r="C6" s="76"/>
      <c r="D6" s="76"/>
      <c r="E6" s="76"/>
      <c r="F6" s="77"/>
      <c r="G6" s="667"/>
      <c r="H6" s="75" t="s">
        <v>61</v>
      </c>
      <c r="I6" s="76"/>
      <c r="J6" s="76"/>
      <c r="K6" s="76"/>
      <c r="L6" s="76"/>
      <c r="M6" s="77"/>
      <c r="N6" s="74"/>
      <c r="O6" s="74"/>
      <c r="P6" s="74"/>
      <c r="Q6" s="74"/>
      <c r="R6" s="74"/>
      <c r="S6" s="74"/>
    </row>
    <row r="7" spans="1:20" x14ac:dyDescent="0.25">
      <c r="A7" s="78" t="s">
        <v>62</v>
      </c>
      <c r="B7" s="79" t="s">
        <v>63</v>
      </c>
      <c r="C7" s="80" t="s">
        <v>64</v>
      </c>
      <c r="D7" s="80" t="s">
        <v>65</v>
      </c>
      <c r="E7" s="81" t="s">
        <v>66</v>
      </c>
      <c r="F7" s="82" t="s">
        <v>67</v>
      </c>
      <c r="G7" s="667"/>
      <c r="H7" s="78" t="s">
        <v>62</v>
      </c>
      <c r="I7" s="79" t="s">
        <v>63</v>
      </c>
      <c r="J7" s="80" t="s">
        <v>64</v>
      </c>
      <c r="K7" s="80" t="s">
        <v>65</v>
      </c>
      <c r="L7" s="81" t="s">
        <v>66</v>
      </c>
      <c r="M7" s="82" t="s">
        <v>68</v>
      </c>
      <c r="N7" s="74"/>
      <c r="O7" s="74"/>
    </row>
    <row r="8" spans="1:20" x14ac:dyDescent="0.25">
      <c r="A8" s="186"/>
      <c r="B8" s="187"/>
      <c r="C8" s="187"/>
      <c r="D8" s="188"/>
      <c r="E8" s="188"/>
      <c r="F8" s="84">
        <f>D8+E8</f>
        <v>0</v>
      </c>
      <c r="G8" s="667"/>
      <c r="H8" s="186"/>
      <c r="I8" s="187"/>
      <c r="J8" s="187"/>
      <c r="K8" s="188"/>
      <c r="L8" s="188"/>
      <c r="M8" s="84">
        <f>K8+L8</f>
        <v>0</v>
      </c>
      <c r="N8" s="85"/>
      <c r="O8" s="85"/>
    </row>
    <row r="9" spans="1:20" x14ac:dyDescent="0.25">
      <c r="A9" s="186"/>
      <c r="B9" s="187"/>
      <c r="C9" s="187"/>
      <c r="D9" s="188"/>
      <c r="E9" s="188"/>
      <c r="F9" s="84">
        <f>D9+E9</f>
        <v>0</v>
      </c>
      <c r="G9" s="667"/>
      <c r="H9" s="186"/>
      <c r="I9" s="187"/>
      <c r="J9" s="187"/>
      <c r="K9" s="188"/>
      <c r="L9" s="188"/>
      <c r="M9" s="84">
        <f>K9+L9</f>
        <v>0</v>
      </c>
      <c r="N9" s="85"/>
      <c r="O9" s="85"/>
    </row>
    <row r="10" spans="1:20" x14ac:dyDescent="0.25">
      <c r="A10" s="186"/>
      <c r="B10" s="187"/>
      <c r="C10" s="187"/>
      <c r="D10" s="188"/>
      <c r="E10" s="188"/>
      <c r="F10" s="84">
        <f>D10+E10</f>
        <v>0</v>
      </c>
      <c r="G10" s="667"/>
      <c r="H10" s="186"/>
      <c r="I10" s="187"/>
      <c r="J10" s="187"/>
      <c r="K10" s="188"/>
      <c r="L10" s="188"/>
      <c r="M10" s="84">
        <f>K10+L10</f>
        <v>0</v>
      </c>
      <c r="N10" s="85"/>
      <c r="O10" s="85"/>
    </row>
    <row r="11" spans="1:20" x14ac:dyDescent="0.25">
      <c r="A11" s="186"/>
      <c r="B11" s="187"/>
      <c r="C11" s="187"/>
      <c r="D11" s="188"/>
      <c r="E11" s="188"/>
      <c r="F11" s="84">
        <f>D11+E11</f>
        <v>0</v>
      </c>
      <c r="G11" s="667"/>
      <c r="H11" s="186"/>
      <c r="I11" s="187"/>
      <c r="J11" s="187"/>
      <c r="K11" s="188"/>
      <c r="L11" s="188"/>
      <c r="M11" s="84">
        <f>K11+L11</f>
        <v>0</v>
      </c>
      <c r="N11" s="85"/>
      <c r="O11" s="85"/>
    </row>
    <row r="12" spans="1:20" x14ac:dyDescent="0.25">
      <c r="A12" s="186"/>
      <c r="B12" s="187"/>
      <c r="C12" s="187"/>
      <c r="D12" s="188"/>
      <c r="E12" s="188"/>
      <c r="F12" s="84">
        <f>D12+E12</f>
        <v>0</v>
      </c>
      <c r="G12" s="667"/>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67"/>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67"/>
      <c r="H14" s="91" t="s">
        <v>70</v>
      </c>
      <c r="I14" s="92"/>
      <c r="J14" s="92"/>
      <c r="K14" s="92"/>
      <c r="L14" s="92"/>
      <c r="M14" s="93"/>
      <c r="N14" s="74"/>
      <c r="O14" s="74"/>
      <c r="P14" s="74"/>
      <c r="Q14" s="74"/>
      <c r="R14" s="74"/>
      <c r="S14" s="94"/>
    </row>
    <row r="15" spans="1:20" x14ac:dyDescent="0.25">
      <c r="A15" s="95" t="s">
        <v>62</v>
      </c>
      <c r="B15" s="96" t="s">
        <v>63</v>
      </c>
      <c r="C15" s="97" t="s">
        <v>175</v>
      </c>
      <c r="D15" s="80" t="s">
        <v>65</v>
      </c>
      <c r="E15" s="81" t="s">
        <v>66</v>
      </c>
      <c r="F15" s="82" t="s">
        <v>67</v>
      </c>
      <c r="G15" s="667"/>
      <c r="H15" s="95" t="s">
        <v>62</v>
      </c>
      <c r="I15" s="96" t="s">
        <v>63</v>
      </c>
      <c r="J15" s="97" t="s">
        <v>175</v>
      </c>
      <c r="K15" s="80" t="s">
        <v>65</v>
      </c>
      <c r="L15" s="81" t="s">
        <v>66</v>
      </c>
      <c r="M15" s="82" t="s">
        <v>68</v>
      </c>
      <c r="N15" s="64"/>
      <c r="O15" s="99"/>
    </row>
    <row r="16" spans="1:20" x14ac:dyDescent="0.25">
      <c r="A16" s="189"/>
      <c r="B16" s="190"/>
      <c r="C16" s="100"/>
      <c r="D16" s="188"/>
      <c r="E16" s="188"/>
      <c r="F16" s="84">
        <f t="shared" ref="F16:F20" si="2">D16+E16</f>
        <v>0</v>
      </c>
      <c r="G16" s="667"/>
      <c r="H16" s="189"/>
      <c r="I16" s="190"/>
      <c r="J16" s="100"/>
      <c r="K16" s="188"/>
      <c r="L16" s="188"/>
      <c r="M16" s="84">
        <f t="shared" ref="M16:M20" si="3">K16+L16</f>
        <v>0</v>
      </c>
      <c r="N16" s="85"/>
      <c r="O16" s="85"/>
    </row>
    <row r="17" spans="1:19" x14ac:dyDescent="0.25">
      <c r="A17" s="189"/>
      <c r="B17" s="190"/>
      <c r="C17" s="100"/>
      <c r="D17" s="188"/>
      <c r="E17" s="188"/>
      <c r="F17" s="84">
        <f t="shared" si="2"/>
        <v>0</v>
      </c>
      <c r="G17" s="667"/>
      <c r="H17" s="189"/>
      <c r="I17" s="190"/>
      <c r="J17" s="100"/>
      <c r="K17" s="188"/>
      <c r="L17" s="188"/>
      <c r="M17" s="84">
        <f t="shared" si="3"/>
        <v>0</v>
      </c>
      <c r="N17" s="85"/>
      <c r="O17" s="85"/>
    </row>
    <row r="18" spans="1:19" x14ac:dyDescent="0.25">
      <c r="A18" s="189"/>
      <c r="B18" s="190"/>
      <c r="C18" s="100"/>
      <c r="D18" s="188"/>
      <c r="E18" s="188"/>
      <c r="F18" s="84">
        <f t="shared" si="2"/>
        <v>0</v>
      </c>
      <c r="G18" s="667"/>
      <c r="H18" s="189"/>
      <c r="I18" s="190"/>
      <c r="J18" s="100"/>
      <c r="K18" s="188"/>
      <c r="L18" s="188"/>
      <c r="M18" s="84">
        <f t="shared" si="3"/>
        <v>0</v>
      </c>
      <c r="N18" s="85"/>
      <c r="O18" s="85"/>
    </row>
    <row r="19" spans="1:19" x14ac:dyDescent="0.25">
      <c r="A19" s="189"/>
      <c r="B19" s="190"/>
      <c r="C19" s="100"/>
      <c r="D19" s="188"/>
      <c r="E19" s="188"/>
      <c r="F19" s="84">
        <f t="shared" si="2"/>
        <v>0</v>
      </c>
      <c r="G19" s="667"/>
      <c r="H19" s="189"/>
      <c r="I19" s="190"/>
      <c r="J19" s="100"/>
      <c r="K19" s="188"/>
      <c r="L19" s="188"/>
      <c r="M19" s="84">
        <f t="shared" si="3"/>
        <v>0</v>
      </c>
      <c r="N19" s="85"/>
      <c r="O19" s="85"/>
    </row>
    <row r="20" spans="1:19" x14ac:dyDescent="0.25">
      <c r="A20" s="189"/>
      <c r="B20" s="190"/>
      <c r="C20" s="100"/>
      <c r="D20" s="188"/>
      <c r="E20" s="188"/>
      <c r="F20" s="84">
        <f t="shared" si="2"/>
        <v>0</v>
      </c>
      <c r="G20" s="667"/>
      <c r="H20" s="189"/>
      <c r="I20" s="190"/>
      <c r="J20" s="100"/>
      <c r="K20" s="188"/>
      <c r="L20" s="188"/>
      <c r="M20" s="84">
        <f t="shared" si="3"/>
        <v>0</v>
      </c>
      <c r="N20" s="85"/>
      <c r="O20" s="85"/>
    </row>
    <row r="21" spans="1:19" x14ac:dyDescent="0.25">
      <c r="A21" s="101"/>
      <c r="B21" s="102"/>
      <c r="C21" s="103" t="s">
        <v>72</v>
      </c>
      <c r="D21" s="104">
        <f t="shared" ref="D21:F21" si="4">SUM(D16:D20)</f>
        <v>0</v>
      </c>
      <c r="E21" s="104">
        <f t="shared" si="4"/>
        <v>0</v>
      </c>
      <c r="F21" s="84">
        <f t="shared" si="4"/>
        <v>0</v>
      </c>
      <c r="G21" s="667"/>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67"/>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67"/>
      <c r="H23" s="668" t="s">
        <v>22</v>
      </c>
      <c r="I23" s="668"/>
      <c r="J23" s="668"/>
      <c r="K23" s="668"/>
      <c r="L23" s="668"/>
      <c r="M23" s="668"/>
      <c r="N23" s="94"/>
      <c r="O23" s="94"/>
      <c r="P23" s="94"/>
      <c r="Q23" s="94"/>
      <c r="R23" s="94"/>
      <c r="S23" s="94"/>
    </row>
    <row r="24" spans="1:19" x14ac:dyDescent="0.25">
      <c r="A24" s="112" t="s">
        <v>105</v>
      </c>
      <c r="B24" s="113"/>
      <c r="C24" s="113"/>
      <c r="D24" s="63"/>
      <c r="E24" s="120"/>
      <c r="F24" s="120"/>
      <c r="G24" s="667"/>
      <c r="H24" s="112" t="s">
        <v>105</v>
      </c>
      <c r="I24" s="113"/>
      <c r="J24" s="113"/>
      <c r="K24" s="63"/>
      <c r="L24" s="120"/>
      <c r="M24" s="120"/>
      <c r="N24" s="119"/>
      <c r="O24" s="119"/>
      <c r="P24" s="119"/>
      <c r="Q24" s="119"/>
    </row>
    <row r="25" spans="1:19" x14ac:dyDescent="0.25">
      <c r="A25" s="121" t="s">
        <v>71</v>
      </c>
      <c r="B25" s="122" t="s">
        <v>77</v>
      </c>
      <c r="C25" s="123"/>
      <c r="D25" s="124"/>
      <c r="E25" s="123"/>
      <c r="F25" s="123"/>
      <c r="G25" s="667"/>
      <c r="H25" s="121" t="s">
        <v>71</v>
      </c>
      <c r="I25" s="122" t="s">
        <v>77</v>
      </c>
      <c r="J25" s="123"/>
      <c r="K25" s="124"/>
      <c r="L25" s="123"/>
      <c r="M25" s="123"/>
      <c r="N25" s="119"/>
      <c r="O25" s="119"/>
      <c r="P25" s="119"/>
      <c r="Q25" s="119"/>
    </row>
    <row r="26" spans="1:19" x14ac:dyDescent="0.25">
      <c r="A26" s="125" t="str">
        <f>CONCATENATE("SFY ",'2. Getting Started'!B6+1," Projected Child Count")</f>
        <v>SFY 2022 Projected Child Count</v>
      </c>
      <c r="B26" s="126" t="e">
        <f>IF('8. Year 2 Amounts'!B1="","",'8. Year 2 Amounts'!B1)</f>
        <v>#N/A</v>
      </c>
      <c r="C26" s="123"/>
      <c r="D26" s="124"/>
      <c r="E26" s="123"/>
      <c r="F26" s="123"/>
      <c r="G26" s="667"/>
      <c r="H26" s="125" t="str">
        <f>CONCATENATE("SFY ",'2. Getting Started'!B6+1," Child Count")</f>
        <v>SFY 2022 Child Count</v>
      </c>
      <c r="I26" s="126" t="e">
        <f>IF('8. Year 2 Amounts'!I1="","",'8. Year 2 Amounts'!I1)</f>
        <v>#N/A</v>
      </c>
      <c r="J26" s="123"/>
      <c r="K26" s="124"/>
      <c r="L26" s="123"/>
      <c r="M26" s="123"/>
      <c r="N26" s="119"/>
      <c r="O26" s="119"/>
      <c r="P26" s="119"/>
      <c r="Q26" s="119"/>
    </row>
    <row r="27" spans="1:19" x14ac:dyDescent="0.25">
      <c r="A27" s="125" t="str">
        <f>CONCATENATE("SFY ",'2. Getting Started'!B6," Projected Child Count")</f>
        <v>SFY 2021 Projected Child Count</v>
      </c>
      <c r="B27" s="126">
        <f>IF('5. Year 1 Amounts'!B1="","",'5. Year 1 Amounts'!B1)</f>
        <v>0</v>
      </c>
      <c r="C27" s="119"/>
      <c r="D27" s="128"/>
      <c r="E27" s="119"/>
      <c r="F27" s="123"/>
      <c r="G27" s="667"/>
      <c r="H27" s="125" t="str">
        <f>CONCATENATE("SFY ",'2. Getting Started'!B6," Child Count")</f>
        <v>SFY 2021 Child Count</v>
      </c>
      <c r="I27" s="126">
        <f>IF('5. Year 1 Amounts'!I1="","",'5. Year 1 Amounts'!I1)</f>
        <v>0</v>
      </c>
      <c r="J27" s="119"/>
      <c r="K27" s="128"/>
      <c r="L27" s="119"/>
      <c r="M27" s="123"/>
      <c r="N27" s="129"/>
      <c r="O27" s="129"/>
      <c r="P27" s="129"/>
      <c r="Q27" s="129"/>
    </row>
    <row r="28" spans="1:19" x14ac:dyDescent="0.25">
      <c r="A28" s="127" t="s">
        <v>78</v>
      </c>
      <c r="B28" s="130" t="e">
        <f>IF(B26="","",B26-B27)</f>
        <v>#N/A</v>
      </c>
      <c r="C28" s="123" t="e">
        <f>IF(B28="","",IF(B28&gt;=0,"Not eligible for this exception",""))</f>
        <v>#N/A</v>
      </c>
      <c r="D28" s="124"/>
      <c r="E28" s="123"/>
      <c r="F28" s="123"/>
      <c r="G28" s="667"/>
      <c r="H28" s="127" t="s">
        <v>78</v>
      </c>
      <c r="I28" s="130" t="e">
        <f>IF(I26="","",I26-I27)</f>
        <v>#N/A</v>
      </c>
      <c r="J28" s="123" t="e">
        <f>IF(I28="","",IF(I28&gt;=0,"Not eligible for this exception",""))</f>
        <v>#N/A</v>
      </c>
      <c r="K28" s="124"/>
      <c r="L28" s="123"/>
      <c r="M28" s="123"/>
      <c r="N28" s="132"/>
      <c r="O28" s="132"/>
      <c r="P28" s="132"/>
      <c r="Q28" s="132"/>
    </row>
    <row r="29" spans="1:19" x14ac:dyDescent="0.25">
      <c r="A29" s="133" t="s">
        <v>79</v>
      </c>
      <c r="B29" s="134" t="e">
        <f>IF(B26="","",IF(B28&lt;=0,ABS(B28/B27),""))</f>
        <v>#N/A</v>
      </c>
      <c r="C29" s="135"/>
      <c r="D29" s="136"/>
      <c r="E29" s="135"/>
      <c r="F29" s="10"/>
      <c r="G29" s="667"/>
      <c r="H29" s="133" t="s">
        <v>79</v>
      </c>
      <c r="I29" s="134" t="e">
        <f>IF(I26="","",IF(I28&lt;=0,ABS(I28/I27),""))</f>
        <v>#N/A</v>
      </c>
      <c r="J29" s="135"/>
      <c r="K29" s="136"/>
      <c r="L29" s="135"/>
      <c r="M29" s="10"/>
      <c r="N29" s="137"/>
      <c r="O29" s="137"/>
      <c r="P29" s="138"/>
      <c r="Q29" s="138"/>
    </row>
    <row r="30" spans="1:19" ht="31.5" x14ac:dyDescent="0.25">
      <c r="A30" s="115" t="s">
        <v>71</v>
      </c>
      <c r="B30" s="116" t="s">
        <v>0</v>
      </c>
      <c r="C30" s="116" t="s">
        <v>2</v>
      </c>
      <c r="D30" s="10"/>
      <c r="E30" s="72"/>
      <c r="F30" s="72"/>
      <c r="G30" s="667"/>
      <c r="H30" s="115" t="s">
        <v>71</v>
      </c>
      <c r="I30" s="116" t="s">
        <v>75</v>
      </c>
      <c r="J30" s="116" t="s">
        <v>76</v>
      </c>
      <c r="K30" s="10"/>
      <c r="L30" s="72"/>
      <c r="M30" s="72"/>
      <c r="N30" s="138"/>
      <c r="O30" s="138"/>
    </row>
    <row r="31" spans="1:19" x14ac:dyDescent="0.25">
      <c r="A31" s="139" t="str">
        <f>CONCATENATE("SFY ",'2. Getting Started'!B6," Budget")</f>
        <v>SFY 2021 Budget</v>
      </c>
      <c r="B31" s="140">
        <f>IF('5. Year 1 Amounts'!D30="","",'5. Year 1 Amounts'!D30)</f>
        <v>0</v>
      </c>
      <c r="C31" s="140">
        <f>IF('5. Year 1 Amounts'!F30="","",'5. Year 1 Amounts'!F30)</f>
        <v>0</v>
      </c>
      <c r="D31" s="141"/>
      <c r="E31" s="74"/>
      <c r="F31" s="74"/>
      <c r="G31" s="667"/>
      <c r="H31" s="139" t="str">
        <f>CONCATENATE("SFY ",'2. Getting Started'!B6," Final Expenditures")</f>
        <v>SFY 2021 Final Expenditures</v>
      </c>
      <c r="I31" s="140">
        <f>IF('5. Year 1 Amounts'!K30="","",'5. Year 1 Amounts'!K30)</f>
        <v>0</v>
      </c>
      <c r="J31" s="140">
        <f>IF('5. Year 1 Amounts'!M30="","",'5. Year 1 Amounts'!M30)</f>
        <v>0</v>
      </c>
      <c r="K31" s="142"/>
      <c r="L31" s="74"/>
      <c r="M31" s="74"/>
    </row>
    <row r="32" spans="1:19" x14ac:dyDescent="0.25">
      <c r="A32" s="117" t="s">
        <v>80</v>
      </c>
      <c r="B32" s="143" t="e">
        <f>IF(OR($B26="",B29="",B31=""),"",($B29*B31))</f>
        <v>#N/A</v>
      </c>
      <c r="C32" s="143" t="e">
        <f>IF(OR($B26="",B29="",C31=""),"",($B29*C31))</f>
        <v>#N/A</v>
      </c>
      <c r="D32" s="142"/>
      <c r="E32" s="118"/>
      <c r="F32" s="118"/>
      <c r="G32" s="667"/>
      <c r="H32" s="117" t="s">
        <v>81</v>
      </c>
      <c r="I32" s="143" t="e">
        <f>IF(OR($I26="",I29="",I31=""),"",($I29*I31))</f>
        <v>#N/A</v>
      </c>
      <c r="J32" s="143" t="e">
        <f>IF(OR($I26="",I29="",J31=""),"",($I29*J31))</f>
        <v>#N/A</v>
      </c>
      <c r="K32" s="142"/>
      <c r="L32" s="118"/>
      <c r="M32" s="118"/>
    </row>
    <row r="33" spans="1:28" ht="16.5" thickBot="1" x14ac:dyDescent="0.3">
      <c r="A33" s="663" t="s">
        <v>22</v>
      </c>
      <c r="B33" s="663"/>
      <c r="C33" s="663"/>
      <c r="D33" s="123"/>
      <c r="E33" s="123"/>
      <c r="F33" s="123"/>
      <c r="G33" s="667"/>
      <c r="H33" s="663" t="s">
        <v>22</v>
      </c>
      <c r="I33" s="663"/>
      <c r="J33" s="663"/>
      <c r="K33" s="123"/>
      <c r="L33" s="123"/>
      <c r="M33" s="123"/>
      <c r="P33" s="118"/>
      <c r="Q33" s="118"/>
      <c r="R33" s="118"/>
      <c r="S33" s="118"/>
      <c r="T33" s="118"/>
      <c r="U33" s="74"/>
      <c r="V33" s="118"/>
      <c r="W33" s="118"/>
      <c r="X33" s="118"/>
      <c r="Y33" s="118"/>
      <c r="Z33" s="118"/>
      <c r="AA33" s="118"/>
    </row>
    <row r="34" spans="1:28" x14ac:dyDescent="0.25">
      <c r="A34" s="112" t="s">
        <v>82</v>
      </c>
      <c r="B34" s="145"/>
      <c r="C34" s="146"/>
      <c r="D34" s="147"/>
      <c r="E34" s="131"/>
      <c r="F34" s="131"/>
      <c r="G34" s="667"/>
      <c r="H34" s="112" t="s">
        <v>82</v>
      </c>
      <c r="I34" s="145"/>
      <c r="J34" s="146"/>
      <c r="K34" s="147"/>
      <c r="L34" s="131"/>
      <c r="M34" s="131"/>
      <c r="P34" s="118"/>
      <c r="Q34" s="118"/>
      <c r="R34" s="118"/>
      <c r="S34" s="118"/>
      <c r="T34" s="118"/>
      <c r="U34" s="118"/>
      <c r="V34" s="118"/>
      <c r="W34" s="118"/>
      <c r="X34" s="118"/>
      <c r="Y34" s="118"/>
      <c r="Z34" s="118"/>
      <c r="AA34" s="118"/>
    </row>
    <row r="35" spans="1:28" x14ac:dyDescent="0.25">
      <c r="A35" s="148" t="s">
        <v>83</v>
      </c>
      <c r="B35" s="72"/>
      <c r="C35" s="149"/>
      <c r="D35" s="150"/>
      <c r="E35" s="10"/>
      <c r="F35" s="10"/>
      <c r="G35" s="667"/>
      <c r="H35" s="148" t="s">
        <v>83</v>
      </c>
      <c r="I35" s="72"/>
      <c r="J35" s="149"/>
      <c r="K35" s="150"/>
      <c r="L35" s="10"/>
      <c r="M35" s="10"/>
      <c r="P35" s="74"/>
      <c r="Q35" s="74"/>
      <c r="R35" s="74"/>
      <c r="S35" s="74"/>
      <c r="T35" s="74"/>
      <c r="U35" s="74"/>
      <c r="V35" s="74"/>
      <c r="W35" s="74"/>
      <c r="X35" s="74"/>
      <c r="Y35" s="74"/>
      <c r="Z35" s="74"/>
      <c r="AA35" s="74"/>
    </row>
    <row r="36" spans="1:28" x14ac:dyDescent="0.25">
      <c r="A36" s="151" t="s">
        <v>84</v>
      </c>
      <c r="B36" s="72"/>
      <c r="C36" s="152"/>
      <c r="D36" s="150"/>
      <c r="E36" s="10"/>
      <c r="F36" s="10"/>
      <c r="G36" s="667"/>
      <c r="H36" s="151" t="s">
        <v>84</v>
      </c>
      <c r="I36" s="72"/>
      <c r="J36" s="152"/>
      <c r="K36" s="150"/>
      <c r="L36" s="10"/>
      <c r="M36" s="10"/>
      <c r="Q36" s="74"/>
      <c r="R36" s="74"/>
      <c r="S36" s="74"/>
      <c r="T36" s="74"/>
      <c r="U36" s="74"/>
      <c r="V36" s="74"/>
      <c r="W36" s="74"/>
      <c r="X36" s="74"/>
      <c r="Y36" s="74"/>
      <c r="Z36" s="74"/>
      <c r="AA36" s="74"/>
      <c r="AB36" s="74"/>
    </row>
    <row r="37" spans="1:28" x14ac:dyDescent="0.25">
      <c r="A37" s="153" t="s">
        <v>85</v>
      </c>
      <c r="B37" s="154" t="s">
        <v>86</v>
      </c>
      <c r="C37" s="155" t="s">
        <v>87</v>
      </c>
      <c r="D37" s="118"/>
      <c r="E37" s="144"/>
      <c r="F37" s="144"/>
      <c r="G37" s="667"/>
      <c r="H37" s="153" t="s">
        <v>85</v>
      </c>
      <c r="I37" s="154" t="s">
        <v>86</v>
      </c>
      <c r="J37" s="155" t="s">
        <v>88</v>
      </c>
      <c r="K37" s="118"/>
      <c r="L37" s="144"/>
      <c r="M37" s="144"/>
      <c r="P37" s="94"/>
      <c r="Q37" s="94"/>
      <c r="R37" s="94"/>
      <c r="S37" s="94"/>
      <c r="T37" s="94"/>
      <c r="U37" s="94"/>
      <c r="V37" s="94"/>
      <c r="W37" s="94"/>
      <c r="X37" s="94"/>
      <c r="Y37" s="94"/>
      <c r="Z37" s="94"/>
      <c r="AA37" s="94"/>
    </row>
    <row r="38" spans="1:28" x14ac:dyDescent="0.25">
      <c r="A38" s="191"/>
      <c r="B38" s="192"/>
      <c r="C38" s="193"/>
      <c r="D38" s="144"/>
      <c r="E38" s="144"/>
      <c r="F38" s="144"/>
      <c r="G38" s="667"/>
      <c r="H38" s="191"/>
      <c r="I38" s="192"/>
      <c r="J38" s="193"/>
      <c r="K38" s="144"/>
      <c r="L38" s="144"/>
      <c r="M38" s="144"/>
      <c r="P38" s="94"/>
      <c r="Q38" s="94"/>
      <c r="R38" s="94"/>
      <c r="S38" s="94"/>
      <c r="T38" s="94"/>
      <c r="U38" s="94"/>
      <c r="V38" s="94"/>
      <c r="W38" s="94"/>
      <c r="X38" s="94"/>
      <c r="Y38" s="94"/>
      <c r="Z38" s="94"/>
      <c r="AA38" s="94"/>
    </row>
    <row r="39" spans="1:28" x14ac:dyDescent="0.25">
      <c r="A39" s="191"/>
      <c r="B39" s="192"/>
      <c r="C39" s="193"/>
      <c r="D39" s="144"/>
      <c r="E39" s="72"/>
      <c r="F39" s="72"/>
      <c r="G39" s="667"/>
      <c r="H39" s="191"/>
      <c r="I39" s="192"/>
      <c r="J39" s="193"/>
      <c r="K39" s="144"/>
      <c r="L39" s="72"/>
      <c r="M39" s="72"/>
      <c r="P39" s="94"/>
      <c r="Q39" s="94"/>
      <c r="R39" s="94"/>
      <c r="S39" s="94"/>
      <c r="T39" s="94"/>
      <c r="U39" s="94"/>
      <c r="V39" s="94"/>
      <c r="W39" s="94"/>
      <c r="X39" s="94"/>
      <c r="Y39" s="94"/>
      <c r="Z39" s="94"/>
      <c r="AA39" s="94"/>
    </row>
    <row r="40" spans="1:28" x14ac:dyDescent="0.25">
      <c r="A40" s="191"/>
      <c r="B40" s="192"/>
      <c r="C40" s="193"/>
      <c r="D40" s="144"/>
      <c r="E40" s="72"/>
      <c r="F40" s="72"/>
      <c r="G40" s="667"/>
      <c r="H40" s="191"/>
      <c r="I40" s="192"/>
      <c r="J40" s="193"/>
      <c r="K40" s="144"/>
      <c r="L40" s="72"/>
      <c r="M40" s="72"/>
      <c r="P40" s="94"/>
      <c r="Q40" s="94"/>
      <c r="R40" s="94"/>
      <c r="S40" s="94"/>
      <c r="T40" s="94"/>
      <c r="U40" s="94"/>
      <c r="V40" s="94"/>
      <c r="W40" s="94"/>
      <c r="X40" s="94"/>
      <c r="Y40" s="94"/>
      <c r="Z40" s="94"/>
      <c r="AA40" s="94"/>
    </row>
    <row r="41" spans="1:28" x14ac:dyDescent="0.25">
      <c r="A41" s="191"/>
      <c r="B41" s="192"/>
      <c r="C41" s="193"/>
      <c r="D41" s="144"/>
      <c r="E41" s="120"/>
      <c r="F41" s="120"/>
      <c r="G41" s="667"/>
      <c r="H41" s="191"/>
      <c r="I41" s="192"/>
      <c r="J41" s="193"/>
      <c r="K41" s="144"/>
      <c r="L41" s="120"/>
      <c r="M41" s="120"/>
      <c r="P41" s="94"/>
      <c r="Q41" s="94"/>
      <c r="R41" s="94"/>
      <c r="S41" s="94"/>
      <c r="T41" s="94"/>
      <c r="U41" s="94"/>
      <c r="V41" s="94"/>
      <c r="W41" s="94"/>
      <c r="X41" s="94"/>
      <c r="Y41" s="94"/>
      <c r="Z41" s="94"/>
      <c r="AA41" s="94"/>
    </row>
    <row r="42" spans="1:28" x14ac:dyDescent="0.25">
      <c r="A42" s="191"/>
      <c r="B42" s="192"/>
      <c r="C42" s="193"/>
      <c r="D42" s="144"/>
      <c r="F42" s="10"/>
      <c r="G42" s="667"/>
      <c r="H42" s="191"/>
      <c r="I42" s="192"/>
      <c r="J42" s="193"/>
      <c r="K42" s="144"/>
      <c r="M42" s="10"/>
      <c r="P42" s="74"/>
      <c r="Q42" s="74"/>
      <c r="R42" s="74"/>
      <c r="S42" s="74"/>
      <c r="T42" s="74"/>
      <c r="U42" s="74"/>
      <c r="V42" s="74"/>
      <c r="W42" s="74"/>
      <c r="X42" s="74"/>
      <c r="Y42" s="74"/>
      <c r="Z42" s="74"/>
      <c r="AA42" s="74"/>
    </row>
    <row r="43" spans="1:28" x14ac:dyDescent="0.25">
      <c r="A43" s="157" t="s">
        <v>89</v>
      </c>
      <c r="B43" s="158"/>
      <c r="C43" s="159">
        <f>SUM(C38:C42)</f>
        <v>0</v>
      </c>
      <c r="D43" s="144"/>
      <c r="E43" s="74"/>
      <c r="F43" s="72"/>
      <c r="G43" s="667"/>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67"/>
      <c r="H44" s="669" t="s">
        <v>22</v>
      </c>
      <c r="I44" s="669"/>
      <c r="J44" s="669"/>
      <c r="K44" s="72"/>
      <c r="L44" s="72"/>
      <c r="M44" s="72"/>
      <c r="P44" s="94"/>
      <c r="Q44" s="94"/>
      <c r="R44" s="94"/>
      <c r="S44" s="94"/>
      <c r="T44" s="94"/>
      <c r="U44" s="94"/>
      <c r="V44" s="94"/>
      <c r="W44" s="94"/>
      <c r="X44" s="94"/>
      <c r="Y44" s="94"/>
      <c r="Z44" s="94"/>
      <c r="AA44" s="94"/>
    </row>
    <row r="45" spans="1:28" x14ac:dyDescent="0.25">
      <c r="A45" s="112" t="s">
        <v>91</v>
      </c>
      <c r="B45" s="114"/>
      <c r="C45" s="120"/>
      <c r="D45" s="120"/>
      <c r="E45" s="120"/>
      <c r="F45" s="120"/>
      <c r="G45" s="667"/>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67"/>
      <c r="H46" s="71" t="s">
        <v>92</v>
      </c>
      <c r="I46" s="152"/>
      <c r="J46" s="120"/>
      <c r="K46" s="72"/>
      <c r="L46" s="74"/>
      <c r="M46" s="74"/>
      <c r="O46" s="94"/>
      <c r="P46" s="94"/>
      <c r="Q46" s="94"/>
      <c r="R46" s="94"/>
      <c r="S46" s="94"/>
      <c r="T46" s="94"/>
      <c r="U46" s="94"/>
      <c r="V46" s="94"/>
      <c r="W46" s="94"/>
      <c r="X46" s="94"/>
      <c r="Y46" s="94"/>
      <c r="Z46" s="94"/>
    </row>
    <row r="47" spans="1:28" x14ac:dyDescent="0.25">
      <c r="A47" s="160" t="s">
        <v>93</v>
      </c>
      <c r="B47" s="161" t="s">
        <v>94</v>
      </c>
      <c r="C47" s="118"/>
      <c r="D47" s="118"/>
      <c r="E47" s="144"/>
      <c r="F47" s="110"/>
      <c r="G47" s="667"/>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67"/>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67"/>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67"/>
      <c r="H50" s="194"/>
      <c r="I50" s="195"/>
      <c r="J50" s="144"/>
      <c r="K50" s="144"/>
      <c r="L50" s="72"/>
      <c r="M50" s="72"/>
    </row>
    <row r="51" spans="1:26" ht="60" customHeight="1" x14ac:dyDescent="0.25">
      <c r="A51" s="194"/>
      <c r="B51" s="195"/>
      <c r="C51" s="144"/>
      <c r="D51" s="144"/>
      <c r="E51" s="162"/>
      <c r="F51" s="162"/>
      <c r="G51" s="667"/>
      <c r="H51" s="194"/>
      <c r="I51" s="195"/>
      <c r="J51" s="144"/>
      <c r="K51" s="144"/>
      <c r="L51" s="162"/>
      <c r="M51" s="162"/>
    </row>
    <row r="52" spans="1:26" ht="60" customHeight="1" x14ac:dyDescent="0.25">
      <c r="A52" s="194"/>
      <c r="B52" s="195"/>
      <c r="C52" s="144"/>
      <c r="D52" s="144"/>
      <c r="E52" s="163"/>
      <c r="F52" s="163"/>
      <c r="G52" s="667"/>
      <c r="H52" s="194"/>
      <c r="I52" s="195"/>
      <c r="J52" s="144"/>
      <c r="K52" s="144"/>
      <c r="L52" s="163"/>
      <c r="M52" s="163"/>
    </row>
    <row r="53" spans="1:26" x14ac:dyDescent="0.25">
      <c r="A53" s="164" t="s">
        <v>89</v>
      </c>
      <c r="B53" s="165">
        <f>SUM(B48:B52)</f>
        <v>0</v>
      </c>
      <c r="C53" s="144"/>
      <c r="D53" s="144"/>
      <c r="E53" s="74"/>
      <c r="G53" s="667"/>
      <c r="H53" s="166" t="s">
        <v>90</v>
      </c>
      <c r="I53" s="165">
        <f>SUM(I48:I52)</f>
        <v>0</v>
      </c>
      <c r="J53" s="144"/>
      <c r="K53" s="144"/>
      <c r="L53" s="74"/>
    </row>
    <row r="54" spans="1:26" ht="16.5" thickBot="1" x14ac:dyDescent="0.3">
      <c r="A54" s="663" t="s">
        <v>22</v>
      </c>
      <c r="B54" s="663"/>
      <c r="C54" s="10"/>
      <c r="D54" s="72"/>
      <c r="E54" s="72"/>
      <c r="F54" s="72"/>
      <c r="G54" s="667"/>
      <c r="H54" s="663" t="s">
        <v>22</v>
      </c>
      <c r="I54" s="663"/>
      <c r="J54" s="10"/>
      <c r="K54" s="72"/>
      <c r="L54" s="72"/>
      <c r="M54" s="72"/>
    </row>
    <row r="55" spans="1:26" x14ac:dyDescent="0.25">
      <c r="A55" s="167" t="str">
        <f>IF('3b. High Cost Fund'!B4="No","This exception is not valid in your state.","Exception (e) The assumption of cost by the high cost fund operated by the")</f>
        <v>Exception (e) The assumption of cost by the high cost fund operated by the</v>
      </c>
      <c r="B55" s="146"/>
      <c r="C55" s="147"/>
      <c r="D55" s="131"/>
      <c r="E55" s="131"/>
      <c r="F55" s="144"/>
      <c r="G55" s="667"/>
      <c r="H55" s="167" t="str">
        <f>IF('3b. High Cost Fund'!B4="No","This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Fund'!B4="No","","SEA under §300.704. MUST be explicitly permitted by the SEA.")</f>
        <v>SEA under §300.704. MUST be explicitly permitted by the SEA.</v>
      </c>
      <c r="B56" s="168"/>
      <c r="C56" s="169"/>
      <c r="D56" s="170"/>
      <c r="E56" s="163"/>
      <c r="F56" s="144"/>
      <c r="G56" s="667"/>
      <c r="H56" s="71" t="str">
        <f>IF('3b. High Cost Fund'!B4="No","","SEA under §300.704. MUST be explicitly permitted by the SEA.")</f>
        <v>SEA under §300.704. MUST be explicitly permitted by the SEA.</v>
      </c>
      <c r="I56" s="168"/>
      <c r="J56" s="147"/>
      <c r="K56" s="170"/>
      <c r="L56" s="163"/>
      <c r="M56" s="144"/>
    </row>
    <row r="57" spans="1:26" x14ac:dyDescent="0.25">
      <c r="A57" s="171" t="s">
        <v>85</v>
      </c>
      <c r="B57" s="172" t="s">
        <v>96</v>
      </c>
      <c r="C57" s="118"/>
      <c r="D57" s="144"/>
      <c r="E57" s="144"/>
      <c r="F57" s="10"/>
      <c r="G57" s="667"/>
      <c r="H57" s="171" t="s">
        <v>85</v>
      </c>
      <c r="I57" s="172" t="s">
        <v>97</v>
      </c>
      <c r="J57" s="118"/>
      <c r="K57" s="144"/>
      <c r="L57" s="144"/>
      <c r="M57" s="10"/>
    </row>
    <row r="58" spans="1:26" ht="15.4" customHeight="1" x14ac:dyDescent="0.25">
      <c r="A58" s="196"/>
      <c r="B58" s="197"/>
      <c r="C58" s="337" t="str">
        <f>IF(AND(B58&lt;&gt;"",'3b. High Cost Fund'!$B4="No"),"Invalid entry. This exception is valid only in states with high-cost funds. If your state has a high-cost fund, please indicate that on tab 3b.","")</f>
        <v/>
      </c>
      <c r="D58" s="144"/>
      <c r="E58" s="144"/>
      <c r="F58" s="10"/>
      <c r="G58" s="667"/>
      <c r="H58" s="196"/>
      <c r="I58" s="197"/>
      <c r="J58" s="337" t="str">
        <f>IF(AND(I58&lt;&gt;"",'3b. High Cost Fund'!$B4="No"),"Invalid entry. This exception is valid only in states with high-cost funds. If your state has a high-cost fund, please indicate that on tab 3b.","")</f>
        <v/>
      </c>
      <c r="K58" s="144"/>
      <c r="L58" s="144"/>
      <c r="M58" s="10"/>
    </row>
    <row r="59" spans="1:26" x14ac:dyDescent="0.25">
      <c r="A59" s="196"/>
      <c r="B59" s="197"/>
      <c r="C59" s="144"/>
      <c r="D59" s="10"/>
      <c r="E59" s="10"/>
      <c r="F59" s="10"/>
      <c r="G59" s="667"/>
      <c r="H59" s="196"/>
      <c r="I59" s="197"/>
      <c r="J59" s="144"/>
      <c r="K59" s="10"/>
      <c r="L59" s="10"/>
      <c r="M59" s="10"/>
    </row>
    <row r="60" spans="1:26" x14ac:dyDescent="0.25">
      <c r="A60" s="196"/>
      <c r="B60" s="197"/>
      <c r="C60" s="144"/>
      <c r="D60" s="10"/>
      <c r="E60" s="10"/>
      <c r="F60" s="10"/>
      <c r="G60" s="667"/>
      <c r="H60" s="196"/>
      <c r="I60" s="197"/>
      <c r="J60" s="144"/>
      <c r="K60" s="10"/>
      <c r="L60" s="10"/>
      <c r="M60" s="10"/>
    </row>
    <row r="61" spans="1:26" x14ac:dyDescent="0.25">
      <c r="A61" s="196"/>
      <c r="B61" s="197"/>
      <c r="C61" s="144"/>
      <c r="D61" s="10"/>
      <c r="E61" s="10"/>
      <c r="F61" s="10"/>
      <c r="G61" s="667"/>
      <c r="H61" s="196"/>
      <c r="I61" s="197"/>
      <c r="J61" s="144"/>
      <c r="K61" s="10"/>
      <c r="L61" s="10"/>
      <c r="M61" s="10"/>
    </row>
    <row r="62" spans="1:26" x14ac:dyDescent="0.25">
      <c r="A62" s="196"/>
      <c r="B62" s="197"/>
      <c r="C62" s="144"/>
      <c r="D62" s="10"/>
      <c r="E62" s="10"/>
      <c r="F62" s="10"/>
      <c r="G62" s="667"/>
      <c r="H62" s="196"/>
      <c r="I62" s="197"/>
      <c r="J62" s="144"/>
      <c r="K62" s="10"/>
      <c r="L62" s="10"/>
      <c r="M62" s="10"/>
    </row>
    <row r="63" spans="1:26" x14ac:dyDescent="0.25">
      <c r="A63" s="173" t="s">
        <v>89</v>
      </c>
      <c r="B63" s="174">
        <f>IF('3b. High Cost Fund'!B4="No",0,SUM(B58:B62))</f>
        <v>0</v>
      </c>
      <c r="C63" s="144"/>
      <c r="D63" s="10"/>
      <c r="E63" s="10"/>
      <c r="F63" s="10"/>
      <c r="G63" s="667"/>
      <c r="H63" s="175" t="s">
        <v>90</v>
      </c>
      <c r="I63" s="174">
        <f>IF('3b. High Cost Fund'!B4="No",0,SUM(I58:I62))</f>
        <v>0</v>
      </c>
      <c r="J63" s="144"/>
      <c r="K63" s="10"/>
      <c r="L63" s="10"/>
      <c r="M63" s="10"/>
    </row>
    <row r="64" spans="1:26" ht="16.5" thickBot="1" x14ac:dyDescent="0.3">
      <c r="A64" s="70"/>
      <c r="B64" s="200"/>
      <c r="C64" s="144"/>
      <c r="D64" s="10"/>
      <c r="E64" s="10"/>
      <c r="F64" s="10"/>
      <c r="G64" s="667"/>
      <c r="H64" s="163"/>
      <c r="I64" s="200"/>
      <c r="J64" s="144"/>
      <c r="K64" s="10"/>
      <c r="L64" s="10"/>
      <c r="M64" s="10"/>
    </row>
    <row r="65" spans="1:13" x14ac:dyDescent="0.25">
      <c r="A65" s="347" t="s">
        <v>107</v>
      </c>
      <c r="B65" s="348"/>
      <c r="C65" s="144"/>
      <c r="D65" s="10"/>
      <c r="E65" s="10"/>
      <c r="F65" s="10"/>
      <c r="G65" s="667"/>
      <c r="H65" s="349" t="s">
        <v>106</v>
      </c>
      <c r="I65" s="350"/>
      <c r="J65" s="144"/>
      <c r="K65" s="10"/>
      <c r="L65" s="10"/>
      <c r="M65" s="10"/>
    </row>
    <row r="66" spans="1:13" x14ac:dyDescent="0.25">
      <c r="A66" s="242" t="s">
        <v>123</v>
      </c>
      <c r="B66" s="265" t="s">
        <v>124</v>
      </c>
      <c r="C66" s="144"/>
      <c r="D66" s="10"/>
      <c r="E66" s="10"/>
      <c r="F66" s="10"/>
      <c r="G66" s="667"/>
      <c r="H66" s="269" t="s">
        <v>123</v>
      </c>
      <c r="I66" s="270" t="s">
        <v>124</v>
      </c>
      <c r="J66" s="144"/>
      <c r="K66" s="10"/>
      <c r="L66" s="10"/>
      <c r="M66" s="10"/>
    </row>
    <row r="67" spans="1:13" x14ac:dyDescent="0.25">
      <c r="A67" s="103" t="s">
        <v>0</v>
      </c>
      <c r="B67" s="240" t="e">
        <f>IF(B$28&gt;=0,(F$22+C$43+B$53+B$63),(F$22+C$43+B$53+B$63+B$32))</f>
        <v>#N/A</v>
      </c>
      <c r="C67" s="144"/>
      <c r="D67" s="10"/>
      <c r="E67" s="10"/>
      <c r="F67" s="10"/>
      <c r="G67" s="667"/>
      <c r="H67" s="103" t="s">
        <v>0</v>
      </c>
      <c r="I67" s="240" t="e">
        <f>IF(I$28&gt;=0,(M$22+J$43+I$53+I$63),(M$22+J$43+I$53+I$63+I$32))</f>
        <v>#N/A</v>
      </c>
      <c r="J67" s="144"/>
      <c r="K67" s="10"/>
      <c r="L67" s="10"/>
      <c r="M67" s="10"/>
    </row>
    <row r="68" spans="1:13" x14ac:dyDescent="0.25">
      <c r="A68" s="241" t="s">
        <v>2</v>
      </c>
      <c r="B68" s="174" t="e">
        <f>IF(B$28&gt;=0,(F$22+C$43+B$53+B$63),(F$22+C$43+B$53+B$63+C$32))</f>
        <v>#N/A</v>
      </c>
      <c r="C68" s="144"/>
      <c r="D68" s="10"/>
      <c r="E68" s="10"/>
      <c r="F68" s="10"/>
      <c r="G68" s="667"/>
      <c r="H68" s="241" t="s">
        <v>2</v>
      </c>
      <c r="I68" s="174" t="e">
        <f>IF(I$28&gt;=0,(M$22+J$43+I$53+I$63),(M$22+J$43+I$53+I$63+J$32))</f>
        <v>#N/A</v>
      </c>
      <c r="J68" s="144"/>
      <c r="K68" s="10"/>
      <c r="L68" s="10"/>
      <c r="M68" s="10"/>
    </row>
    <row r="69" spans="1:13" ht="16.5" thickBot="1" x14ac:dyDescent="0.3">
      <c r="A69" s="664" t="s">
        <v>22</v>
      </c>
      <c r="B69" s="664"/>
      <c r="C69" s="10"/>
      <c r="D69" s="10"/>
      <c r="E69" s="10"/>
      <c r="F69" s="10"/>
      <c r="G69" s="667"/>
      <c r="H69" s="664" t="s">
        <v>22</v>
      </c>
      <c r="I69" s="664"/>
      <c r="J69" s="10"/>
      <c r="K69" s="10"/>
      <c r="L69" s="10"/>
      <c r="M69" s="10"/>
    </row>
    <row r="70" spans="1:13" ht="31.15" customHeight="1" x14ac:dyDescent="0.25">
      <c r="A70" s="336" t="s">
        <v>98</v>
      </c>
      <c r="B70" s="177"/>
      <c r="C70" s="11"/>
      <c r="D70" s="178"/>
      <c r="E70" s="10"/>
      <c r="F70" s="10"/>
      <c r="G70" s="667"/>
      <c r="H70" s="336" t="s">
        <v>98</v>
      </c>
      <c r="I70" s="177"/>
      <c r="J70" s="11"/>
      <c r="K70" s="178"/>
      <c r="L70" s="10"/>
      <c r="M70" s="10"/>
    </row>
    <row r="71" spans="1:13" x14ac:dyDescent="0.25">
      <c r="A71" s="179" t="s">
        <v>71</v>
      </c>
      <c r="B71" s="180" t="s">
        <v>99</v>
      </c>
      <c r="C71" s="11" t="s">
        <v>100</v>
      </c>
      <c r="E71" s="10"/>
      <c r="F71" s="10"/>
      <c r="G71" s="667"/>
      <c r="H71" s="179" t="s">
        <v>71</v>
      </c>
      <c r="I71" s="180" t="s">
        <v>101</v>
      </c>
      <c r="J71" s="11" t="s">
        <v>100</v>
      </c>
      <c r="K71" s="10"/>
      <c r="L71" s="10"/>
      <c r="M71" s="10"/>
    </row>
    <row r="72" spans="1:13" x14ac:dyDescent="0.25">
      <c r="A72" s="181" t="s">
        <v>102</v>
      </c>
      <c r="B72" s="198">
        <v>0</v>
      </c>
      <c r="C72" s="182" t="s">
        <v>103</v>
      </c>
      <c r="D72" s="10"/>
      <c r="E72" s="10"/>
      <c r="F72" s="10"/>
      <c r="G72" s="667"/>
      <c r="H72" s="181" t="s">
        <v>104</v>
      </c>
      <c r="I72" s="198">
        <v>0</v>
      </c>
      <c r="J72" s="182" t="s">
        <v>103</v>
      </c>
      <c r="K72" s="10"/>
      <c r="L72" s="10"/>
      <c r="M72" s="10"/>
    </row>
    <row r="73" spans="1:13" ht="30" customHeight="1" x14ac:dyDescent="0.25">
      <c r="A73" s="345" t="s">
        <v>184</v>
      </c>
      <c r="B73" s="183"/>
      <c r="C73" s="183"/>
      <c r="D73" s="183"/>
      <c r="E73" s="183"/>
      <c r="F73" s="183"/>
      <c r="G73" s="667"/>
      <c r="H73" s="183"/>
      <c r="I73" s="183"/>
      <c r="J73" s="183"/>
      <c r="K73" s="183"/>
      <c r="L73" s="183"/>
      <c r="M73" s="183"/>
    </row>
    <row r="74" spans="1:13" s="185" customFormat="1" x14ac:dyDescent="0.25">
      <c r="A74" s="358" t="s">
        <v>183</v>
      </c>
      <c r="B74" s="184"/>
      <c r="C74" s="184"/>
      <c r="D74" s="184"/>
      <c r="E74" s="184"/>
      <c r="F74" s="184"/>
      <c r="G74" s="184"/>
      <c r="H74" s="184"/>
      <c r="I74" s="184"/>
      <c r="J74" s="184"/>
      <c r="K74" s="184"/>
      <c r="L74" s="184"/>
      <c r="M74" s="184"/>
    </row>
    <row r="75" spans="1:13" x14ac:dyDescent="0.25">
      <c r="A75" s="665" t="s">
        <v>24</v>
      </c>
      <c r="B75" s="665"/>
      <c r="C75" s="665"/>
      <c r="D75" s="665"/>
      <c r="E75" s="665"/>
      <c r="F75" s="665"/>
      <c r="G75" s="665"/>
      <c r="H75" s="665"/>
      <c r="I75" s="665"/>
      <c r="J75" s="665"/>
      <c r="K75" s="665"/>
      <c r="L75" s="665"/>
      <c r="M75" s="665"/>
    </row>
  </sheetData>
  <sheetProtection algorithmName="SHA-512" hashValue="vA23RtHv4DiqNWy1APMoNLSVEuZaIr2OB9JRjNyWEYFUQQ58r/5Mo5jMeiiG+HuPGDtUZ4JDf9ULR+8xfyZPXA==" saltValue="4Tm5vjYdVmmQdi0N0DEM3g==" spinCount="100000" sheet="1" formatColumns="0" formatRows="0"/>
  <mergeCells count="12">
    <mergeCell ref="A54:B54"/>
    <mergeCell ref="H54:I54"/>
    <mergeCell ref="A69:B69"/>
    <mergeCell ref="H69:I69"/>
    <mergeCell ref="A75:M75"/>
    <mergeCell ref="G1:G73"/>
    <mergeCell ref="A23:F23"/>
    <mergeCell ref="H23:M23"/>
    <mergeCell ref="A33:C33"/>
    <mergeCell ref="H33:J33"/>
    <mergeCell ref="A44:C44"/>
    <mergeCell ref="H44:J44"/>
  </mergeCells>
  <conditionalFormatting sqref="A55">
    <cfRule type="containsText" dxfId="212" priority="2" operator="containsText" text="not valid">
      <formula>NOT(ISERROR(SEARCH("not valid",A55)))</formula>
    </cfRule>
  </conditionalFormatting>
  <conditionalFormatting sqref="H55">
    <cfRule type="containsText" dxfId="211" priority="1" operator="containsText" text="not valid">
      <formula>NOT(ISERROR(SEARCH("not valid",H55)))</formula>
    </cfRule>
  </conditionalFormatting>
  <dataValidations count="1">
    <dataValidation type="list" allowBlank="1" showInputMessage="1" showErrorMessage="1" sqref="B38:B42 I38:I42" xr:uid="{00000000-0002-0000-0A00-000000000000}">
      <formula1>Exception_c</formula1>
    </dataValidation>
  </dataValidations>
  <hyperlinks>
    <hyperlink ref="C72" r:id="rId1" xr:uid="{00000000-0004-0000-0A00-000000000000}"/>
    <hyperlink ref="J72" r:id="rId2" xr:uid="{00000000-0004-0000-0A00-000001000000}"/>
    <hyperlink ref="A74" r:id="rId3" xr:uid="{00000000-0004-0000-0A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70C0"/>
  </sheetPr>
  <dimension ref="A1:F43"/>
  <sheetViews>
    <sheetView showGridLines="0" workbookViewId="0">
      <selection activeCell="E10" sqref="E10"/>
    </sheetView>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2: State Fiscal Year ",'2. Getting Started'!B6+1)</f>
        <v>Summary of Year 2: State Fiscal Year 2022</v>
      </c>
      <c r="B1" s="299"/>
      <c r="C1" s="299"/>
      <c r="D1" s="21" t="s">
        <v>14</v>
      </c>
      <c r="E1" s="20" t="str">
        <f>IF('2. Getting Started'!B2="","",'2. Getting Started'!B2)</f>
        <v/>
      </c>
    </row>
    <row r="2" spans="1:5" ht="18.75" x14ac:dyDescent="0.3">
      <c r="A2" s="2" t="str">
        <f>CONCATENATE("State fiscal year ",'2. Getting Started'!B6+1," covers the period ",'2. Getting Started'!B4,", ",'2. Getting Started'!B6," through ",'2. Getting Started'!B5,", ",'2. Getting Started'!B6+1)</f>
        <v>State fiscal year 2022 covers the period July 1, 2021 through June 30, 2022</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203">
        <f>'38. Total Local Funds'!$B4</f>
        <v>2020</v>
      </c>
      <c r="C6" s="203">
        <f>'39. Total State &amp; Local Funds'!$B4</f>
        <v>2020</v>
      </c>
      <c r="D6" s="203">
        <f>'40. Local Funds Per Capita'!$B4</f>
        <v>2020</v>
      </c>
      <c r="E6" s="266">
        <f>'41. State &amp; Local Funds Per Cap'!$B4</f>
        <v>2020</v>
      </c>
    </row>
    <row r="7" spans="1:5" x14ac:dyDescent="0.25">
      <c r="A7" s="243" t="s">
        <v>45</v>
      </c>
      <c r="B7" s="205">
        <f>'38. Total Local Funds'!$B5</f>
        <v>0</v>
      </c>
      <c r="C7" s="205">
        <f>'39. Total State &amp; Local Funds'!$B5</f>
        <v>0</v>
      </c>
      <c r="D7" s="205" t="e">
        <f>'40. Local Funds Per Capita'!$B5</f>
        <v>#DIV/0!</v>
      </c>
      <c r="E7" s="267" t="e">
        <f>'41. State &amp; Local Funds Per Cap'!$B5</f>
        <v>#DIV/0!</v>
      </c>
    </row>
    <row r="8" spans="1:5" x14ac:dyDescent="0.25">
      <c r="A8" s="243" t="s">
        <v>9</v>
      </c>
      <c r="B8" s="205">
        <f>'8. Year 2 Amounts'!D30</f>
        <v>0</v>
      </c>
      <c r="C8" s="205">
        <f>'8. Year 2 Amounts'!F30</f>
        <v>0</v>
      </c>
      <c r="D8" s="205" t="e">
        <f>'8. Year 2 Amounts'!D31</f>
        <v>#N/A</v>
      </c>
      <c r="E8" s="267" t="e">
        <f>'8. Year 2 Amounts'!F31</f>
        <v>#N/A</v>
      </c>
    </row>
    <row r="9" spans="1:5" x14ac:dyDescent="0.25">
      <c r="A9" s="243" t="s">
        <v>117</v>
      </c>
      <c r="B9" s="201" t="str">
        <f>IF(B8="","",IF(B8&gt;=B7,"Met",IF(AND(B8&lt;B7,'38. Total Local Funds'!$B22="Met"),"Met with Exceptions &amp; Adjustments","Did Not Meet")))</f>
        <v>Met</v>
      </c>
      <c r="C9" s="201" t="str">
        <f>IF(C8="","",IF(C8&gt;=C7,"Met",IF(AND(C8&lt;C7,'39. Total State &amp; Local Funds'!$B22="Met"),"Met with Exceptions &amp; Adjustments","Did Not Meet")))</f>
        <v>Met</v>
      </c>
      <c r="D9" s="201" t="e">
        <f>IF(D8="","",IF(D8&gt;=D7,"Met",IF(AND(D8&lt;D7,'40. Local Funds Per Capita'!$B23="Met"),"Met with Exceptions &amp; Adjustments","Did Not Meet")))</f>
        <v>#N/A</v>
      </c>
      <c r="E9" s="259" t="e">
        <f>IF(E8="","",IF(E8&gt;=E7,"Met",IF(AND(E8&lt;E7,'41. State &amp; Local Funds Per Cap'!$B23="Met"),"Met with Exceptions &amp; Adjustments","Did Not Meet")))</f>
        <v>#N/A</v>
      </c>
    </row>
    <row r="10" spans="1:5" x14ac:dyDescent="0.25">
      <c r="A10" s="246" t="s">
        <v>46</v>
      </c>
      <c r="B10" s="256">
        <f>IF(B9="","",IF(B9="Did Not Meet",'38. Total Local Funds'!$B20-'38. Total Local Funds'!$B21,0))</f>
        <v>0</v>
      </c>
      <c r="C10" s="256">
        <f>IF(C9="","",IF(C9="Did Not Meet",'39. Total State &amp; Local Funds'!$B20-'39. Total State &amp; Local Funds'!$B21,0))</f>
        <v>0</v>
      </c>
      <c r="D10" s="256" t="e">
        <f>IF(D9="","",IF(D9="Did Not Meet",(('40. Local Funds Per Capita'!$B21-'40. Local Funds Per Capita'!$B22)*'8. Year 2 Amounts'!B1),0))</f>
        <v>#N/A</v>
      </c>
      <c r="E10" s="261" t="e">
        <f>IF(E9="","",IF(E9="Did Not Meet",(('41. State &amp; Local Funds Per Cap'!$B21-'41. State &amp; Local Funds Per Cap'!$B22)*'8. Year 2 Amounts'!B1),0))</f>
        <v>#N/A</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f>IF('2. Getting Started'!B10="","",IF('38. Total Local Funds'!$F14="Met",'2. Getting Started'!$B$6,'2. Getting Started'!$B10))</f>
        <v>2021</v>
      </c>
      <c r="C14" s="3">
        <f>IF('2. Getting Started'!B11="","",IF('39. Total State &amp; Local Funds'!$F14="Met",'2. Getting Started'!$B$6,'2. Getting Started'!$B11))</f>
        <v>2021</v>
      </c>
      <c r="D14" s="3" t="e">
        <f>IF('2. Getting Started'!B12="","",IF('40. Local Funds Per Capita'!$F15="Met",'2. Getting Started'!$B$6,'2. Getting Started'!$B12))</f>
        <v>#DIV/0!</v>
      </c>
      <c r="E14" s="257" t="e">
        <f>IF('2. Getting Started'!B13="","",IF('41. State &amp; Local Funds Per Cap'!$F15="Met",'2. Getting Started'!$B$6,'2. Getting Started'!$B13))</f>
        <v>#DIV/0!</v>
      </c>
    </row>
    <row r="15" spans="1:5" x14ac:dyDescent="0.25">
      <c r="A15" s="243" t="s">
        <v>45</v>
      </c>
      <c r="B15" s="17">
        <f>IF(B14="","",IF(B14='2. Getting Started'!$B$6,'5. Year 1 Amounts'!K30,'2. Getting Started'!$C10))</f>
        <v>0</v>
      </c>
      <c r="C15" s="17">
        <f>IF(C14="","",IF(C14='2. Getting Started'!$B$6,'5. Year 1 Amounts'!M30,'2. Getting Started'!$C11))</f>
        <v>0</v>
      </c>
      <c r="D15" s="17" t="e">
        <f>IF(D14="","",IF(D14='2. Getting Started'!$B$6,'5. Year 1 Amounts'!K31,'2. Getting Started'!$C12))</f>
        <v>#DIV/0!</v>
      </c>
      <c r="E15" s="258" t="e">
        <f>IF(E14="","",IF(E14='2. Getting Started'!$B$6,'5. Year 1 Amounts'!M31,'2. Getting Started'!$C13))</f>
        <v>#DIV/0!</v>
      </c>
    </row>
    <row r="16" spans="1:5" x14ac:dyDescent="0.25">
      <c r="A16" s="243" t="s">
        <v>11</v>
      </c>
      <c r="B16" s="17">
        <f>'8. Year 2 Amounts'!K30</f>
        <v>0</v>
      </c>
      <c r="C16" s="17">
        <f>'8. Year 2 Amounts'!M30</f>
        <v>0</v>
      </c>
      <c r="D16" s="17" t="e">
        <f>'8. Year 2 Amounts'!K31</f>
        <v>#N/A</v>
      </c>
      <c r="E16" s="258" t="e">
        <f>'8. Year 2 Amounts'!M31</f>
        <v>#N/A</v>
      </c>
    </row>
    <row r="17" spans="1:5" x14ac:dyDescent="0.25">
      <c r="A17" s="243" t="s">
        <v>117</v>
      </c>
      <c r="B17" s="201" t="str">
        <f>IF(B16="","",IF(B16&gt;=B15,"Met",IF(AND(B16&lt;B15,'38. Total Local Funds'!F22="Met"),"Met with Exceptions &amp; Adjustments","Did Not Meet")))</f>
        <v>Met</v>
      </c>
      <c r="C17" s="201" t="str">
        <f>IF(C16="","",IF(C16&gt;=C15,"Met",IF(AND(C16&lt;C15,'39. Total State &amp; Local Funds'!F22="Met"),"Met with Exceptions &amp; Adjustments","Did Not Meet")))</f>
        <v>Met</v>
      </c>
      <c r="D17" s="201" t="e">
        <f>IF(D16="","",IF(D16&gt;=D15,"Met",IF(AND(D16&lt;D15,'40. Local Funds Per Capita'!F23="Met"),"Met with Exceptions &amp; Adjustments","Did Not Meet")))</f>
        <v>#N/A</v>
      </c>
      <c r="E17" s="259" t="e">
        <f>IF(E16="","",IF(E16&gt;=E15,"Met",IF(AND(E16&lt;E15,'41. State &amp; Local Funds Per Cap'!F23="Met"),"Met with Exceptions &amp; Adjustments","Did Not Meet")))</f>
        <v>#N/A</v>
      </c>
    </row>
    <row r="18" spans="1:5" x14ac:dyDescent="0.25">
      <c r="A18" s="246" t="s">
        <v>46</v>
      </c>
      <c r="B18" s="256">
        <f>IF(B17="","",IF(B17="Did Not Meet",'38. Total Local Funds'!F20-'38. Total Local Funds'!F21,0))</f>
        <v>0</v>
      </c>
      <c r="C18" s="256">
        <f>IF(C17="","",IF(C17="Did Not Meet",'39. Total State &amp; Local Funds'!F20-'39. Total State &amp; Local Funds'!F21,0))</f>
        <v>0</v>
      </c>
      <c r="D18" s="256" t="e">
        <f>IF(D17="","",IF(D17="Did Not Meet",(('40. Local Funds Per Capita'!F21-'40. Local Funds Per Capita'!F22)*'8. Year 2 Amounts'!I1),0))</f>
        <v>#N/A</v>
      </c>
      <c r="E18" s="261" t="e">
        <f>IF(E17="","",IF(E17="Did Not Meet",(('41. State &amp; Local Funds Per Cap'!F21-'41. State &amp; Local Funds Per Cap'!F22)*'8. Year 2 Amounts'!I1),0))</f>
        <v>#N/A</v>
      </c>
    </row>
    <row r="19" spans="1:5" x14ac:dyDescent="0.25">
      <c r="A19" s="657" t="s">
        <v>174</v>
      </c>
      <c r="B19" s="657"/>
      <c r="C19" s="657"/>
      <c r="D19" s="657"/>
      <c r="E19" s="657"/>
    </row>
    <row r="20" spans="1:5" ht="15.75" x14ac:dyDescent="0.25">
      <c r="A20" s="199" t="e">
        <f>IF(AND(B17="Did Not Meet",C17="Did Not Meet",D17="Did Not Meet",E17="Did Not Meet"),"The LEA has failed the Compliance Standard by all four methods. Complete the table below.","The LEA has met the Compliance Standard by at least one method. You do not need to complete the table below.")</f>
        <v>#N/A</v>
      </c>
      <c r="B20" s="9"/>
    </row>
    <row r="21" spans="1:5" x14ac:dyDescent="0.25">
      <c r="A21" s="218" t="s">
        <v>126</v>
      </c>
      <c r="B21" s="268" t="s">
        <v>128</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t="e">
        <f>MIN(B24,B18,C18,D18,E18)</f>
        <v>#N/A</v>
      </c>
    </row>
    <row r="26" spans="1:5" x14ac:dyDescent="0.25">
      <c r="A26" s="243" t="s">
        <v>114</v>
      </c>
      <c r="B26" s="263"/>
    </row>
    <row r="27" spans="1:5" x14ac:dyDescent="0.25">
      <c r="A27" s="246" t="s">
        <v>115</v>
      </c>
      <c r="B27" s="26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Started'!B6+1)</f>
        <v>Exceptions and Adjustment Claimed for State Fiscal Year 2022</v>
      </c>
    </row>
    <row r="32" spans="1:5" x14ac:dyDescent="0.25">
      <c r="A32" s="2"/>
      <c r="B32" s="322" t="s">
        <v>147</v>
      </c>
      <c r="C32" s="4"/>
      <c r="D32" s="322" t="s">
        <v>151</v>
      </c>
      <c r="E32" s="4"/>
    </row>
    <row r="33" spans="1:5" x14ac:dyDescent="0.25">
      <c r="A33" s="218" t="s">
        <v>150</v>
      </c>
      <c r="B33" s="323" t="s">
        <v>154</v>
      </c>
      <c r="C33" s="324" t="s">
        <v>155</v>
      </c>
      <c r="D33" s="325" t="s">
        <v>152</v>
      </c>
      <c r="E33" s="324" t="s">
        <v>153</v>
      </c>
    </row>
    <row r="34" spans="1:5" x14ac:dyDescent="0.25">
      <c r="A34" s="224" t="s">
        <v>139</v>
      </c>
      <c r="B34" s="17">
        <f>'9. Year 2 Exc &amp; Adj'!F22</f>
        <v>0</v>
      </c>
      <c r="C34" s="258">
        <f>'9. Year 2 Exc &amp; Adj'!F22</f>
        <v>0</v>
      </c>
      <c r="D34" s="326">
        <f>'9. Year 2 Exc &amp; Adj'!M22</f>
        <v>0</v>
      </c>
      <c r="E34" s="17">
        <f>'9. Year 2 Exc &amp; Adj'!M22</f>
        <v>0</v>
      </c>
    </row>
    <row r="35" spans="1:5" x14ac:dyDescent="0.25">
      <c r="A35" s="224" t="s">
        <v>140</v>
      </c>
      <c r="B35" s="17" t="e">
        <f>'9. Year 2 Exc &amp; Adj'!B32</f>
        <v>#N/A</v>
      </c>
      <c r="C35" s="258" t="e">
        <f>'9. Year 2 Exc &amp; Adj'!C32</f>
        <v>#N/A</v>
      </c>
      <c r="D35" s="326" t="e">
        <f>'9. Year 2 Exc &amp; Adj'!I32</f>
        <v>#N/A</v>
      </c>
      <c r="E35" s="258" t="e">
        <f>'9. Year 2 Exc &amp; Adj'!J32</f>
        <v>#N/A</v>
      </c>
    </row>
    <row r="36" spans="1:5" x14ac:dyDescent="0.25">
      <c r="A36" s="224" t="s">
        <v>141</v>
      </c>
      <c r="B36" s="17">
        <f>'9. Year 2 Exc &amp; Adj'!C43</f>
        <v>0</v>
      </c>
      <c r="C36" s="258">
        <f>'9. Year 2 Exc &amp; Adj'!C43</f>
        <v>0</v>
      </c>
      <c r="D36" s="326">
        <f>'9. Year 2 Exc &amp; Adj'!J43</f>
        <v>0</v>
      </c>
      <c r="E36" s="17">
        <f>'9. Year 2 Exc &amp; Adj'!J43</f>
        <v>0</v>
      </c>
    </row>
    <row r="37" spans="1:5" x14ac:dyDescent="0.25">
      <c r="A37" s="224" t="s">
        <v>142</v>
      </c>
      <c r="B37" s="17">
        <f>'9. Year 2 Exc &amp; Adj'!B53</f>
        <v>0</v>
      </c>
      <c r="C37" s="258">
        <f>'9. Year 2 Exc &amp; Adj'!B53</f>
        <v>0</v>
      </c>
      <c r="D37" s="326">
        <f>'9. Year 2 Exc &amp; Adj'!I53</f>
        <v>0</v>
      </c>
      <c r="E37" s="17">
        <f>'9. Year 2 Exc &amp; Adj'!I53</f>
        <v>0</v>
      </c>
    </row>
    <row r="38" spans="1:5" x14ac:dyDescent="0.25">
      <c r="A38" s="224" t="str">
        <f>IF('3b. High Cost Fund'!B4="No","This exception is not valid for your state.","Exception (e)")</f>
        <v>Exception (e)</v>
      </c>
      <c r="B38" s="331">
        <f>IF('3b. High Cost Fund'!B4="No","",'9. Year 2 Exc &amp; Adj'!B63)</f>
        <v>0</v>
      </c>
      <c r="C38" s="332">
        <f>IF('3b. High Cost Fund'!B4="No","",'9. Year 2 Exc &amp; Adj'!B63)</f>
        <v>0</v>
      </c>
      <c r="D38" s="326">
        <f>IF('3b. High Cost Fund'!B4="No","",'9. Year 2 Exc &amp; Adj'!I63)</f>
        <v>0</v>
      </c>
      <c r="E38" s="331">
        <f>IF('3b. High Cost Fund'!B4="No","",'9. Year 2 Exc &amp; Adj'!I63)</f>
        <v>0</v>
      </c>
    </row>
    <row r="39" spans="1:5" x14ac:dyDescent="0.25">
      <c r="A39" s="224" t="s">
        <v>143</v>
      </c>
      <c r="B39" s="17">
        <f>AdjDataYear2Budget[Projected Adjustment]</f>
        <v>0</v>
      </c>
      <c r="C39" s="17">
        <f>AdjDataYear2Budget[Projected Adjustment]</f>
        <v>0</v>
      </c>
      <c r="D39" s="327">
        <f>AdjDataYear2Expenditures[[Adjustment ]]</f>
        <v>0</v>
      </c>
      <c r="E39" s="17">
        <f>AdjDataYear2Expenditures[[Adjustment ]]</f>
        <v>0</v>
      </c>
    </row>
    <row r="40" spans="1:5" x14ac:dyDescent="0.25">
      <c r="A40" s="246" t="s">
        <v>124</v>
      </c>
      <c r="B40" s="328" t="e">
        <f>SUM(B34:B39)</f>
        <v>#N/A</v>
      </c>
      <c r="C40" s="329" t="e">
        <f>SUM(C34:C39)</f>
        <v>#N/A</v>
      </c>
      <c r="D40" s="330" t="e">
        <f>SUM(D34:D39)</f>
        <v>#N/A</v>
      </c>
      <c r="E40" s="329" t="e">
        <f>SUM(E34:E39)</f>
        <v>#N/A</v>
      </c>
    </row>
    <row r="41" spans="1:5" ht="27"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fizNg86/RIofpZObiw0POXVauGmKAxrDKbZWm/ta95RHrxHRfeCLjJ1YiSx45X8Elq18X3O08kUv7hoabFHZ8g==" saltValue="GGaZdEznQA+LmadrsHJNFQ==" spinCount="100000" sheet="1" objects="1" scenarios="1" formatColumns="0" formatRows="0"/>
  <mergeCells count="5">
    <mergeCell ref="A11:E11"/>
    <mergeCell ref="A19:E19"/>
    <mergeCell ref="A28:E28"/>
    <mergeCell ref="A30:E30"/>
    <mergeCell ref="A43:E43"/>
  </mergeCells>
  <conditionalFormatting sqref="B9:E9">
    <cfRule type="containsText" dxfId="210" priority="1" operator="containsText" text="Did Not Meet">
      <formula>NOT(ISERROR(SEARCH("Did Not Meet",B9)))</formula>
    </cfRule>
    <cfRule type="containsText" dxfId="209" priority="2" operator="containsText" text="Met">
      <formula>NOT(ISERROR(SEARCH("Met",B9)))</formula>
    </cfRule>
  </conditionalFormatting>
  <conditionalFormatting sqref="B17:E17">
    <cfRule type="containsText" dxfId="208" priority="3" operator="containsText" text="Did Not Meet">
      <formula>NOT(ISERROR(SEARCH("Did Not Meet",B17)))</formula>
    </cfRule>
    <cfRule type="containsText" dxfId="207" priority="4" operator="containsText" text="Met">
      <formula>NOT(ISERROR(SEARCH("Met",B17)))</formula>
    </cfRule>
  </conditionalFormatting>
  <hyperlinks>
    <hyperlink ref="A29" location="'4. Multi-Year MOE Summary'!A5" display="Go to the Multi-Year MOE Summary" xr:uid="{00000000-0004-0000-0B00-000000000000}"/>
    <hyperlink ref="A42" r:id="rId1" xr:uid="{00000000-0004-0000-0B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70C0"/>
  </sheetPr>
  <dimension ref="A1:F43"/>
  <sheetViews>
    <sheetView showGridLines="0" workbookViewId="0"/>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3: State Fiscal Year ",'2. Getting Started'!B6+2)</f>
        <v>Summary of Year 3: State Fiscal Year 2023</v>
      </c>
      <c r="B1" s="299"/>
      <c r="C1" s="299"/>
      <c r="D1" s="21" t="s">
        <v>14</v>
      </c>
      <c r="E1" s="20" t="str">
        <f>IF('2. Getting Started'!B2="","",'2. Getting Started'!B2)</f>
        <v/>
      </c>
    </row>
    <row r="2" spans="1:5" ht="18.75" x14ac:dyDescent="0.3">
      <c r="A2" s="2" t="str">
        <f>CONCATENATE("State fiscal year ",'2. Getting Started'!B6+2," covers the period ",'2. Getting Started'!B4,", ",'2. Getting Started'!B6+1," through ",'2. Getting Started'!B5,", ",'2. Getting Started'!B6+2)</f>
        <v>State fiscal year 2023 covers the period July 1, 2022 through June 30, 2023</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3">
        <f>IF('2. Getting Started'!B10="","",IF('38. Total Local Funds'!$F14="Met",'2. Getting Started'!$B$6,'2. Getting Started'!$B10))</f>
        <v>2021</v>
      </c>
      <c r="C6" s="3">
        <f>IF('2. Getting Started'!B11="","",IF('39. Total State &amp; Local Funds'!$F14="Met",'2. Getting Started'!$B$6,'2. Getting Started'!$B11))</f>
        <v>2021</v>
      </c>
      <c r="D6" s="3" t="e">
        <f>IF('2. Getting Started'!B12="","",IF('40. Local Funds Per Capita'!$F15="Met",'2. Getting Started'!$B$6,'2. Getting Started'!$B12))</f>
        <v>#DIV/0!</v>
      </c>
      <c r="E6" s="257" t="e">
        <f>IF('2. Getting Started'!B13="","",IF('41. State &amp; Local Funds Per Cap'!$F15="Met",'2. Getting Started'!$B$6,'2. Getting Started'!$B13))</f>
        <v>#DIV/0!</v>
      </c>
    </row>
    <row r="7" spans="1:5" x14ac:dyDescent="0.25">
      <c r="A7" s="243" t="s">
        <v>45</v>
      </c>
      <c r="B7" s="205">
        <f>IF(B6="","",IF(B6='2. Getting Started'!$B$6,'5. Year 1 Amounts'!K30,'2. Getting Started'!$C10))</f>
        <v>0</v>
      </c>
      <c r="C7" s="205">
        <f>IF(C6="","",IF(C6='2. Getting Started'!$B$6,'5. Year 1 Amounts'!M30,'2. Getting Started'!$C11))</f>
        <v>0</v>
      </c>
      <c r="D7" s="205" t="e">
        <f>IF(D6="","",IF(D6='2. Getting Started'!$B$6,'5. Year 1 Amounts'!K31,'2. Getting Started'!$C12))</f>
        <v>#DIV/0!</v>
      </c>
      <c r="E7" s="267" t="e">
        <f>IF(E6="","",IF(E6='2. Getting Started'!$B$6,'5. Year 1 Amounts'!M31,'2. Getting Started'!$C13))</f>
        <v>#DIV/0!</v>
      </c>
    </row>
    <row r="8" spans="1:5" x14ac:dyDescent="0.25">
      <c r="A8" s="243" t="s">
        <v>9</v>
      </c>
      <c r="B8" s="205" t="str">
        <f>'11. Year 3 Amounts'!D30</f>
        <v/>
      </c>
      <c r="C8" s="205" t="str">
        <f>'11. Year 3 Amounts'!F30</f>
        <v/>
      </c>
      <c r="D8" s="205" t="str">
        <f>'11. Year 3 Amounts'!D31</f>
        <v/>
      </c>
      <c r="E8" s="267" t="str">
        <f>'11. Year 3 Amounts'!F31</f>
        <v/>
      </c>
    </row>
    <row r="9" spans="1:5" x14ac:dyDescent="0.25">
      <c r="A9" s="243" t="s">
        <v>117</v>
      </c>
      <c r="B9" s="201" t="str">
        <f>IF(B8="","",IF(B8&gt;=B7,"Met",IF(AND(B8&lt;B7,'38. Total Local Funds'!$B30="Met"),"Met with Exceptions &amp; Adjustments","Did Not Meet")))</f>
        <v/>
      </c>
      <c r="C9" s="201" t="str">
        <f>IF(C8="","",IF(C8&gt;=C7,"Met",IF(AND(C8&lt;C7,'39. Total State &amp; Local Funds'!$B30="Met"),"Met with Exceptions &amp; Adjustments","Did Not Meet")))</f>
        <v/>
      </c>
      <c r="D9" s="201" t="str">
        <f>IF(D8="","",IF(D8&gt;=D7,"Met",IF(AND(D8&lt;D7,'40. Local Funds Per Capita'!$B31="Met"),"Met with Exceptions &amp; Adjustments","Did Not Meet")))</f>
        <v/>
      </c>
      <c r="E9" s="259" t="str">
        <f>IF(E8="","",IF(E8&gt;=E7,"Met",IF(AND(E8&lt;E7,'41. State &amp; Local Funds Per Cap'!$B31="Met"),"Met with Exceptions &amp; Adjustments","Did Not Meet")))</f>
        <v/>
      </c>
    </row>
    <row r="10" spans="1:5" x14ac:dyDescent="0.25">
      <c r="A10" s="246" t="s">
        <v>46</v>
      </c>
      <c r="B10" s="256" t="str">
        <f>IF(B9="","",IF(B9="Did Not Meet",'38. Total Local Funds'!$B28-'38. Total Local Funds'!$B29,0))</f>
        <v/>
      </c>
      <c r="C10" s="256" t="str">
        <f>IF(C9="","",IF(C9="Did Not Meet",'39. Total State &amp; Local Funds'!$B28-'39. Total State &amp; Local Funds'!$B29,0))</f>
        <v/>
      </c>
      <c r="D10" s="256" t="str">
        <f>IF(D9="","",IF(D9="Did Not Meet",(('40. Local Funds Per Capita'!$B29-'40. Local Funds Per Capita'!$B30)*'11. Year 3 Amounts'!B1),0))</f>
        <v/>
      </c>
      <c r="E10" s="261" t="str">
        <f>IF(E9="","",IF(E9="Did Not Meet",(('41. State &amp; Local Funds Per Cap'!$B29-'41. State &amp; Local Funds Per Cap'!$B30)*'11. Year 3 Amounts'!B1),0))</f>
        <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t="e">
        <f>IF('2. Getting Started'!B10="","",IF('38. Total Local Funds'!F22="Met",'2. Getting Started'!$B$6+1,IF('38. Total Local Funds'!$F14="Met",'2. Getting Started'!$B$6,'2. Getting Started'!$B10)))</f>
        <v>#N/A</v>
      </c>
      <c r="C14" s="3" t="e">
        <f>IF('2. Getting Started'!B11="","",IF('39. Total State &amp; Local Funds'!F22="Met",'2. Getting Started'!$B$6+1,IF('39. Total State &amp; Local Funds'!$F14="Met",'2. Getting Started'!$B$6,'2. Getting Started'!$B11)))</f>
        <v>#N/A</v>
      </c>
      <c r="D14" s="3" t="e">
        <f>IF('2. Getting Started'!B12="","",IF('40. Local Funds Per Capita'!F23="Met",'2. Getting Started'!$B$6+1,IF('40. Local Funds Per Capita'!$F15="Met",'2. Getting Started'!$B$6,'2. Getting Started'!$B12)))</f>
        <v>#N/A</v>
      </c>
      <c r="E14" s="257" t="e">
        <f>IF('2. Getting Started'!B13="","",IF('41. State &amp; Local Funds Per Cap'!F23="Met",'2. Getting Started'!$B$6+1,IF('41. State &amp; Local Funds Per Cap'!$F15="Met",'2. Getting Started'!$B$6,'2. Getting Started'!$B13)))</f>
        <v>#N/A</v>
      </c>
    </row>
    <row r="15" spans="1:5" x14ac:dyDescent="0.25">
      <c r="A15" s="243" t="s">
        <v>45</v>
      </c>
      <c r="B15" s="17" t="e">
        <f>IF(B14="","",IF(B14='2. Getting Started'!$B$6+1,'8. Year 2 Amounts'!K30,IF(B14='2. Getting Started'!$B$6,'5. Year 1 Amounts'!K30,'2. Getting Started'!$C10)))</f>
        <v>#N/A</v>
      </c>
      <c r="C15" s="17" t="e">
        <f>IF(C14="","",IF(C14='2. Getting Started'!$B$6+1,'8. Year 2 Amounts'!M30,IF(C14='2. Getting Started'!$B$6,'5. Year 1 Amounts'!M30,'2. Getting Started'!$C11)))</f>
        <v>#N/A</v>
      </c>
      <c r="D15" s="17" t="e">
        <f>IF(D14="","",IF(D14='2. Getting Started'!$B$6+1,'8. Year 2 Amounts'!K31,IF(D14='2. Getting Started'!$B$6,'5. Year 1 Amounts'!K31,'2. Getting Started'!$C12)))</f>
        <v>#N/A</v>
      </c>
      <c r="E15" s="258" t="e">
        <f>IF(E14="","",IF(E14='2. Getting Started'!$B$6+1,'8. Year 2 Amounts'!M31,IF(E14='2. Getting Started'!$B$6,'5. Year 1 Amounts'!M31,'2. Getting Started'!$C13)))</f>
        <v>#N/A</v>
      </c>
    </row>
    <row r="16" spans="1:5" x14ac:dyDescent="0.25">
      <c r="A16" s="243" t="s">
        <v>11</v>
      </c>
      <c r="B16" s="17">
        <f>'11. Year 3 Amounts'!K30</f>
        <v>0</v>
      </c>
      <c r="C16" s="17">
        <f>'11. Year 3 Amounts'!M30</f>
        <v>0</v>
      </c>
      <c r="D16" s="17" t="e">
        <f>'11. Year 3 Amounts'!K31</f>
        <v>#DIV/0!</v>
      </c>
      <c r="E16" s="258" t="e">
        <f>'11. Year 3 Amounts'!M31</f>
        <v>#DIV/0!</v>
      </c>
    </row>
    <row r="17" spans="1:5" x14ac:dyDescent="0.25">
      <c r="A17" s="243" t="s">
        <v>117</v>
      </c>
      <c r="B17" s="201" t="e">
        <f>IF(B16="","",IF(B16&gt;=B15,"Met",IF(AND(B16&lt;B15,'38. Total Local Funds'!F30="Met"),"Met with Exceptions &amp; Adjustments","Did Not Meet")))</f>
        <v>#N/A</v>
      </c>
      <c r="C17" s="201" t="e">
        <f>IF(C16="","",IF(C16&gt;=C15,"Met",IF(AND(C16&lt;C15,'39. Total State &amp; Local Funds'!F30="Met"),"Met with Exceptions &amp; Adjustments","Did Not Meet")))</f>
        <v>#N/A</v>
      </c>
      <c r="D17" s="201" t="e">
        <f>IF(D16="","",IF(D16&gt;=D15,"Met",IF(AND(D16&lt;D15,'40. Local Funds Per Capita'!F31="Met"),"Met with Exceptions &amp; Adjustments","Did Not Meet")))</f>
        <v>#DIV/0!</v>
      </c>
      <c r="E17" s="259" t="e">
        <f>IF(E16="","",IF(E16&gt;=E15,"Met",IF(AND(E16&lt;E15,'41. State &amp; Local Funds Per Cap'!F31="Met"),"Met with Exceptions &amp; Adjustments","Did Not Meet")))</f>
        <v>#DIV/0!</v>
      </c>
    </row>
    <row r="18" spans="1:5" x14ac:dyDescent="0.25">
      <c r="A18" s="246" t="s">
        <v>46</v>
      </c>
      <c r="B18" s="256" t="e">
        <f>IF(B17="","",IF(B17="Did Not Meet",'38. Total Local Funds'!F28-'38. Total Local Funds'!F29,0))</f>
        <v>#N/A</v>
      </c>
      <c r="C18" s="256" t="e">
        <f>IF(C17="","",IF(C17="Did Not Meet",'39. Total State &amp; Local Funds'!F28-'39. Total State &amp; Local Funds'!F29,0))</f>
        <v>#N/A</v>
      </c>
      <c r="D18" s="256" t="e">
        <f>IF(D17="","",IF(D17="Did Not Meet",(('40. Local Funds Per Capita'!F29-'40. Local Funds Per Capita'!F30)*'11. Year 3 Amounts'!I1),0))</f>
        <v>#DIV/0!</v>
      </c>
      <c r="E18" s="261" t="e">
        <f>IF(E17="","",IF(E17="Did Not Meet",(('41. State &amp; Local Funds Per Cap'!F29-'41. State &amp; Local Funds Per Cap'!F30)*'11. Year 3 Amounts'!I1),0))</f>
        <v>#DIV/0!</v>
      </c>
    </row>
    <row r="19" spans="1:5" x14ac:dyDescent="0.25">
      <c r="A19" s="657" t="s">
        <v>174</v>
      </c>
      <c r="B19" s="657"/>
      <c r="C19" s="657"/>
      <c r="D19" s="657"/>
      <c r="E19" s="657"/>
    </row>
    <row r="20" spans="1:5" ht="15.75" x14ac:dyDescent="0.25">
      <c r="A20" s="199" t="e">
        <f>IF(AND(B17="Did Not Meet",C17="Did Not Meet",D17="Did Not Meet",E17="Did Not Meet"),"The LEA has failed the Compliance Standard by all four methods. Complete the table below.","The LEA has met the Compliance Standard by at least one method. You do not need to complete the table below.")</f>
        <v>#N/A</v>
      </c>
      <c r="B20" s="9"/>
    </row>
    <row r="21" spans="1:5" x14ac:dyDescent="0.25">
      <c r="A21" s="260" t="s">
        <v>126</v>
      </c>
      <c r="B21" s="271" t="s">
        <v>129</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t="e">
        <f>MIN(B24,B18,C18,D18,E18)</f>
        <v>#N/A</v>
      </c>
    </row>
    <row r="26" spans="1:5" x14ac:dyDescent="0.25">
      <c r="A26" s="243" t="s">
        <v>114</v>
      </c>
      <c r="B26" s="273"/>
    </row>
    <row r="27" spans="1:5" x14ac:dyDescent="0.25">
      <c r="A27" s="246" t="s">
        <v>115</v>
      </c>
      <c r="B27" s="27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Started'!B6+2)</f>
        <v>Exceptions and Adjustment Claimed for State Fiscal Year 2023</v>
      </c>
    </row>
    <row r="32" spans="1:5" x14ac:dyDescent="0.25">
      <c r="A32" s="2"/>
      <c r="B32" s="322" t="s">
        <v>147</v>
      </c>
      <c r="C32" s="4"/>
      <c r="D32" s="322" t="s">
        <v>151</v>
      </c>
      <c r="E32" s="4"/>
    </row>
    <row r="33" spans="1:5" x14ac:dyDescent="0.25">
      <c r="A33" s="218" t="s">
        <v>150</v>
      </c>
      <c r="B33" s="323" t="s">
        <v>154</v>
      </c>
      <c r="C33" s="323" t="s">
        <v>155</v>
      </c>
      <c r="D33" s="323" t="s">
        <v>152</v>
      </c>
      <c r="E33" s="324" t="s">
        <v>153</v>
      </c>
    </row>
    <row r="34" spans="1:5" x14ac:dyDescent="0.25">
      <c r="A34" s="224" t="s">
        <v>139</v>
      </c>
      <c r="B34" s="17">
        <f>'12. Year 3 Exc &amp; Adj'!F22</f>
        <v>0</v>
      </c>
      <c r="C34" s="17">
        <f>'12. Year 3 Exc &amp; Adj'!F22</f>
        <v>0</v>
      </c>
      <c r="D34" s="17">
        <f>'12. Year 3 Exc &amp; Adj'!M22</f>
        <v>0</v>
      </c>
      <c r="E34" s="258">
        <f>'12. Year 3 Exc &amp; Adj'!M22</f>
        <v>0</v>
      </c>
    </row>
    <row r="35" spans="1:5" x14ac:dyDescent="0.25">
      <c r="A35" s="224" t="s">
        <v>140</v>
      </c>
      <c r="B35" s="17" t="e">
        <f>'12. Year 3 Exc &amp; Adj'!B32</f>
        <v>#N/A</v>
      </c>
      <c r="C35" s="17" t="e">
        <f>'12. Year 3 Exc &amp; Adj'!C32</f>
        <v>#N/A</v>
      </c>
      <c r="D35" s="17" t="e">
        <f>'12. Year 3 Exc &amp; Adj'!I32</f>
        <v>#N/A</v>
      </c>
      <c r="E35" s="258" t="e">
        <f>'12. Year 3 Exc &amp; Adj'!J32</f>
        <v>#N/A</v>
      </c>
    </row>
    <row r="36" spans="1:5" x14ac:dyDescent="0.25">
      <c r="A36" s="224" t="s">
        <v>141</v>
      </c>
      <c r="B36" s="17">
        <f>'12. Year 3 Exc &amp; Adj'!C43</f>
        <v>0</v>
      </c>
      <c r="C36" s="17">
        <f>'12. Year 3 Exc &amp; Adj'!C43</f>
        <v>0</v>
      </c>
      <c r="D36" s="17">
        <f>'12. Year 3 Exc &amp; Adj'!J43</f>
        <v>0</v>
      </c>
      <c r="E36" s="258">
        <f>'12. Year 3 Exc &amp; Adj'!J43</f>
        <v>0</v>
      </c>
    </row>
    <row r="37" spans="1:5" x14ac:dyDescent="0.25">
      <c r="A37" s="224" t="s">
        <v>142</v>
      </c>
      <c r="B37" s="17">
        <f>'12. Year 3 Exc &amp; Adj'!B53</f>
        <v>0</v>
      </c>
      <c r="C37" s="17">
        <f>'12. Year 3 Exc &amp; Adj'!B53</f>
        <v>0</v>
      </c>
      <c r="D37" s="17">
        <f>'12. Year 3 Exc &amp; Adj'!I53</f>
        <v>0</v>
      </c>
      <c r="E37" s="258">
        <f>'12. Year 3 Exc &amp; Adj'!I53</f>
        <v>0</v>
      </c>
    </row>
    <row r="38" spans="1:5" x14ac:dyDescent="0.25">
      <c r="A38" s="224" t="str">
        <f>IF('3b. High Cost Fund'!B5="No","This exception is not valid for your state.","Exception (e)")</f>
        <v>Exception (e)</v>
      </c>
      <c r="B38" s="17">
        <f>IF('3b. High Cost Fund'!B5="No","",'12. Year 3 Exc &amp; Adj'!B63)</f>
        <v>0</v>
      </c>
      <c r="C38" s="17">
        <f>IF('3b. High Cost Fund'!B5="No","",'12. Year 3 Exc &amp; Adj'!B63)</f>
        <v>0</v>
      </c>
      <c r="D38" s="17">
        <f>IF('3b. High Cost Fund'!B5="No","",'12. Year 3 Exc &amp; Adj'!I63)</f>
        <v>0</v>
      </c>
      <c r="E38" s="258">
        <f>IF('3b. High Cost Fund'!B5="No","",'12. Year 3 Exc &amp; Adj'!I63)</f>
        <v>0</v>
      </c>
    </row>
    <row r="39" spans="1:5" x14ac:dyDescent="0.25">
      <c r="A39" s="224" t="s">
        <v>143</v>
      </c>
      <c r="B39" s="17">
        <f>AdjDataYear3Budget[Projected Adjustment]</f>
        <v>0</v>
      </c>
      <c r="C39" s="17">
        <f>AdjDataYear3Budget[Projected Adjustment]</f>
        <v>0</v>
      </c>
      <c r="D39" s="17" t="e">
        <f>AdjDataYear3Expenditures[[Adjustment ]]</f>
        <v>#N/A</v>
      </c>
      <c r="E39" s="258" t="e">
        <f>AdjDataYear3Expenditures[[Adjustment ]]</f>
        <v>#N/A</v>
      </c>
    </row>
    <row r="40" spans="1:5" x14ac:dyDescent="0.25">
      <c r="A40" s="246" t="s">
        <v>124</v>
      </c>
      <c r="B40" s="328" t="e">
        <f>SUM(B34:B39)</f>
        <v>#N/A</v>
      </c>
      <c r="C40" s="328" t="e">
        <f>SUM(C34:C39)</f>
        <v>#N/A</v>
      </c>
      <c r="D40" s="328" t="e">
        <f>SUM(D34:D39)</f>
        <v>#N/A</v>
      </c>
      <c r="E40" s="329" t="e">
        <f>SUM(E34:E39)</f>
        <v>#N/A</v>
      </c>
    </row>
    <row r="41" spans="1:5" ht="27"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teNFGz7eE7jmo9Q3g5wN0duZOpAT2Nxum1dqXj+snSffJOkbj/OiYznLKCBnBL5Md/8vPiEFZwSRjNrgDP/68A==" saltValue="eGnXNj/d05NS7Ye6CSOMXQ==" spinCount="100000" sheet="1" objects="1" scenarios="1" formatColumns="0" formatRows="0"/>
  <mergeCells count="5">
    <mergeCell ref="A11:E11"/>
    <mergeCell ref="A19:E19"/>
    <mergeCell ref="A28:E28"/>
    <mergeCell ref="A30:E30"/>
    <mergeCell ref="A43:E43"/>
  </mergeCells>
  <conditionalFormatting sqref="B9:E9">
    <cfRule type="containsText" dxfId="206" priority="1" operator="containsText" text="Did Not Meet">
      <formula>NOT(ISERROR(SEARCH("Did Not Meet",B9)))</formula>
    </cfRule>
    <cfRule type="containsText" dxfId="205" priority="2" operator="containsText" text="Met">
      <formula>NOT(ISERROR(SEARCH("Met",B9)))</formula>
    </cfRule>
  </conditionalFormatting>
  <conditionalFormatting sqref="B17:E17">
    <cfRule type="containsText" dxfId="204" priority="3" operator="containsText" text="Did Not Meet">
      <formula>NOT(ISERROR(SEARCH("Did Not Meet",B17)))</formula>
    </cfRule>
    <cfRule type="containsText" dxfId="203" priority="4" operator="containsText" text="Met">
      <formula>NOT(ISERROR(SEARCH("Met",B17)))</formula>
    </cfRule>
  </conditionalFormatting>
  <hyperlinks>
    <hyperlink ref="A29" location="'4. Multi-Year MOE Summary'!A6" display="Go to the Multi-Year MOE Summary" xr:uid="{00000000-0004-0000-0E00-000000000000}"/>
    <hyperlink ref="A42" r:id="rId1" xr:uid="{00000000-0004-0000-0E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70C0"/>
  </sheetPr>
  <dimension ref="A1:F43"/>
  <sheetViews>
    <sheetView showGridLines="0" workbookViewId="0"/>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4: State Fiscal Year ",'2. Getting Started'!B6+3)</f>
        <v>Summary of Year 4: State Fiscal Year 2024</v>
      </c>
      <c r="B1" s="299"/>
      <c r="C1" s="299"/>
      <c r="D1" s="21" t="s">
        <v>14</v>
      </c>
      <c r="E1" s="20" t="str">
        <f>IF('2. Getting Started'!B2="","",'2. Getting Started'!B2)</f>
        <v/>
      </c>
    </row>
    <row r="2" spans="1:5" ht="18.75" x14ac:dyDescent="0.3">
      <c r="A2" s="2" t="str">
        <f>CONCATENATE("State fiscal year ",'2. Getting Started'!B6+3," covers the period ",'2. Getting Started'!B4,", ",'2. Getting Started'!B6+2," through ",'2. Getting Started'!B5,", ",'2. Getting Started'!B6+3)</f>
        <v>State fiscal year 2024 covers the period July 1, 2023 through June 30, 2024</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3" t="e">
        <f>IF('2. Getting Started'!B10="","",IF('38. Total Local Funds'!$F22="Met",'2. Getting Started'!$B$6+1,IF('38. Total Local Funds'!$F14="Met",'2. Getting Started'!$B$6,'2. Getting Started'!$B10)))</f>
        <v>#N/A</v>
      </c>
      <c r="C6" s="3" t="e">
        <f>IF('2. Getting Started'!B11="","",IF('39. Total State &amp; Local Funds'!$F22="Met",'2. Getting Started'!$B$6+1,IF('39. Total State &amp; Local Funds'!$F14="Met",'2. Getting Started'!$B$6,'2. Getting Started'!$B11)))</f>
        <v>#N/A</v>
      </c>
      <c r="D6" s="3" t="e">
        <f>IF('2. Getting Started'!B12="","",IF('40. Local Funds Per Capita'!$F23="Met",'2. Getting Started'!$B$6+1,IF('40. Local Funds Per Capita'!$F15="Met",'2. Getting Started'!$B$6,'2. Getting Started'!$B12)))</f>
        <v>#N/A</v>
      </c>
      <c r="E6" s="257" t="e">
        <f>IF('2. Getting Started'!B13="","",IF('41. State &amp; Local Funds Per Cap'!$F23="Met",'2. Getting Started'!$B$6+1,IF('41. State &amp; Local Funds Per Cap'!$F15="Met",'2. Getting Started'!$B$6,'2. Getting Started'!$B13)))</f>
        <v>#N/A</v>
      </c>
    </row>
    <row r="7" spans="1:5" x14ac:dyDescent="0.25">
      <c r="A7" s="243" t="s">
        <v>45</v>
      </c>
      <c r="B7" s="205" t="e">
        <f>IF(B6="","",IF(B6='2. Getting Started'!$B$6+1,'8. Year 2 Amounts'!K30,IF(B6='2. Getting Started'!$B$6,'5. Year 1 Amounts'!K30,'2. Getting Started'!$C10)))</f>
        <v>#N/A</v>
      </c>
      <c r="C7" s="205" t="e">
        <f>IF(C6="","",IF(C6='2. Getting Started'!$B$6+1,'8. Year 2 Amounts'!M30,IF(C6='2. Getting Started'!$B$6,'5. Year 1 Amounts'!M30,'2. Getting Started'!$C11)))</f>
        <v>#N/A</v>
      </c>
      <c r="D7" s="205" t="e">
        <f>IF(D6="","",IF(D6='2. Getting Started'!$B$6+1,'8. Year 2 Amounts'!K31,IF(D6='2. Getting Started'!$B$6,'5. Year 1 Amounts'!K31,'2. Getting Started'!$C12)))</f>
        <v>#N/A</v>
      </c>
      <c r="E7" s="267" t="e">
        <f>IF(E6="","",IF(E6='2. Getting Started'!$B$6+1,'8. Year 2 Amounts'!M31,IF(E6='2. Getting Started'!$B$6,'5. Year 1 Amounts'!M31,'2. Getting Started'!$C13)))</f>
        <v>#N/A</v>
      </c>
    </row>
    <row r="8" spans="1:5" x14ac:dyDescent="0.25">
      <c r="A8" s="243" t="s">
        <v>9</v>
      </c>
      <c r="B8" s="205" t="str">
        <f>'14. Year 4 Amounts'!D30</f>
        <v/>
      </c>
      <c r="C8" s="205" t="str">
        <f>'14. Year 4 Amounts'!F30</f>
        <v/>
      </c>
      <c r="D8" s="205" t="str">
        <f>'14. Year 4 Amounts'!D31</f>
        <v/>
      </c>
      <c r="E8" s="267" t="str">
        <f>'14. Year 4 Amounts'!F31</f>
        <v/>
      </c>
    </row>
    <row r="9" spans="1:5" x14ac:dyDescent="0.25">
      <c r="A9" s="243" t="s">
        <v>117</v>
      </c>
      <c r="B9" s="201" t="str">
        <f>IF(B8="","",IF(B8&gt;=B7,"Met",IF(AND(B8&lt;B7,'38. Total Local Funds'!$B38="Met"),"Met with Exceptions &amp; Adjustments","Did Not Meet")))</f>
        <v/>
      </c>
      <c r="C9" s="201" t="str">
        <f>IF(C8="","",IF(C8&gt;=C7,"Met",IF(AND(C8&lt;C7,'39. Total State &amp; Local Funds'!$B38="Met"),"Met with Exceptions &amp; Adjustments","Did Not Meet")))</f>
        <v/>
      </c>
      <c r="D9" s="201" t="str">
        <f>IF(D8="","",IF(D8&gt;=D7,"Met",IF(AND(D8&lt;D7,'40. Local Funds Per Capita'!$B39="Met"),"Met with Exceptions &amp; Adjustments","Did Not Meet")))</f>
        <v/>
      </c>
      <c r="E9" s="259" t="str">
        <f>IF(E8="","",IF(E8&gt;=E7,"Met",IF(AND(E8&lt;E7,'41. State &amp; Local Funds Per Cap'!$B39="Met"),"Met with Exceptions &amp; Adjustments","Did Not Meet")))</f>
        <v/>
      </c>
    </row>
    <row r="10" spans="1:5" x14ac:dyDescent="0.25">
      <c r="A10" s="246" t="s">
        <v>46</v>
      </c>
      <c r="B10" s="256" t="str">
        <f>IF(B9="","",IF(B9="Did Not Meet",'38. Total Local Funds'!$B36-'38. Total Local Funds'!$B37,0))</f>
        <v/>
      </c>
      <c r="C10" s="256" t="str">
        <f>IF(C9="","",IF(C9="Did Not Meet",'39. Total State &amp; Local Funds'!$B36-'39. Total State &amp; Local Funds'!$B37,0))</f>
        <v/>
      </c>
      <c r="D10" s="256" t="str">
        <f>IF(D9="","",IF(D9="Did Not Meet",(('40. Local Funds Per Capita'!$B37-'40. Local Funds Per Capita'!$B38)*'14. Year 4 Amounts'!B1),0))</f>
        <v/>
      </c>
      <c r="E10" s="261" t="str">
        <f>IF(E9="","",IF(E9="Did Not Meet",(('41. State &amp; Local Funds Per Cap'!$B37-'41. State &amp; Local Funds Per Cap'!$B38)*'14. Year 4 Amounts'!B1),0))</f>
        <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t="e">
        <f>IF('2. Getting Started'!B10="","",IF('38. Total Local Funds'!F30="Met",'2. Getting Started'!$B$6+2,IF('38. Total Local Funds'!F22="Met",'2. Getting Started'!$B$6+1,IF('38. Total Local Funds'!$F14="Met",'2. Getting Started'!$B$6,'2. Getting Started'!$B10))))</f>
        <v>#N/A</v>
      </c>
      <c r="C14" s="3" t="e">
        <f>IF('2. Getting Started'!B11="","",IF('39. Total State &amp; Local Funds'!F30="Met",'2. Getting Started'!$B$6+2,IF('39. Total State &amp; Local Funds'!F22="Met",'2. Getting Started'!$B$6+1,IF('39. Total State &amp; Local Funds'!$F14="Met",'2. Getting Started'!$B$6,'2. Getting Started'!$B11))))</f>
        <v>#N/A</v>
      </c>
      <c r="D14" s="3" t="e">
        <f>IF('2. Getting Started'!B12="","",IF('40. Local Funds Per Capita'!F31="Met",'2. Getting Started'!$B$6+2,IF('40. Local Funds Per Capita'!F23="Met",'2. Getting Started'!$B$6+1,IF('40. Local Funds Per Capita'!$F15="Met",'2. Getting Started'!$B$6,'2. Getting Started'!$B12))))</f>
        <v>#DIV/0!</v>
      </c>
      <c r="E14" s="257" t="e">
        <f>IF('2. Getting Started'!B13="","",IF('41. State &amp; Local Funds Per Cap'!F31="Met",'2. Getting Started'!$B$6+2,IF('41. State &amp; Local Funds Per Cap'!F23="Met",'2. Getting Started'!$B$6+1,IF('41. State &amp; Local Funds Per Cap'!$F15="Met",'2. Getting Started'!$B$6,'2. Getting Started'!$B13))))</f>
        <v>#DIV/0!</v>
      </c>
    </row>
    <row r="15" spans="1:5" x14ac:dyDescent="0.25">
      <c r="A15" s="243" t="s">
        <v>45</v>
      </c>
      <c r="B15" s="17" t="e">
        <f>IF(B14="","",IF(B14='2. Getting Started'!$B$6+2,'11. Year 3 Amounts'!K30,IF(B14='2. Getting Started'!$B$6+1,'8. Year 2 Amounts'!K30,IF(B14='2. Getting Started'!$B$6,'5. Year 1 Amounts'!K30,'2. Getting Started'!$C10))))</f>
        <v>#N/A</v>
      </c>
      <c r="C15" s="17" t="e">
        <f>IF(C14="","",IF(C14='2. Getting Started'!$B$6+2,'11. Year 3 Amounts'!M30,IF(C14='2. Getting Started'!$B$6+1,'8. Year 2 Amounts'!M30,IF(C14='2. Getting Started'!$B$6,'5. Year 1 Amounts'!M30,'2. Getting Started'!$C11))))</f>
        <v>#N/A</v>
      </c>
      <c r="D15" s="17" t="e">
        <f>IF(D14="","",IF(D14='2. Getting Started'!$B$6+2,'11. Year 3 Amounts'!K31,IF(D14='2. Getting Started'!$B$6+1,'8. Year 2 Amounts'!K31,IF(D14='2. Getting Started'!$B$6,'5. Year 1 Amounts'!K31,'2. Getting Started'!$C12))))</f>
        <v>#DIV/0!</v>
      </c>
      <c r="E15" s="258" t="e">
        <f>IF(E14="","",IF(E14='2. Getting Started'!$B$6+2,'11. Year 3 Amounts'!M31,IF(E14='2. Getting Started'!$B$6+1,'8. Year 2 Amounts'!M31,IF(E14='2. Getting Started'!$B$6,'5. Year 1 Amounts'!M31,'2. Getting Started'!$C13))))</f>
        <v>#DIV/0!</v>
      </c>
    </row>
    <row r="16" spans="1:5" x14ac:dyDescent="0.25">
      <c r="A16" s="243" t="s">
        <v>11</v>
      </c>
      <c r="B16" s="17">
        <f>'14. Year 4 Amounts'!K30</f>
        <v>0</v>
      </c>
      <c r="C16" s="17">
        <f>'14. Year 4 Amounts'!M30</f>
        <v>0</v>
      </c>
      <c r="D16" s="17" t="e">
        <f>'14. Year 4 Amounts'!K31</f>
        <v>#DIV/0!</v>
      </c>
      <c r="E16" s="258" t="e">
        <f>'14. Year 4 Amounts'!M31</f>
        <v>#DIV/0!</v>
      </c>
    </row>
    <row r="17" spans="1:5" x14ac:dyDescent="0.25">
      <c r="A17" s="243" t="s">
        <v>117</v>
      </c>
      <c r="B17" s="201" t="e">
        <f>IF(B16="","",IF(B16&gt;=B15,"Met",IF(AND(B16&lt;B15,'38. Total Local Funds'!F38="Met"),"Met with Exceptions &amp; Adjustments","Did Not Meet")))</f>
        <v>#N/A</v>
      </c>
      <c r="C17" s="201" t="e">
        <f>IF(C16="","",IF(C16&gt;=C15,"Met",IF(AND(C16&lt;C15,'39. Total State &amp; Local Funds'!F38="Met"),"Met with Exceptions &amp; Adjustments","Did Not Meet")))</f>
        <v>#N/A</v>
      </c>
      <c r="D17" s="201" t="e">
        <f>IF(D16="","",IF(D16&gt;=D15,"Met",IF(AND(D16&lt;D15,'40. Local Funds Per Capita'!F39="Met"),"Met with Exceptions &amp; Adjustments","Did Not Meet")))</f>
        <v>#DIV/0!</v>
      </c>
      <c r="E17" s="259" t="e">
        <f>IF(E16="","",IF(E16&gt;=E15,"Met",IF(AND(E16&lt;E15,'41. State &amp; Local Funds Per Cap'!F39="Met"),"Met with Exceptions &amp; Adjustments","Did Not Meet")))</f>
        <v>#DIV/0!</v>
      </c>
    </row>
    <row r="18" spans="1:5" x14ac:dyDescent="0.25">
      <c r="A18" s="246" t="s">
        <v>46</v>
      </c>
      <c r="B18" s="256" t="e">
        <f>IF(B17="","",IF(B17="Did Not Meet",'38. Total Local Funds'!F36-'38. Total Local Funds'!F37,0))</f>
        <v>#N/A</v>
      </c>
      <c r="C18" s="256" t="e">
        <f>IF(C17="","",IF(C17="Did Not Meet",'39. Total State &amp; Local Funds'!F36-'39. Total State &amp; Local Funds'!F37,0))</f>
        <v>#N/A</v>
      </c>
      <c r="D18" s="256" t="e">
        <f>IF(D17="","",IF(D17="Did Not Meet",(('40. Local Funds Per Capita'!F37-'40. Local Funds Per Capita'!F38)*'14. Year 4 Amounts'!I1),0))</f>
        <v>#DIV/0!</v>
      </c>
      <c r="E18" s="261" t="e">
        <f>IF(E17="","",IF(E17="Did Not Meet",(('41. State &amp; Local Funds Per Cap'!F37-'41. State &amp; Local Funds Per Cap'!F38)*'14. Year 4 Amounts'!I1),0))</f>
        <v>#DIV/0!</v>
      </c>
    </row>
    <row r="19" spans="1:5" x14ac:dyDescent="0.25">
      <c r="A19" s="657" t="s">
        <v>174</v>
      </c>
      <c r="B19" s="657"/>
      <c r="C19" s="657"/>
      <c r="D19" s="657"/>
      <c r="E19" s="657"/>
    </row>
    <row r="20" spans="1:5" ht="15.75" x14ac:dyDescent="0.25">
      <c r="A20" s="199" t="e">
        <f>IF(AND(B17="Did Not Meet",C17="Did Not Meet",D17="Did Not Meet",E17="Did Not Meet"),"The LEA has failed the Compliance Standard by all four methods. Complete the table below.","The LEA has met the Compliance Standard by at least one method. You do not need to complete the table below.")</f>
        <v>#N/A</v>
      </c>
      <c r="B20" s="9"/>
    </row>
    <row r="21" spans="1:5" x14ac:dyDescent="0.25">
      <c r="A21" s="260" t="s">
        <v>126</v>
      </c>
      <c r="B21" s="271" t="s">
        <v>130</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t="e">
        <f>MIN(B24,B18,C18,D18,E18)</f>
        <v>#N/A</v>
      </c>
    </row>
    <row r="26" spans="1:5" x14ac:dyDescent="0.25">
      <c r="A26" s="243" t="s">
        <v>114</v>
      </c>
      <c r="B26" s="263"/>
    </row>
    <row r="27" spans="1:5" x14ac:dyDescent="0.25">
      <c r="A27" s="246" t="s">
        <v>115</v>
      </c>
      <c r="B27" s="26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Started'!B6+3)</f>
        <v>Exceptions and Adjustment Claimed for State Fiscal Year 2024</v>
      </c>
    </row>
    <row r="32" spans="1:5" x14ac:dyDescent="0.25">
      <c r="A32" s="2"/>
      <c r="B32" s="322" t="s">
        <v>147</v>
      </c>
      <c r="C32" s="4"/>
      <c r="D32" s="322" t="s">
        <v>151</v>
      </c>
      <c r="E32" s="4"/>
    </row>
    <row r="33" spans="1:5" x14ac:dyDescent="0.25">
      <c r="A33" s="218" t="s">
        <v>150</v>
      </c>
      <c r="B33" s="323" t="s">
        <v>154</v>
      </c>
      <c r="C33" s="324" t="s">
        <v>155</v>
      </c>
      <c r="D33" s="325" t="s">
        <v>152</v>
      </c>
      <c r="E33" s="324" t="s">
        <v>153</v>
      </c>
    </row>
    <row r="34" spans="1:5" x14ac:dyDescent="0.25">
      <c r="A34" s="224" t="s">
        <v>139</v>
      </c>
      <c r="B34" s="17">
        <f>'15. Year 4 Exc &amp; Adj'!F22</f>
        <v>0</v>
      </c>
      <c r="C34" s="258">
        <f>'15. Year 4 Exc &amp; Adj'!F22</f>
        <v>0</v>
      </c>
      <c r="D34" s="326">
        <f>'15. Year 4 Exc &amp; Adj'!M22</f>
        <v>0</v>
      </c>
      <c r="E34" s="17">
        <f>'15. Year 4 Exc &amp; Adj'!M22</f>
        <v>0</v>
      </c>
    </row>
    <row r="35" spans="1:5" x14ac:dyDescent="0.25">
      <c r="A35" s="224" t="s">
        <v>140</v>
      </c>
      <c r="B35" s="17" t="e">
        <f>'15. Year 4 Exc &amp; Adj'!B32</f>
        <v>#DIV/0!</v>
      </c>
      <c r="C35" s="258" t="e">
        <f>'15. Year 4 Exc &amp; Adj'!C32</f>
        <v>#DIV/0!</v>
      </c>
      <c r="D35" s="326" t="e">
        <f>'15. Year 4 Exc &amp; Adj'!I32</f>
        <v>#DIV/0!</v>
      </c>
      <c r="E35" s="258" t="e">
        <f>'15. Year 4 Exc &amp; Adj'!J32</f>
        <v>#DIV/0!</v>
      </c>
    </row>
    <row r="36" spans="1:5" x14ac:dyDescent="0.25">
      <c r="A36" s="224" t="s">
        <v>141</v>
      </c>
      <c r="B36" s="17">
        <f>'15. Year 4 Exc &amp; Adj'!C43</f>
        <v>0</v>
      </c>
      <c r="C36" s="258">
        <f>'15. Year 4 Exc &amp; Adj'!C43</f>
        <v>0</v>
      </c>
      <c r="D36" s="326">
        <f>'15. Year 4 Exc &amp; Adj'!J43</f>
        <v>0</v>
      </c>
      <c r="E36" s="17">
        <f>'15. Year 4 Exc &amp; Adj'!J43</f>
        <v>0</v>
      </c>
    </row>
    <row r="37" spans="1:5" x14ac:dyDescent="0.25">
      <c r="A37" s="224" t="s">
        <v>142</v>
      </c>
      <c r="B37" s="17">
        <f>'15. Year 4 Exc &amp; Adj'!B53</f>
        <v>0</v>
      </c>
      <c r="C37" s="258">
        <f>'15. Year 4 Exc &amp; Adj'!B53</f>
        <v>0</v>
      </c>
      <c r="D37" s="326">
        <f>'15. Year 4 Exc &amp; Adj'!I53</f>
        <v>0</v>
      </c>
      <c r="E37" s="17">
        <f>'15. Year 4 Exc &amp; Adj'!I53</f>
        <v>0</v>
      </c>
    </row>
    <row r="38" spans="1:5" x14ac:dyDescent="0.25">
      <c r="A38" s="224" t="str">
        <f>IF('3b. High Cost Fund'!B6="No","This exception is not valid for your state.","Exception (e)")</f>
        <v>Exception (e)</v>
      </c>
      <c r="B38" s="331">
        <f>IF('3b. High Cost Fund'!B6="No","",'15. Year 4 Exc &amp; Adj'!B63)</f>
        <v>0</v>
      </c>
      <c r="C38" s="332">
        <f>IF('3b. High Cost Fund'!B6="No","",'15. Year 4 Exc &amp; Adj'!B63)</f>
        <v>0</v>
      </c>
      <c r="D38" s="326">
        <f>IF('3b. High Cost Fund'!B6="No","",'15. Year 4 Exc &amp; Adj'!I63)</f>
        <v>0</v>
      </c>
      <c r="E38" s="331">
        <f>IF('3b. High Cost Fund'!B6="No","",'15. Year 4 Exc &amp; Adj'!I63)</f>
        <v>0</v>
      </c>
    </row>
    <row r="39" spans="1:5" x14ac:dyDescent="0.25">
      <c r="A39" s="224" t="s">
        <v>143</v>
      </c>
      <c r="B39" s="17">
        <f>AdjDataYear4Budget[Projected Adjustment]</f>
        <v>0</v>
      </c>
      <c r="C39" s="17">
        <f>AdjDataYear4Budget[Projected Adjustment]</f>
        <v>0</v>
      </c>
      <c r="D39" s="327">
        <f>AdjDataYear4Expenditures[[Adjustment ]]</f>
        <v>0</v>
      </c>
      <c r="E39" s="17">
        <f>AdjDataYear4Expenditures[[Adjustment ]]</f>
        <v>0</v>
      </c>
    </row>
    <row r="40" spans="1:5" x14ac:dyDescent="0.25">
      <c r="A40" s="246" t="s">
        <v>124</v>
      </c>
      <c r="B40" s="328" t="e">
        <f>SUM(B34:B39)</f>
        <v>#DIV/0!</v>
      </c>
      <c r="C40" s="329" t="e">
        <f>SUM(C34:C39)</f>
        <v>#DIV/0!</v>
      </c>
      <c r="D40" s="330" t="e">
        <f>SUM(D34:D39)</f>
        <v>#DIV/0!</v>
      </c>
      <c r="E40" s="329" t="e">
        <f>SUM(E34:E39)</f>
        <v>#DIV/0!</v>
      </c>
    </row>
    <row r="41" spans="1:5" ht="29.25"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pLnL6X0h2/b8GIyta1xOkEtnaruUAv2AzP5PnjxQkZuHHhiHnaBcCpGaOtm1Syjx631KP7+z8JsVlGkAGhC+7Q==" saltValue="jL91m9kEHzPBjzVDs4ceQw==" spinCount="100000" sheet="1" objects="1" scenarios="1" formatColumns="0" formatRows="0"/>
  <mergeCells count="5">
    <mergeCell ref="A11:E11"/>
    <mergeCell ref="A19:E19"/>
    <mergeCell ref="A28:E28"/>
    <mergeCell ref="A30:E30"/>
    <mergeCell ref="A43:E43"/>
  </mergeCells>
  <conditionalFormatting sqref="B9:E9">
    <cfRule type="containsText" dxfId="202" priority="1" operator="containsText" text="Did Not Meet">
      <formula>NOT(ISERROR(SEARCH("Did Not Meet",B9)))</formula>
    </cfRule>
    <cfRule type="containsText" dxfId="201" priority="2" operator="containsText" text="Met">
      <formula>NOT(ISERROR(SEARCH("Met",B9)))</formula>
    </cfRule>
  </conditionalFormatting>
  <conditionalFormatting sqref="B17:E17">
    <cfRule type="containsText" dxfId="200" priority="3" operator="containsText" text="Did Not Meet">
      <formula>NOT(ISERROR(SEARCH("Did Not Meet",B17)))</formula>
    </cfRule>
    <cfRule type="containsText" dxfId="199" priority="4" operator="containsText" text="Met">
      <formula>NOT(ISERROR(SEARCH("Met",B17)))</formula>
    </cfRule>
  </conditionalFormatting>
  <hyperlinks>
    <hyperlink ref="A29" location="'4. Multi-Year MOE Summary'!A7" display="Go to the Multi-Year MOE Summary" xr:uid="{00000000-0004-0000-1100-000000000000}"/>
    <hyperlink ref="A42" r:id="rId1" xr:uid="{00000000-0004-0000-11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pageSetUpPr autoPageBreaks="0"/>
  </sheetPr>
  <dimension ref="A1:N35"/>
  <sheetViews>
    <sheetView showGridLines="0" workbookViewId="0">
      <pane ySplit="4" topLeftCell="A5" activePane="bottomLeft" state="frozen"/>
      <selection activeCell="D5" sqref="D5"/>
      <selection pane="bottomLeft" activeCell="I1" sqref="I1"/>
    </sheetView>
  </sheetViews>
  <sheetFormatPr defaultColWidth="0" defaultRowHeight="0" customHeight="1"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c r="D1" s="21" t="s">
        <v>14</v>
      </c>
      <c r="E1" s="20" t="str">
        <f>IF('2. Getting Started'!B2="","",'2. Getting Started'!B2)</f>
        <v/>
      </c>
      <c r="G1" s="661" t="s">
        <v>22</v>
      </c>
      <c r="H1" s="19" t="s">
        <v>49</v>
      </c>
      <c r="I1" s="48"/>
      <c r="K1" s="21" t="s">
        <v>14</v>
      </c>
      <c r="L1" s="20" t="str">
        <f>IF('2. Getting Started'!B2="","",'2. Getting Started'!B2)</f>
        <v/>
      </c>
    </row>
    <row r="2" spans="1:13" s="25" customFormat="1" ht="37.9" customHeight="1" thickBot="1" x14ac:dyDescent="0.3">
      <c r="A2" s="22" t="str">
        <f>CONCATENATE("Eligibility Standard - State Fiscal Year ",'2. Getting Started'!B6+4," -  LEA Effort - Budgeted Amounts")</f>
        <v>Eligibility Standard - State Fiscal Year 2025 -  LEA Effort - Budgeted Amounts</v>
      </c>
      <c r="B2" s="23"/>
      <c r="C2" s="23"/>
      <c r="D2" s="23"/>
      <c r="E2" s="23"/>
      <c r="F2" s="24"/>
      <c r="G2" s="661"/>
      <c r="H2" s="22" t="str">
        <f>CONCATENATE("Compliance Standard - State Fiscal Year ",'2. Getting Started'!B6+4," - LEA Effort - Final Expenditures")</f>
        <v>Compliance Standard - State Fiscal Year 2025 - LEA Effort - Final Expenditures</v>
      </c>
      <c r="I2" s="23"/>
      <c r="J2" s="23"/>
      <c r="K2" s="23"/>
      <c r="L2" s="23"/>
      <c r="M2" s="24"/>
    </row>
    <row r="3" spans="1:13" s="25" customFormat="1" ht="24" customHeight="1" x14ac:dyDescent="0.25">
      <c r="A3" s="26"/>
      <c r="B3" s="27"/>
      <c r="D3" s="28" t="str">
        <f>CONCATENATE("SFY ",'2. Getting Started'!$B6+4," Budget")</f>
        <v>SFY 2025 Budget</v>
      </c>
      <c r="E3" s="29"/>
      <c r="F3" s="30"/>
      <c r="G3" s="661"/>
      <c r="H3" s="26"/>
      <c r="I3" s="27"/>
      <c r="J3" s="31"/>
      <c r="K3" s="28" t="str">
        <f>CONCATENATE("SFY ",'2. Getting Started'!$B6+4," Final Expenditures")</f>
        <v>SFY 2025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ht="15.75" x14ac:dyDescent="0.25">
      <c r="A5" s="49"/>
      <c r="B5" s="50"/>
      <c r="C5" s="51"/>
      <c r="D5" s="52"/>
      <c r="E5" s="52"/>
      <c r="F5" s="38" t="str">
        <f>IF(AND(D5="",E5=""),"",SUM(D5:E5))</f>
        <v/>
      </c>
      <c r="G5" s="661"/>
      <c r="H5" s="49"/>
      <c r="I5" s="50"/>
      <c r="J5" s="51"/>
      <c r="K5" s="52"/>
      <c r="L5" s="52"/>
      <c r="M5" s="38" t="str">
        <f>IF(AND(K5="",L5=""),"",SUM(K5:L5))</f>
        <v/>
      </c>
    </row>
    <row r="6" spans="1:13" ht="15.75" x14ac:dyDescent="0.25">
      <c r="A6" s="49"/>
      <c r="B6" s="50"/>
      <c r="C6" s="51"/>
      <c r="D6" s="52"/>
      <c r="E6" s="52"/>
      <c r="F6" s="38" t="str">
        <f t="shared" ref="F6:F29" si="0">IF(AND(D6="",E6=""),"",SUM(D6:E6))</f>
        <v/>
      </c>
      <c r="G6" s="661"/>
      <c r="H6" s="49"/>
      <c r="I6" s="50"/>
      <c r="J6" s="51"/>
      <c r="K6" s="52"/>
      <c r="L6" s="52"/>
      <c r="M6" s="38" t="str">
        <f t="shared" ref="M6:M29" si="1">IF(AND(K6="",L6=""),"",SUM(K6:L6))</f>
        <v/>
      </c>
    </row>
    <row r="7" spans="1:13" ht="15.75" x14ac:dyDescent="0.25">
      <c r="A7" s="49"/>
      <c r="B7" s="50"/>
      <c r="C7" s="51"/>
      <c r="D7" s="52"/>
      <c r="E7" s="52"/>
      <c r="F7" s="38" t="str">
        <f t="shared" si="0"/>
        <v/>
      </c>
      <c r="G7" s="661"/>
      <c r="H7" s="49"/>
      <c r="I7" s="50"/>
      <c r="J7" s="51"/>
      <c r="K7" s="52"/>
      <c r="L7" s="52"/>
      <c r="M7" s="38" t="str">
        <f t="shared" si="1"/>
        <v/>
      </c>
    </row>
    <row r="8" spans="1:13" ht="15.75" x14ac:dyDescent="0.25">
      <c r="A8" s="49"/>
      <c r="B8" s="50"/>
      <c r="C8" s="51"/>
      <c r="D8" s="52"/>
      <c r="E8" s="52"/>
      <c r="F8" s="38" t="str">
        <f t="shared" si="0"/>
        <v/>
      </c>
      <c r="G8" s="661"/>
      <c r="H8" s="49"/>
      <c r="I8" s="50"/>
      <c r="J8" s="51"/>
      <c r="K8" s="52"/>
      <c r="L8" s="52"/>
      <c r="M8" s="38" t="str">
        <f t="shared" si="1"/>
        <v/>
      </c>
    </row>
    <row r="9" spans="1:13" ht="15.75" x14ac:dyDescent="0.25">
      <c r="A9" s="49"/>
      <c r="B9" s="50"/>
      <c r="C9" s="51"/>
      <c r="D9" s="52"/>
      <c r="E9" s="52"/>
      <c r="F9" s="38" t="str">
        <f t="shared" si="0"/>
        <v/>
      </c>
      <c r="G9" s="661"/>
      <c r="H9" s="49"/>
      <c r="I9" s="50"/>
      <c r="J9" s="51"/>
      <c r="K9" s="52"/>
      <c r="L9" s="52"/>
      <c r="M9" s="38" t="str">
        <f t="shared" si="1"/>
        <v/>
      </c>
    </row>
    <row r="10" spans="1:13" ht="15.75" x14ac:dyDescent="0.25">
      <c r="A10" s="49"/>
      <c r="B10" s="50"/>
      <c r="C10" s="51"/>
      <c r="D10" s="52"/>
      <c r="E10" s="52"/>
      <c r="F10" s="38" t="str">
        <f t="shared" si="0"/>
        <v/>
      </c>
      <c r="G10" s="661"/>
      <c r="H10" s="49"/>
      <c r="I10" s="50"/>
      <c r="J10" s="51"/>
      <c r="K10" s="52"/>
      <c r="L10" s="52"/>
      <c r="M10" s="38" t="str">
        <f t="shared" si="1"/>
        <v/>
      </c>
    </row>
    <row r="11" spans="1:13" ht="15.75" x14ac:dyDescent="0.25">
      <c r="A11" s="49"/>
      <c r="B11" s="50"/>
      <c r="C11" s="51"/>
      <c r="D11" s="52"/>
      <c r="E11" s="52"/>
      <c r="F11" s="38" t="str">
        <f t="shared" si="0"/>
        <v/>
      </c>
      <c r="G11" s="661"/>
      <c r="H11" s="49"/>
      <c r="I11" s="50"/>
      <c r="J11" s="51"/>
      <c r="K11" s="52"/>
      <c r="L11" s="52"/>
      <c r="M11" s="38" t="str">
        <f t="shared" si="1"/>
        <v/>
      </c>
    </row>
    <row r="12" spans="1:13" ht="15.75" x14ac:dyDescent="0.25">
      <c r="A12" s="49"/>
      <c r="B12" s="50"/>
      <c r="C12" s="51"/>
      <c r="D12" s="52"/>
      <c r="E12" s="52"/>
      <c r="F12" s="38" t="str">
        <f t="shared" si="0"/>
        <v/>
      </c>
      <c r="G12" s="661"/>
      <c r="H12" s="49"/>
      <c r="I12" s="50"/>
      <c r="J12" s="51"/>
      <c r="K12" s="52"/>
      <c r="L12" s="52"/>
      <c r="M12" s="38" t="str">
        <f t="shared" si="1"/>
        <v/>
      </c>
    </row>
    <row r="13" spans="1:13" ht="15.75" x14ac:dyDescent="0.25">
      <c r="A13" s="49"/>
      <c r="B13" s="50"/>
      <c r="C13" s="51"/>
      <c r="D13" s="52"/>
      <c r="E13" s="52"/>
      <c r="F13" s="38" t="str">
        <f t="shared" si="0"/>
        <v/>
      </c>
      <c r="G13" s="661"/>
      <c r="H13" s="49"/>
      <c r="I13" s="50"/>
      <c r="J13" s="51"/>
      <c r="K13" s="52"/>
      <c r="L13" s="52"/>
      <c r="M13" s="38" t="str">
        <f t="shared" si="1"/>
        <v/>
      </c>
    </row>
    <row r="14" spans="1:13" ht="15.75" x14ac:dyDescent="0.25">
      <c r="A14" s="49"/>
      <c r="B14" s="50"/>
      <c r="C14" s="51"/>
      <c r="D14" s="52"/>
      <c r="E14" s="52"/>
      <c r="F14" s="38" t="str">
        <f t="shared" si="0"/>
        <v/>
      </c>
      <c r="G14" s="661"/>
      <c r="H14" s="49"/>
      <c r="I14" s="50"/>
      <c r="J14" s="51"/>
      <c r="K14" s="52"/>
      <c r="L14" s="52"/>
      <c r="M14" s="38" t="str">
        <f t="shared" si="1"/>
        <v/>
      </c>
    </row>
    <row r="15" spans="1:13" ht="15.75" x14ac:dyDescent="0.25">
      <c r="A15" s="49"/>
      <c r="B15" s="50"/>
      <c r="C15" s="51"/>
      <c r="D15" s="52"/>
      <c r="E15" s="52"/>
      <c r="F15" s="38" t="str">
        <f t="shared" si="0"/>
        <v/>
      </c>
      <c r="G15" s="661"/>
      <c r="H15" s="49"/>
      <c r="I15" s="50"/>
      <c r="J15" s="51"/>
      <c r="K15" s="52"/>
      <c r="L15" s="52"/>
      <c r="M15" s="38" t="str">
        <f t="shared" si="1"/>
        <v/>
      </c>
    </row>
    <row r="16" spans="1:13" ht="15.75" x14ac:dyDescent="0.25">
      <c r="A16" s="49"/>
      <c r="B16" s="50"/>
      <c r="C16" s="51"/>
      <c r="D16" s="52"/>
      <c r="E16" s="52"/>
      <c r="F16" s="38" t="str">
        <f t="shared" si="0"/>
        <v/>
      </c>
      <c r="G16" s="661"/>
      <c r="H16" s="49"/>
      <c r="I16" s="50"/>
      <c r="J16" s="51"/>
      <c r="K16" s="52"/>
      <c r="L16" s="52"/>
      <c r="M16" s="38" t="str">
        <f t="shared" si="1"/>
        <v/>
      </c>
    </row>
    <row r="17" spans="1:13" ht="15.75" x14ac:dyDescent="0.25">
      <c r="A17" s="49"/>
      <c r="B17" s="50"/>
      <c r="C17" s="51"/>
      <c r="D17" s="52"/>
      <c r="E17" s="52"/>
      <c r="F17" s="38" t="str">
        <f t="shared" si="0"/>
        <v/>
      </c>
      <c r="G17" s="661"/>
      <c r="H17" s="49"/>
      <c r="I17" s="50"/>
      <c r="J17" s="51"/>
      <c r="K17" s="52"/>
      <c r="L17" s="52"/>
      <c r="M17" s="38" t="str">
        <f t="shared" si="1"/>
        <v/>
      </c>
    </row>
    <row r="18" spans="1:13" ht="15.75" x14ac:dyDescent="0.25">
      <c r="A18" s="49"/>
      <c r="B18" s="50"/>
      <c r="C18" s="51"/>
      <c r="D18" s="52"/>
      <c r="E18" s="52"/>
      <c r="F18" s="38" t="str">
        <f t="shared" si="0"/>
        <v/>
      </c>
      <c r="G18" s="661"/>
      <c r="H18" s="49"/>
      <c r="I18" s="50"/>
      <c r="J18" s="51"/>
      <c r="K18" s="52"/>
      <c r="L18" s="52"/>
      <c r="M18" s="38" t="str">
        <f t="shared" si="1"/>
        <v/>
      </c>
    </row>
    <row r="19" spans="1:13" ht="15.75" x14ac:dyDescent="0.25">
      <c r="A19" s="49"/>
      <c r="B19" s="50"/>
      <c r="C19" s="51"/>
      <c r="D19" s="52"/>
      <c r="E19" s="52"/>
      <c r="F19" s="38" t="str">
        <f t="shared" si="0"/>
        <v/>
      </c>
      <c r="G19" s="661"/>
      <c r="H19" s="49"/>
      <c r="I19" s="50"/>
      <c r="J19" s="51"/>
      <c r="K19" s="52"/>
      <c r="L19" s="52"/>
      <c r="M19" s="38" t="str">
        <f t="shared" si="1"/>
        <v/>
      </c>
    </row>
    <row r="20" spans="1:13" ht="15.75" x14ac:dyDescent="0.25">
      <c r="A20" s="49"/>
      <c r="B20" s="50"/>
      <c r="C20" s="51"/>
      <c r="D20" s="52"/>
      <c r="E20" s="52"/>
      <c r="F20" s="38" t="str">
        <f t="shared" si="0"/>
        <v/>
      </c>
      <c r="G20" s="661"/>
      <c r="H20" s="49"/>
      <c r="I20" s="50"/>
      <c r="J20" s="51"/>
      <c r="K20" s="52"/>
      <c r="L20" s="52"/>
      <c r="M20" s="38" t="str">
        <f t="shared" si="1"/>
        <v/>
      </c>
    </row>
    <row r="21" spans="1:13" ht="15.75" x14ac:dyDescent="0.25">
      <c r="A21" s="49"/>
      <c r="B21" s="50"/>
      <c r="C21" s="51"/>
      <c r="D21" s="52"/>
      <c r="E21" s="52"/>
      <c r="F21" s="38" t="str">
        <f t="shared" si="0"/>
        <v/>
      </c>
      <c r="G21" s="661"/>
      <c r="H21" s="49"/>
      <c r="I21" s="50"/>
      <c r="J21" s="51"/>
      <c r="K21" s="52"/>
      <c r="L21" s="52"/>
      <c r="M21" s="38" t="str">
        <f t="shared" si="1"/>
        <v/>
      </c>
    </row>
    <row r="22" spans="1:13" ht="15.75" x14ac:dyDescent="0.25">
      <c r="A22" s="49"/>
      <c r="B22" s="50"/>
      <c r="C22" s="51"/>
      <c r="D22" s="52"/>
      <c r="E22" s="52"/>
      <c r="F22" s="38" t="str">
        <f t="shared" si="0"/>
        <v/>
      </c>
      <c r="G22" s="661"/>
      <c r="H22" s="49"/>
      <c r="I22" s="50"/>
      <c r="J22" s="51"/>
      <c r="K22" s="52"/>
      <c r="L22" s="52"/>
      <c r="M22" s="38" t="str">
        <f t="shared" si="1"/>
        <v/>
      </c>
    </row>
    <row r="23" spans="1:13" ht="15.75" x14ac:dyDescent="0.25">
      <c r="A23" s="49"/>
      <c r="B23" s="50"/>
      <c r="C23" s="51"/>
      <c r="D23" s="52"/>
      <c r="E23" s="52"/>
      <c r="F23" s="38" t="str">
        <f t="shared" si="0"/>
        <v/>
      </c>
      <c r="G23" s="661"/>
      <c r="H23" s="49"/>
      <c r="I23" s="50"/>
      <c r="J23" s="51"/>
      <c r="K23" s="52"/>
      <c r="L23" s="52"/>
      <c r="M23" s="38" t="str">
        <f t="shared" si="1"/>
        <v/>
      </c>
    </row>
    <row r="24" spans="1:13" ht="15.75" x14ac:dyDescent="0.25">
      <c r="A24" s="49"/>
      <c r="B24" s="50"/>
      <c r="C24" s="51"/>
      <c r="D24" s="52"/>
      <c r="E24" s="52"/>
      <c r="F24" s="38" t="str">
        <f t="shared" si="0"/>
        <v/>
      </c>
      <c r="G24" s="661"/>
      <c r="H24" s="49"/>
      <c r="I24" s="50"/>
      <c r="J24" s="51"/>
      <c r="K24" s="52"/>
      <c r="L24" s="52"/>
      <c r="M24" s="38" t="str">
        <f t="shared" si="1"/>
        <v/>
      </c>
    </row>
    <row r="25" spans="1:13" ht="15.75" x14ac:dyDescent="0.25">
      <c r="A25" s="49"/>
      <c r="B25" s="50"/>
      <c r="C25" s="51"/>
      <c r="D25" s="52"/>
      <c r="E25" s="52"/>
      <c r="F25" s="38" t="str">
        <f t="shared" si="0"/>
        <v/>
      </c>
      <c r="G25" s="661"/>
      <c r="H25" s="49"/>
      <c r="I25" s="50"/>
      <c r="J25" s="51"/>
      <c r="K25" s="52"/>
      <c r="L25" s="52"/>
      <c r="M25" s="38" t="str">
        <f t="shared" si="1"/>
        <v/>
      </c>
    </row>
    <row r="26" spans="1:13" ht="15.75" x14ac:dyDescent="0.25">
      <c r="A26" s="49"/>
      <c r="B26" s="50"/>
      <c r="C26" s="51"/>
      <c r="D26" s="52"/>
      <c r="E26" s="52"/>
      <c r="F26" s="38" t="str">
        <f t="shared" si="0"/>
        <v/>
      </c>
      <c r="G26" s="661"/>
      <c r="H26" s="49"/>
      <c r="I26" s="50"/>
      <c r="J26" s="51"/>
      <c r="K26" s="52"/>
      <c r="L26" s="52"/>
      <c r="M26" s="38" t="str">
        <f t="shared" si="1"/>
        <v/>
      </c>
    </row>
    <row r="27" spans="1:13" ht="15.75" x14ac:dyDescent="0.25">
      <c r="A27" s="49"/>
      <c r="B27" s="50"/>
      <c r="C27" s="51"/>
      <c r="D27" s="52"/>
      <c r="E27" s="52"/>
      <c r="F27" s="38" t="str">
        <f t="shared" si="0"/>
        <v/>
      </c>
      <c r="G27" s="661"/>
      <c r="H27" s="49"/>
      <c r="I27" s="50"/>
      <c r="J27" s="51"/>
      <c r="K27" s="52"/>
      <c r="L27" s="52"/>
      <c r="M27" s="38" t="str">
        <f t="shared" si="1"/>
        <v/>
      </c>
    </row>
    <row r="28" spans="1:13" ht="15.75" x14ac:dyDescent="0.25">
      <c r="A28" s="49"/>
      <c r="B28" s="50"/>
      <c r="C28" s="51"/>
      <c r="D28" s="52"/>
      <c r="E28" s="52"/>
      <c r="F28" s="38" t="str">
        <f t="shared" si="0"/>
        <v/>
      </c>
      <c r="G28" s="661"/>
      <c r="H28" s="49"/>
      <c r="I28" s="50"/>
      <c r="J28" s="51"/>
      <c r="K28" s="52"/>
      <c r="L28" s="52"/>
      <c r="M28" s="38" t="str">
        <f t="shared" si="1"/>
        <v/>
      </c>
    </row>
    <row r="29" spans="1:13" ht="16.5" thickBot="1" x14ac:dyDescent="0.3">
      <c r="A29" s="53"/>
      <c r="B29" s="54"/>
      <c r="C29" s="55"/>
      <c r="D29" s="56"/>
      <c r="E29" s="56"/>
      <c r="F29" s="38" t="str">
        <f t="shared" si="0"/>
        <v/>
      </c>
      <c r="G29" s="661"/>
      <c r="H29" s="53"/>
      <c r="I29" s="54"/>
      <c r="J29" s="55"/>
      <c r="K29" s="56"/>
      <c r="L29" s="56"/>
      <c r="M29" s="38" t="str">
        <f t="shared" si="1"/>
        <v/>
      </c>
    </row>
    <row r="30" spans="1:13" ht="19.5" thickBot="1" x14ac:dyDescent="0.3">
      <c r="A30" s="39"/>
      <c r="B30" s="40"/>
      <c r="C30" s="41" t="s">
        <v>56</v>
      </c>
      <c r="D30" s="42" t="str">
        <f>IF(AND(D5="",D6="",D7="",D8="",D9="",D10="",D11="",D12="",D13="",D14="",D15="",D16="",D17="",D18="",D19="",D20="",D21="",D22="",D23="",D24="",D25="",D26="",D27="",D28="",D29=""),"",SUM(D5:D29))</f>
        <v/>
      </c>
      <c r="E30" s="43"/>
      <c r="F30" s="42" t="str">
        <f>IF(AND(F5="",F6="",F7="",F8="",F9="",F10="",F11="",F12="",F13="",F14="",F15="",F16="",F17="",F18="",F19="",F20="",F21="",F22="",F23="",F24="",F25="",F26="",F27="",F28="",F29=""),"",SUM(F5:F29))</f>
        <v/>
      </c>
      <c r="G30" s="661"/>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x14ac:dyDescent="0.3">
      <c r="A31" s="39"/>
      <c r="B31" s="39"/>
      <c r="C31" s="44" t="s">
        <v>57</v>
      </c>
      <c r="D31" s="42" t="str">
        <f>IF(OR($B1="",D30=""),"",(D30/$B1))</f>
        <v/>
      </c>
      <c r="E31" s="39"/>
      <c r="F31" s="42" t="str">
        <f>IF(OR($B1="",F30=""),"",(F30/$B1))</f>
        <v/>
      </c>
      <c r="G31" s="661"/>
      <c r="H31" s="39"/>
      <c r="I31" s="39"/>
      <c r="J31" s="44" t="s">
        <v>57</v>
      </c>
      <c r="K31" s="42" t="str">
        <f>IF(OR($I1="",K30=""),"",(K30/$I1))</f>
        <v/>
      </c>
      <c r="L31" s="39"/>
      <c r="M31" s="42" t="str">
        <f>IF(OR($I1="",M30=""),"",(M30/$I1))</f>
        <v/>
      </c>
    </row>
    <row r="32" spans="1:13" s="25" customFormat="1" ht="18.75" x14ac:dyDescent="0.2">
      <c r="A32" s="345" t="s">
        <v>184</v>
      </c>
      <c r="B32" s="45"/>
      <c r="C32" s="45"/>
      <c r="D32" s="45"/>
      <c r="E32" s="45"/>
      <c r="F32" s="45"/>
      <c r="G32" s="45"/>
      <c r="H32" s="45"/>
      <c r="I32" s="45"/>
      <c r="J32" s="45"/>
      <c r="K32" s="45"/>
      <c r="L32" s="45"/>
      <c r="M32" s="45"/>
    </row>
    <row r="33" spans="1:13" s="47" customFormat="1" ht="15.75"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row r="35" spans="1:13" ht="15.75" hidden="1" x14ac:dyDescent="0.25"/>
  </sheetData>
  <sheetProtection algorithmName="SHA-512" hashValue="xxX2Ap2+kaTQiNm7oJdEePszA8J+FPPKehwEJnAg1196NL0ox49mz1uy4yDorgsZa3aWi1SCUHPNTI6ns9ctLg==" saltValue="PSloAiQIt5stpzE7dQmA/Q=="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200-000000000000}"/>
    <dataValidation allowBlank="1" showInputMessage="1" showErrorMessage="1" prompt="Don't forget to enter Child Count in Cell I1." sqref="H5" xr:uid="{00000000-0002-0000-1200-000001000000}"/>
  </dataValidations>
  <hyperlinks>
    <hyperlink ref="A33" r:id="rId1" xr:uid="{00000000-0004-0000-1200-000000000000}"/>
  </hyperlinks>
  <pageMargins left="0.75" right="0.75" top="1" bottom="1" header="0.5" footer="0.5"/>
  <pageSetup orientation="portrait" horizontalDpi="4294967292" verticalDpi="4294967292" r:id="rId2"/>
  <tableParts count="2">
    <tablePart r:id="rId3"/>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pageSetUpPr autoPageBreaks="0"/>
  </sheetPr>
  <dimension ref="A1:AB75"/>
  <sheetViews>
    <sheetView showGridLines="0" zoomScale="90" zoomScaleNormal="90" zoomScalePageLayoutView="90" workbookViewId="0">
      <pane ySplit="3" topLeftCell="A6" activePane="bottomLeft" state="frozen"/>
      <selection activeCell="D21" sqref="D21"/>
      <selection pane="bottomLeft" activeCell="C16" sqref="C16"/>
    </sheetView>
  </sheetViews>
  <sheetFormatPr defaultColWidth="0" defaultRowHeight="15.75"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x14ac:dyDescent="0.25">
      <c r="A1" s="57" t="s">
        <v>58</v>
      </c>
      <c r="D1" s="59" t="s">
        <v>14</v>
      </c>
      <c r="E1" s="10" t="str">
        <f>IF('2. Getting Started'!$B2="","",'2. Getting Started'!$B2)</f>
        <v/>
      </c>
      <c r="G1" s="667" t="s">
        <v>176</v>
      </c>
      <c r="K1" s="59" t="s">
        <v>14</v>
      </c>
      <c r="L1" s="10" t="str">
        <f>IF('2. Getting Started'!$B2="","",'2. Getting Started'!$B2)</f>
        <v/>
      </c>
    </row>
    <row r="2" spans="1:20" ht="25.9" customHeight="1" thickBot="1" x14ac:dyDescent="0.3">
      <c r="A2" s="338" t="s">
        <v>170</v>
      </c>
      <c r="D2" s="59"/>
      <c r="E2" s="10"/>
      <c r="G2" s="667"/>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Started'!B6+4," Budget")</f>
        <v>Eligibility Standard -- Exceptions to MOE as Permitted by 34 CFR §300.204 and Adjustment to MOE as Permitted by 34 CFR §300.205 -- Projections for State Fiscal Year 2025 Budget</v>
      </c>
      <c r="B3" s="61"/>
      <c r="C3" s="61"/>
      <c r="D3" s="61"/>
      <c r="E3" s="61"/>
      <c r="F3" s="62"/>
      <c r="G3" s="667"/>
      <c r="H3" s="60" t="str">
        <f>CONCATENATE("Compliance Standard -- Exceptions to MOE as Permitted by 34 CFR §300.204 and Adjustment to MOE as Permitted by 34 CFR §300.205 -- Final Expenditures for  State Fiscal Year ",'2. Getting Started'!B6+4)</f>
        <v>Compliance Standard -- Exceptions to MOE as Permitted by 34 CFR §300.204 and Adjustment to MOE as Permitted by 34 CFR §300.205 -- Final Expenditures for  State Fiscal Year 2025</v>
      </c>
      <c r="I3" s="61"/>
      <c r="J3" s="61"/>
      <c r="K3" s="61"/>
      <c r="L3" s="61"/>
      <c r="M3" s="62"/>
      <c r="O3" s="64"/>
      <c r="P3" s="64"/>
      <c r="Q3" s="64"/>
      <c r="R3" s="64"/>
      <c r="S3" s="64"/>
      <c r="T3" s="64"/>
    </row>
    <row r="4" spans="1:20" x14ac:dyDescent="0.25">
      <c r="A4" s="65" t="s">
        <v>59</v>
      </c>
      <c r="B4" s="66"/>
      <c r="C4" s="67"/>
      <c r="D4" s="67"/>
      <c r="E4" s="67"/>
      <c r="F4" s="68"/>
      <c r="G4" s="667"/>
      <c r="H4" s="65" t="s">
        <v>59</v>
      </c>
      <c r="I4" s="66"/>
      <c r="J4" s="67"/>
      <c r="K4" s="67"/>
      <c r="L4" s="67"/>
      <c r="M4" s="68"/>
      <c r="N4" s="70"/>
      <c r="O4" s="70"/>
      <c r="P4" s="70"/>
      <c r="Q4" s="70"/>
      <c r="R4" s="70"/>
      <c r="S4" s="70"/>
    </row>
    <row r="5" spans="1:20" x14ac:dyDescent="0.25">
      <c r="A5" s="71" t="s">
        <v>60</v>
      </c>
      <c r="B5" s="72"/>
      <c r="C5" s="69"/>
      <c r="D5" s="69"/>
      <c r="E5" s="69"/>
      <c r="F5" s="73"/>
      <c r="G5" s="667"/>
      <c r="H5" s="71" t="s">
        <v>60</v>
      </c>
      <c r="I5" s="72"/>
      <c r="J5" s="69"/>
      <c r="K5" s="69"/>
      <c r="L5" s="69"/>
      <c r="M5" s="73"/>
      <c r="N5" s="74"/>
      <c r="O5" s="74"/>
      <c r="P5" s="74"/>
      <c r="Q5" s="74"/>
      <c r="R5" s="74"/>
    </row>
    <row r="6" spans="1:20" ht="35.65" customHeight="1" thickBot="1" x14ac:dyDescent="0.3">
      <c r="A6" s="75" t="s">
        <v>61</v>
      </c>
      <c r="B6" s="76"/>
      <c r="C6" s="76"/>
      <c r="D6" s="76"/>
      <c r="E6" s="76"/>
      <c r="F6" s="77"/>
      <c r="G6" s="667"/>
      <c r="H6" s="75" t="s">
        <v>61</v>
      </c>
      <c r="I6" s="76"/>
      <c r="J6" s="76"/>
      <c r="K6" s="76"/>
      <c r="L6" s="76"/>
      <c r="M6" s="77"/>
      <c r="N6" s="74"/>
      <c r="O6" s="74"/>
      <c r="P6" s="74"/>
      <c r="Q6" s="74"/>
      <c r="R6" s="74"/>
      <c r="S6" s="74"/>
    </row>
    <row r="7" spans="1:20" x14ac:dyDescent="0.25">
      <c r="A7" s="78" t="s">
        <v>62</v>
      </c>
      <c r="B7" s="79" t="s">
        <v>63</v>
      </c>
      <c r="C7" s="80" t="s">
        <v>64</v>
      </c>
      <c r="D7" s="80" t="s">
        <v>65</v>
      </c>
      <c r="E7" s="81" t="s">
        <v>66</v>
      </c>
      <c r="F7" s="82" t="s">
        <v>67</v>
      </c>
      <c r="G7" s="667"/>
      <c r="H7" s="78" t="s">
        <v>62</v>
      </c>
      <c r="I7" s="79" t="s">
        <v>63</v>
      </c>
      <c r="J7" s="80" t="s">
        <v>64</v>
      </c>
      <c r="K7" s="80" t="s">
        <v>65</v>
      </c>
      <c r="L7" s="81" t="s">
        <v>66</v>
      </c>
      <c r="M7" s="82" t="s">
        <v>68</v>
      </c>
      <c r="N7" s="74"/>
      <c r="O7" s="74"/>
    </row>
    <row r="8" spans="1:20" x14ac:dyDescent="0.25">
      <c r="A8" s="186"/>
      <c r="B8" s="187"/>
      <c r="C8" s="187"/>
      <c r="D8" s="188"/>
      <c r="E8" s="188"/>
      <c r="F8" s="84">
        <f>D8+E8</f>
        <v>0</v>
      </c>
      <c r="G8" s="667"/>
      <c r="H8" s="186"/>
      <c r="I8" s="187"/>
      <c r="J8" s="187"/>
      <c r="K8" s="188"/>
      <c r="L8" s="188"/>
      <c r="M8" s="84">
        <f>K8+L8</f>
        <v>0</v>
      </c>
      <c r="N8" s="85"/>
      <c r="O8" s="85"/>
    </row>
    <row r="9" spans="1:20" x14ac:dyDescent="0.25">
      <c r="A9" s="186"/>
      <c r="B9" s="187"/>
      <c r="C9" s="187"/>
      <c r="D9" s="188"/>
      <c r="E9" s="188"/>
      <c r="F9" s="84">
        <f>D9+E9</f>
        <v>0</v>
      </c>
      <c r="G9" s="667"/>
      <c r="H9" s="186"/>
      <c r="I9" s="187"/>
      <c r="J9" s="187"/>
      <c r="K9" s="188"/>
      <c r="L9" s="188"/>
      <c r="M9" s="84">
        <f>K9+L9</f>
        <v>0</v>
      </c>
      <c r="N9" s="85"/>
      <c r="O9" s="85"/>
    </row>
    <row r="10" spans="1:20" x14ac:dyDescent="0.25">
      <c r="A10" s="186"/>
      <c r="B10" s="187"/>
      <c r="C10" s="187"/>
      <c r="D10" s="188"/>
      <c r="E10" s="188"/>
      <c r="F10" s="84">
        <f>D10+E10</f>
        <v>0</v>
      </c>
      <c r="G10" s="667"/>
      <c r="H10" s="186"/>
      <c r="I10" s="187"/>
      <c r="J10" s="187"/>
      <c r="K10" s="188"/>
      <c r="L10" s="188"/>
      <c r="M10" s="84">
        <f>K10+L10</f>
        <v>0</v>
      </c>
      <c r="N10" s="85"/>
      <c r="O10" s="85"/>
    </row>
    <row r="11" spans="1:20" x14ac:dyDescent="0.25">
      <c r="A11" s="186"/>
      <c r="B11" s="187"/>
      <c r="C11" s="187"/>
      <c r="D11" s="188"/>
      <c r="E11" s="188"/>
      <c r="F11" s="84">
        <f>D11+E11</f>
        <v>0</v>
      </c>
      <c r="G11" s="667"/>
      <c r="H11" s="186"/>
      <c r="I11" s="187"/>
      <c r="J11" s="187"/>
      <c r="K11" s="188"/>
      <c r="L11" s="188"/>
      <c r="M11" s="84">
        <f>K11+L11</f>
        <v>0</v>
      </c>
      <c r="N11" s="85"/>
      <c r="O11" s="85"/>
    </row>
    <row r="12" spans="1:20" x14ac:dyDescent="0.25">
      <c r="A12" s="186"/>
      <c r="B12" s="187"/>
      <c r="C12" s="187"/>
      <c r="D12" s="188"/>
      <c r="E12" s="188"/>
      <c r="F12" s="84">
        <f>D12+E12</f>
        <v>0</v>
      </c>
      <c r="G12" s="667"/>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67"/>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67"/>
      <c r="H14" s="91" t="s">
        <v>70</v>
      </c>
      <c r="I14" s="92"/>
      <c r="J14" s="92"/>
      <c r="K14" s="92"/>
      <c r="L14" s="92"/>
      <c r="M14" s="93"/>
      <c r="N14" s="74"/>
      <c r="O14" s="74"/>
      <c r="P14" s="74"/>
      <c r="Q14" s="74"/>
      <c r="R14" s="74"/>
      <c r="S14" s="94"/>
    </row>
    <row r="15" spans="1:20" x14ac:dyDescent="0.25">
      <c r="A15" s="95" t="s">
        <v>62</v>
      </c>
      <c r="B15" s="96" t="s">
        <v>63</v>
      </c>
      <c r="C15" s="97" t="s">
        <v>175</v>
      </c>
      <c r="D15" s="80" t="s">
        <v>65</v>
      </c>
      <c r="E15" s="81" t="s">
        <v>66</v>
      </c>
      <c r="F15" s="82" t="s">
        <v>67</v>
      </c>
      <c r="G15" s="667"/>
      <c r="H15" s="95" t="s">
        <v>62</v>
      </c>
      <c r="I15" s="96" t="s">
        <v>63</v>
      </c>
      <c r="J15" s="97" t="s">
        <v>175</v>
      </c>
      <c r="K15" s="80" t="s">
        <v>65</v>
      </c>
      <c r="L15" s="81" t="s">
        <v>66</v>
      </c>
      <c r="M15" s="82" t="s">
        <v>68</v>
      </c>
      <c r="N15" s="64"/>
      <c r="O15" s="99"/>
    </row>
    <row r="16" spans="1:20" x14ac:dyDescent="0.25">
      <c r="A16" s="189"/>
      <c r="B16" s="190"/>
      <c r="C16" s="100"/>
      <c r="D16" s="188"/>
      <c r="E16" s="188"/>
      <c r="F16" s="84">
        <f t="shared" ref="F16:F20" si="2">D16+E16</f>
        <v>0</v>
      </c>
      <c r="G16" s="667"/>
      <c r="H16" s="189"/>
      <c r="I16" s="190"/>
      <c r="J16" s="100"/>
      <c r="K16" s="188"/>
      <c r="L16" s="188"/>
      <c r="M16" s="84">
        <f t="shared" ref="M16:M20" si="3">K16+L16</f>
        <v>0</v>
      </c>
      <c r="N16" s="85"/>
      <c r="O16" s="85"/>
    </row>
    <row r="17" spans="1:19" x14ac:dyDescent="0.25">
      <c r="A17" s="189"/>
      <c r="B17" s="190"/>
      <c r="C17" s="100"/>
      <c r="D17" s="188"/>
      <c r="E17" s="188"/>
      <c r="F17" s="84">
        <f t="shared" si="2"/>
        <v>0</v>
      </c>
      <c r="G17" s="667"/>
      <c r="H17" s="189"/>
      <c r="I17" s="190"/>
      <c r="J17" s="100"/>
      <c r="K17" s="188"/>
      <c r="L17" s="188"/>
      <c r="M17" s="84">
        <f t="shared" si="3"/>
        <v>0</v>
      </c>
      <c r="N17" s="85"/>
      <c r="O17" s="85"/>
    </row>
    <row r="18" spans="1:19" x14ac:dyDescent="0.25">
      <c r="A18" s="189"/>
      <c r="B18" s="190"/>
      <c r="C18" s="100"/>
      <c r="D18" s="188"/>
      <c r="E18" s="188"/>
      <c r="F18" s="84">
        <f t="shared" si="2"/>
        <v>0</v>
      </c>
      <c r="G18" s="667"/>
      <c r="H18" s="189"/>
      <c r="I18" s="190"/>
      <c r="J18" s="100"/>
      <c r="K18" s="188"/>
      <c r="L18" s="188"/>
      <c r="M18" s="84">
        <f t="shared" si="3"/>
        <v>0</v>
      </c>
      <c r="N18" s="85"/>
      <c r="O18" s="85"/>
    </row>
    <row r="19" spans="1:19" x14ac:dyDescent="0.25">
      <c r="A19" s="189"/>
      <c r="B19" s="190"/>
      <c r="C19" s="100"/>
      <c r="D19" s="188"/>
      <c r="E19" s="188"/>
      <c r="F19" s="84">
        <f t="shared" si="2"/>
        <v>0</v>
      </c>
      <c r="G19" s="667"/>
      <c r="H19" s="189"/>
      <c r="I19" s="190"/>
      <c r="J19" s="100"/>
      <c r="K19" s="188"/>
      <c r="L19" s="188"/>
      <c r="M19" s="84">
        <f t="shared" si="3"/>
        <v>0</v>
      </c>
      <c r="N19" s="85"/>
      <c r="O19" s="85"/>
    </row>
    <row r="20" spans="1:19" x14ac:dyDescent="0.25">
      <c r="A20" s="189"/>
      <c r="B20" s="190"/>
      <c r="C20" s="100"/>
      <c r="D20" s="188"/>
      <c r="E20" s="188"/>
      <c r="F20" s="84">
        <f t="shared" si="2"/>
        <v>0</v>
      </c>
      <c r="G20" s="667"/>
      <c r="H20" s="189"/>
      <c r="I20" s="190"/>
      <c r="J20" s="100"/>
      <c r="K20" s="188"/>
      <c r="L20" s="188"/>
      <c r="M20" s="84">
        <f t="shared" si="3"/>
        <v>0</v>
      </c>
      <c r="N20" s="85"/>
      <c r="O20" s="85"/>
    </row>
    <row r="21" spans="1:19" x14ac:dyDescent="0.25">
      <c r="A21" s="101"/>
      <c r="B21" s="102"/>
      <c r="C21" s="103" t="s">
        <v>72</v>
      </c>
      <c r="D21" s="104">
        <f t="shared" ref="D21:F21" si="4">SUM(D16:D20)</f>
        <v>0</v>
      </c>
      <c r="E21" s="104">
        <f t="shared" si="4"/>
        <v>0</v>
      </c>
      <c r="F21" s="84">
        <f t="shared" si="4"/>
        <v>0</v>
      </c>
      <c r="G21" s="667"/>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67"/>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67"/>
      <c r="H23" s="668" t="s">
        <v>22</v>
      </c>
      <c r="I23" s="668"/>
      <c r="J23" s="668"/>
      <c r="K23" s="668"/>
      <c r="L23" s="668"/>
      <c r="M23" s="668"/>
      <c r="N23" s="94"/>
      <c r="O23" s="94"/>
      <c r="P23" s="94"/>
      <c r="Q23" s="94"/>
      <c r="R23" s="94"/>
      <c r="S23" s="94"/>
    </row>
    <row r="24" spans="1:19" x14ac:dyDescent="0.25">
      <c r="A24" s="112" t="s">
        <v>105</v>
      </c>
      <c r="B24" s="113"/>
      <c r="C24" s="113"/>
      <c r="D24" s="63"/>
      <c r="E24" s="120"/>
      <c r="F24" s="120"/>
      <c r="G24" s="667"/>
      <c r="H24" s="112" t="s">
        <v>105</v>
      </c>
      <c r="I24" s="113"/>
      <c r="J24" s="113"/>
      <c r="K24" s="63"/>
      <c r="L24" s="120"/>
      <c r="M24" s="120"/>
      <c r="N24" s="119"/>
      <c r="O24" s="119"/>
      <c r="P24" s="119"/>
      <c r="Q24" s="119"/>
    </row>
    <row r="25" spans="1:19" x14ac:dyDescent="0.25">
      <c r="A25" s="121" t="s">
        <v>71</v>
      </c>
      <c r="B25" s="122" t="s">
        <v>77</v>
      </c>
      <c r="C25" s="123"/>
      <c r="D25" s="124"/>
      <c r="E25" s="123"/>
      <c r="F25" s="123"/>
      <c r="G25" s="667"/>
      <c r="H25" s="121" t="s">
        <v>71</v>
      </c>
      <c r="I25" s="122" t="s">
        <v>77</v>
      </c>
      <c r="J25" s="123"/>
      <c r="K25" s="124"/>
      <c r="L25" s="123"/>
      <c r="M25" s="123"/>
      <c r="N25" s="119"/>
      <c r="O25" s="119"/>
      <c r="P25" s="119"/>
      <c r="Q25" s="119"/>
    </row>
    <row r="26" spans="1:19" x14ac:dyDescent="0.25">
      <c r="A26" s="125" t="str">
        <f>CONCATENATE("SFY ",'2. Getting Started'!B6+4," Projected Child Count")</f>
        <v>SFY 2025 Projected Child Count</v>
      </c>
      <c r="B26" s="126" t="str">
        <f>IF('17. Year 5 Amounts'!B1="","",'17. Year 5 Amounts'!B1)</f>
        <v/>
      </c>
      <c r="C26" s="123"/>
      <c r="D26" s="124"/>
      <c r="E26" s="123"/>
      <c r="F26" s="123"/>
      <c r="G26" s="667"/>
      <c r="H26" s="125" t="str">
        <f>CONCATENATE("SFY ",'2. Getting Started'!B6+4," Child Count")</f>
        <v>SFY 2025 Child Count</v>
      </c>
      <c r="I26" s="126" t="str">
        <f>IF('17. Year 5 Amounts'!I1="","",'17. Year 5 Amounts'!I1)</f>
        <v/>
      </c>
      <c r="J26" s="123"/>
      <c r="K26" s="124"/>
      <c r="L26" s="123"/>
      <c r="M26" s="123"/>
      <c r="N26" s="119"/>
      <c r="O26" s="119"/>
      <c r="P26" s="119"/>
      <c r="Q26" s="119"/>
    </row>
    <row r="27" spans="1:19" x14ac:dyDescent="0.25">
      <c r="A27" s="125" t="str">
        <f>CONCATENATE("SFY ",'2. Getting Started'!B6+3," Projected Child Count")</f>
        <v>SFY 2024 Projected Child Count</v>
      </c>
      <c r="B27" s="126">
        <f>IF('14. Year 4 Amounts'!B1="","",'14. Year 4 Amounts'!B1)</f>
        <v>0</v>
      </c>
      <c r="C27" s="119"/>
      <c r="D27" s="128"/>
      <c r="E27" s="119"/>
      <c r="F27" s="123"/>
      <c r="G27" s="667"/>
      <c r="H27" s="125" t="str">
        <f>CONCATENATE("SFY ",'2. Getting Started'!B6+3," Child Count")</f>
        <v>SFY 2024 Child Count</v>
      </c>
      <c r="I27" s="126">
        <f>IF('14. Year 4 Amounts'!I1="","",'14. Year 4 Amounts'!I1)</f>
        <v>0</v>
      </c>
      <c r="J27" s="119"/>
      <c r="K27" s="128"/>
      <c r="L27" s="119"/>
      <c r="M27" s="123"/>
      <c r="N27" s="129"/>
      <c r="O27" s="129"/>
      <c r="P27" s="129"/>
      <c r="Q27" s="129"/>
    </row>
    <row r="28" spans="1:19" x14ac:dyDescent="0.25">
      <c r="A28" s="127" t="s">
        <v>78</v>
      </c>
      <c r="B28" s="130" t="str">
        <f>IF(B26="","",B26-B27)</f>
        <v/>
      </c>
      <c r="C28" s="123" t="str">
        <f>IF(B28="","",IF(B28&gt;=0,"Not eligible for this exception",""))</f>
        <v/>
      </c>
      <c r="D28" s="124"/>
      <c r="E28" s="123"/>
      <c r="F28" s="123"/>
      <c r="G28" s="667"/>
      <c r="H28" s="127" t="s">
        <v>78</v>
      </c>
      <c r="I28" s="130" t="str">
        <f>IF(I26="","",I26-I27)</f>
        <v/>
      </c>
      <c r="J28" s="123" t="str">
        <f>IF(I28="","",IF(I28&gt;=0,"Not eligible for this exception",""))</f>
        <v/>
      </c>
      <c r="K28" s="124"/>
      <c r="L28" s="123"/>
      <c r="M28" s="123"/>
      <c r="N28" s="132"/>
      <c r="O28" s="132"/>
      <c r="P28" s="132"/>
      <c r="Q28" s="132"/>
    </row>
    <row r="29" spans="1:19" x14ac:dyDescent="0.25">
      <c r="A29" s="133" t="s">
        <v>79</v>
      </c>
      <c r="B29" s="134" t="str">
        <f>IF(B26="","",IF(B28&lt;=0,ABS(B28/B27),""))</f>
        <v/>
      </c>
      <c r="C29" s="135"/>
      <c r="D29" s="136"/>
      <c r="E29" s="135"/>
      <c r="F29" s="10"/>
      <c r="G29" s="667"/>
      <c r="H29" s="133" t="s">
        <v>79</v>
      </c>
      <c r="I29" s="134" t="str">
        <f>IF(I26="","",IF(I28&lt;=0,ABS(I28/I27),""))</f>
        <v/>
      </c>
      <c r="J29" s="135"/>
      <c r="K29" s="136"/>
      <c r="L29" s="135"/>
      <c r="M29" s="10"/>
      <c r="N29" s="137"/>
      <c r="O29" s="137"/>
      <c r="P29" s="138"/>
      <c r="Q29" s="138"/>
    </row>
    <row r="30" spans="1:19" ht="31.5" x14ac:dyDescent="0.25">
      <c r="A30" s="115" t="s">
        <v>71</v>
      </c>
      <c r="B30" s="116" t="s">
        <v>0</v>
      </c>
      <c r="C30" s="116" t="s">
        <v>2</v>
      </c>
      <c r="D30" s="10"/>
      <c r="E30" s="72"/>
      <c r="F30" s="72"/>
      <c r="G30" s="667"/>
      <c r="H30" s="115" t="s">
        <v>71</v>
      </c>
      <c r="I30" s="116" t="s">
        <v>75</v>
      </c>
      <c r="J30" s="116" t="s">
        <v>76</v>
      </c>
      <c r="K30" s="10"/>
      <c r="L30" s="72"/>
      <c r="M30" s="72"/>
      <c r="N30" s="138"/>
      <c r="O30" s="138"/>
    </row>
    <row r="31" spans="1:19" x14ac:dyDescent="0.25">
      <c r="A31" s="139" t="str">
        <f>CONCATENATE("SFY ",'2. Getting Started'!B6+3," Budget")</f>
        <v>SFY 2024 Budget</v>
      </c>
      <c r="B31" s="140" t="str">
        <f>IF('14. Year 4 Amounts'!D30="","",'14. Year 4 Amounts'!D30)</f>
        <v/>
      </c>
      <c r="C31" s="140" t="str">
        <f>IF('14. Year 4 Amounts'!F30="","",'14. Year 4 Amounts'!F30)</f>
        <v/>
      </c>
      <c r="D31" s="141"/>
      <c r="E31" s="74"/>
      <c r="F31" s="74"/>
      <c r="G31" s="667"/>
      <c r="H31" s="139" t="str">
        <f>CONCATENATE("SFY ",'2. Getting Started'!B6+3," Final Expenditures")</f>
        <v>SFY 2024 Final Expenditures</v>
      </c>
      <c r="I31" s="140">
        <f>IF('14. Year 4 Amounts'!K30="","",'14. Year 4 Amounts'!K30)</f>
        <v>0</v>
      </c>
      <c r="J31" s="140">
        <f>IF('14. Year 4 Amounts'!M30="","",'14. Year 4 Amounts'!M30)</f>
        <v>0</v>
      </c>
      <c r="K31" s="142"/>
      <c r="L31" s="74"/>
      <c r="M31" s="74"/>
    </row>
    <row r="32" spans="1:19" x14ac:dyDescent="0.25">
      <c r="A32" s="117" t="s">
        <v>80</v>
      </c>
      <c r="B32" s="143" t="str">
        <f>IF(OR($B26="",B29="",B31=""),"",($B29*B31))</f>
        <v/>
      </c>
      <c r="C32" s="143" t="str">
        <f>IF(OR($B26="",B29="",C31=""),"",($B29*C31))</f>
        <v/>
      </c>
      <c r="D32" s="142"/>
      <c r="E32" s="118"/>
      <c r="F32" s="118"/>
      <c r="G32" s="667"/>
      <c r="H32" s="117" t="s">
        <v>81</v>
      </c>
      <c r="I32" s="143" t="str">
        <f>IF(OR($I26="",I29="",I31=""),"",($I29*I31))</f>
        <v/>
      </c>
      <c r="J32" s="143" t="str">
        <f>IF(OR($I26="",I29="",J31=""),"",($I29*J31))</f>
        <v/>
      </c>
      <c r="K32" s="142"/>
      <c r="L32" s="118"/>
      <c r="M32" s="118"/>
    </row>
    <row r="33" spans="1:28" ht="16.5" thickBot="1" x14ac:dyDescent="0.3">
      <c r="A33" s="663" t="s">
        <v>22</v>
      </c>
      <c r="B33" s="663"/>
      <c r="C33" s="663"/>
      <c r="D33" s="123"/>
      <c r="E33" s="123"/>
      <c r="F33" s="123"/>
      <c r="G33" s="667"/>
      <c r="H33" s="663" t="s">
        <v>22</v>
      </c>
      <c r="I33" s="663"/>
      <c r="J33" s="663"/>
      <c r="K33" s="123"/>
      <c r="L33" s="123"/>
      <c r="M33" s="123"/>
      <c r="P33" s="118"/>
      <c r="Q33" s="118"/>
      <c r="R33" s="118"/>
      <c r="S33" s="118"/>
      <c r="T33" s="118"/>
      <c r="U33" s="74"/>
      <c r="V33" s="118"/>
      <c r="W33" s="118"/>
      <c r="X33" s="118"/>
      <c r="Y33" s="118"/>
      <c r="Z33" s="118"/>
      <c r="AA33" s="118"/>
    </row>
    <row r="34" spans="1:28" x14ac:dyDescent="0.25">
      <c r="A34" s="112" t="s">
        <v>82</v>
      </c>
      <c r="B34" s="145"/>
      <c r="C34" s="146"/>
      <c r="D34" s="147"/>
      <c r="E34" s="131"/>
      <c r="F34" s="131"/>
      <c r="G34" s="667"/>
      <c r="H34" s="112" t="s">
        <v>82</v>
      </c>
      <c r="I34" s="145"/>
      <c r="J34" s="146"/>
      <c r="K34" s="147"/>
      <c r="L34" s="131"/>
      <c r="M34" s="131"/>
      <c r="P34" s="118"/>
      <c r="Q34" s="118"/>
      <c r="R34" s="118"/>
      <c r="S34" s="118"/>
      <c r="T34" s="118"/>
      <c r="U34" s="118"/>
      <c r="V34" s="118"/>
      <c r="W34" s="118"/>
      <c r="X34" s="118"/>
      <c r="Y34" s="118"/>
      <c r="Z34" s="118"/>
      <c r="AA34" s="118"/>
    </row>
    <row r="35" spans="1:28" x14ac:dyDescent="0.25">
      <c r="A35" s="148" t="s">
        <v>83</v>
      </c>
      <c r="B35" s="72"/>
      <c r="C35" s="149"/>
      <c r="D35" s="150"/>
      <c r="E35" s="10"/>
      <c r="F35" s="10"/>
      <c r="G35" s="667"/>
      <c r="H35" s="148" t="s">
        <v>83</v>
      </c>
      <c r="I35" s="72"/>
      <c r="J35" s="149"/>
      <c r="K35" s="150"/>
      <c r="L35" s="10"/>
      <c r="M35" s="10"/>
      <c r="P35" s="74"/>
      <c r="Q35" s="74"/>
      <c r="R35" s="74"/>
      <c r="S35" s="74"/>
      <c r="T35" s="74"/>
      <c r="U35" s="74"/>
      <c r="V35" s="74"/>
      <c r="W35" s="74"/>
      <c r="X35" s="74"/>
      <c r="Y35" s="74"/>
      <c r="Z35" s="74"/>
      <c r="AA35" s="74"/>
    </row>
    <row r="36" spans="1:28" x14ac:dyDescent="0.25">
      <c r="A36" s="151" t="s">
        <v>84</v>
      </c>
      <c r="B36" s="72"/>
      <c r="C36" s="152"/>
      <c r="D36" s="150"/>
      <c r="E36" s="10"/>
      <c r="F36" s="10"/>
      <c r="G36" s="667"/>
      <c r="H36" s="151" t="s">
        <v>84</v>
      </c>
      <c r="I36" s="72"/>
      <c r="J36" s="152"/>
      <c r="K36" s="150"/>
      <c r="L36" s="10"/>
      <c r="M36" s="10"/>
      <c r="Q36" s="74"/>
      <c r="R36" s="74"/>
      <c r="S36" s="74"/>
      <c r="T36" s="74"/>
      <c r="U36" s="74"/>
      <c r="V36" s="74"/>
      <c r="W36" s="74"/>
      <c r="X36" s="74"/>
      <c r="Y36" s="74"/>
      <c r="Z36" s="74"/>
      <c r="AA36" s="74"/>
      <c r="AB36" s="74"/>
    </row>
    <row r="37" spans="1:28" x14ac:dyDescent="0.25">
      <c r="A37" s="153" t="s">
        <v>85</v>
      </c>
      <c r="B37" s="154" t="s">
        <v>86</v>
      </c>
      <c r="C37" s="155" t="s">
        <v>87</v>
      </c>
      <c r="D37" s="118"/>
      <c r="E37" s="144"/>
      <c r="F37" s="144"/>
      <c r="G37" s="667"/>
      <c r="H37" s="153" t="s">
        <v>85</v>
      </c>
      <c r="I37" s="154" t="s">
        <v>86</v>
      </c>
      <c r="J37" s="155" t="s">
        <v>88</v>
      </c>
      <c r="K37" s="118"/>
      <c r="L37" s="144"/>
      <c r="M37" s="144"/>
      <c r="P37" s="94"/>
      <c r="Q37" s="94"/>
      <c r="R37" s="94"/>
      <c r="S37" s="94"/>
      <c r="T37" s="94"/>
      <c r="U37" s="94"/>
      <c r="V37" s="94"/>
      <c r="W37" s="94"/>
      <c r="X37" s="94"/>
      <c r="Y37" s="94"/>
      <c r="Z37" s="94"/>
      <c r="AA37" s="94"/>
    </row>
    <row r="38" spans="1:28" x14ac:dyDescent="0.25">
      <c r="A38" s="191"/>
      <c r="B38" s="192"/>
      <c r="C38" s="193"/>
      <c r="D38" s="144"/>
      <c r="E38" s="144"/>
      <c r="F38" s="144"/>
      <c r="G38" s="667"/>
      <c r="H38" s="191"/>
      <c r="I38" s="192"/>
      <c r="J38" s="193"/>
      <c r="K38" s="144"/>
      <c r="L38" s="144"/>
      <c r="M38" s="144"/>
      <c r="P38" s="94"/>
      <c r="Q38" s="94"/>
      <c r="R38" s="94"/>
      <c r="S38" s="94"/>
      <c r="T38" s="94"/>
      <c r="U38" s="94"/>
      <c r="V38" s="94"/>
      <c r="W38" s="94"/>
      <c r="X38" s="94"/>
      <c r="Y38" s="94"/>
      <c r="Z38" s="94"/>
      <c r="AA38" s="94"/>
    </row>
    <row r="39" spans="1:28" x14ac:dyDescent="0.25">
      <c r="A39" s="191"/>
      <c r="B39" s="192"/>
      <c r="C39" s="193"/>
      <c r="D39" s="144"/>
      <c r="E39" s="72"/>
      <c r="F39" s="72"/>
      <c r="G39" s="667"/>
      <c r="H39" s="191"/>
      <c r="I39" s="192"/>
      <c r="J39" s="193"/>
      <c r="K39" s="144"/>
      <c r="L39" s="72"/>
      <c r="M39" s="72"/>
      <c r="P39" s="94"/>
      <c r="Q39" s="94"/>
      <c r="R39" s="94"/>
      <c r="S39" s="94"/>
      <c r="T39" s="94"/>
      <c r="U39" s="94"/>
      <c r="V39" s="94"/>
      <c r="W39" s="94"/>
      <c r="X39" s="94"/>
      <c r="Y39" s="94"/>
      <c r="Z39" s="94"/>
      <c r="AA39" s="94"/>
    </row>
    <row r="40" spans="1:28" x14ac:dyDescent="0.25">
      <c r="A40" s="191"/>
      <c r="B40" s="192"/>
      <c r="C40" s="193"/>
      <c r="D40" s="144"/>
      <c r="E40" s="72"/>
      <c r="F40" s="72"/>
      <c r="G40" s="667"/>
      <c r="H40" s="191"/>
      <c r="I40" s="192"/>
      <c r="J40" s="193"/>
      <c r="K40" s="144"/>
      <c r="L40" s="72"/>
      <c r="M40" s="72"/>
      <c r="P40" s="94"/>
      <c r="Q40" s="94"/>
      <c r="R40" s="94"/>
      <c r="S40" s="94"/>
      <c r="T40" s="94"/>
      <c r="U40" s="94"/>
      <c r="V40" s="94"/>
      <c r="W40" s="94"/>
      <c r="X40" s="94"/>
      <c r="Y40" s="94"/>
      <c r="Z40" s="94"/>
      <c r="AA40" s="94"/>
    </row>
    <row r="41" spans="1:28" x14ac:dyDescent="0.25">
      <c r="A41" s="191"/>
      <c r="B41" s="192"/>
      <c r="C41" s="193"/>
      <c r="D41" s="144"/>
      <c r="E41" s="120"/>
      <c r="F41" s="120"/>
      <c r="G41" s="667"/>
      <c r="H41" s="191"/>
      <c r="I41" s="192"/>
      <c r="J41" s="193"/>
      <c r="K41" s="144"/>
      <c r="L41" s="120"/>
      <c r="M41" s="120"/>
      <c r="P41" s="94"/>
      <c r="Q41" s="94"/>
      <c r="R41" s="94"/>
      <c r="S41" s="94"/>
      <c r="T41" s="94"/>
      <c r="U41" s="94"/>
      <c r="V41" s="94"/>
      <c r="W41" s="94"/>
      <c r="X41" s="94"/>
      <c r="Y41" s="94"/>
      <c r="Z41" s="94"/>
      <c r="AA41" s="94"/>
    </row>
    <row r="42" spans="1:28" x14ac:dyDescent="0.25">
      <c r="A42" s="191"/>
      <c r="B42" s="192"/>
      <c r="C42" s="193"/>
      <c r="D42" s="144"/>
      <c r="F42" s="10"/>
      <c r="G42" s="667"/>
      <c r="H42" s="191"/>
      <c r="I42" s="192"/>
      <c r="J42" s="193"/>
      <c r="K42" s="144"/>
      <c r="M42" s="10"/>
      <c r="P42" s="74"/>
      <c r="Q42" s="74"/>
      <c r="R42" s="74"/>
      <c r="S42" s="74"/>
      <c r="T42" s="74"/>
      <c r="U42" s="74"/>
      <c r="V42" s="74"/>
      <c r="W42" s="74"/>
      <c r="X42" s="74"/>
      <c r="Y42" s="74"/>
      <c r="Z42" s="74"/>
      <c r="AA42" s="74"/>
    </row>
    <row r="43" spans="1:28" x14ac:dyDescent="0.25">
      <c r="A43" s="157" t="s">
        <v>89</v>
      </c>
      <c r="B43" s="158"/>
      <c r="C43" s="159">
        <f>SUM(C38:C42)</f>
        <v>0</v>
      </c>
      <c r="D43" s="144"/>
      <c r="E43" s="74"/>
      <c r="F43" s="72"/>
      <c r="G43" s="667"/>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67"/>
      <c r="H44" s="669" t="s">
        <v>22</v>
      </c>
      <c r="I44" s="669"/>
      <c r="J44" s="669"/>
      <c r="K44" s="72"/>
      <c r="L44" s="72"/>
      <c r="M44" s="72"/>
      <c r="P44" s="94"/>
      <c r="Q44" s="94"/>
      <c r="R44" s="94"/>
      <c r="S44" s="94"/>
      <c r="T44" s="94"/>
      <c r="U44" s="94"/>
      <c r="V44" s="94"/>
      <c r="W44" s="94"/>
      <c r="X44" s="94"/>
      <c r="Y44" s="94"/>
      <c r="Z44" s="94"/>
      <c r="AA44" s="94"/>
    </row>
    <row r="45" spans="1:28" x14ac:dyDescent="0.25">
      <c r="A45" s="112" t="s">
        <v>91</v>
      </c>
      <c r="B45" s="114"/>
      <c r="C45" s="120"/>
      <c r="D45" s="120"/>
      <c r="E45" s="120"/>
      <c r="F45" s="120"/>
      <c r="G45" s="667"/>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67"/>
      <c r="H46" s="71" t="s">
        <v>92</v>
      </c>
      <c r="I46" s="152"/>
      <c r="J46" s="120"/>
      <c r="K46" s="72"/>
      <c r="L46" s="74"/>
      <c r="M46" s="74"/>
      <c r="O46" s="94"/>
      <c r="P46" s="94"/>
      <c r="Q46" s="94"/>
      <c r="R46" s="94"/>
      <c r="S46" s="94"/>
      <c r="T46" s="94"/>
      <c r="U46" s="94"/>
      <c r="V46" s="94"/>
      <c r="W46" s="94"/>
      <c r="X46" s="94"/>
      <c r="Y46" s="94"/>
      <c r="Z46" s="94"/>
    </row>
    <row r="47" spans="1:28" x14ac:dyDescent="0.25">
      <c r="A47" s="160" t="s">
        <v>93</v>
      </c>
      <c r="B47" s="161" t="s">
        <v>94</v>
      </c>
      <c r="C47" s="118"/>
      <c r="D47" s="118"/>
      <c r="E47" s="144"/>
      <c r="F47" s="110"/>
      <c r="G47" s="667"/>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67"/>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67"/>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67"/>
      <c r="H50" s="194"/>
      <c r="I50" s="195"/>
      <c r="J50" s="144"/>
      <c r="K50" s="144"/>
      <c r="L50" s="72"/>
      <c r="M50" s="72"/>
    </row>
    <row r="51" spans="1:26" ht="60" customHeight="1" x14ac:dyDescent="0.25">
      <c r="A51" s="194"/>
      <c r="B51" s="195"/>
      <c r="C51" s="144"/>
      <c r="D51" s="144"/>
      <c r="E51" s="162"/>
      <c r="F51" s="162"/>
      <c r="G51" s="667"/>
      <c r="H51" s="194"/>
      <c r="I51" s="195"/>
      <c r="J51" s="144"/>
      <c r="K51" s="144"/>
      <c r="L51" s="162"/>
      <c r="M51" s="162"/>
    </row>
    <row r="52" spans="1:26" ht="60" customHeight="1" x14ac:dyDescent="0.25">
      <c r="A52" s="194"/>
      <c r="B52" s="195"/>
      <c r="C52" s="144"/>
      <c r="D52" s="144"/>
      <c r="E52" s="163"/>
      <c r="F52" s="163"/>
      <c r="G52" s="667"/>
      <c r="H52" s="194"/>
      <c r="I52" s="195"/>
      <c r="J52" s="144"/>
      <c r="K52" s="144"/>
      <c r="L52" s="163"/>
      <c r="M52" s="163"/>
    </row>
    <row r="53" spans="1:26" x14ac:dyDescent="0.25">
      <c r="A53" s="164" t="s">
        <v>89</v>
      </c>
      <c r="B53" s="165">
        <f>SUM(B48:B52)</f>
        <v>0</v>
      </c>
      <c r="C53" s="144"/>
      <c r="D53" s="144"/>
      <c r="E53" s="74"/>
      <c r="G53" s="667"/>
      <c r="H53" s="166" t="s">
        <v>90</v>
      </c>
      <c r="I53" s="165">
        <f>SUM(I48:I52)</f>
        <v>0</v>
      </c>
      <c r="J53" s="144"/>
      <c r="K53" s="144"/>
      <c r="L53" s="74"/>
    </row>
    <row r="54" spans="1:26" ht="16.5" thickBot="1" x14ac:dyDescent="0.3">
      <c r="A54" s="663" t="s">
        <v>22</v>
      </c>
      <c r="B54" s="663"/>
      <c r="C54" s="10"/>
      <c r="D54" s="72"/>
      <c r="E54" s="72"/>
      <c r="F54" s="72"/>
      <c r="G54" s="667"/>
      <c r="H54" s="663" t="s">
        <v>22</v>
      </c>
      <c r="I54" s="663"/>
      <c r="J54" s="10"/>
      <c r="K54" s="72"/>
      <c r="L54" s="72"/>
      <c r="M54" s="72"/>
    </row>
    <row r="55" spans="1:26" x14ac:dyDescent="0.25">
      <c r="A55" s="167" t="str">
        <f>IF('3b. High Cost Fund'!B7="No","This exception is not valid in your state.","Exception (e) The assumption of cost by the high cost fund operated by the")</f>
        <v>Exception (e) The assumption of cost by the high cost fund operated by the</v>
      </c>
      <c r="B55" s="146"/>
      <c r="C55" s="147"/>
      <c r="D55" s="131"/>
      <c r="E55" s="131"/>
      <c r="F55" s="144"/>
      <c r="G55" s="667"/>
      <c r="H55" s="167" t="str">
        <f>IF('3b. High Cost Fund'!B7="No","This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Fund'!B7="No","","SEA under §300.704. MUST be explicitly permitted by the SEA.")</f>
        <v>SEA under §300.704. MUST be explicitly permitted by the SEA.</v>
      </c>
      <c r="B56" s="168"/>
      <c r="C56" s="169"/>
      <c r="D56" s="170"/>
      <c r="E56" s="163"/>
      <c r="F56" s="144"/>
      <c r="G56" s="667"/>
      <c r="H56" s="71" t="str">
        <f>IF('3b. High Cost Fund'!B7="No","","SEA under §300.704. MUST be explicitly permitted by the SEA.")</f>
        <v>SEA under §300.704. MUST be explicitly permitted by the SEA.</v>
      </c>
      <c r="I56" s="168"/>
      <c r="J56" s="147"/>
      <c r="K56" s="170"/>
      <c r="L56" s="163"/>
      <c r="M56" s="144"/>
    </row>
    <row r="57" spans="1:26" x14ac:dyDescent="0.25">
      <c r="A57" s="171" t="s">
        <v>85</v>
      </c>
      <c r="B57" s="172" t="s">
        <v>96</v>
      </c>
      <c r="C57" s="118"/>
      <c r="D57" s="144"/>
      <c r="E57" s="144"/>
      <c r="F57" s="10"/>
      <c r="G57" s="667"/>
      <c r="H57" s="171" t="s">
        <v>85</v>
      </c>
      <c r="I57" s="172" t="s">
        <v>97</v>
      </c>
      <c r="J57" s="118"/>
      <c r="K57" s="144"/>
      <c r="L57" s="144"/>
      <c r="M57" s="10"/>
    </row>
    <row r="58" spans="1:26" ht="15.4" customHeight="1" x14ac:dyDescent="0.25">
      <c r="A58" s="196"/>
      <c r="B58" s="197"/>
      <c r="C58" s="337" t="str">
        <f>IF(AND(B58&lt;&gt;"",'3b. High Cost Fund'!$B7="No"),"Invalid entry. This exception is valid only in states with high-cost funds. If your state has a high-cost fund, please indicate that on tab 3b.","")</f>
        <v/>
      </c>
      <c r="D58" s="144"/>
      <c r="E58" s="144"/>
      <c r="F58" s="10"/>
      <c r="G58" s="667"/>
      <c r="H58" s="196"/>
      <c r="I58" s="197"/>
      <c r="J58" s="337" t="str">
        <f>IF(AND(I58&lt;&gt;"",'3b. High Cost Fund'!$B7="No"),"Invalid entry. This exception is valid only in states with high-cost funds. If your state has a high-cost fund, please indicate that on tab 3b.","")</f>
        <v/>
      </c>
      <c r="K58" s="144"/>
      <c r="L58" s="144"/>
      <c r="M58" s="10"/>
    </row>
    <row r="59" spans="1:26" x14ac:dyDescent="0.25">
      <c r="A59" s="196"/>
      <c r="B59" s="197"/>
      <c r="C59" s="144"/>
      <c r="D59" s="10"/>
      <c r="E59" s="10"/>
      <c r="F59" s="10"/>
      <c r="G59" s="667"/>
      <c r="H59" s="196"/>
      <c r="I59" s="197"/>
      <c r="J59" s="144"/>
      <c r="K59" s="10"/>
      <c r="L59" s="10"/>
      <c r="M59" s="10"/>
    </row>
    <row r="60" spans="1:26" x14ac:dyDescent="0.25">
      <c r="A60" s="196"/>
      <c r="B60" s="197"/>
      <c r="C60" s="144"/>
      <c r="D60" s="10"/>
      <c r="E60" s="10"/>
      <c r="F60" s="10"/>
      <c r="G60" s="667"/>
      <c r="H60" s="196"/>
      <c r="I60" s="197"/>
      <c r="J60" s="144"/>
      <c r="K60" s="10"/>
      <c r="L60" s="10"/>
      <c r="M60" s="10"/>
    </row>
    <row r="61" spans="1:26" x14ac:dyDescent="0.25">
      <c r="A61" s="196"/>
      <c r="B61" s="197"/>
      <c r="C61" s="144"/>
      <c r="D61" s="10"/>
      <c r="E61" s="10"/>
      <c r="F61" s="10"/>
      <c r="G61" s="667"/>
      <c r="H61" s="196"/>
      <c r="I61" s="197"/>
      <c r="J61" s="144"/>
      <c r="K61" s="10"/>
      <c r="L61" s="10"/>
      <c r="M61" s="10"/>
    </row>
    <row r="62" spans="1:26" x14ac:dyDescent="0.25">
      <c r="A62" s="196"/>
      <c r="B62" s="197"/>
      <c r="C62" s="144"/>
      <c r="D62" s="10"/>
      <c r="E62" s="10"/>
      <c r="F62" s="10"/>
      <c r="G62" s="667"/>
      <c r="H62" s="196"/>
      <c r="I62" s="197"/>
      <c r="J62" s="144"/>
      <c r="K62" s="10"/>
      <c r="L62" s="10"/>
      <c r="M62" s="10"/>
    </row>
    <row r="63" spans="1:26" x14ac:dyDescent="0.25">
      <c r="A63" s="173" t="s">
        <v>89</v>
      </c>
      <c r="B63" s="174">
        <f>IF('3b. High Cost Fund'!$B7="No",0,SUM(B58:B62))</f>
        <v>0</v>
      </c>
      <c r="C63" s="144"/>
      <c r="D63" s="10"/>
      <c r="E63" s="10"/>
      <c r="F63" s="10"/>
      <c r="G63" s="667"/>
      <c r="H63" s="175" t="s">
        <v>90</v>
      </c>
      <c r="I63" s="174">
        <f>IF('3b. High Cost Fund'!$B7="No",0,SUM(I58:I62))</f>
        <v>0</v>
      </c>
      <c r="J63" s="144"/>
      <c r="K63" s="10"/>
      <c r="L63" s="10"/>
      <c r="M63" s="10"/>
    </row>
    <row r="64" spans="1:26" ht="16.5" thickBot="1" x14ac:dyDescent="0.3">
      <c r="A64" s="663" t="s">
        <v>22</v>
      </c>
      <c r="B64" s="663"/>
      <c r="C64" s="144"/>
      <c r="D64" s="10"/>
      <c r="E64" s="10"/>
      <c r="F64" s="10"/>
      <c r="G64" s="667"/>
      <c r="H64" s="663" t="s">
        <v>22</v>
      </c>
      <c r="I64" s="663"/>
      <c r="J64" s="144"/>
      <c r="K64" s="10"/>
      <c r="L64" s="10"/>
      <c r="M64" s="10"/>
    </row>
    <row r="65" spans="1:13" x14ac:dyDescent="0.25">
      <c r="A65" s="347" t="s">
        <v>107</v>
      </c>
      <c r="B65" s="348"/>
      <c r="C65" s="144"/>
      <c r="D65" s="10"/>
      <c r="E65" s="10"/>
      <c r="F65" s="10"/>
      <c r="G65" s="667"/>
      <c r="H65" s="347" t="s">
        <v>106</v>
      </c>
      <c r="I65" s="348"/>
      <c r="J65" s="144"/>
      <c r="K65" s="10"/>
      <c r="L65" s="10"/>
      <c r="M65" s="10"/>
    </row>
    <row r="66" spans="1:13" x14ac:dyDescent="0.25">
      <c r="A66" s="242" t="s">
        <v>123</v>
      </c>
      <c r="B66" s="265" t="s">
        <v>124</v>
      </c>
      <c r="C66" s="144"/>
      <c r="D66" s="10"/>
      <c r="E66" s="10"/>
      <c r="F66" s="10"/>
      <c r="G66" s="667"/>
      <c r="H66" s="269" t="s">
        <v>123</v>
      </c>
      <c r="I66" s="270" t="s">
        <v>124</v>
      </c>
      <c r="J66" s="144"/>
      <c r="K66" s="10"/>
      <c r="L66" s="10"/>
      <c r="M66" s="10"/>
    </row>
    <row r="67" spans="1:13" x14ac:dyDescent="0.25">
      <c r="A67" s="103" t="s">
        <v>0</v>
      </c>
      <c r="B67" s="240">
        <f>IF(B$28&gt;=0,(F$22+C$43+B$53+B$63),(F$22+C$43+B$53+B$63+B$32))</f>
        <v>0</v>
      </c>
      <c r="C67" s="144"/>
      <c r="D67" s="10"/>
      <c r="E67" s="10"/>
      <c r="F67" s="10"/>
      <c r="G67" s="667"/>
      <c r="H67" s="103" t="s">
        <v>0</v>
      </c>
      <c r="I67" s="240">
        <f>IF(I$28&gt;=0,(M$22+J$43+I$53+I$63),(M$22+J$43+I$53+I$63+I$32))</f>
        <v>0</v>
      </c>
      <c r="J67" s="144"/>
      <c r="K67" s="10"/>
      <c r="L67" s="10"/>
      <c r="M67" s="10"/>
    </row>
    <row r="68" spans="1:13" x14ac:dyDescent="0.25">
      <c r="A68" s="241" t="s">
        <v>2</v>
      </c>
      <c r="B68" s="174">
        <f>IF(B$28&gt;=0,(F$22+C$43+B$53+B$63),(F$22+C$43+B$53+B$63+C$32))</f>
        <v>0</v>
      </c>
      <c r="C68" s="144"/>
      <c r="D68" s="10"/>
      <c r="E68" s="10"/>
      <c r="F68" s="10"/>
      <c r="G68" s="667"/>
      <c r="H68" s="241" t="s">
        <v>2</v>
      </c>
      <c r="I68" s="174">
        <f>IF(I$28&gt;=0,(M$22+J$43+I$53+I$63),(M$22+J$43+I$53+I$63+J$32))</f>
        <v>0</v>
      </c>
      <c r="J68" s="144"/>
      <c r="K68" s="10"/>
      <c r="L68" s="10"/>
      <c r="M68" s="10"/>
    </row>
    <row r="69" spans="1:13" ht="16.5" thickBot="1" x14ac:dyDescent="0.3">
      <c r="A69" s="663" t="s">
        <v>22</v>
      </c>
      <c r="B69" s="663"/>
      <c r="C69" s="10"/>
      <c r="D69" s="10"/>
      <c r="E69" s="10"/>
      <c r="F69" s="10"/>
      <c r="G69" s="667"/>
      <c r="H69" s="664" t="s">
        <v>22</v>
      </c>
      <c r="I69" s="664"/>
      <c r="J69" s="10"/>
      <c r="K69" s="10"/>
      <c r="L69" s="10"/>
      <c r="M69" s="10"/>
    </row>
    <row r="70" spans="1:13" ht="31.15" customHeight="1" x14ac:dyDescent="0.25">
      <c r="A70" s="336" t="s">
        <v>98</v>
      </c>
      <c r="B70" s="177"/>
      <c r="C70" s="11"/>
      <c r="D70" s="178"/>
      <c r="E70" s="10"/>
      <c r="F70" s="10"/>
      <c r="G70" s="667"/>
      <c r="H70" s="336" t="s">
        <v>98</v>
      </c>
      <c r="I70" s="177"/>
      <c r="J70" s="11"/>
      <c r="K70" s="178"/>
      <c r="L70" s="10"/>
      <c r="M70" s="10"/>
    </row>
    <row r="71" spans="1:13" x14ac:dyDescent="0.25">
      <c r="A71" s="179" t="s">
        <v>71</v>
      </c>
      <c r="B71" s="180" t="s">
        <v>99</v>
      </c>
      <c r="C71" s="11" t="s">
        <v>100</v>
      </c>
      <c r="E71" s="10"/>
      <c r="F71" s="10"/>
      <c r="G71" s="667"/>
      <c r="H71" s="179" t="s">
        <v>71</v>
      </c>
      <c r="I71" s="180" t="s">
        <v>101</v>
      </c>
      <c r="J71" s="11" t="s">
        <v>100</v>
      </c>
      <c r="K71" s="10"/>
      <c r="L71" s="10"/>
      <c r="M71" s="10"/>
    </row>
    <row r="72" spans="1:13" x14ac:dyDescent="0.25">
      <c r="A72" s="181" t="s">
        <v>102</v>
      </c>
      <c r="B72" s="198">
        <v>0</v>
      </c>
      <c r="C72" s="182" t="s">
        <v>103</v>
      </c>
      <c r="D72" s="10"/>
      <c r="E72" s="10"/>
      <c r="F72" s="10"/>
      <c r="G72" s="667"/>
      <c r="H72" s="181" t="s">
        <v>104</v>
      </c>
      <c r="I72" s="198">
        <f>IF(I$28&gt;=0,(M$22+J$43+I$53+I$63),(M$22+J$43+I$53+I$63+J$32))</f>
        <v>0</v>
      </c>
      <c r="J72" s="182" t="s">
        <v>103</v>
      </c>
      <c r="K72" s="10"/>
      <c r="L72" s="10"/>
      <c r="M72" s="10"/>
    </row>
    <row r="73" spans="1:13" ht="30" customHeight="1" x14ac:dyDescent="0.25">
      <c r="A73" s="345" t="s">
        <v>184</v>
      </c>
      <c r="B73" s="183"/>
      <c r="C73" s="183"/>
      <c r="D73" s="183"/>
      <c r="E73" s="183"/>
      <c r="F73" s="183"/>
      <c r="G73" s="667"/>
      <c r="H73" s="183"/>
      <c r="I73" s="183"/>
      <c r="J73" s="183"/>
      <c r="K73" s="183"/>
      <c r="L73" s="183"/>
      <c r="M73" s="183"/>
    </row>
    <row r="74" spans="1:13" s="185" customFormat="1" x14ac:dyDescent="0.25">
      <c r="A74" s="358" t="s">
        <v>183</v>
      </c>
      <c r="B74" s="184"/>
      <c r="C74" s="184"/>
      <c r="D74" s="184"/>
      <c r="E74" s="184"/>
      <c r="F74" s="184"/>
      <c r="G74" s="667"/>
      <c r="H74" s="184"/>
      <c r="I74" s="184"/>
      <c r="J74" s="184"/>
      <c r="K74" s="184"/>
      <c r="L74" s="184"/>
      <c r="M74" s="184"/>
    </row>
    <row r="75" spans="1:13" x14ac:dyDescent="0.25">
      <c r="A75" s="665" t="s">
        <v>24</v>
      </c>
      <c r="B75" s="665"/>
      <c r="C75" s="665"/>
      <c r="D75" s="665"/>
      <c r="E75" s="665"/>
      <c r="F75" s="665"/>
      <c r="G75" s="665"/>
      <c r="H75" s="665"/>
      <c r="I75" s="665"/>
      <c r="J75" s="665"/>
      <c r="K75" s="665"/>
      <c r="L75" s="665"/>
      <c r="M75" s="665"/>
    </row>
  </sheetData>
  <sheetProtection algorithmName="SHA-512" hashValue="xlLmEwjHoXlvosDcHVERlQ9w8Qylj147wgmwYGWYNxVsN1NH5MXGtQYlkemDcAoItDgl0RHBrVgoDWK8skf7Ng==" saltValue="uLUkRFQAxmw8z0es1lKSRQ=="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198" priority="2" operator="containsText" text="not valid">
      <formula>NOT(ISERROR(SEARCH("not valid",A55)))</formula>
    </cfRule>
  </conditionalFormatting>
  <conditionalFormatting sqref="H55">
    <cfRule type="containsText" dxfId="197" priority="1" operator="containsText" text="not valid">
      <formula>NOT(ISERROR(SEARCH("not valid",H55)))</formula>
    </cfRule>
  </conditionalFormatting>
  <dataValidations count="1">
    <dataValidation type="list" allowBlank="1" showInputMessage="1" showErrorMessage="1" sqref="B38:B42 I38:I42" xr:uid="{00000000-0002-0000-1300-000000000000}">
      <formula1>Exception_c</formula1>
    </dataValidation>
  </dataValidations>
  <hyperlinks>
    <hyperlink ref="C72" r:id="rId1" xr:uid="{00000000-0004-0000-1300-000000000000}"/>
    <hyperlink ref="J72" r:id="rId2" xr:uid="{00000000-0004-0000-1300-000001000000}"/>
    <hyperlink ref="A74" r:id="rId3" xr:uid="{00000000-0004-0000-13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70C0"/>
  </sheetPr>
  <dimension ref="A1:F43"/>
  <sheetViews>
    <sheetView showGridLines="0" workbookViewId="0"/>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5: State Fiscal Year ",'2. Getting Started'!B6+4)</f>
        <v>Summary of Year 5: State Fiscal Year 2025</v>
      </c>
      <c r="B1" s="299"/>
      <c r="C1" s="299"/>
      <c r="D1" s="21" t="s">
        <v>14</v>
      </c>
      <c r="E1" s="20" t="str">
        <f>IF('2. Getting Started'!B2="","",'2. Getting Started'!B2)</f>
        <v/>
      </c>
    </row>
    <row r="2" spans="1:5" ht="18.75" x14ac:dyDescent="0.3">
      <c r="A2" s="2" t="str">
        <f>CONCATENATE("State fiscal year ",'2. Getting Started'!B6+4," covers the period ",'2. Getting Started'!B4,", ",'2. Getting Started'!B6+3," through ",'2. Getting Started'!B5,", ",'2. Getting Started'!B6+4)</f>
        <v>State fiscal year 2025 covers the period July 1, 2024 through June 30, 2025</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3" t="e">
        <f>IF('2. Getting Started'!B10="","",IF('38. Total Local Funds'!F30="Met",'2. Getting Started'!$B$6+2,IF('38. Total Local Funds'!$F22="Met",'2. Getting Started'!$B$6+1,IF('38. Total Local Funds'!$F14="Met",'2. Getting Started'!$B$6,'2. Getting Started'!$B10))))</f>
        <v>#N/A</v>
      </c>
      <c r="C6" s="3" t="e">
        <f>IF('2. Getting Started'!B11="","",IF('39. Total State &amp; Local Funds'!F30="Met",'2. Getting Started'!$B$6+2,IF('39. Total State &amp; Local Funds'!$F22="Met",'2. Getting Started'!$B$6+1,IF('39. Total State &amp; Local Funds'!$F14="Met",'2. Getting Started'!$B$6,'2. Getting Started'!$B11))))</f>
        <v>#N/A</v>
      </c>
      <c r="D6" s="3" t="e">
        <f>IF('2. Getting Started'!B12="","",IF('40. Local Funds Per Capita'!F31="Met",'2. Getting Started'!$B$6+2,IF('40. Local Funds Per Capita'!$F23="Met",'2. Getting Started'!$B$6+1,IF('40. Local Funds Per Capita'!$F15="Met",'2. Getting Started'!$B$6,'2. Getting Started'!$B12))))</f>
        <v>#DIV/0!</v>
      </c>
      <c r="E6" s="257" t="e">
        <f>IF('2. Getting Started'!B13="","",IF('41. State &amp; Local Funds Per Cap'!F31="Met",'2. Getting Started'!$B$6+2,IF('41. State &amp; Local Funds Per Cap'!$F23="Met",'2. Getting Started'!$B$6+1,IF('41. State &amp; Local Funds Per Cap'!$F15="Met",'2. Getting Started'!$B$6,'2. Getting Started'!$B13))))</f>
        <v>#DIV/0!</v>
      </c>
    </row>
    <row r="7" spans="1:5" x14ac:dyDescent="0.25">
      <c r="A7" s="243" t="s">
        <v>45</v>
      </c>
      <c r="B7" s="205" t="e">
        <f>IF(B6="","",IF(B6='2. Getting Started'!$B$6+2,'11. Year 3 Amounts'!K30,IF(B6='2. Getting Started'!$B$6+1,'8. Year 2 Amounts'!K30,IF(B6='2. Getting Started'!$B$6,'5. Year 1 Amounts'!K30,'2. Getting Started'!$C10))))</f>
        <v>#N/A</v>
      </c>
      <c r="C7" s="205" t="e">
        <f>IF(C6="","",IF(C6='2. Getting Started'!$B$6+2,'11. Year 3 Amounts'!M30,IF(C6='2. Getting Started'!$B$6+1,'8. Year 2 Amounts'!M30,IF(C6='2. Getting Started'!$B$6,'5. Year 1 Amounts'!M30,'2. Getting Started'!$C11))))</f>
        <v>#N/A</v>
      </c>
      <c r="D7" s="205" t="e">
        <f>IF(D6="","",IF(D6='2. Getting Started'!$B$6+2,'11. Year 3 Amounts'!K31,IF(D6='2. Getting Started'!$B$6+1,'8. Year 2 Amounts'!K31,IF(D6='2. Getting Started'!$B$6,'5. Year 1 Amounts'!K31,'2. Getting Started'!$C12))))</f>
        <v>#DIV/0!</v>
      </c>
      <c r="E7" s="267" t="e">
        <f>IF(E6="","",IF(E6='2. Getting Started'!$B$6+2,'11. Year 3 Amounts'!M31,IF(E6='2. Getting Started'!$B$6+1,'8. Year 2 Amounts'!M31,IF(E6='2. Getting Started'!$B$6,'5. Year 1 Amounts'!M31,'2. Getting Started'!$C13))))</f>
        <v>#DIV/0!</v>
      </c>
    </row>
    <row r="8" spans="1:5" x14ac:dyDescent="0.25">
      <c r="A8" s="243" t="s">
        <v>9</v>
      </c>
      <c r="B8" s="205" t="str">
        <f>'17. Year 5 Amounts'!D30</f>
        <v/>
      </c>
      <c r="C8" s="205" t="str">
        <f>'17. Year 5 Amounts'!F30</f>
        <v/>
      </c>
      <c r="D8" s="205" t="str">
        <f>'17. Year 5 Amounts'!D31</f>
        <v/>
      </c>
      <c r="E8" s="267" t="str">
        <f>'17. Year 5 Amounts'!F31</f>
        <v/>
      </c>
    </row>
    <row r="9" spans="1:5" x14ac:dyDescent="0.25">
      <c r="A9" s="243" t="s">
        <v>117</v>
      </c>
      <c r="B9" s="201" t="str">
        <f>IF(B8="","",IF(B8&gt;=B7,"Met",IF(AND(B8&lt;B7,'38. Total Local Funds'!$B46="Met"),"Met with Exceptions &amp; Adjustments","Did Not Meet")))</f>
        <v/>
      </c>
      <c r="C9" s="201" t="str">
        <f>IF(C8="","",IF(C8&gt;=C7,"Met",IF(AND(C8&lt;C7,'39. Total State &amp; Local Funds'!$B46="Met"),"Met with Exceptions &amp; Adjustments","Did Not Meet")))</f>
        <v/>
      </c>
      <c r="D9" s="201" t="str">
        <f>IF(D8="","",IF(D8&gt;=D7,"Met",IF(AND(D8&lt;D7,'40. Local Funds Per Capita'!$B47="Met"),"Met with Exceptions &amp; Adjustments","Did Not Meet")))</f>
        <v/>
      </c>
      <c r="E9" s="259" t="str">
        <f>IF(E8="","",IF(E8&gt;=E7,"Met",IF(AND(E8&lt;E7,'41. State &amp; Local Funds Per Cap'!$B47="Met"),"Met with Exceptions &amp; Adjustments","Did Not Meet")))</f>
        <v/>
      </c>
    </row>
    <row r="10" spans="1:5" x14ac:dyDescent="0.25">
      <c r="A10" s="246" t="s">
        <v>46</v>
      </c>
      <c r="B10" s="256" t="str">
        <f>IF(B9="","",IF(B9="Did Not Meet",'38. Total Local Funds'!$B44-'38. Total Local Funds'!$B45,0))</f>
        <v/>
      </c>
      <c r="C10" s="256" t="str">
        <f>IF(C9="","",IF(C9="Did Not Meet",'39. Total State &amp; Local Funds'!$B44-'39. Total State &amp; Local Funds'!$B45,0))</f>
        <v/>
      </c>
      <c r="D10" s="256" t="str">
        <f>IF(D9="","",IF(D9="Did Not Meet",(('40. Local Funds Per Capita'!$B45-'40. Local Funds Per Capita'!$B46)*'17. Year 5 Amounts'!B1),0))</f>
        <v/>
      </c>
      <c r="E10" s="261" t="str">
        <f>IF(E9="","",IF(E9="Did Not Meet",(('41. State &amp; Local Funds Per Cap'!$B45-'41. State &amp; Local Funds Per Cap'!$B46)*'17. Year 5 Amounts'!B1),0))</f>
        <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t="e">
        <f>IF('2. Getting Started'!B10="","",IF('38.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Capita'!F39="Met",'2. Getting Started'!$B$6+3,IF('40. Local Funds Per Capita'!F31="Met",'2. Getting Started'!$B$6+2,IF('40. Local Funds Per Capita'!F23="Met",'2. Getting Started'!$B$6+1,IF('40. Local Funds Per Capita'!$F15="Met",'2. Getting Started'!$B$6,'2. Getting Started'!$B12)))))</f>
        <v>#DIV/0!</v>
      </c>
      <c r="E14" s="257" t="e">
        <f>IF('2. Getting Started'!B13="","",IF('41. State &amp; Local Funds Per Cap'!F39="Met",'2. Getting Started'!$B$6+3,IF('41. State &amp; Local Funds Per Cap'!F31="Met",'2. Getting Started'!$B$6+2,IF('41. State &amp; Local Funds Per Cap'!F23="Met",'2. Getting Started'!$B$6+1,IF('41. State &amp; Local Funds Per Cap'!$F15="Met",'2. Getting Started'!$B$6,'2. Getting Started'!$B13)))))</f>
        <v>#DIV/0!</v>
      </c>
    </row>
    <row r="15" spans="1:5" x14ac:dyDescent="0.25">
      <c r="A15" s="243" t="s">
        <v>45</v>
      </c>
      <c r="B15" s="17" t="e">
        <f>IF(B14="","",IF(B14='2. Getting Started'!$B$6+3,'14. Year 4 Amounts'!K30,IF(B14='2. Getting Started'!$B$6+2,'11. Year 3 Amounts'!K30,IF(B14='2. Getting Started'!$B$6+1,'8. Year 2 Amounts'!K30,IF(B14='2. Getting Started'!$B$6,'5. Year 1 Amounts'!K30,'2. Getting Started'!$C10)))))</f>
        <v>#N/A</v>
      </c>
      <c r="C15" s="17" t="e">
        <f>IF(C14="","",IF(C14='2. Getting Started'!$B$6+3,'14. Year 4 Amounts'!M30,IF(C14='2. Getting Started'!$B$6+2,'11. Year 3 Amounts'!M30,IF(C14='2. Getting Started'!$B$6+1,'8. Year 2 Amounts'!M30,IF(C14='2. Getting Started'!$B$6,'5. Year 1 Amounts'!M30,'2. Getting Started'!$C11)))))</f>
        <v>#N/A</v>
      </c>
      <c r="D15" s="17" t="e">
        <f>IF(D14="","",IF(D14='2. Getting Started'!$B$6+3,'14. Year 4 Amounts'!K31,IF(D14='2. Getting Started'!$B$6+2,'11. Year 3 Amounts'!K31,IF(D14='2. Getting Started'!$B$6+1,'8. Year 2 Amounts'!K31,IF(D14='2. Getting Started'!$B$6,'5. Year 1 Amounts'!K31,'2. Getting Started'!$C12)))))</f>
        <v>#DIV/0!</v>
      </c>
      <c r="E15" s="258" t="e">
        <f>IF(E14="","",IF(E14='2. Getting Started'!$B$6+3,'14. Year 4 Amounts'!M31,IF(E14='2. Getting Started'!$B$6+2,'11. Year 3 Amounts'!M31,IF(E14='2. Getting Started'!$B$6+1,'8. Year 2 Amounts'!M31,IF(E14='2. Getting Started'!$B$6,'5. Year 1 Amounts'!M31,'2. Getting Started'!$C13)))))</f>
        <v>#DIV/0!</v>
      </c>
    </row>
    <row r="16" spans="1:5" x14ac:dyDescent="0.25">
      <c r="A16" s="243" t="s">
        <v>11</v>
      </c>
      <c r="B16" s="17" t="str">
        <f>'17. Year 5 Amounts'!K30</f>
        <v/>
      </c>
      <c r="C16" s="17" t="str">
        <f>'17. Year 5 Amounts'!M30</f>
        <v/>
      </c>
      <c r="D16" s="17" t="str">
        <f>'17. Year 5 Amounts'!K31</f>
        <v/>
      </c>
      <c r="E16" s="258" t="str">
        <f>'17. Year 5 Amounts'!M31</f>
        <v/>
      </c>
    </row>
    <row r="17" spans="1:5" x14ac:dyDescent="0.25">
      <c r="A17" s="243" t="s">
        <v>117</v>
      </c>
      <c r="B17" s="201" t="str">
        <f>IF(B16="","",IF(B16&gt;=B15,"Met",IF(AND(B16&lt;B15,'38. Total Local Funds'!F46="Met"),"Met with Exceptions &amp; Adjustments","Did Not Meet")))</f>
        <v/>
      </c>
      <c r="C17" s="201" t="str">
        <f>IF(C16="","",IF(C16&gt;=C15,"Met",IF(AND(C16&lt;C15,'39. Total State &amp; Local Funds'!F46="Met"),"Met with Exceptions &amp; Adjustments","Did Not Meet")))</f>
        <v/>
      </c>
      <c r="D17" s="201" t="str">
        <f>IF(D16="","",IF(D16&gt;=D15,"Met",IF(AND(D16&lt;D15,'40. Local Funds Per Capita'!F47="Met"),"Met with Exceptions &amp; Adjustments","Did Not Meet")))</f>
        <v/>
      </c>
      <c r="E17" s="259" t="str">
        <f>IF(E16="","",IF(E16&gt;=E15,"Met",IF(AND(E16&lt;E15,'41. State &amp; Local Funds Per Cap'!F47="Met"),"Met with Exceptions &amp; Adjustments","Did Not Meet")))</f>
        <v/>
      </c>
    </row>
    <row r="18" spans="1:5" x14ac:dyDescent="0.25">
      <c r="A18" s="246" t="s">
        <v>46</v>
      </c>
      <c r="B18" s="256" t="str">
        <f>IF(B17="","",IF(B17="Did Not Meet",'38. Total Local Funds'!F44-'38. Total Local Funds'!F45,0))</f>
        <v/>
      </c>
      <c r="C18" s="256" t="str">
        <f>IF(C17="","",IF(C17="Did Not Meet",'39. Total State &amp; Local Funds'!F44-'39. Total State &amp; Local Funds'!F45,0))</f>
        <v/>
      </c>
      <c r="D18" s="256" t="str">
        <f>IF(D17="","",IF(D17="Did Not Meet",(('40. Local Funds Per Capita'!F45-'40. Local Funds Per Capita'!F46)*'14. Year 4 Amounts'!I1),0))</f>
        <v/>
      </c>
      <c r="E18" s="261" t="str">
        <f>IF(E17="","",IF(E17="Did Not Meet",(('41. State &amp; Local Funds Per Cap'!F45-'41. State &amp; Local Funds Per Cap'!F46)*'14. Year 4 Amounts'!I1),0))</f>
        <v/>
      </c>
    </row>
    <row r="19" spans="1:5" x14ac:dyDescent="0.25">
      <c r="A19" s="657" t="s">
        <v>174</v>
      </c>
      <c r="B19" s="657"/>
      <c r="C19" s="657"/>
      <c r="D19" s="657"/>
      <c r="E19" s="657"/>
    </row>
    <row r="20" spans="1:5" ht="15.75" x14ac:dyDescent="0.2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x14ac:dyDescent="0.25">
      <c r="A21" s="260" t="s">
        <v>126</v>
      </c>
      <c r="B21" s="271" t="s">
        <v>131</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f>MIN(B24,B18,C18,D18,E18)</f>
        <v>0</v>
      </c>
    </row>
    <row r="26" spans="1:5" x14ac:dyDescent="0.25">
      <c r="A26" s="243" t="s">
        <v>114</v>
      </c>
      <c r="B26" s="263"/>
    </row>
    <row r="27" spans="1:5" x14ac:dyDescent="0.25">
      <c r="A27" s="246" t="s">
        <v>115</v>
      </c>
      <c r="B27" s="26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Started'!B6+4)</f>
        <v>Exceptions and Adjustment Claimed for State Fiscal Year 2025</v>
      </c>
    </row>
    <row r="32" spans="1:5" x14ac:dyDescent="0.25">
      <c r="A32" s="2"/>
      <c r="B32" s="322" t="s">
        <v>147</v>
      </c>
      <c r="C32" s="4"/>
      <c r="D32" s="322" t="s">
        <v>151</v>
      </c>
      <c r="E32" s="4"/>
    </row>
    <row r="33" spans="1:5" x14ac:dyDescent="0.25">
      <c r="A33" s="218" t="s">
        <v>150</v>
      </c>
      <c r="B33" s="323" t="s">
        <v>154</v>
      </c>
      <c r="C33" s="324" t="s">
        <v>155</v>
      </c>
      <c r="D33" s="325" t="s">
        <v>152</v>
      </c>
      <c r="E33" s="324" t="s">
        <v>153</v>
      </c>
    </row>
    <row r="34" spans="1:5" x14ac:dyDescent="0.25">
      <c r="A34" s="224" t="s">
        <v>139</v>
      </c>
      <c r="B34" s="17">
        <f>'18. Year 5 Exc &amp; Adj'!F22</f>
        <v>0</v>
      </c>
      <c r="C34" s="258">
        <f>'18. Year 5 Exc &amp; Adj'!F22</f>
        <v>0</v>
      </c>
      <c r="D34" s="326">
        <f>'18. Year 5 Exc &amp; Adj'!M22</f>
        <v>0</v>
      </c>
      <c r="E34" s="17">
        <f>'18. Year 5 Exc &amp; Adj'!M22</f>
        <v>0</v>
      </c>
    </row>
    <row r="35" spans="1:5" x14ac:dyDescent="0.25">
      <c r="A35" s="224" t="s">
        <v>140</v>
      </c>
      <c r="B35" s="17" t="str">
        <f>'18. Year 5 Exc &amp; Adj'!B32</f>
        <v/>
      </c>
      <c r="C35" s="258" t="str">
        <f>'18. Year 5 Exc &amp; Adj'!C32</f>
        <v/>
      </c>
      <c r="D35" s="326" t="str">
        <f>'18. Year 5 Exc &amp; Adj'!I32</f>
        <v/>
      </c>
      <c r="E35" s="258" t="str">
        <f>'18. Year 5 Exc &amp; Adj'!J32</f>
        <v/>
      </c>
    </row>
    <row r="36" spans="1:5" x14ac:dyDescent="0.25">
      <c r="A36" s="224" t="s">
        <v>141</v>
      </c>
      <c r="B36" s="17">
        <f>'18. Year 5 Exc &amp; Adj'!C43</f>
        <v>0</v>
      </c>
      <c r="C36" s="258">
        <f>'18. Year 5 Exc &amp; Adj'!C43</f>
        <v>0</v>
      </c>
      <c r="D36" s="326">
        <f>'18. Year 5 Exc &amp; Adj'!J43</f>
        <v>0</v>
      </c>
      <c r="E36" s="17">
        <f>'18. Year 5 Exc &amp; Adj'!J43</f>
        <v>0</v>
      </c>
    </row>
    <row r="37" spans="1:5" x14ac:dyDescent="0.25">
      <c r="A37" s="224" t="s">
        <v>142</v>
      </c>
      <c r="B37" s="17">
        <f>'18. Year 5 Exc &amp; Adj'!B53</f>
        <v>0</v>
      </c>
      <c r="C37" s="258">
        <f>'18. Year 5 Exc &amp; Adj'!B53</f>
        <v>0</v>
      </c>
      <c r="D37" s="326">
        <f>'18. Year 5 Exc &amp; Adj'!I53</f>
        <v>0</v>
      </c>
      <c r="E37" s="17">
        <f>'18. Year 5 Exc &amp; Adj'!I53</f>
        <v>0</v>
      </c>
    </row>
    <row r="38" spans="1:5" x14ac:dyDescent="0.25">
      <c r="A38" s="224" t="str">
        <f>IF('3b. High Cost Fund'!B7="No","This exception is not valid for your state.","Exception (e)")</f>
        <v>Exception (e)</v>
      </c>
      <c r="B38" s="331">
        <f>IF('3b. High Cost Fund'!B7="No","",'18. Year 5 Exc &amp; Adj'!B63)</f>
        <v>0</v>
      </c>
      <c r="C38" s="332">
        <f>IF('3b. High Cost Fund'!B7="No","",'18. Year 5 Exc &amp; Adj'!B63)</f>
        <v>0</v>
      </c>
      <c r="D38" s="326">
        <f>IF('3b. High Cost Fund'!B7="No","",'18. Year 5 Exc &amp; Adj'!I63)</f>
        <v>0</v>
      </c>
      <c r="E38" s="331">
        <f>IF('3b. High Cost Fund'!B7="No","",'18. Year 5 Exc &amp; Adj'!I63)</f>
        <v>0</v>
      </c>
    </row>
    <row r="39" spans="1:5" x14ac:dyDescent="0.25">
      <c r="A39" s="224" t="s">
        <v>143</v>
      </c>
      <c r="B39" s="17">
        <f>AdjDataYear5Budget[Projected Adjustment]</f>
        <v>0</v>
      </c>
      <c r="C39" s="17">
        <f>AdjDataYear5Budget[Projected Adjustment]</f>
        <v>0</v>
      </c>
      <c r="D39" s="327">
        <f>AdjDataYear5Expenditures[[Adjustment ]]</f>
        <v>0</v>
      </c>
      <c r="E39" s="17">
        <f>AdjDataYear5Expenditures[[Adjustment ]]</f>
        <v>0</v>
      </c>
    </row>
    <row r="40" spans="1:5" x14ac:dyDescent="0.25">
      <c r="A40" s="246" t="s">
        <v>124</v>
      </c>
      <c r="B40" s="328">
        <f>SUM(B34:B39)</f>
        <v>0</v>
      </c>
      <c r="C40" s="329">
        <f>SUM(C34:C39)</f>
        <v>0</v>
      </c>
      <c r="D40" s="330">
        <f>SUM(D34:D39)</f>
        <v>0</v>
      </c>
      <c r="E40" s="329">
        <f>SUM(E34:E39)</f>
        <v>0</v>
      </c>
    </row>
    <row r="41" spans="1:5" ht="29.25"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DCsnFEvfcrzEY6M4NkC/3f4H1fBHQAJ37TlFFKkI6Gmf7tsRpitXebOsMGmnFs3vvzjC4DKP9f1BzdIQ/8hWnA==" saltValue="e9oMlW6R3d5DTileYQzVuA==" spinCount="100000" sheet="1" objects="1" scenarios="1" formatColumns="0" formatRows="0"/>
  <mergeCells count="5">
    <mergeCell ref="A11:E11"/>
    <mergeCell ref="A19:E19"/>
    <mergeCell ref="A28:E28"/>
    <mergeCell ref="A30:E30"/>
    <mergeCell ref="A43:E43"/>
  </mergeCells>
  <conditionalFormatting sqref="B9:E9">
    <cfRule type="containsText" dxfId="196" priority="3" operator="containsText" text="Did Not Meet">
      <formula>NOT(ISERROR(SEARCH("Did Not Meet",B9)))</formula>
    </cfRule>
    <cfRule type="containsText" dxfId="195" priority="4" operator="containsText" text="Met">
      <formula>NOT(ISERROR(SEARCH("Met",B9)))</formula>
    </cfRule>
  </conditionalFormatting>
  <conditionalFormatting sqref="B17:E17">
    <cfRule type="containsText" dxfId="194" priority="1" operator="containsText" text="Did Not Meet">
      <formula>NOT(ISERROR(SEARCH("Did Not Meet",B17)))</formula>
    </cfRule>
    <cfRule type="containsText" dxfId="193" priority="2" operator="containsText" text="Met">
      <formula>NOT(ISERROR(SEARCH("Met",B17)))</formula>
    </cfRule>
  </conditionalFormatting>
  <hyperlinks>
    <hyperlink ref="A29" location="'4. Multi-Year MOE Summary'!A8" display="Go to the Multi-Year MOE Summary" xr:uid="{00000000-0004-0000-1400-000000000000}"/>
    <hyperlink ref="A42" r:id="rId1" xr:uid="{00000000-0004-0000-14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0000"/>
    <pageSetUpPr autoPageBreaks="0"/>
  </sheetPr>
  <dimension ref="A1:N35"/>
  <sheetViews>
    <sheetView showGridLines="0" workbookViewId="0">
      <pane ySplit="4" topLeftCell="A5" activePane="bottomLeft" state="frozen"/>
      <selection activeCell="A5" sqref="A5"/>
      <selection pane="bottomLeft" activeCell="E5" sqref="E5"/>
    </sheetView>
  </sheetViews>
  <sheetFormatPr defaultColWidth="0" defaultRowHeight="0" customHeight="1"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c r="D1" s="21" t="s">
        <v>14</v>
      </c>
      <c r="E1" s="20" t="str">
        <f>IF('2. Getting Started'!B2="","",'2. Getting Started'!B2)</f>
        <v/>
      </c>
      <c r="G1" s="661" t="s">
        <v>22</v>
      </c>
      <c r="H1" s="19" t="s">
        <v>49</v>
      </c>
      <c r="I1" s="48"/>
      <c r="K1" s="21" t="s">
        <v>14</v>
      </c>
      <c r="L1" s="20" t="str">
        <f>IF('2. Getting Started'!B2="","",'2. Getting Started'!B2)</f>
        <v/>
      </c>
    </row>
    <row r="2" spans="1:13" s="25" customFormat="1" ht="37.9" customHeight="1" thickBot="1" x14ac:dyDescent="0.3">
      <c r="A2" s="22" t="str">
        <f>CONCATENATE("Eligibility Standard - State Fiscal Year ",'2. Getting Started'!B6+5," -  LEA Effort - Budgeted Amounts")</f>
        <v>Eligibility Standard - State Fiscal Year 2026 -  LEA Effort - Budgeted Amounts</v>
      </c>
      <c r="B2" s="23"/>
      <c r="C2" s="23"/>
      <c r="D2" s="23"/>
      <c r="E2" s="23"/>
      <c r="F2" s="24"/>
      <c r="G2" s="661"/>
      <c r="H2" s="22" t="str">
        <f>CONCATENATE("Compliance Standard - State Fiscal Year ",'2. Getting Started'!B6+5," - LEA Effort - Final Expenditures")</f>
        <v>Compliance Standard - State Fiscal Year 2026 - LEA Effort - Final Expenditures</v>
      </c>
      <c r="I2" s="23"/>
      <c r="J2" s="23"/>
      <c r="K2" s="23"/>
      <c r="L2" s="23"/>
      <c r="M2" s="24"/>
    </row>
    <row r="3" spans="1:13" s="25" customFormat="1" ht="24" customHeight="1" x14ac:dyDescent="0.25">
      <c r="A3" s="26"/>
      <c r="B3" s="27"/>
      <c r="D3" s="28" t="str">
        <f>CONCATENATE("SFY ",'2. Getting Started'!$B6+5," Budget")</f>
        <v>SFY 2026 Budget</v>
      </c>
      <c r="E3" s="29"/>
      <c r="F3" s="30"/>
      <c r="G3" s="661"/>
      <c r="H3" s="26"/>
      <c r="I3" s="27"/>
      <c r="J3" s="31"/>
      <c r="K3" s="28" t="str">
        <f>CONCATENATE("SFY ",'2. Getting Started'!$B6+5," Final Expenditures")</f>
        <v>SFY 2026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ht="15.75" x14ac:dyDescent="0.25">
      <c r="A5" s="49"/>
      <c r="B5" s="50"/>
      <c r="C5" s="51"/>
      <c r="D5" s="52"/>
      <c r="E5" s="52"/>
      <c r="F5" s="38" t="str">
        <f>IF(AND(D5="",E5=""),"",SUM(D5:E5))</f>
        <v/>
      </c>
      <c r="G5" s="661"/>
      <c r="H5" s="49"/>
      <c r="I5" s="50"/>
      <c r="J5" s="51"/>
      <c r="K5" s="52"/>
      <c r="L5" s="52"/>
      <c r="M5" s="38" t="str">
        <f>IF(AND(K5="",L5=""),"",SUM(K5:L5))</f>
        <v/>
      </c>
    </row>
    <row r="6" spans="1:13" ht="15.75" x14ac:dyDescent="0.25">
      <c r="A6" s="49"/>
      <c r="B6" s="50"/>
      <c r="C6" s="51"/>
      <c r="D6" s="52"/>
      <c r="E6" s="52"/>
      <c r="F6" s="38" t="str">
        <f t="shared" ref="F6:F29" si="0">IF(AND(D6="",E6=""),"",SUM(D6:E6))</f>
        <v/>
      </c>
      <c r="G6" s="661"/>
      <c r="H6" s="49"/>
      <c r="I6" s="50"/>
      <c r="J6" s="51"/>
      <c r="K6" s="52"/>
      <c r="L6" s="52"/>
      <c r="M6" s="38" t="str">
        <f t="shared" ref="M6:M29" si="1">IF(AND(K6="",L6=""),"",SUM(K6:L6))</f>
        <v/>
      </c>
    </row>
    <row r="7" spans="1:13" ht="15.75" x14ac:dyDescent="0.25">
      <c r="A7" s="49"/>
      <c r="B7" s="50"/>
      <c r="C7" s="51"/>
      <c r="D7" s="52"/>
      <c r="E7" s="52"/>
      <c r="F7" s="38" t="str">
        <f t="shared" si="0"/>
        <v/>
      </c>
      <c r="G7" s="661"/>
      <c r="H7" s="49"/>
      <c r="I7" s="50"/>
      <c r="J7" s="51"/>
      <c r="K7" s="52"/>
      <c r="L7" s="52"/>
      <c r="M7" s="38" t="str">
        <f t="shared" si="1"/>
        <v/>
      </c>
    </row>
    <row r="8" spans="1:13" ht="15.75" x14ac:dyDescent="0.25">
      <c r="A8" s="49"/>
      <c r="B8" s="50"/>
      <c r="C8" s="51"/>
      <c r="D8" s="52"/>
      <c r="E8" s="52"/>
      <c r="F8" s="38" t="str">
        <f t="shared" si="0"/>
        <v/>
      </c>
      <c r="G8" s="661"/>
      <c r="H8" s="49"/>
      <c r="I8" s="50"/>
      <c r="J8" s="51"/>
      <c r="K8" s="52"/>
      <c r="L8" s="52"/>
      <c r="M8" s="38" t="str">
        <f t="shared" si="1"/>
        <v/>
      </c>
    </row>
    <row r="9" spans="1:13" ht="15.75" x14ac:dyDescent="0.25">
      <c r="A9" s="49"/>
      <c r="B9" s="50"/>
      <c r="C9" s="51"/>
      <c r="D9" s="52"/>
      <c r="E9" s="52"/>
      <c r="F9" s="38" t="str">
        <f t="shared" si="0"/>
        <v/>
      </c>
      <c r="G9" s="661"/>
      <c r="H9" s="49"/>
      <c r="I9" s="50"/>
      <c r="J9" s="51"/>
      <c r="K9" s="52"/>
      <c r="L9" s="52"/>
      <c r="M9" s="38" t="str">
        <f t="shared" si="1"/>
        <v/>
      </c>
    </row>
    <row r="10" spans="1:13" ht="15.75" x14ac:dyDescent="0.25">
      <c r="A10" s="49"/>
      <c r="B10" s="50"/>
      <c r="C10" s="51"/>
      <c r="D10" s="52"/>
      <c r="E10" s="52"/>
      <c r="F10" s="38" t="str">
        <f t="shared" si="0"/>
        <v/>
      </c>
      <c r="G10" s="661"/>
      <c r="H10" s="49"/>
      <c r="I10" s="50"/>
      <c r="J10" s="51"/>
      <c r="K10" s="52"/>
      <c r="L10" s="52"/>
      <c r="M10" s="38" t="str">
        <f t="shared" si="1"/>
        <v/>
      </c>
    </row>
    <row r="11" spans="1:13" ht="15.75" x14ac:dyDescent="0.25">
      <c r="A11" s="49"/>
      <c r="B11" s="50"/>
      <c r="C11" s="51"/>
      <c r="D11" s="52"/>
      <c r="E11" s="52"/>
      <c r="F11" s="38" t="str">
        <f t="shared" si="0"/>
        <v/>
      </c>
      <c r="G11" s="661"/>
      <c r="H11" s="49"/>
      <c r="I11" s="50"/>
      <c r="J11" s="51"/>
      <c r="K11" s="52"/>
      <c r="L11" s="52"/>
      <c r="M11" s="38" t="str">
        <f t="shared" si="1"/>
        <v/>
      </c>
    </row>
    <row r="12" spans="1:13" ht="15.75" x14ac:dyDescent="0.25">
      <c r="A12" s="49"/>
      <c r="B12" s="50"/>
      <c r="C12" s="51"/>
      <c r="D12" s="52"/>
      <c r="E12" s="52"/>
      <c r="F12" s="38" t="str">
        <f t="shared" si="0"/>
        <v/>
      </c>
      <c r="G12" s="661"/>
      <c r="H12" s="49"/>
      <c r="I12" s="50"/>
      <c r="J12" s="51"/>
      <c r="K12" s="52"/>
      <c r="L12" s="52"/>
      <c r="M12" s="38" t="str">
        <f t="shared" si="1"/>
        <v/>
      </c>
    </row>
    <row r="13" spans="1:13" ht="15.75" x14ac:dyDescent="0.25">
      <c r="A13" s="49"/>
      <c r="B13" s="50"/>
      <c r="C13" s="51"/>
      <c r="D13" s="52"/>
      <c r="E13" s="52"/>
      <c r="F13" s="38" t="str">
        <f t="shared" si="0"/>
        <v/>
      </c>
      <c r="G13" s="661"/>
      <c r="H13" s="49"/>
      <c r="I13" s="50"/>
      <c r="J13" s="51"/>
      <c r="K13" s="52"/>
      <c r="L13" s="52"/>
      <c r="M13" s="38" t="str">
        <f t="shared" si="1"/>
        <v/>
      </c>
    </row>
    <row r="14" spans="1:13" ht="15.75" x14ac:dyDescent="0.25">
      <c r="A14" s="49"/>
      <c r="B14" s="50"/>
      <c r="C14" s="51"/>
      <c r="D14" s="52"/>
      <c r="E14" s="52"/>
      <c r="F14" s="38" t="str">
        <f t="shared" si="0"/>
        <v/>
      </c>
      <c r="G14" s="661"/>
      <c r="H14" s="49"/>
      <c r="I14" s="50"/>
      <c r="J14" s="51"/>
      <c r="K14" s="52"/>
      <c r="L14" s="52"/>
      <c r="M14" s="38" t="str">
        <f t="shared" si="1"/>
        <v/>
      </c>
    </row>
    <row r="15" spans="1:13" ht="15.75" x14ac:dyDescent="0.25">
      <c r="A15" s="49"/>
      <c r="B15" s="50"/>
      <c r="C15" s="51"/>
      <c r="D15" s="52"/>
      <c r="E15" s="52"/>
      <c r="F15" s="38" t="str">
        <f t="shared" si="0"/>
        <v/>
      </c>
      <c r="G15" s="661"/>
      <c r="H15" s="49"/>
      <c r="I15" s="50"/>
      <c r="J15" s="51"/>
      <c r="K15" s="52"/>
      <c r="L15" s="52"/>
      <c r="M15" s="38" t="str">
        <f t="shared" si="1"/>
        <v/>
      </c>
    </row>
    <row r="16" spans="1:13" ht="15.75" x14ac:dyDescent="0.25">
      <c r="A16" s="49"/>
      <c r="B16" s="50"/>
      <c r="C16" s="51"/>
      <c r="D16" s="52"/>
      <c r="E16" s="52"/>
      <c r="F16" s="38" t="str">
        <f t="shared" si="0"/>
        <v/>
      </c>
      <c r="G16" s="661"/>
      <c r="H16" s="49"/>
      <c r="I16" s="50"/>
      <c r="J16" s="51"/>
      <c r="K16" s="52"/>
      <c r="L16" s="52"/>
      <c r="M16" s="38" t="str">
        <f t="shared" si="1"/>
        <v/>
      </c>
    </row>
    <row r="17" spans="1:13" ht="15.75" x14ac:dyDescent="0.25">
      <c r="A17" s="49"/>
      <c r="B17" s="50"/>
      <c r="C17" s="51"/>
      <c r="D17" s="52"/>
      <c r="E17" s="52"/>
      <c r="F17" s="38" t="str">
        <f t="shared" si="0"/>
        <v/>
      </c>
      <c r="G17" s="661"/>
      <c r="H17" s="49"/>
      <c r="I17" s="50"/>
      <c r="J17" s="51"/>
      <c r="K17" s="52"/>
      <c r="L17" s="52"/>
      <c r="M17" s="38" t="str">
        <f t="shared" si="1"/>
        <v/>
      </c>
    </row>
    <row r="18" spans="1:13" ht="15.75" x14ac:dyDescent="0.25">
      <c r="A18" s="49"/>
      <c r="B18" s="50"/>
      <c r="C18" s="51"/>
      <c r="D18" s="52"/>
      <c r="E18" s="52"/>
      <c r="F18" s="38" t="str">
        <f t="shared" si="0"/>
        <v/>
      </c>
      <c r="G18" s="661"/>
      <c r="H18" s="49"/>
      <c r="I18" s="50"/>
      <c r="J18" s="51"/>
      <c r="K18" s="52"/>
      <c r="L18" s="52"/>
      <c r="M18" s="38" t="str">
        <f t="shared" si="1"/>
        <v/>
      </c>
    </row>
    <row r="19" spans="1:13" ht="15.75" x14ac:dyDescent="0.25">
      <c r="A19" s="49"/>
      <c r="B19" s="50"/>
      <c r="C19" s="51"/>
      <c r="D19" s="52"/>
      <c r="E19" s="52"/>
      <c r="F19" s="38" t="str">
        <f t="shared" si="0"/>
        <v/>
      </c>
      <c r="G19" s="661"/>
      <c r="H19" s="49"/>
      <c r="I19" s="50"/>
      <c r="J19" s="51"/>
      <c r="K19" s="52"/>
      <c r="L19" s="52"/>
      <c r="M19" s="38" t="str">
        <f t="shared" si="1"/>
        <v/>
      </c>
    </row>
    <row r="20" spans="1:13" ht="15.75" x14ac:dyDescent="0.25">
      <c r="A20" s="49"/>
      <c r="B20" s="50"/>
      <c r="C20" s="51"/>
      <c r="D20" s="52"/>
      <c r="E20" s="52"/>
      <c r="F20" s="38" t="str">
        <f t="shared" si="0"/>
        <v/>
      </c>
      <c r="G20" s="661"/>
      <c r="H20" s="49"/>
      <c r="I20" s="50"/>
      <c r="J20" s="51"/>
      <c r="K20" s="52"/>
      <c r="L20" s="52"/>
      <c r="M20" s="38" t="str">
        <f t="shared" si="1"/>
        <v/>
      </c>
    </row>
    <row r="21" spans="1:13" ht="15.75" x14ac:dyDescent="0.25">
      <c r="A21" s="49"/>
      <c r="B21" s="50"/>
      <c r="C21" s="51"/>
      <c r="D21" s="52"/>
      <c r="E21" s="52"/>
      <c r="F21" s="38" t="str">
        <f t="shared" si="0"/>
        <v/>
      </c>
      <c r="G21" s="661"/>
      <c r="H21" s="49"/>
      <c r="I21" s="50"/>
      <c r="J21" s="51"/>
      <c r="K21" s="52"/>
      <c r="L21" s="52"/>
      <c r="M21" s="38" t="str">
        <f t="shared" si="1"/>
        <v/>
      </c>
    </row>
    <row r="22" spans="1:13" ht="15.75" x14ac:dyDescent="0.25">
      <c r="A22" s="49"/>
      <c r="B22" s="50"/>
      <c r="C22" s="51"/>
      <c r="D22" s="52"/>
      <c r="E22" s="52"/>
      <c r="F22" s="38" t="str">
        <f t="shared" si="0"/>
        <v/>
      </c>
      <c r="G22" s="661"/>
      <c r="H22" s="49"/>
      <c r="I22" s="50"/>
      <c r="J22" s="51"/>
      <c r="K22" s="52"/>
      <c r="L22" s="52"/>
      <c r="M22" s="38" t="str">
        <f t="shared" si="1"/>
        <v/>
      </c>
    </row>
    <row r="23" spans="1:13" ht="15.75" x14ac:dyDescent="0.25">
      <c r="A23" s="49"/>
      <c r="B23" s="50"/>
      <c r="C23" s="51"/>
      <c r="D23" s="52"/>
      <c r="E23" s="52"/>
      <c r="F23" s="38" t="str">
        <f t="shared" si="0"/>
        <v/>
      </c>
      <c r="G23" s="661"/>
      <c r="H23" s="49"/>
      <c r="I23" s="50"/>
      <c r="J23" s="51"/>
      <c r="K23" s="52"/>
      <c r="L23" s="52"/>
      <c r="M23" s="38" t="str">
        <f t="shared" si="1"/>
        <v/>
      </c>
    </row>
    <row r="24" spans="1:13" ht="15.75" x14ac:dyDescent="0.25">
      <c r="A24" s="49"/>
      <c r="B24" s="50"/>
      <c r="C24" s="51"/>
      <c r="D24" s="52"/>
      <c r="E24" s="52"/>
      <c r="F24" s="38" t="str">
        <f t="shared" si="0"/>
        <v/>
      </c>
      <c r="G24" s="661"/>
      <c r="H24" s="49"/>
      <c r="I24" s="50"/>
      <c r="J24" s="51"/>
      <c r="K24" s="52"/>
      <c r="L24" s="52"/>
      <c r="M24" s="38" t="str">
        <f t="shared" si="1"/>
        <v/>
      </c>
    </row>
    <row r="25" spans="1:13" ht="15.75" x14ac:dyDescent="0.25">
      <c r="A25" s="49"/>
      <c r="B25" s="50"/>
      <c r="C25" s="51"/>
      <c r="D25" s="52"/>
      <c r="E25" s="52"/>
      <c r="F25" s="38" t="str">
        <f t="shared" si="0"/>
        <v/>
      </c>
      <c r="G25" s="661"/>
      <c r="H25" s="49"/>
      <c r="I25" s="50"/>
      <c r="J25" s="51"/>
      <c r="K25" s="52"/>
      <c r="L25" s="52"/>
      <c r="M25" s="38" t="str">
        <f t="shared" si="1"/>
        <v/>
      </c>
    </row>
    <row r="26" spans="1:13" ht="15.75" x14ac:dyDescent="0.25">
      <c r="A26" s="49"/>
      <c r="B26" s="50"/>
      <c r="C26" s="51"/>
      <c r="D26" s="52"/>
      <c r="E26" s="52"/>
      <c r="F26" s="38" t="str">
        <f t="shared" si="0"/>
        <v/>
      </c>
      <c r="G26" s="661"/>
      <c r="H26" s="49"/>
      <c r="I26" s="50"/>
      <c r="J26" s="51"/>
      <c r="K26" s="52"/>
      <c r="L26" s="52"/>
      <c r="M26" s="38" t="str">
        <f t="shared" si="1"/>
        <v/>
      </c>
    </row>
    <row r="27" spans="1:13" ht="15.75" x14ac:dyDescent="0.25">
      <c r="A27" s="49"/>
      <c r="B27" s="50"/>
      <c r="C27" s="51"/>
      <c r="D27" s="52"/>
      <c r="E27" s="52"/>
      <c r="F27" s="38" t="str">
        <f t="shared" si="0"/>
        <v/>
      </c>
      <c r="G27" s="661"/>
      <c r="H27" s="49"/>
      <c r="I27" s="50"/>
      <c r="J27" s="51"/>
      <c r="K27" s="52"/>
      <c r="L27" s="52"/>
      <c r="M27" s="38" t="str">
        <f t="shared" si="1"/>
        <v/>
      </c>
    </row>
    <row r="28" spans="1:13" ht="15.75" x14ac:dyDescent="0.25">
      <c r="A28" s="49"/>
      <c r="B28" s="50"/>
      <c r="C28" s="51"/>
      <c r="D28" s="52"/>
      <c r="E28" s="52"/>
      <c r="F28" s="38" t="str">
        <f t="shared" si="0"/>
        <v/>
      </c>
      <c r="G28" s="661"/>
      <c r="H28" s="49"/>
      <c r="I28" s="50"/>
      <c r="J28" s="51"/>
      <c r="K28" s="52"/>
      <c r="L28" s="52"/>
      <c r="M28" s="38" t="str">
        <f t="shared" si="1"/>
        <v/>
      </c>
    </row>
    <row r="29" spans="1:13" ht="16.5" thickBot="1" x14ac:dyDescent="0.3">
      <c r="A29" s="53"/>
      <c r="B29" s="54"/>
      <c r="C29" s="55"/>
      <c r="D29" s="56"/>
      <c r="E29" s="56"/>
      <c r="F29" s="38" t="str">
        <f t="shared" si="0"/>
        <v/>
      </c>
      <c r="G29" s="661"/>
      <c r="H29" s="53"/>
      <c r="I29" s="54"/>
      <c r="J29" s="55"/>
      <c r="K29" s="56"/>
      <c r="L29" s="56"/>
      <c r="M29" s="38" t="str">
        <f t="shared" si="1"/>
        <v/>
      </c>
    </row>
    <row r="30" spans="1:13" ht="19.5" thickBot="1" x14ac:dyDescent="0.3">
      <c r="A30" s="39"/>
      <c r="B30" s="40"/>
      <c r="C30" s="41" t="s">
        <v>56</v>
      </c>
      <c r="D30" s="42" t="str">
        <f>IF(AND(D5="",D6="",D7="",D8="",D9="",D10="",D11="",D12="",D13="",D14="",D15="",D16="",D17="",D18="",D19="",D20="",D21="",D22="",D23="",D24="",D25="",D26="",D27="",D28="",D29=""),"",SUM(D5:D29))</f>
        <v/>
      </c>
      <c r="E30" s="43"/>
      <c r="F30" s="42" t="str">
        <f>IF(AND(F5="",F6="",F7="",F8="",F9="",F10="",F11="",F12="",F13="",F14="",F15="",F16="",F17="",F18="",F19="",F20="",F21="",F22="",F23="",F24="",F25="",F26="",F27="",F28="",F29=""),"",SUM(F5:F29))</f>
        <v/>
      </c>
      <c r="G30" s="661"/>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x14ac:dyDescent="0.3">
      <c r="A31" s="39"/>
      <c r="B31" s="39"/>
      <c r="C31" s="44" t="s">
        <v>57</v>
      </c>
      <c r="D31" s="42" t="str">
        <f>IF(OR($B1="",D30=""),"",(D30/$B1))</f>
        <v/>
      </c>
      <c r="E31" s="39"/>
      <c r="F31" s="42" t="str">
        <f>IF(OR($B1="",F30=""),"",(F30/$B1))</f>
        <v/>
      </c>
      <c r="G31" s="661"/>
      <c r="H31" s="39"/>
      <c r="I31" s="39"/>
      <c r="J31" s="44" t="s">
        <v>57</v>
      </c>
      <c r="K31" s="42" t="str">
        <f>IF(OR($I1="",K30=""),"",(K30/$I1))</f>
        <v/>
      </c>
      <c r="L31" s="39"/>
      <c r="M31" s="42" t="str">
        <f>IF(OR($I1="",M30=""),"",(M30/$I1))</f>
        <v/>
      </c>
    </row>
    <row r="32" spans="1:13" s="25" customFormat="1" ht="18.75" x14ac:dyDescent="0.2">
      <c r="A32" s="345" t="s">
        <v>184</v>
      </c>
      <c r="B32" s="45"/>
      <c r="C32" s="45"/>
      <c r="D32" s="45"/>
      <c r="E32" s="45"/>
      <c r="F32" s="45"/>
      <c r="G32" s="45"/>
      <c r="H32" s="45"/>
      <c r="I32" s="45"/>
      <c r="J32" s="45"/>
      <c r="K32" s="45"/>
      <c r="L32" s="45"/>
      <c r="M32" s="45"/>
    </row>
    <row r="33" spans="1:13" s="47" customFormat="1" ht="15.75"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row r="35" spans="1:13" ht="15.75" hidden="1" x14ac:dyDescent="0.25"/>
  </sheetData>
  <sheetProtection algorithmName="SHA-512" hashValue="NWYihXY27qrlzdQPDv6RMc0jwlTpllf8cJYYHFlIsyrj2K9/2O4TbyWRxtJUSAI2/3ER0yWxlDTaU3/b89ltag==" saltValue="PQZoJY4vDkTDdn7f00cgpw=="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500-000000000000}"/>
    <dataValidation allowBlank="1" showInputMessage="1" showErrorMessage="1" prompt="Don't forget to enter Child Count in Cell I1." sqref="H5" xr:uid="{00000000-0002-0000-1500-000001000000}"/>
  </dataValidations>
  <hyperlinks>
    <hyperlink ref="A33" r:id="rId1" xr:uid="{00000000-0004-0000-1500-000000000000}"/>
  </hyperlinks>
  <pageMargins left="0.75" right="0.75" top="1" bottom="1" header="0.5" footer="0.5"/>
  <pageSetup orientation="portrait" horizontalDpi="4294967292" verticalDpi="4294967292"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4">
    <tabColor rgb="FF00B050"/>
  </sheetPr>
  <dimension ref="A1:AD13"/>
  <sheetViews>
    <sheetView tabSelected="1" workbookViewId="0">
      <selection activeCell="A8" sqref="A8"/>
    </sheetView>
  </sheetViews>
  <sheetFormatPr defaultColWidth="9.140625" defaultRowHeight="15" x14ac:dyDescent="0.25"/>
  <cols>
    <col min="1" max="1" width="138.85546875" bestFit="1" customWidth="1"/>
    <col min="4" max="4" width="9.140625" style="360"/>
    <col min="6" max="6" width="9.140625" style="360"/>
    <col min="8" max="8" width="9.140625" style="360"/>
    <col min="11" max="11" width="9.140625" style="360"/>
    <col min="13" max="13" width="9.140625" style="360"/>
    <col min="15" max="15" width="9.140625" style="360"/>
    <col min="18" max="18" width="9.140625" style="360"/>
    <col min="20" max="20" width="9.140625" style="360"/>
    <col min="22" max="22" width="9.140625" style="360"/>
    <col min="25" max="25" width="9.140625" style="360"/>
    <col min="27" max="30" width="9.140625" style="360"/>
  </cols>
  <sheetData>
    <row r="1" spans="1:1" x14ac:dyDescent="0.25">
      <c r="A1" s="2" t="s">
        <v>1173</v>
      </c>
    </row>
    <row r="2" spans="1:1" x14ac:dyDescent="0.25">
      <c r="A2" t="s">
        <v>1176</v>
      </c>
    </row>
    <row r="3" spans="1:1" x14ac:dyDescent="0.25">
      <c r="A3" s="2" t="s">
        <v>1505</v>
      </c>
    </row>
    <row r="4" spans="1:1" x14ac:dyDescent="0.25">
      <c r="A4" t="s">
        <v>1504</v>
      </c>
    </row>
    <row r="5" spans="1:1" x14ac:dyDescent="0.25">
      <c r="A5" t="s">
        <v>1210</v>
      </c>
    </row>
    <row r="6" spans="1:1" x14ac:dyDescent="0.25">
      <c r="A6" t="s">
        <v>1174</v>
      </c>
    </row>
    <row r="7" spans="1:1" x14ac:dyDescent="0.25">
      <c r="A7" s="2" t="s">
        <v>1177</v>
      </c>
    </row>
    <row r="8" spans="1:1" x14ac:dyDescent="0.25">
      <c r="A8" t="s">
        <v>1506</v>
      </c>
    </row>
    <row r="9" spans="1:1" x14ac:dyDescent="0.25">
      <c r="A9" t="s">
        <v>1178</v>
      </c>
    </row>
    <row r="10" spans="1:1" x14ac:dyDescent="0.25">
      <c r="A10" t="s">
        <v>1180</v>
      </c>
    </row>
    <row r="11" spans="1:1" ht="15.75" x14ac:dyDescent="0.25">
      <c r="A11" s="366" t="s">
        <v>1179</v>
      </c>
    </row>
    <row r="12" spans="1:1" x14ac:dyDescent="0.25">
      <c r="A12" t="s">
        <v>1181</v>
      </c>
    </row>
    <row r="13" spans="1:1" x14ac:dyDescent="0.25">
      <c r="A13" s="2" t="s">
        <v>1175</v>
      </c>
    </row>
  </sheetData>
  <hyperlinks>
    <hyperlink ref="A11" r:id="rId1" xr:uid="{00000000-0004-0000-0100-000000000000}"/>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5"/>
    <pageSetUpPr autoPageBreaks="0"/>
  </sheetPr>
  <dimension ref="A1:AB75"/>
  <sheetViews>
    <sheetView showGridLines="0" topLeftCell="F1" zoomScale="90" zoomScaleNormal="90" zoomScalePageLayoutView="90" workbookViewId="0">
      <pane ySplit="3" topLeftCell="A59" activePane="bottomLeft" state="frozen"/>
      <selection activeCell="A5" sqref="A5"/>
      <selection pane="bottomLeft" activeCell="I73" sqref="I73"/>
    </sheetView>
  </sheetViews>
  <sheetFormatPr defaultColWidth="0" defaultRowHeight="15.75"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x14ac:dyDescent="0.25">
      <c r="A1" s="57" t="s">
        <v>58</v>
      </c>
      <c r="D1" s="59" t="s">
        <v>14</v>
      </c>
      <c r="E1" s="10" t="str">
        <f>IF('2. Getting Started'!$B2="","",'2. Getting Started'!$B2)</f>
        <v/>
      </c>
      <c r="G1" s="667" t="s">
        <v>176</v>
      </c>
      <c r="K1" s="59" t="s">
        <v>14</v>
      </c>
      <c r="L1" s="10" t="str">
        <f>IF('2. Getting Started'!$B2="","",'2. Getting Started'!$B2)</f>
        <v/>
      </c>
    </row>
    <row r="2" spans="1:20" ht="25.9" customHeight="1" thickBot="1" x14ac:dyDescent="0.3">
      <c r="A2" s="338" t="s">
        <v>170</v>
      </c>
      <c r="D2" s="59"/>
      <c r="E2" s="10"/>
      <c r="G2" s="667"/>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Started'!B6+5," Budget")</f>
        <v>Eligibility Standard -- Exceptions to MOE as Permitted by 34 CFR §300.204 and Adjustment to MOE as Permitted by 34 CFR §300.205 -- Projections for State Fiscal Year 2026 Budget</v>
      </c>
      <c r="B3" s="61"/>
      <c r="C3" s="61"/>
      <c r="D3" s="61"/>
      <c r="E3" s="61"/>
      <c r="F3" s="62"/>
      <c r="G3" s="667"/>
      <c r="H3" s="60" t="str">
        <f>CONCATENATE("Compliance Standard -- Exceptions to MOE as Permitted by 34 CFR §300.204 and Adjustment to MOE as Permitted by 34 CFR §300.205 -- Final Expenditures for  State Fiscal Year ",'2. Getting Started'!B6+5)</f>
        <v>Compliance Standard -- Exceptions to MOE as Permitted by 34 CFR §300.204 and Adjustment to MOE as Permitted by 34 CFR §300.205 -- Final Expenditures for  State Fiscal Year 2026</v>
      </c>
      <c r="I3" s="61"/>
      <c r="J3" s="61"/>
      <c r="K3" s="61"/>
      <c r="L3" s="61"/>
      <c r="M3" s="62"/>
      <c r="O3" s="64"/>
      <c r="P3" s="64"/>
      <c r="Q3" s="64"/>
      <c r="R3" s="64"/>
      <c r="S3" s="64"/>
      <c r="T3" s="64"/>
    </row>
    <row r="4" spans="1:20" x14ac:dyDescent="0.25">
      <c r="A4" s="65"/>
      <c r="B4" s="66"/>
      <c r="C4" s="67"/>
      <c r="D4" s="67"/>
      <c r="E4" s="67"/>
      <c r="F4" s="68"/>
      <c r="G4" s="667"/>
      <c r="H4" s="65" t="s">
        <v>59</v>
      </c>
      <c r="I4" s="66"/>
      <c r="J4" s="67"/>
      <c r="K4" s="67"/>
      <c r="L4" s="67"/>
      <c r="M4" s="68"/>
      <c r="N4" s="70"/>
      <c r="O4" s="70"/>
      <c r="P4" s="70"/>
      <c r="Q4" s="70"/>
      <c r="R4" s="70"/>
      <c r="S4" s="70"/>
    </row>
    <row r="5" spans="1:20" x14ac:dyDescent="0.25">
      <c r="A5" s="71" t="s">
        <v>60</v>
      </c>
      <c r="B5" s="72"/>
      <c r="C5" s="69"/>
      <c r="D5" s="69"/>
      <c r="E5" s="69"/>
      <c r="F5" s="73"/>
      <c r="G5" s="667"/>
      <c r="H5" s="71" t="s">
        <v>60</v>
      </c>
      <c r="I5" s="72"/>
      <c r="J5" s="69"/>
      <c r="K5" s="69"/>
      <c r="L5" s="69"/>
      <c r="M5" s="73"/>
      <c r="N5" s="74"/>
      <c r="O5" s="74"/>
      <c r="P5" s="74"/>
      <c r="Q5" s="74"/>
      <c r="R5" s="74"/>
    </row>
    <row r="6" spans="1:20" ht="35.65" customHeight="1" thickBot="1" x14ac:dyDescent="0.3">
      <c r="A6" s="75" t="s">
        <v>61</v>
      </c>
      <c r="B6" s="76"/>
      <c r="C6" s="76"/>
      <c r="D6" s="76"/>
      <c r="E6" s="76"/>
      <c r="F6" s="77"/>
      <c r="G6" s="667"/>
      <c r="H6" s="75" t="s">
        <v>61</v>
      </c>
      <c r="I6" s="76"/>
      <c r="J6" s="76"/>
      <c r="K6" s="76"/>
      <c r="L6" s="76"/>
      <c r="M6" s="77"/>
      <c r="N6" s="74"/>
      <c r="O6" s="74"/>
      <c r="P6" s="74"/>
      <c r="Q6" s="74"/>
      <c r="R6" s="74"/>
      <c r="S6" s="74"/>
    </row>
    <row r="7" spans="1:20" x14ac:dyDescent="0.25">
      <c r="A7" s="78" t="s">
        <v>62</v>
      </c>
      <c r="B7" s="79" t="s">
        <v>63</v>
      </c>
      <c r="C7" s="80" t="s">
        <v>64</v>
      </c>
      <c r="D7" s="80" t="s">
        <v>65</v>
      </c>
      <c r="E7" s="81" t="s">
        <v>66</v>
      </c>
      <c r="F7" s="82" t="s">
        <v>67</v>
      </c>
      <c r="G7" s="667"/>
      <c r="H7" s="78" t="s">
        <v>62</v>
      </c>
      <c r="I7" s="79" t="s">
        <v>63</v>
      </c>
      <c r="J7" s="80" t="s">
        <v>64</v>
      </c>
      <c r="K7" s="80" t="s">
        <v>65</v>
      </c>
      <c r="L7" s="81" t="s">
        <v>66</v>
      </c>
      <c r="M7" s="82" t="s">
        <v>68</v>
      </c>
      <c r="N7" s="74"/>
      <c r="O7" s="74"/>
    </row>
    <row r="8" spans="1:20" x14ac:dyDescent="0.25">
      <c r="A8" s="186"/>
      <c r="B8" s="187"/>
      <c r="C8" s="187"/>
      <c r="D8" s="188"/>
      <c r="E8" s="188"/>
      <c r="F8" s="84">
        <f>D8+E8</f>
        <v>0</v>
      </c>
      <c r="G8" s="667"/>
      <c r="H8" s="186"/>
      <c r="I8" s="187"/>
      <c r="J8" s="187"/>
      <c r="K8" s="188"/>
      <c r="L8" s="188"/>
      <c r="M8" s="84">
        <f>K8+L8</f>
        <v>0</v>
      </c>
      <c r="N8" s="85"/>
      <c r="O8" s="85"/>
    </row>
    <row r="9" spans="1:20" x14ac:dyDescent="0.25">
      <c r="A9" s="186"/>
      <c r="B9" s="187"/>
      <c r="C9" s="187"/>
      <c r="D9" s="188"/>
      <c r="E9" s="188"/>
      <c r="F9" s="84">
        <f>D9+E9</f>
        <v>0</v>
      </c>
      <c r="G9" s="667"/>
      <c r="H9" s="186"/>
      <c r="I9" s="187"/>
      <c r="J9" s="187"/>
      <c r="K9" s="188"/>
      <c r="L9" s="188"/>
      <c r="M9" s="84">
        <f>K9+L9</f>
        <v>0</v>
      </c>
      <c r="N9" s="85"/>
      <c r="O9" s="85"/>
    </row>
    <row r="10" spans="1:20" x14ac:dyDescent="0.25">
      <c r="A10" s="186"/>
      <c r="B10" s="187"/>
      <c r="C10" s="187"/>
      <c r="D10" s="188"/>
      <c r="E10" s="188"/>
      <c r="F10" s="84">
        <f>D10+E10</f>
        <v>0</v>
      </c>
      <c r="G10" s="667"/>
      <c r="H10" s="186"/>
      <c r="I10" s="187"/>
      <c r="J10" s="187"/>
      <c r="K10" s="188"/>
      <c r="L10" s="188"/>
      <c r="M10" s="84">
        <f>K10+L10</f>
        <v>0</v>
      </c>
      <c r="N10" s="85"/>
      <c r="O10" s="85"/>
    </row>
    <row r="11" spans="1:20" x14ac:dyDescent="0.25">
      <c r="A11" s="186"/>
      <c r="B11" s="187"/>
      <c r="C11" s="187"/>
      <c r="D11" s="188"/>
      <c r="E11" s="188"/>
      <c r="F11" s="84">
        <f>D11+E11</f>
        <v>0</v>
      </c>
      <c r="G11" s="667"/>
      <c r="H11" s="186"/>
      <c r="I11" s="187"/>
      <c r="J11" s="187"/>
      <c r="K11" s="188"/>
      <c r="L11" s="188"/>
      <c r="M11" s="84">
        <f>K11+L11</f>
        <v>0</v>
      </c>
      <c r="N11" s="85"/>
      <c r="O11" s="85"/>
    </row>
    <row r="12" spans="1:20" x14ac:dyDescent="0.25">
      <c r="A12" s="186"/>
      <c r="B12" s="187"/>
      <c r="C12" s="187"/>
      <c r="D12" s="188"/>
      <c r="E12" s="188"/>
      <c r="F12" s="84">
        <f>D12+E12</f>
        <v>0</v>
      </c>
      <c r="G12" s="667"/>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67"/>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67"/>
      <c r="H14" s="91" t="s">
        <v>70</v>
      </c>
      <c r="I14" s="92"/>
      <c r="J14" s="92"/>
      <c r="K14" s="92"/>
      <c r="L14" s="92"/>
      <c r="M14" s="93"/>
      <c r="N14" s="74"/>
      <c r="O14" s="74"/>
      <c r="P14" s="74"/>
      <c r="Q14" s="74"/>
      <c r="R14" s="74"/>
      <c r="S14" s="94"/>
    </row>
    <row r="15" spans="1:20" x14ac:dyDescent="0.25">
      <c r="A15" s="95" t="s">
        <v>62</v>
      </c>
      <c r="B15" s="96" t="s">
        <v>63</v>
      </c>
      <c r="C15" s="97" t="s">
        <v>175</v>
      </c>
      <c r="D15" s="80" t="s">
        <v>65</v>
      </c>
      <c r="E15" s="81" t="s">
        <v>66</v>
      </c>
      <c r="F15" s="82" t="s">
        <v>67</v>
      </c>
      <c r="G15" s="667"/>
      <c r="H15" s="95" t="s">
        <v>62</v>
      </c>
      <c r="I15" s="96" t="s">
        <v>63</v>
      </c>
      <c r="J15" s="97" t="s">
        <v>175</v>
      </c>
      <c r="K15" s="80" t="s">
        <v>65</v>
      </c>
      <c r="L15" s="81" t="s">
        <v>66</v>
      </c>
      <c r="M15" s="82" t="s">
        <v>68</v>
      </c>
      <c r="N15" s="64"/>
      <c r="O15" s="99"/>
    </row>
    <row r="16" spans="1:20" x14ac:dyDescent="0.25">
      <c r="A16" s="189"/>
      <c r="B16" s="190"/>
      <c r="C16" s="100"/>
      <c r="D16" s="188"/>
      <c r="E16" s="188"/>
      <c r="F16" s="84">
        <f t="shared" ref="F16:F20" si="2">D16+E16</f>
        <v>0</v>
      </c>
      <c r="G16" s="667"/>
      <c r="H16" s="189"/>
      <c r="I16" s="190"/>
      <c r="J16" s="100"/>
      <c r="K16" s="188"/>
      <c r="L16" s="188"/>
      <c r="M16" s="84">
        <f t="shared" ref="M16:M20" si="3">K16+L16</f>
        <v>0</v>
      </c>
      <c r="N16" s="85"/>
      <c r="O16" s="85"/>
    </row>
    <row r="17" spans="1:19" x14ac:dyDescent="0.25">
      <c r="A17" s="189"/>
      <c r="B17" s="190"/>
      <c r="C17" s="100"/>
      <c r="D17" s="188"/>
      <c r="E17" s="188"/>
      <c r="F17" s="84">
        <f t="shared" si="2"/>
        <v>0</v>
      </c>
      <c r="G17" s="667"/>
      <c r="H17" s="189"/>
      <c r="I17" s="190"/>
      <c r="J17" s="100"/>
      <c r="K17" s="188"/>
      <c r="L17" s="188"/>
      <c r="M17" s="84">
        <f t="shared" si="3"/>
        <v>0</v>
      </c>
      <c r="N17" s="85"/>
      <c r="O17" s="85"/>
    </row>
    <row r="18" spans="1:19" x14ac:dyDescent="0.25">
      <c r="A18" s="189"/>
      <c r="B18" s="190"/>
      <c r="C18" s="100"/>
      <c r="D18" s="188"/>
      <c r="E18" s="188"/>
      <c r="F18" s="84">
        <f t="shared" si="2"/>
        <v>0</v>
      </c>
      <c r="G18" s="667"/>
      <c r="H18" s="189"/>
      <c r="I18" s="190"/>
      <c r="J18" s="100"/>
      <c r="K18" s="188"/>
      <c r="L18" s="188"/>
      <c r="M18" s="84">
        <f t="shared" si="3"/>
        <v>0</v>
      </c>
      <c r="N18" s="85"/>
      <c r="O18" s="85"/>
    </row>
    <row r="19" spans="1:19" x14ac:dyDescent="0.25">
      <c r="A19" s="189"/>
      <c r="B19" s="190"/>
      <c r="C19" s="100"/>
      <c r="D19" s="188"/>
      <c r="E19" s="188"/>
      <c r="F19" s="84">
        <f t="shared" si="2"/>
        <v>0</v>
      </c>
      <c r="G19" s="667"/>
      <c r="H19" s="189"/>
      <c r="I19" s="190"/>
      <c r="J19" s="100"/>
      <c r="K19" s="188"/>
      <c r="L19" s="188"/>
      <c r="M19" s="84">
        <f t="shared" si="3"/>
        <v>0</v>
      </c>
      <c r="N19" s="85"/>
      <c r="O19" s="85"/>
    </row>
    <row r="20" spans="1:19" x14ac:dyDescent="0.25">
      <c r="A20" s="189"/>
      <c r="B20" s="190"/>
      <c r="C20" s="100"/>
      <c r="D20" s="188"/>
      <c r="E20" s="188"/>
      <c r="F20" s="84">
        <f t="shared" si="2"/>
        <v>0</v>
      </c>
      <c r="G20" s="667"/>
      <c r="H20" s="189"/>
      <c r="I20" s="190"/>
      <c r="J20" s="100"/>
      <c r="K20" s="188"/>
      <c r="L20" s="188"/>
      <c r="M20" s="84">
        <f t="shared" si="3"/>
        <v>0</v>
      </c>
      <c r="N20" s="85"/>
      <c r="O20" s="85"/>
    </row>
    <row r="21" spans="1:19" x14ac:dyDescent="0.25">
      <c r="A21" s="101"/>
      <c r="B21" s="102"/>
      <c r="C21" s="103" t="s">
        <v>72</v>
      </c>
      <c r="D21" s="104">
        <f t="shared" ref="D21:F21" si="4">SUM(D16:D20)</f>
        <v>0</v>
      </c>
      <c r="E21" s="104">
        <f t="shared" si="4"/>
        <v>0</v>
      </c>
      <c r="F21" s="84">
        <f t="shared" si="4"/>
        <v>0</v>
      </c>
      <c r="G21" s="667"/>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67"/>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67"/>
      <c r="H23" s="668" t="s">
        <v>22</v>
      </c>
      <c r="I23" s="668"/>
      <c r="J23" s="668"/>
      <c r="K23" s="668"/>
      <c r="L23" s="668"/>
      <c r="M23" s="668"/>
      <c r="N23" s="94"/>
      <c r="O23" s="94"/>
      <c r="P23" s="94"/>
      <c r="Q23" s="94"/>
      <c r="R23" s="94"/>
      <c r="S23" s="94"/>
    </row>
    <row r="24" spans="1:19" x14ac:dyDescent="0.25">
      <c r="A24" s="112" t="s">
        <v>105</v>
      </c>
      <c r="B24" s="113"/>
      <c r="C24" s="113"/>
      <c r="D24" s="63"/>
      <c r="E24" s="120"/>
      <c r="F24" s="120"/>
      <c r="G24" s="667"/>
      <c r="H24" s="112" t="s">
        <v>105</v>
      </c>
      <c r="I24" s="113"/>
      <c r="J24" s="113"/>
      <c r="K24" s="63"/>
      <c r="L24" s="120"/>
      <c r="M24" s="120"/>
      <c r="N24" s="119"/>
      <c r="O24" s="119"/>
      <c r="P24" s="119"/>
      <c r="Q24" s="119"/>
    </row>
    <row r="25" spans="1:19" x14ac:dyDescent="0.25">
      <c r="A25" s="121" t="s">
        <v>71</v>
      </c>
      <c r="B25" s="122" t="s">
        <v>77</v>
      </c>
      <c r="C25" s="123"/>
      <c r="D25" s="124"/>
      <c r="E25" s="123"/>
      <c r="F25" s="123"/>
      <c r="G25" s="667"/>
      <c r="H25" s="121" t="s">
        <v>71</v>
      </c>
      <c r="I25" s="122" t="s">
        <v>77</v>
      </c>
      <c r="J25" s="123"/>
      <c r="K25" s="124"/>
      <c r="L25" s="123"/>
      <c r="M25" s="123"/>
      <c r="N25" s="119"/>
      <c r="O25" s="119"/>
      <c r="P25" s="119"/>
      <c r="Q25" s="119"/>
    </row>
    <row r="26" spans="1:19" x14ac:dyDescent="0.25">
      <c r="A26" s="125" t="str">
        <f>CONCATENATE("SFY ",'2. Getting Started'!B6+5," Projected Child Count")</f>
        <v>SFY 2026 Projected Child Count</v>
      </c>
      <c r="B26" s="126" t="str">
        <f>IF('20. Year 6 Amounts'!B1="","",'20. Year 6 Amounts'!B1)</f>
        <v/>
      </c>
      <c r="C26" s="123"/>
      <c r="D26" s="124"/>
      <c r="E26" s="123"/>
      <c r="F26" s="123"/>
      <c r="G26" s="667"/>
      <c r="H26" s="125" t="str">
        <f>CONCATENATE("SFY ",'2. Getting Started'!B6+5," Child Count")</f>
        <v>SFY 2026 Child Count</v>
      </c>
      <c r="I26" s="126" t="str">
        <f>IF('20. Year 6 Amounts'!I1="","",'20. Year 6 Amounts'!I1)</f>
        <v/>
      </c>
      <c r="J26" s="123"/>
      <c r="K26" s="124"/>
      <c r="L26" s="123"/>
      <c r="M26" s="123"/>
      <c r="N26" s="119"/>
      <c r="O26" s="119"/>
      <c r="P26" s="119"/>
      <c r="Q26" s="119"/>
    </row>
    <row r="27" spans="1:19" x14ac:dyDescent="0.25">
      <c r="A27" s="125" t="str">
        <f>CONCATENATE("SFY ",'2. Getting Started'!B6+4," Projected Child Count")</f>
        <v>SFY 2025 Projected Child Count</v>
      </c>
      <c r="B27" s="126" t="str">
        <f>IF('17. Year 5 Amounts'!B1="","",'17. Year 5 Amounts'!B1)</f>
        <v/>
      </c>
      <c r="C27" s="119"/>
      <c r="D27" s="128"/>
      <c r="E27" s="119"/>
      <c r="F27" s="123"/>
      <c r="G27" s="667"/>
      <c r="H27" s="125" t="str">
        <f>CONCATENATE("SFY ",'2. Getting Started'!B6+4," Child Count")</f>
        <v>SFY 2025 Child Count</v>
      </c>
      <c r="I27" s="126" t="str">
        <f>IF('17. Year 5 Amounts'!I1="","",'17. Year 5 Amounts'!I1)</f>
        <v/>
      </c>
      <c r="J27" s="119"/>
      <c r="K27" s="128"/>
      <c r="L27" s="119"/>
      <c r="M27" s="123"/>
      <c r="N27" s="129"/>
      <c r="O27" s="129"/>
      <c r="P27" s="129"/>
      <c r="Q27" s="129"/>
    </row>
    <row r="28" spans="1:19" x14ac:dyDescent="0.25">
      <c r="A28" s="127" t="s">
        <v>78</v>
      </c>
      <c r="B28" s="130" t="str">
        <f>IF(B26="","",B26-B27)</f>
        <v/>
      </c>
      <c r="C28" s="123" t="str">
        <f>IF(B28="","",IF(B28&gt;=0,"Not eligible for this exception",""))</f>
        <v/>
      </c>
      <c r="D28" s="124"/>
      <c r="E28" s="123"/>
      <c r="F28" s="123"/>
      <c r="G28" s="667"/>
      <c r="H28" s="127" t="s">
        <v>78</v>
      </c>
      <c r="I28" s="130" t="str">
        <f>IF(I26="","",I26-I27)</f>
        <v/>
      </c>
      <c r="J28" s="123" t="str">
        <f>IF(I28="","",IF(I28&gt;=0,"Not eligible for this exception",""))</f>
        <v/>
      </c>
      <c r="K28" s="124"/>
      <c r="L28" s="123"/>
      <c r="M28" s="123"/>
      <c r="N28" s="132"/>
      <c r="O28" s="132"/>
      <c r="P28" s="132"/>
      <c r="Q28" s="132"/>
    </row>
    <row r="29" spans="1:19" x14ac:dyDescent="0.25">
      <c r="A29" s="133" t="s">
        <v>79</v>
      </c>
      <c r="B29" s="134" t="str">
        <f>IF(B26="","",IF(B28&lt;=0,ABS(B28/B27),""))</f>
        <v/>
      </c>
      <c r="C29" s="135"/>
      <c r="D29" s="136"/>
      <c r="E29" s="135"/>
      <c r="F29" s="10"/>
      <c r="G29" s="667"/>
      <c r="H29" s="133" t="s">
        <v>79</v>
      </c>
      <c r="I29" s="134" t="str">
        <f>IF(I26="","",IF(I28&lt;=0,ABS(I28/I27),""))</f>
        <v/>
      </c>
      <c r="J29" s="135"/>
      <c r="K29" s="136"/>
      <c r="L29" s="135"/>
      <c r="M29" s="10"/>
      <c r="N29" s="137"/>
      <c r="O29" s="137"/>
      <c r="P29" s="138"/>
      <c r="Q29" s="138"/>
    </row>
    <row r="30" spans="1:19" ht="31.5" x14ac:dyDescent="0.25">
      <c r="A30" s="115" t="s">
        <v>71</v>
      </c>
      <c r="B30" s="116" t="s">
        <v>0</v>
      </c>
      <c r="C30" s="116" t="s">
        <v>2</v>
      </c>
      <c r="D30" s="10"/>
      <c r="E30" s="72"/>
      <c r="F30" s="72"/>
      <c r="G30" s="667"/>
      <c r="H30" s="115" t="s">
        <v>71</v>
      </c>
      <c r="I30" s="116" t="s">
        <v>75</v>
      </c>
      <c r="J30" s="116" t="s">
        <v>76</v>
      </c>
      <c r="K30" s="10"/>
      <c r="L30" s="72"/>
      <c r="M30" s="72"/>
      <c r="N30" s="138"/>
      <c r="O30" s="138"/>
    </row>
    <row r="31" spans="1:19" x14ac:dyDescent="0.25">
      <c r="A31" s="139" t="str">
        <f>CONCATENATE("SFY ",'2. Getting Started'!B6+4," Budget")</f>
        <v>SFY 2025 Budget</v>
      </c>
      <c r="B31" s="140" t="str">
        <f>IF('17. Year 5 Amounts'!D30="","",'17. Year 5 Amounts'!D30)</f>
        <v/>
      </c>
      <c r="C31" s="140" t="str">
        <f>IF('17. Year 5 Amounts'!F30="","",'17. Year 5 Amounts'!F30)</f>
        <v/>
      </c>
      <c r="D31" s="141"/>
      <c r="E31" s="74"/>
      <c r="F31" s="74"/>
      <c r="G31" s="667"/>
      <c r="H31" s="139" t="str">
        <f>CONCATENATE("SFY ",'2. Getting Started'!B6+4," Final Expenditures")</f>
        <v>SFY 2025 Final Expenditures</v>
      </c>
      <c r="I31" s="140" t="str">
        <f>IF('17. Year 5 Amounts'!K30="","",'17. Year 5 Amounts'!K30)</f>
        <v/>
      </c>
      <c r="J31" s="140" t="str">
        <f>IF('17. Year 5 Amounts'!M30="","",'17. Year 5 Amounts'!M30)</f>
        <v/>
      </c>
      <c r="K31" s="142"/>
      <c r="L31" s="74"/>
      <c r="M31" s="74"/>
    </row>
    <row r="32" spans="1:19" x14ac:dyDescent="0.25">
      <c r="A32" s="117" t="s">
        <v>80</v>
      </c>
      <c r="B32" s="143" t="str">
        <f>IF(OR($B26="",B29="",B31=""),"",($B29*B31))</f>
        <v/>
      </c>
      <c r="C32" s="143" t="str">
        <f>IF(OR($B26="",B29="",C31=""),"",($B29*C31))</f>
        <v/>
      </c>
      <c r="D32" s="142"/>
      <c r="E32" s="118"/>
      <c r="F32" s="118"/>
      <c r="G32" s="667"/>
      <c r="H32" s="117" t="s">
        <v>81</v>
      </c>
      <c r="I32" s="143" t="str">
        <f>IF(OR($I26="",I29="",I31=""),"",($I29*I31))</f>
        <v/>
      </c>
      <c r="J32" s="143" t="str">
        <f>IF(OR($I26="",I29="",J31=""),"",($I29*J31))</f>
        <v/>
      </c>
      <c r="K32" s="142"/>
      <c r="L32" s="118"/>
      <c r="M32" s="118"/>
    </row>
    <row r="33" spans="1:28" ht="16.5" thickBot="1" x14ac:dyDescent="0.3">
      <c r="A33" s="663" t="s">
        <v>22</v>
      </c>
      <c r="B33" s="663"/>
      <c r="C33" s="663"/>
      <c r="D33" s="123"/>
      <c r="E33" s="123"/>
      <c r="F33" s="123"/>
      <c r="G33" s="667"/>
      <c r="H33" s="663" t="s">
        <v>22</v>
      </c>
      <c r="I33" s="663"/>
      <c r="J33" s="663"/>
      <c r="K33" s="123"/>
      <c r="L33" s="123"/>
      <c r="M33" s="123"/>
      <c r="P33" s="118"/>
      <c r="Q33" s="118"/>
      <c r="R33" s="118"/>
      <c r="S33" s="118"/>
      <c r="T33" s="118"/>
      <c r="U33" s="74"/>
      <c r="V33" s="118"/>
      <c r="W33" s="118"/>
      <c r="X33" s="118"/>
      <c r="Y33" s="118"/>
      <c r="Z33" s="118"/>
      <c r="AA33" s="118"/>
    </row>
    <row r="34" spans="1:28" x14ac:dyDescent="0.25">
      <c r="A34" s="112" t="s">
        <v>82</v>
      </c>
      <c r="B34" s="145"/>
      <c r="C34" s="146"/>
      <c r="D34" s="147"/>
      <c r="E34" s="131"/>
      <c r="F34" s="131"/>
      <c r="G34" s="667"/>
      <c r="H34" s="112" t="s">
        <v>82</v>
      </c>
      <c r="I34" s="145"/>
      <c r="J34" s="146"/>
      <c r="K34" s="147"/>
      <c r="L34" s="131"/>
      <c r="M34" s="131"/>
      <c r="P34" s="118"/>
      <c r="Q34" s="118"/>
      <c r="R34" s="118"/>
      <c r="S34" s="118"/>
      <c r="T34" s="118"/>
      <c r="U34" s="118"/>
      <c r="V34" s="118"/>
      <c r="W34" s="118"/>
      <c r="X34" s="118"/>
      <c r="Y34" s="118"/>
      <c r="Z34" s="118"/>
      <c r="AA34" s="118"/>
    </row>
    <row r="35" spans="1:28" x14ac:dyDescent="0.25">
      <c r="A35" s="148" t="s">
        <v>83</v>
      </c>
      <c r="B35" s="72"/>
      <c r="C35" s="149"/>
      <c r="D35" s="150"/>
      <c r="E35" s="10"/>
      <c r="F35" s="10"/>
      <c r="G35" s="667"/>
      <c r="H35" s="148" t="s">
        <v>83</v>
      </c>
      <c r="I35" s="72"/>
      <c r="J35" s="149"/>
      <c r="K35" s="150"/>
      <c r="L35" s="10"/>
      <c r="M35" s="10"/>
      <c r="P35" s="74"/>
      <c r="Q35" s="74"/>
      <c r="R35" s="74"/>
      <c r="S35" s="74"/>
      <c r="T35" s="74"/>
      <c r="U35" s="74"/>
      <c r="V35" s="74"/>
      <c r="W35" s="74"/>
      <c r="X35" s="74"/>
      <c r="Y35" s="74"/>
      <c r="Z35" s="74"/>
      <c r="AA35" s="74"/>
    </row>
    <row r="36" spans="1:28" x14ac:dyDescent="0.25">
      <c r="A36" s="151" t="s">
        <v>84</v>
      </c>
      <c r="B36" s="72"/>
      <c r="C36" s="152"/>
      <c r="D36" s="150"/>
      <c r="E36" s="10"/>
      <c r="F36" s="10"/>
      <c r="G36" s="667"/>
      <c r="H36" s="151" t="s">
        <v>84</v>
      </c>
      <c r="I36" s="72"/>
      <c r="J36" s="152"/>
      <c r="K36" s="150"/>
      <c r="L36" s="10"/>
      <c r="M36" s="10"/>
      <c r="Q36" s="74"/>
      <c r="R36" s="74"/>
      <c r="S36" s="74"/>
      <c r="T36" s="74"/>
      <c r="U36" s="74"/>
      <c r="V36" s="74"/>
      <c r="W36" s="74"/>
      <c r="X36" s="74"/>
      <c r="Y36" s="74"/>
      <c r="Z36" s="74"/>
      <c r="AA36" s="74"/>
      <c r="AB36" s="74"/>
    </row>
    <row r="37" spans="1:28" x14ac:dyDescent="0.25">
      <c r="A37" s="153" t="s">
        <v>85</v>
      </c>
      <c r="B37" s="154" t="s">
        <v>86</v>
      </c>
      <c r="C37" s="155" t="s">
        <v>87</v>
      </c>
      <c r="D37" s="118"/>
      <c r="E37" s="144"/>
      <c r="F37" s="144"/>
      <c r="G37" s="667"/>
      <c r="H37" s="153" t="s">
        <v>85</v>
      </c>
      <c r="I37" s="154" t="s">
        <v>86</v>
      </c>
      <c r="J37" s="155" t="s">
        <v>88</v>
      </c>
      <c r="K37" s="118"/>
      <c r="L37" s="144"/>
      <c r="M37" s="144"/>
      <c r="P37" s="94"/>
      <c r="Q37" s="94"/>
      <c r="R37" s="94"/>
      <c r="S37" s="94"/>
      <c r="T37" s="94"/>
      <c r="U37" s="94"/>
      <c r="V37" s="94"/>
      <c r="W37" s="94"/>
      <c r="X37" s="94"/>
      <c r="Y37" s="94"/>
      <c r="Z37" s="94"/>
      <c r="AA37" s="94"/>
    </row>
    <row r="38" spans="1:28" x14ac:dyDescent="0.25">
      <c r="A38" s="191"/>
      <c r="B38" s="192"/>
      <c r="C38" s="193"/>
      <c r="D38" s="144"/>
      <c r="E38" s="144"/>
      <c r="F38" s="144"/>
      <c r="G38" s="667"/>
      <c r="H38" s="191"/>
      <c r="I38" s="192"/>
      <c r="J38" s="193"/>
      <c r="K38" s="144"/>
      <c r="L38" s="144"/>
      <c r="M38" s="144"/>
      <c r="P38" s="94"/>
      <c r="Q38" s="94"/>
      <c r="R38" s="94"/>
      <c r="S38" s="94"/>
      <c r="T38" s="94"/>
      <c r="U38" s="94"/>
      <c r="V38" s="94"/>
      <c r="W38" s="94"/>
      <c r="X38" s="94"/>
      <c r="Y38" s="94"/>
      <c r="Z38" s="94"/>
      <c r="AA38" s="94"/>
    </row>
    <row r="39" spans="1:28" x14ac:dyDescent="0.25">
      <c r="A39" s="191"/>
      <c r="B39" s="192"/>
      <c r="C39" s="193"/>
      <c r="D39" s="144"/>
      <c r="E39" s="72"/>
      <c r="F39" s="72"/>
      <c r="G39" s="667"/>
      <c r="H39" s="191"/>
      <c r="I39" s="192"/>
      <c r="J39" s="193"/>
      <c r="K39" s="144"/>
      <c r="L39" s="72"/>
      <c r="M39" s="72"/>
      <c r="P39" s="94"/>
      <c r="Q39" s="94"/>
      <c r="R39" s="94"/>
      <c r="S39" s="94"/>
      <c r="T39" s="94"/>
      <c r="U39" s="94"/>
      <c r="V39" s="94"/>
      <c r="W39" s="94"/>
      <c r="X39" s="94"/>
      <c r="Y39" s="94"/>
      <c r="Z39" s="94"/>
      <c r="AA39" s="94"/>
    </row>
    <row r="40" spans="1:28" x14ac:dyDescent="0.25">
      <c r="A40" s="191"/>
      <c r="B40" s="192"/>
      <c r="C40" s="193"/>
      <c r="D40" s="144"/>
      <c r="E40" s="72"/>
      <c r="F40" s="72"/>
      <c r="G40" s="667"/>
      <c r="H40" s="191"/>
      <c r="I40" s="192"/>
      <c r="J40" s="193"/>
      <c r="K40" s="144"/>
      <c r="L40" s="72"/>
      <c r="M40" s="72"/>
      <c r="P40" s="94"/>
      <c r="Q40" s="94"/>
      <c r="R40" s="94"/>
      <c r="S40" s="94"/>
      <c r="T40" s="94"/>
      <c r="U40" s="94"/>
      <c r="V40" s="94"/>
      <c r="W40" s="94"/>
      <c r="X40" s="94"/>
      <c r="Y40" s="94"/>
      <c r="Z40" s="94"/>
      <c r="AA40" s="94"/>
    </row>
    <row r="41" spans="1:28" x14ac:dyDescent="0.25">
      <c r="A41" s="191"/>
      <c r="B41" s="192"/>
      <c r="C41" s="193"/>
      <c r="D41" s="144"/>
      <c r="E41" s="120"/>
      <c r="F41" s="120"/>
      <c r="G41" s="667"/>
      <c r="H41" s="191"/>
      <c r="I41" s="192"/>
      <c r="J41" s="193"/>
      <c r="K41" s="144"/>
      <c r="L41" s="120"/>
      <c r="M41" s="120"/>
      <c r="P41" s="94"/>
      <c r="Q41" s="94"/>
      <c r="R41" s="94"/>
      <c r="S41" s="94"/>
      <c r="T41" s="94"/>
      <c r="U41" s="94"/>
      <c r="V41" s="94"/>
      <c r="W41" s="94"/>
      <c r="X41" s="94"/>
      <c r="Y41" s="94"/>
      <c r="Z41" s="94"/>
      <c r="AA41" s="94"/>
    </row>
    <row r="42" spans="1:28" x14ac:dyDescent="0.25">
      <c r="A42" s="191"/>
      <c r="B42" s="192"/>
      <c r="C42" s="193"/>
      <c r="D42" s="144"/>
      <c r="F42" s="10"/>
      <c r="G42" s="667"/>
      <c r="H42" s="191"/>
      <c r="I42" s="192"/>
      <c r="J42" s="193"/>
      <c r="K42" s="144"/>
      <c r="M42" s="10"/>
      <c r="P42" s="74"/>
      <c r="Q42" s="74"/>
      <c r="R42" s="74"/>
      <c r="S42" s="74"/>
      <c r="T42" s="74"/>
      <c r="U42" s="74"/>
      <c r="V42" s="74"/>
      <c r="W42" s="74"/>
      <c r="X42" s="74"/>
      <c r="Y42" s="74"/>
      <c r="Z42" s="74"/>
      <c r="AA42" s="74"/>
    </row>
    <row r="43" spans="1:28" x14ac:dyDescent="0.25">
      <c r="A43" s="157" t="s">
        <v>89</v>
      </c>
      <c r="B43" s="158"/>
      <c r="C43" s="159">
        <f>SUM(C38:C42)</f>
        <v>0</v>
      </c>
      <c r="D43" s="144"/>
      <c r="E43" s="74"/>
      <c r="F43" s="72"/>
      <c r="G43" s="667"/>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67"/>
      <c r="H44" s="669" t="s">
        <v>22</v>
      </c>
      <c r="I44" s="669"/>
      <c r="J44" s="669"/>
      <c r="K44" s="72"/>
      <c r="L44" s="72"/>
      <c r="M44" s="72"/>
      <c r="P44" s="94"/>
      <c r="Q44" s="94"/>
      <c r="R44" s="94"/>
      <c r="S44" s="94"/>
      <c r="T44" s="94"/>
      <c r="U44" s="94"/>
      <c r="V44" s="94"/>
      <c r="W44" s="94"/>
      <c r="X44" s="94"/>
      <c r="Y44" s="94"/>
      <c r="Z44" s="94"/>
      <c r="AA44" s="94"/>
    </row>
    <row r="45" spans="1:28" x14ac:dyDescent="0.25">
      <c r="A45" s="112" t="s">
        <v>91</v>
      </c>
      <c r="B45" s="114"/>
      <c r="C45" s="120"/>
      <c r="D45" s="120"/>
      <c r="E45" s="120"/>
      <c r="F45" s="120"/>
      <c r="G45" s="667"/>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67"/>
      <c r="H46" s="71" t="s">
        <v>92</v>
      </c>
      <c r="I46" s="152"/>
      <c r="J46" s="120"/>
      <c r="K46" s="72"/>
      <c r="L46" s="74"/>
      <c r="M46" s="74"/>
      <c r="O46" s="94"/>
      <c r="P46" s="94"/>
      <c r="Q46" s="94"/>
      <c r="R46" s="94"/>
      <c r="S46" s="94"/>
      <c r="T46" s="94"/>
      <c r="U46" s="94"/>
      <c r="V46" s="94"/>
      <c r="W46" s="94"/>
      <c r="X46" s="94"/>
      <c r="Y46" s="94"/>
      <c r="Z46" s="94"/>
    </row>
    <row r="47" spans="1:28" x14ac:dyDescent="0.25">
      <c r="A47" s="160" t="s">
        <v>93</v>
      </c>
      <c r="B47" s="161" t="s">
        <v>94</v>
      </c>
      <c r="C47" s="118"/>
      <c r="D47" s="118"/>
      <c r="E47" s="144"/>
      <c r="F47" s="110"/>
      <c r="G47" s="667"/>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67"/>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67"/>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67"/>
      <c r="H50" s="194"/>
      <c r="I50" s="195"/>
      <c r="J50" s="144"/>
      <c r="K50" s="144"/>
      <c r="L50" s="72"/>
      <c r="M50" s="72"/>
    </row>
    <row r="51" spans="1:26" ht="60" customHeight="1" x14ac:dyDescent="0.25">
      <c r="A51" s="194"/>
      <c r="B51" s="195"/>
      <c r="C51" s="144"/>
      <c r="D51" s="144"/>
      <c r="E51" s="162"/>
      <c r="F51" s="162"/>
      <c r="G51" s="667"/>
      <c r="H51" s="194"/>
      <c r="I51" s="195"/>
      <c r="J51" s="144"/>
      <c r="K51" s="144"/>
      <c r="L51" s="162"/>
      <c r="M51" s="162"/>
    </row>
    <row r="52" spans="1:26" ht="60" customHeight="1" x14ac:dyDescent="0.25">
      <c r="A52" s="194"/>
      <c r="B52" s="195"/>
      <c r="C52" s="144"/>
      <c r="D52" s="144"/>
      <c r="E52" s="163"/>
      <c r="F52" s="163"/>
      <c r="G52" s="667"/>
      <c r="H52" s="194"/>
      <c r="I52" s="195"/>
      <c r="J52" s="144"/>
      <c r="K52" s="144"/>
      <c r="L52" s="163"/>
      <c r="M52" s="163"/>
    </row>
    <row r="53" spans="1:26" x14ac:dyDescent="0.25">
      <c r="A53" s="164" t="s">
        <v>89</v>
      </c>
      <c r="B53" s="165">
        <f>SUM(B48:B52)</f>
        <v>0</v>
      </c>
      <c r="C53" s="144"/>
      <c r="D53" s="144"/>
      <c r="E53" s="74"/>
      <c r="G53" s="667"/>
      <c r="H53" s="166" t="s">
        <v>90</v>
      </c>
      <c r="I53" s="165">
        <f>SUM(I48:I52)</f>
        <v>0</v>
      </c>
      <c r="J53" s="144"/>
      <c r="K53" s="144"/>
      <c r="L53" s="74"/>
    </row>
    <row r="54" spans="1:26" ht="16.5" thickBot="1" x14ac:dyDescent="0.3">
      <c r="A54" s="663" t="s">
        <v>22</v>
      </c>
      <c r="B54" s="663"/>
      <c r="C54" s="10"/>
      <c r="D54" s="72"/>
      <c r="E54" s="72"/>
      <c r="F54" s="72"/>
      <c r="G54" s="667"/>
      <c r="H54" s="663" t="s">
        <v>22</v>
      </c>
      <c r="I54" s="663"/>
      <c r="J54" s="10"/>
      <c r="K54" s="72"/>
      <c r="L54" s="72"/>
      <c r="M54" s="72"/>
    </row>
    <row r="55" spans="1:26" x14ac:dyDescent="0.25">
      <c r="A55" s="167" t="str">
        <f>IF('3b. High Cost Fund'!B8="No","This exception is not valid in your state.","Exception (e) The assumption of cost by the high cost fund operated by the")</f>
        <v>Exception (e) The assumption of cost by the high cost fund operated by the</v>
      </c>
      <c r="B55" s="146"/>
      <c r="C55" s="147"/>
      <c r="D55" s="131"/>
      <c r="E55" s="131"/>
      <c r="F55" s="144"/>
      <c r="G55" s="667"/>
      <c r="H55" s="167" t="str">
        <f>IF('3b. High Cost Fund'!B8="No","This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Fund'!B8="No","","SEA under §300.704. MUST be explicitly permitted by the SEA.")</f>
        <v>SEA under §300.704. MUST be explicitly permitted by the SEA.</v>
      </c>
      <c r="B56" s="168"/>
      <c r="C56" s="169"/>
      <c r="D56" s="170"/>
      <c r="E56" s="163"/>
      <c r="F56" s="144"/>
      <c r="G56" s="667"/>
      <c r="H56" s="71" t="str">
        <f>IF('3b. High Cost Fund'!B8="No","","SEA under §300.704. MUST be explicitly permitted by the SEA.")</f>
        <v>SEA under §300.704. MUST be explicitly permitted by the SEA.</v>
      </c>
      <c r="I56" s="168"/>
      <c r="J56" s="147"/>
      <c r="K56" s="170"/>
      <c r="L56" s="163"/>
      <c r="M56" s="144"/>
    </row>
    <row r="57" spans="1:26" x14ac:dyDescent="0.25">
      <c r="A57" s="171" t="s">
        <v>85</v>
      </c>
      <c r="B57" s="172" t="s">
        <v>96</v>
      </c>
      <c r="C57" s="118"/>
      <c r="D57" s="144"/>
      <c r="E57" s="144"/>
      <c r="F57" s="10"/>
      <c r="G57" s="667"/>
      <c r="H57" s="171" t="s">
        <v>85</v>
      </c>
      <c r="I57" s="172" t="s">
        <v>97</v>
      </c>
      <c r="J57" s="118"/>
      <c r="K57" s="144"/>
      <c r="L57" s="144"/>
      <c r="M57" s="10"/>
    </row>
    <row r="58" spans="1:26" ht="15.4" customHeight="1" x14ac:dyDescent="0.25">
      <c r="A58" s="196"/>
      <c r="B58" s="197"/>
      <c r="C58" s="337" t="str">
        <f>IF(AND(B58&lt;&gt;"",'3b. High Cost Fund'!$B8="No"),"Invalid entry. This exception is valid only in states with high-cost funds. If your state has a high-cost fund, please indicate that on tab 3b.","")</f>
        <v/>
      </c>
      <c r="D58" s="144"/>
      <c r="E58" s="144"/>
      <c r="F58" s="10"/>
      <c r="G58" s="667"/>
      <c r="H58" s="196"/>
      <c r="I58" s="197"/>
      <c r="J58" s="337" t="str">
        <f>IF(AND(I58&lt;&gt;"",'3b. High Cost Fund'!$B8="No"),"Invalid entry. This exception is valid only in states with high-cost funds. If your state has a high-cost fund, please indicate that on tab 3b.","")</f>
        <v/>
      </c>
      <c r="K58" s="144"/>
      <c r="L58" s="144"/>
      <c r="M58" s="10"/>
    </row>
    <row r="59" spans="1:26" x14ac:dyDescent="0.25">
      <c r="A59" s="196"/>
      <c r="B59" s="197"/>
      <c r="C59" s="144"/>
      <c r="D59" s="10"/>
      <c r="E59" s="10"/>
      <c r="F59" s="10"/>
      <c r="G59" s="667"/>
      <c r="H59" s="196"/>
      <c r="I59" s="197"/>
      <c r="J59" s="144"/>
      <c r="K59" s="10"/>
      <c r="L59" s="10"/>
      <c r="M59" s="10"/>
    </row>
    <row r="60" spans="1:26" x14ac:dyDescent="0.25">
      <c r="A60" s="196"/>
      <c r="B60" s="197"/>
      <c r="C60" s="144"/>
      <c r="D60" s="10"/>
      <c r="E60" s="10"/>
      <c r="F60" s="10"/>
      <c r="G60" s="667"/>
      <c r="H60" s="196"/>
      <c r="I60" s="197"/>
      <c r="J60" s="144"/>
      <c r="K60" s="10"/>
      <c r="L60" s="10"/>
      <c r="M60" s="10"/>
    </row>
    <row r="61" spans="1:26" x14ac:dyDescent="0.25">
      <c r="A61" s="196"/>
      <c r="B61" s="197"/>
      <c r="C61" s="144"/>
      <c r="D61" s="10"/>
      <c r="E61" s="10"/>
      <c r="F61" s="10"/>
      <c r="G61" s="667"/>
      <c r="H61" s="196"/>
      <c r="I61" s="197"/>
      <c r="J61" s="144"/>
      <c r="K61" s="10"/>
      <c r="L61" s="10"/>
      <c r="M61" s="10"/>
    </row>
    <row r="62" spans="1:26" x14ac:dyDescent="0.25">
      <c r="A62" s="196"/>
      <c r="B62" s="197"/>
      <c r="C62" s="144"/>
      <c r="D62" s="10"/>
      <c r="E62" s="10"/>
      <c r="F62" s="10"/>
      <c r="G62" s="667"/>
      <c r="H62" s="196"/>
      <c r="I62" s="197"/>
      <c r="J62" s="144"/>
      <c r="K62" s="10"/>
      <c r="L62" s="10"/>
      <c r="M62" s="10"/>
    </row>
    <row r="63" spans="1:26" x14ac:dyDescent="0.25">
      <c r="A63" s="173" t="s">
        <v>89</v>
      </c>
      <c r="B63" s="174">
        <f>IF('3b. High Cost Fund'!$B8="No",0,SUM(B58:B62))</f>
        <v>0</v>
      </c>
      <c r="C63" s="144"/>
      <c r="D63" s="10"/>
      <c r="E63" s="10"/>
      <c r="F63" s="10"/>
      <c r="G63" s="667"/>
      <c r="H63" s="175" t="s">
        <v>90</v>
      </c>
      <c r="I63" s="174">
        <f>IF('3b. High Cost Fund'!$B8="No",0,SUM(I58:I62))</f>
        <v>0</v>
      </c>
      <c r="J63" s="144"/>
      <c r="K63" s="10"/>
      <c r="L63" s="10"/>
      <c r="M63" s="10"/>
    </row>
    <row r="64" spans="1:26" ht="16.5" thickBot="1" x14ac:dyDescent="0.3">
      <c r="A64" s="663" t="s">
        <v>22</v>
      </c>
      <c r="B64" s="663"/>
      <c r="C64" s="144"/>
      <c r="D64" s="10"/>
      <c r="E64" s="10"/>
      <c r="F64" s="10"/>
      <c r="G64" s="667"/>
      <c r="H64" s="663" t="s">
        <v>22</v>
      </c>
      <c r="I64" s="663"/>
      <c r="J64" s="144"/>
      <c r="K64" s="10"/>
      <c r="L64" s="10"/>
      <c r="M64" s="10"/>
    </row>
    <row r="65" spans="1:13" x14ac:dyDescent="0.25">
      <c r="A65" s="347" t="s">
        <v>107</v>
      </c>
      <c r="B65" s="348"/>
      <c r="C65" s="144"/>
      <c r="D65" s="10"/>
      <c r="E65" s="10"/>
      <c r="F65" s="10"/>
      <c r="G65" s="667"/>
      <c r="H65" s="347" t="s">
        <v>106</v>
      </c>
      <c r="I65" s="348"/>
      <c r="J65" s="144"/>
      <c r="K65" s="10"/>
      <c r="L65" s="10"/>
      <c r="M65" s="10"/>
    </row>
    <row r="66" spans="1:13" x14ac:dyDescent="0.25">
      <c r="A66" s="242" t="s">
        <v>123</v>
      </c>
      <c r="B66" s="265" t="s">
        <v>124</v>
      </c>
      <c r="C66" s="144"/>
      <c r="D66" s="10"/>
      <c r="E66" s="10"/>
      <c r="F66" s="10"/>
      <c r="G66" s="667"/>
      <c r="H66" s="269" t="s">
        <v>123</v>
      </c>
      <c r="I66" s="270" t="s">
        <v>124</v>
      </c>
      <c r="J66" s="144"/>
      <c r="K66" s="10"/>
      <c r="L66" s="10"/>
      <c r="M66" s="10"/>
    </row>
    <row r="67" spans="1:13" x14ac:dyDescent="0.25">
      <c r="A67" s="103" t="s">
        <v>0</v>
      </c>
      <c r="B67" s="240">
        <f>IF(B$28&gt;=0,(F$22+C$43+B$53+B$63),(F$22+C$43+B$53+B$63+B$32))</f>
        <v>0</v>
      </c>
      <c r="C67" s="144"/>
      <c r="D67" s="10"/>
      <c r="E67" s="10"/>
      <c r="F67" s="10"/>
      <c r="G67" s="667"/>
      <c r="H67" s="103" t="s">
        <v>0</v>
      </c>
      <c r="I67" s="240">
        <f>IF(I$28&gt;=0,(M$22+J$43+I$53+I$63),(M$22+J$43+I$53+I$63+I$32))</f>
        <v>0</v>
      </c>
      <c r="J67" s="144"/>
      <c r="K67" s="10"/>
      <c r="L67" s="10"/>
      <c r="M67" s="10"/>
    </row>
    <row r="68" spans="1:13" x14ac:dyDescent="0.25">
      <c r="A68" s="241" t="s">
        <v>2</v>
      </c>
      <c r="B68" s="174">
        <f>IF(B$28&gt;=0,(F$22+C$43+B$53+B$63),(F$22+C$43+B$53+B$63+C$32))</f>
        <v>0</v>
      </c>
      <c r="C68" s="144"/>
      <c r="D68" s="10"/>
      <c r="E68" s="10"/>
      <c r="F68" s="10"/>
      <c r="G68" s="667"/>
      <c r="H68" s="241" t="s">
        <v>2</v>
      </c>
      <c r="I68" s="174">
        <f>IF(I$28&gt;=0,(M$22+J$43+I$53+I$63),(M$22+J$43+I$53+I$63+J$32))</f>
        <v>0</v>
      </c>
      <c r="J68" s="144"/>
      <c r="K68" s="10"/>
      <c r="L68" s="10"/>
      <c r="M68" s="10"/>
    </row>
    <row r="69" spans="1:13" ht="16.5" thickBot="1" x14ac:dyDescent="0.3">
      <c r="A69" s="664" t="s">
        <v>22</v>
      </c>
      <c r="B69" s="664"/>
      <c r="C69" s="10"/>
      <c r="D69" s="10"/>
      <c r="E69" s="10"/>
      <c r="F69" s="10"/>
      <c r="G69" s="667"/>
      <c r="H69" s="664" t="s">
        <v>22</v>
      </c>
      <c r="I69" s="664"/>
      <c r="J69" s="10"/>
      <c r="K69" s="10"/>
      <c r="L69" s="10"/>
      <c r="M69" s="10"/>
    </row>
    <row r="70" spans="1:13" ht="31.15" customHeight="1" x14ac:dyDescent="0.25">
      <c r="A70" s="336" t="s">
        <v>98</v>
      </c>
      <c r="B70" s="177"/>
      <c r="C70" s="11"/>
      <c r="D70" s="178"/>
      <c r="E70" s="10"/>
      <c r="F70" s="10"/>
      <c r="G70" s="667"/>
      <c r="H70" s="336" t="s">
        <v>98</v>
      </c>
      <c r="I70" s="177"/>
      <c r="J70" s="11"/>
      <c r="K70" s="178"/>
      <c r="L70" s="10"/>
      <c r="M70" s="10"/>
    </row>
    <row r="71" spans="1:13" x14ac:dyDescent="0.25">
      <c r="A71" s="179" t="s">
        <v>71</v>
      </c>
      <c r="B71" s="180" t="s">
        <v>99</v>
      </c>
      <c r="C71" s="11" t="s">
        <v>100</v>
      </c>
      <c r="E71" s="10"/>
      <c r="F71" s="10"/>
      <c r="G71" s="667"/>
      <c r="H71" s="179" t="s">
        <v>71</v>
      </c>
      <c r="I71" s="180" t="s">
        <v>101</v>
      </c>
      <c r="J71" s="11" t="s">
        <v>100</v>
      </c>
      <c r="K71" s="10"/>
      <c r="L71" s="10"/>
      <c r="M71" s="10"/>
    </row>
    <row r="72" spans="1:13" x14ac:dyDescent="0.25">
      <c r="A72" s="181" t="s">
        <v>102</v>
      </c>
      <c r="B72" s="198">
        <v>0</v>
      </c>
      <c r="C72" s="182" t="s">
        <v>103</v>
      </c>
      <c r="D72" s="10"/>
      <c r="E72" s="10"/>
      <c r="F72" s="10"/>
      <c r="G72" s="667"/>
      <c r="H72" s="181" t="s">
        <v>104</v>
      </c>
      <c r="I72" s="198">
        <f>IF(I$28&gt;=0,(M$22+J$43+I$53+I$63),(M$22+J$43+I$53+I$63+J$32))</f>
        <v>0</v>
      </c>
      <c r="J72" s="321" t="s">
        <v>103</v>
      </c>
      <c r="K72" s="10"/>
      <c r="L72" s="10"/>
      <c r="M72" s="10"/>
    </row>
    <row r="73" spans="1:13" ht="30" customHeight="1" x14ac:dyDescent="0.25">
      <c r="A73" s="345" t="s">
        <v>184</v>
      </c>
      <c r="B73" s="183"/>
      <c r="C73" s="183"/>
      <c r="D73" s="183"/>
      <c r="E73" s="183"/>
      <c r="F73" s="183"/>
      <c r="G73" s="667"/>
      <c r="H73" s="183"/>
      <c r="I73" s="183"/>
      <c r="J73" s="183"/>
      <c r="K73" s="183"/>
      <c r="L73" s="183"/>
      <c r="M73" s="183"/>
    </row>
    <row r="74" spans="1:13" s="185" customFormat="1" x14ac:dyDescent="0.25">
      <c r="A74" s="358" t="s">
        <v>183</v>
      </c>
      <c r="B74" s="184"/>
      <c r="C74" s="184"/>
      <c r="D74" s="184"/>
      <c r="E74" s="184"/>
      <c r="F74" s="184"/>
      <c r="G74" s="667"/>
      <c r="H74" s="184"/>
      <c r="I74" s="184"/>
      <c r="J74" s="184"/>
      <c r="K74" s="184"/>
      <c r="L74" s="184"/>
      <c r="M74" s="184"/>
    </row>
    <row r="75" spans="1:13" x14ac:dyDescent="0.25">
      <c r="A75" s="665" t="s">
        <v>24</v>
      </c>
      <c r="B75" s="665"/>
      <c r="C75" s="665"/>
      <c r="D75" s="665"/>
      <c r="E75" s="665"/>
      <c r="F75" s="665"/>
      <c r="G75" s="665"/>
      <c r="H75" s="665"/>
      <c r="I75" s="665"/>
      <c r="J75" s="665"/>
      <c r="K75" s="665"/>
      <c r="L75" s="665"/>
      <c r="M75" s="665"/>
    </row>
  </sheetData>
  <sheetProtection algorithmName="SHA-512" hashValue="4WRQiq3UjwhzUQU2xdaENmJLZcetZLl340UexvsfcglPpQ49E675PP8FLkB9MgZliN3+V20n9WggEvvOAiY8dw==" saltValue="QQ7XGmFzfQF2pv43SxCjDA==" spinCount="100000" sheet="1" formatColumns="0" formatRows="0"/>
  <mergeCells count="14">
    <mergeCell ref="A75:M75"/>
    <mergeCell ref="A64:B64"/>
    <mergeCell ref="H64:I64"/>
    <mergeCell ref="A23:F23"/>
    <mergeCell ref="H23:M23"/>
    <mergeCell ref="A33:C33"/>
    <mergeCell ref="H33:J33"/>
    <mergeCell ref="A44:C44"/>
    <mergeCell ref="H44:J44"/>
    <mergeCell ref="G1:G74"/>
    <mergeCell ref="A54:B54"/>
    <mergeCell ref="H54:I54"/>
    <mergeCell ref="A69:B69"/>
    <mergeCell ref="H69:I69"/>
  </mergeCells>
  <conditionalFormatting sqref="A55">
    <cfRule type="containsText" dxfId="192" priority="2" operator="containsText" text="not valid">
      <formula>NOT(ISERROR(SEARCH("not valid",A55)))</formula>
    </cfRule>
  </conditionalFormatting>
  <conditionalFormatting sqref="H55">
    <cfRule type="containsText" dxfId="191" priority="1" operator="containsText" text="not valid">
      <formula>NOT(ISERROR(SEARCH("not valid",H55)))</formula>
    </cfRule>
  </conditionalFormatting>
  <dataValidations count="1">
    <dataValidation type="list" allowBlank="1" showInputMessage="1" showErrorMessage="1" sqref="B38:B42 I38:I42" xr:uid="{00000000-0002-0000-1600-000000000000}">
      <formula1>Exception_c</formula1>
    </dataValidation>
  </dataValidations>
  <hyperlinks>
    <hyperlink ref="C72" r:id="rId1" xr:uid="{00000000-0004-0000-1600-000000000000}"/>
    <hyperlink ref="J72" r:id="rId2" xr:uid="{00000000-0004-0000-1600-000001000000}"/>
    <hyperlink ref="A74" r:id="rId3" xr:uid="{00000000-0004-0000-16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0070C0"/>
  </sheetPr>
  <dimension ref="A1:F43"/>
  <sheetViews>
    <sheetView showGridLines="0" workbookViewId="0">
      <selection activeCell="A5" sqref="A5"/>
    </sheetView>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6: State Fiscal Year ",'2. Getting Started'!B6+5)</f>
        <v>Summary of Year 6: State Fiscal Year 2026</v>
      </c>
      <c r="B1" s="299"/>
      <c r="C1" s="299"/>
      <c r="D1" s="21" t="s">
        <v>14</v>
      </c>
      <c r="E1" s="20" t="str">
        <f>IF('2. Getting Started'!B2="","",'2. Getting Started'!B2)</f>
        <v/>
      </c>
    </row>
    <row r="2" spans="1:5" ht="18.75" x14ac:dyDescent="0.3">
      <c r="A2" s="2" t="str">
        <f>CONCATENATE("State fiscal year ",'2. Getting Started'!B6+5," covers the period ",'2. Getting Started'!B4,", ",'2. Getting Started'!B6+4," through ",'2. Getting Started'!B5,", ",'2. Getting Started'!B6+5)</f>
        <v>State fiscal year 2026 covers the period July 1, 2025 through June 30, 2026</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3" t="e">
        <f>IF('2. Getting Started'!B10="","",IF('38.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Capita'!F39="Met",'2. Getting Started'!$B$6+3,IF('40. Local Funds Per Capita'!F31="Met",'2. Getting Started'!$B$6+2,IF('40. Local Funds Per Capita'!$F23="Met",'2. Getting Started'!$B$6+1,IF('40. Local Funds Per Capita'!$F15="Met",'2. Getting Started'!$B$6,'2. Getting Started'!$B12)))))</f>
        <v>#DIV/0!</v>
      </c>
      <c r="E6" s="257" t="e">
        <f>IF('2. Getting Started'!B13="","",IF('41. State &amp; Local Funds Per Cap'!F39="Met",'2. Getting Started'!$B$6+3,IF('41. State &amp; Local Funds Per Cap'!F31="Met",'2. Getting Started'!$B$6+2,IF('41. State &amp; Local Funds Per Cap'!$F23="Met",'2. Getting Started'!$B$6+1,IF('41. State &amp; Local Funds Per Cap'!$F15="Met",'2. Getting Started'!$B$6,'2. Getting Started'!$B13)))))</f>
        <v>#DIV/0!</v>
      </c>
    </row>
    <row r="7" spans="1:5" x14ac:dyDescent="0.25">
      <c r="A7" s="243" t="s">
        <v>45</v>
      </c>
      <c r="B7" s="205" t="e">
        <f>IF(B6="","",IF(B6='2. Getting Started'!$B$6+3,'14. Year 4 Amounts'!K30,IF(B6='2. Getting Started'!$B$6+2,'11. Year 3 Amounts'!K30,IF(B6='2. Getting Started'!$B$6+1,'8. Year 2 Amounts'!K30,IF(B6='2. Getting Started'!$B$6,'5. Year 1 Amounts'!K30,'2. Getting Started'!$C10)))))</f>
        <v>#N/A</v>
      </c>
      <c r="C7" s="205" t="e">
        <f>IF(C6="","",IF(C6='2. Getting Started'!$B$6+3,'14. Year 4 Amounts'!M30,IF(C6='2. Getting Started'!$B$6+2,'11. Year 3 Amounts'!M30,IF(C6='2. Getting Started'!$B$6+1,'8. Year 2 Amounts'!M30,IF(C6='2. Getting Started'!$B$6,'5. Year 1 Amounts'!M30,'2. Getting Started'!$C11)))))</f>
        <v>#N/A</v>
      </c>
      <c r="D7" s="205" t="e">
        <f>IF(D6="","",IF(D6='2. Getting Started'!$B$6+3,'14. Year 4 Amounts'!K31,IF(D6='2. Getting Started'!$B$6+2,'11. Year 3 Amounts'!K31,IF(D6='2. Getting Started'!$B$6+1,'8. Year 2 Amounts'!K31,IF(D6='2. Getting Started'!$B$6,'5. Year 1 Amounts'!K31,'2. Getting Started'!$C12)))))</f>
        <v>#DIV/0!</v>
      </c>
      <c r="E7" s="267" t="e">
        <f>IF(E6="","",IF(E6='2. Getting Started'!$B$6+3,'14. Year 4 Amounts'!M31,IF(E6='2. Getting Started'!$B$6+2,'11. Year 3 Amounts'!M31,IF(E6='2. Getting Started'!$B$6+1,'8. Year 2 Amounts'!M31,IF(E6='2. Getting Started'!$B$6,'5. Year 1 Amounts'!M31,'2. Getting Started'!$C13)))))</f>
        <v>#DIV/0!</v>
      </c>
    </row>
    <row r="8" spans="1:5" x14ac:dyDescent="0.25">
      <c r="A8" s="243" t="s">
        <v>9</v>
      </c>
      <c r="B8" s="205" t="str">
        <f>'20. Year 6 Amounts'!D30</f>
        <v/>
      </c>
      <c r="C8" s="205" t="str">
        <f>'20. Year 6 Amounts'!F30</f>
        <v/>
      </c>
      <c r="D8" s="205" t="str">
        <f>'20. Year 6 Amounts'!D31</f>
        <v/>
      </c>
      <c r="E8" s="267" t="str">
        <f>'20. Year 6 Amounts'!F31</f>
        <v/>
      </c>
    </row>
    <row r="9" spans="1:5" x14ac:dyDescent="0.25">
      <c r="A9" s="243" t="s">
        <v>117</v>
      </c>
      <c r="B9" s="201" t="str">
        <f>IF(B8="","",IF(B8&gt;=B7,"Met",IF(AND(B8&lt;B7,'38. Total Local Funds'!$B54="Met"),"Met with Exceptions &amp; Adjustments","Did Not Meet")))</f>
        <v/>
      </c>
      <c r="C9" s="201" t="str">
        <f>IF(C8="","",IF(C8&gt;=C7,"Met",IF(AND(C8&lt;C7,'39. Total State &amp; Local Funds'!$B54="Met"),"Met with Exceptions &amp; Adjustments","Did Not Meet")))</f>
        <v/>
      </c>
      <c r="D9" s="201" t="str">
        <f>IF(D8="","",IF(D8&gt;=D7,"Met",IF(AND(D8&lt;D7,'40. Local Funds Per Capita'!$B55="Met"),"Met with Exceptions &amp; Adjustments","Did Not Meet")))</f>
        <v/>
      </c>
      <c r="E9" s="259" t="str">
        <f>IF(E8="","",IF(E8&gt;=E7,"Met",IF(AND(E8&lt;E7,'41. State &amp; Local Funds Per Cap'!$B55="Met"),"Met with Exceptions &amp; Adjustments","Did Not Meet")))</f>
        <v/>
      </c>
    </row>
    <row r="10" spans="1:5" x14ac:dyDescent="0.25">
      <c r="A10" s="246" t="s">
        <v>46</v>
      </c>
      <c r="B10" s="256" t="str">
        <f>IF(B9="","",IF(B9="Did Not Meet",'38. Total Local Funds'!$B52-'38. Total Local Funds'!$B53,0))</f>
        <v/>
      </c>
      <c r="C10" s="256" t="str">
        <f>IF(C9="","",IF(C9="Did Not Meet",'39. Total State &amp; Local Funds'!$B52-'39. Total State &amp; Local Funds'!$B53,0))</f>
        <v/>
      </c>
      <c r="D10" s="256" t="str">
        <f>IF(D9="","",IF(D9="Did Not Meet",(('40. Local Funds Per Capita'!$B53-'40. Local Funds Per Capita'!$B54)*'20. Year 6 Amounts'!B1),0))</f>
        <v/>
      </c>
      <c r="E10" s="261" t="str">
        <f>IF(E9="","",IF(E9="Did Not Meet",(('41. State &amp; Local Funds Per Cap'!$B53-'41. State &amp; Local Funds Per Cap'!$B54)*'20. Year 6 Amounts'!B1),0))</f>
        <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t="e">
        <f>IF('2. Getting Started'!B10="","",IF('38.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14" s="257" t="e">
        <f>IF('2. Getting Started'!B13="","",IF('41.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15" spans="1:5" x14ac:dyDescent="0.25">
      <c r="A15" s="243" t="s">
        <v>45</v>
      </c>
      <c r="B15" s="17" t="e">
        <f>IF(B14="","",IF(B14='2.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Started'!B6+4,'17. Year 5 Amounts'!K31,IF(D14='2. Getting Started'!$B$6+3,'14. Year 4 Amounts'!K31,IF(D14='2. Getting Started'!$B$6+2,'11. Year 3 Amounts'!K31,IF(D14='2. Getting Started'!$B$6+1,'8. Year 2 Amounts'!K31,IF(D14='2. Getting Started'!$B$6,'5. Year 1 Amounts'!K31,'2. Getting Started'!$C12))))))</f>
        <v>#DIV/0!</v>
      </c>
      <c r="E15" s="258" t="e">
        <f>IF(E14="","",IF(E14='2. Getting Started'!B6+4,'17. Year 5 Amounts'!M31,IF(E14='2. Getting Started'!$B$6+3,'14. Year 4 Amounts'!M31,IF(E14='2. Getting Started'!$B$6+2,'11. Year 3 Amounts'!M31,IF(E14='2. Getting Started'!$B$6+1,'8. Year 2 Amounts'!M31,IF(E14='2. Getting Started'!$B$6,'5. Year 1 Amounts'!M31,'2. Getting Started'!$C13))))))</f>
        <v>#DIV/0!</v>
      </c>
    </row>
    <row r="16" spans="1:5" x14ac:dyDescent="0.25">
      <c r="A16" s="243" t="s">
        <v>11</v>
      </c>
      <c r="B16" s="17" t="str">
        <f>'20. Year 6 Amounts'!K30</f>
        <v/>
      </c>
      <c r="C16" s="17" t="str">
        <f>'20. Year 6 Amounts'!M30</f>
        <v/>
      </c>
      <c r="D16" s="17" t="str">
        <f>'20. Year 6 Amounts'!K31</f>
        <v/>
      </c>
      <c r="E16" s="258" t="str">
        <f>'20. Year 6 Amounts'!M31</f>
        <v/>
      </c>
    </row>
    <row r="17" spans="1:5" x14ac:dyDescent="0.25">
      <c r="A17" s="243" t="s">
        <v>117</v>
      </c>
      <c r="B17" s="201" t="str">
        <f>IF(B16="","",IF(B16&gt;=B15,"Met",IF(AND(B16&lt;B15,'38. Total Local Funds'!F54="Met"),"Met with Exceptions &amp; Adjustments","Did Not Meet")))</f>
        <v/>
      </c>
      <c r="C17" s="201" t="str">
        <f>IF(C16="","",IF(C16&gt;=C15,"Met",IF(AND(C16&lt;C15,'39. Total State &amp; Local Funds'!F54="Met"),"Met with Exceptions &amp; Adjustments","Did Not Meet")))</f>
        <v/>
      </c>
      <c r="D17" s="201" t="str">
        <f>IF(D16="","",IF(D16&gt;=D15,"Met",IF(AND(D16&lt;D15,'40. Local Funds Per Capita'!F55="Met"),"Met with Exceptions &amp; Adjustments","Did Not Meet")))</f>
        <v/>
      </c>
      <c r="E17" s="259" t="str">
        <f>IF(E16="","",IF(E16&gt;=E15,"Met",IF(AND(E16&lt;E15,'41. State &amp; Local Funds Per Cap'!F55="Met"),"Met with Exceptions &amp; Adjustments","Did Not Meet")))</f>
        <v/>
      </c>
    </row>
    <row r="18" spans="1:5" x14ac:dyDescent="0.25">
      <c r="A18" s="246" t="s">
        <v>46</v>
      </c>
      <c r="B18" s="256" t="str">
        <f>IF(B17="","",IF(B17="Did Not Meet",'38. Total Local Funds'!F52-'38. Total Local Funds'!F53,0))</f>
        <v/>
      </c>
      <c r="C18" s="256" t="str">
        <f>IF(C17="","",IF(C17="Did Not Meet",'39. Total State &amp; Local Funds'!F52-'39. Total State &amp; Local Funds'!F53,0))</f>
        <v/>
      </c>
      <c r="D18" s="256" t="str">
        <f>IF(D17="","",IF(D17="Did Not Meet",(('40. Local Funds Per Capita'!F53-'40. Local Funds Per Capita'!F54)*'20. Year 6 Amounts'!I1),0))</f>
        <v/>
      </c>
      <c r="E18" s="261" t="str">
        <f>IF(E17="","",IF(E17="Did Not Meet",(('41. State &amp; Local Funds Per Cap'!F53-'41. State &amp; Local Funds Per Cap'!F54)*'20. Year 6 Amounts'!I1),0))</f>
        <v/>
      </c>
    </row>
    <row r="19" spans="1:5" x14ac:dyDescent="0.25">
      <c r="A19" s="657" t="s">
        <v>174</v>
      </c>
      <c r="B19" s="657"/>
      <c r="C19" s="657"/>
      <c r="D19" s="657"/>
      <c r="E19" s="657"/>
    </row>
    <row r="20" spans="1:5" ht="15.75" x14ac:dyDescent="0.2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x14ac:dyDescent="0.25">
      <c r="A21" s="260" t="s">
        <v>126</v>
      </c>
      <c r="B21" s="271" t="s">
        <v>132</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f>MIN(B24,B18,C18,D18,E18)</f>
        <v>0</v>
      </c>
    </row>
    <row r="26" spans="1:5" x14ac:dyDescent="0.25">
      <c r="A26" s="243" t="s">
        <v>114</v>
      </c>
      <c r="B26" s="263"/>
    </row>
    <row r="27" spans="1:5" x14ac:dyDescent="0.25">
      <c r="A27" s="246" t="s">
        <v>115</v>
      </c>
      <c r="B27" s="26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Started'!B6+5)</f>
        <v>Exceptions and Adjustment Claimed for State Fiscal Year 2026</v>
      </c>
    </row>
    <row r="32" spans="1:5" x14ac:dyDescent="0.25">
      <c r="A32" s="2"/>
      <c r="B32" s="322" t="s">
        <v>147</v>
      </c>
      <c r="C32" s="4"/>
      <c r="D32" s="322" t="s">
        <v>151</v>
      </c>
      <c r="E32" s="4"/>
    </row>
    <row r="33" spans="1:5" x14ac:dyDescent="0.25">
      <c r="A33" s="218" t="s">
        <v>150</v>
      </c>
      <c r="B33" s="323" t="s">
        <v>154</v>
      </c>
      <c r="C33" s="324" t="s">
        <v>155</v>
      </c>
      <c r="D33" s="325" t="s">
        <v>152</v>
      </c>
      <c r="E33" s="324" t="s">
        <v>153</v>
      </c>
    </row>
    <row r="34" spans="1:5" x14ac:dyDescent="0.25">
      <c r="A34" s="224" t="s">
        <v>139</v>
      </c>
      <c r="B34" s="17">
        <f>'21. Year 6 Exc &amp; Adj'!F22</f>
        <v>0</v>
      </c>
      <c r="C34" s="258">
        <f>'21. Year 6 Exc &amp; Adj'!F22</f>
        <v>0</v>
      </c>
      <c r="D34" s="326">
        <f>'21. Year 6 Exc &amp; Adj'!M22</f>
        <v>0</v>
      </c>
      <c r="E34" s="17">
        <f>'21. Year 6 Exc &amp; Adj'!M22</f>
        <v>0</v>
      </c>
    </row>
    <row r="35" spans="1:5" x14ac:dyDescent="0.25">
      <c r="A35" s="224" t="s">
        <v>140</v>
      </c>
      <c r="B35" s="17" t="str">
        <f>'21. Year 6 Exc &amp; Adj'!B32</f>
        <v/>
      </c>
      <c r="C35" s="258" t="str">
        <f>'21. Year 6 Exc &amp; Adj'!C32</f>
        <v/>
      </c>
      <c r="D35" s="326" t="str">
        <f>'21. Year 6 Exc &amp; Adj'!I32</f>
        <v/>
      </c>
      <c r="E35" s="258" t="str">
        <f>'21. Year 6 Exc &amp; Adj'!J32</f>
        <v/>
      </c>
    </row>
    <row r="36" spans="1:5" x14ac:dyDescent="0.25">
      <c r="A36" s="224" t="s">
        <v>141</v>
      </c>
      <c r="B36" s="17">
        <f>'21. Year 6 Exc &amp; Adj'!C43</f>
        <v>0</v>
      </c>
      <c r="C36" s="258">
        <f>'21. Year 6 Exc &amp; Adj'!C43</f>
        <v>0</v>
      </c>
      <c r="D36" s="326">
        <f>'21. Year 6 Exc &amp; Adj'!J43</f>
        <v>0</v>
      </c>
      <c r="E36" s="17">
        <f>'21. Year 6 Exc &amp; Adj'!J43</f>
        <v>0</v>
      </c>
    </row>
    <row r="37" spans="1:5" x14ac:dyDescent="0.25">
      <c r="A37" s="224" t="s">
        <v>142</v>
      </c>
      <c r="B37" s="17">
        <f>'21. Year 6 Exc &amp; Adj'!B53</f>
        <v>0</v>
      </c>
      <c r="C37" s="258">
        <f>'21. Year 6 Exc &amp; Adj'!B53</f>
        <v>0</v>
      </c>
      <c r="D37" s="326">
        <f>'21. Year 6 Exc &amp; Adj'!I53</f>
        <v>0</v>
      </c>
      <c r="E37" s="17">
        <f>'21. Year 6 Exc &amp; Adj'!I53</f>
        <v>0</v>
      </c>
    </row>
    <row r="38" spans="1:5" x14ac:dyDescent="0.25">
      <c r="A38" s="224" t="str">
        <f>IF('3b. High Cost Fund'!B8="No","This exception is not valid for your state.","Exception (e)")</f>
        <v>Exception (e)</v>
      </c>
      <c r="B38" s="331">
        <f>IF('3b. High Cost Fund'!B8="No","",'21. Year 6 Exc &amp; Adj'!B63)</f>
        <v>0</v>
      </c>
      <c r="C38" s="332">
        <f>IF('3b. High Cost Fund'!B8="No","",'21. Year 6 Exc &amp; Adj'!B63)</f>
        <v>0</v>
      </c>
      <c r="D38" s="326">
        <f>IF('3b. High Cost Fund'!B8="No","",'21. Year 6 Exc &amp; Adj'!I63)</f>
        <v>0</v>
      </c>
      <c r="E38" s="331">
        <f>IF('3b. High Cost Fund'!B8="No","",'21. Year 6 Exc &amp; Adj'!I63)</f>
        <v>0</v>
      </c>
    </row>
    <row r="39" spans="1:5" x14ac:dyDescent="0.25">
      <c r="A39" s="224" t="s">
        <v>143</v>
      </c>
      <c r="B39" s="17">
        <f>AdjDataYear6Budget[Projected Adjustment]</f>
        <v>0</v>
      </c>
      <c r="C39" s="17">
        <f>AdjDataYear6Budget[Projected Adjustment]</f>
        <v>0</v>
      </c>
      <c r="D39" s="327">
        <f>AdjDataYear6Expenditures[[Adjustment ]]</f>
        <v>0</v>
      </c>
      <c r="E39" s="17">
        <f>AdjDataYear6Expenditures[[Adjustment ]]</f>
        <v>0</v>
      </c>
    </row>
    <row r="40" spans="1:5" x14ac:dyDescent="0.25">
      <c r="A40" s="246" t="s">
        <v>124</v>
      </c>
      <c r="B40" s="328">
        <f>SUM(B34:B39)</f>
        <v>0</v>
      </c>
      <c r="C40" s="329">
        <f>SUM(C34:C39)</f>
        <v>0</v>
      </c>
      <c r="D40" s="330">
        <f>SUM(D34:D39)</f>
        <v>0</v>
      </c>
      <c r="E40" s="329">
        <f>SUM(E34:E39)</f>
        <v>0</v>
      </c>
    </row>
    <row r="41" spans="1:5" ht="28.5"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Dc5OTVn4N/mdE6ItnpzSZSvXKh6OWFu6b503Yef1BfRtwmIFhasOQGiJG1bxX4X30Eqe0+6GGqIsk1AdjX8xDA==" saltValue="sPsy/8CeZziOUdeWQ3njtQ==" spinCount="100000" sheet="1" objects="1" scenarios="1" formatColumns="0" formatRows="0"/>
  <mergeCells count="5">
    <mergeCell ref="A11:E11"/>
    <mergeCell ref="A19:E19"/>
    <mergeCell ref="A28:E28"/>
    <mergeCell ref="A30:E30"/>
    <mergeCell ref="A43:E43"/>
  </mergeCells>
  <conditionalFormatting sqref="B9:E9">
    <cfRule type="containsText" dxfId="190" priority="3" operator="containsText" text="Did Not Meet">
      <formula>NOT(ISERROR(SEARCH("Did Not Meet",B9)))</formula>
    </cfRule>
    <cfRule type="containsText" dxfId="189" priority="4" operator="containsText" text="Met">
      <formula>NOT(ISERROR(SEARCH("Met",B9)))</formula>
    </cfRule>
  </conditionalFormatting>
  <conditionalFormatting sqref="B17:E17">
    <cfRule type="containsText" dxfId="188" priority="1" operator="containsText" text="Did Not Meet">
      <formula>NOT(ISERROR(SEARCH("Did Not Meet",B17)))</formula>
    </cfRule>
    <cfRule type="containsText" dxfId="187" priority="2" operator="containsText" text="Met">
      <formula>NOT(ISERROR(SEARCH("Met",B17)))</formula>
    </cfRule>
  </conditionalFormatting>
  <hyperlinks>
    <hyperlink ref="A29" location="'4. Multi-Year MOE Summary'!A9" display="Go to the Multi-Year MOE Summary" xr:uid="{00000000-0004-0000-1700-000000000000}"/>
    <hyperlink ref="A42" r:id="rId1" xr:uid="{00000000-0004-0000-17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c r="D1" s="21" t="s">
        <v>14</v>
      </c>
      <c r="E1" s="20" t="str">
        <f>IF('2. Getting Started'!B2="","",'2. Getting Started'!B2)</f>
        <v/>
      </c>
      <c r="G1" s="661" t="s">
        <v>22</v>
      </c>
      <c r="H1" s="19" t="s">
        <v>49</v>
      </c>
      <c r="I1" s="48"/>
      <c r="K1" s="21" t="s">
        <v>14</v>
      </c>
      <c r="L1" s="20" t="str">
        <f>IF('2. Getting Started'!B2="","",'2. Getting Started'!B2)</f>
        <v/>
      </c>
    </row>
    <row r="2" spans="1:13" s="25" customFormat="1" ht="37.9" customHeight="1" thickBot="1" x14ac:dyDescent="0.3">
      <c r="A2" s="22" t="str">
        <f>CONCATENATE("Eligibility Standard - State Fiscal Year ",'2. Getting Started'!B6+6," -  LEA Effort - Budgeted Amounts")</f>
        <v>Eligibility Standard - State Fiscal Year 2027 -  LEA Effort - Budgeted Amounts</v>
      </c>
      <c r="B2" s="23"/>
      <c r="C2" s="23"/>
      <c r="D2" s="23"/>
      <c r="E2" s="23"/>
      <c r="F2" s="24"/>
      <c r="G2" s="661"/>
      <c r="H2" s="22" t="str">
        <f>CONCATENATE("Compliance Standard - State Fiscal Year ",'2. Getting Started'!B6+6," - LEA Effort - Final Expenditures")</f>
        <v>Compliance Standard - State Fiscal Year 2027 - LEA Effort - Final Expenditures</v>
      </c>
      <c r="I2" s="23"/>
      <c r="J2" s="23"/>
      <c r="K2" s="23"/>
      <c r="L2" s="23"/>
      <c r="M2" s="24"/>
    </row>
    <row r="3" spans="1:13" s="25" customFormat="1" ht="24" customHeight="1" x14ac:dyDescent="0.25">
      <c r="A3" s="26"/>
      <c r="B3" s="27"/>
      <c r="D3" s="28" t="str">
        <f>CONCATENATE("SFY ",'2. Getting Started'!$B6+6," Budget")</f>
        <v>SFY 2027 Budget</v>
      </c>
      <c r="E3" s="29"/>
      <c r="F3" s="30"/>
      <c r="G3" s="661"/>
      <c r="H3" s="26"/>
      <c r="I3" s="27"/>
      <c r="J3" s="31"/>
      <c r="K3" s="28" t="str">
        <f>CONCATENATE("SFY ",'2. Getting Started'!$B6+6," Final Expenditures")</f>
        <v>SFY 2027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ht="15.75" x14ac:dyDescent="0.25">
      <c r="A5" s="49"/>
      <c r="B5" s="50"/>
      <c r="C5" s="51"/>
      <c r="D5" s="52"/>
      <c r="E5" s="52"/>
      <c r="F5" s="38" t="str">
        <f>IF(AND(D5="",E5=""),"",SUM(D5:E5))</f>
        <v/>
      </c>
      <c r="G5" s="661"/>
      <c r="H5" s="49"/>
      <c r="I5" s="50"/>
      <c r="J5" s="51"/>
      <c r="K5" s="52"/>
      <c r="L5" s="52"/>
      <c r="M5" s="38" t="str">
        <f>IF(AND(K5="",L5=""),"",SUM(K5:L5))</f>
        <v/>
      </c>
    </row>
    <row r="6" spans="1:13" ht="15.75" x14ac:dyDescent="0.25">
      <c r="A6" s="49"/>
      <c r="B6" s="50"/>
      <c r="C6" s="51"/>
      <c r="D6" s="52"/>
      <c r="E6" s="52"/>
      <c r="F6" s="38" t="str">
        <f t="shared" ref="F6:F29" si="0">IF(AND(D6="",E6=""),"",SUM(D6:E6))</f>
        <v/>
      </c>
      <c r="G6" s="661"/>
      <c r="H6" s="49"/>
      <c r="I6" s="50"/>
      <c r="J6" s="51"/>
      <c r="K6" s="52"/>
      <c r="L6" s="52"/>
      <c r="M6" s="38" t="str">
        <f t="shared" ref="M6:M29" si="1">IF(AND(K6="",L6=""),"",SUM(K6:L6))</f>
        <v/>
      </c>
    </row>
    <row r="7" spans="1:13" ht="15.75" x14ac:dyDescent="0.25">
      <c r="A7" s="49"/>
      <c r="B7" s="50"/>
      <c r="C7" s="51"/>
      <c r="D7" s="52"/>
      <c r="E7" s="52"/>
      <c r="F7" s="38" t="str">
        <f t="shared" si="0"/>
        <v/>
      </c>
      <c r="G7" s="661"/>
      <c r="H7" s="49"/>
      <c r="I7" s="50"/>
      <c r="J7" s="51"/>
      <c r="K7" s="52"/>
      <c r="L7" s="52"/>
      <c r="M7" s="38" t="str">
        <f t="shared" si="1"/>
        <v/>
      </c>
    </row>
    <row r="8" spans="1:13" ht="15.75" x14ac:dyDescent="0.25">
      <c r="A8" s="49"/>
      <c r="B8" s="50"/>
      <c r="C8" s="51"/>
      <c r="D8" s="52"/>
      <c r="E8" s="52"/>
      <c r="F8" s="38" t="str">
        <f t="shared" si="0"/>
        <v/>
      </c>
      <c r="G8" s="661"/>
      <c r="H8" s="49"/>
      <c r="I8" s="50"/>
      <c r="J8" s="51"/>
      <c r="K8" s="52"/>
      <c r="L8" s="52"/>
      <c r="M8" s="38" t="str">
        <f t="shared" si="1"/>
        <v/>
      </c>
    </row>
    <row r="9" spans="1:13" ht="15.75" x14ac:dyDescent="0.25">
      <c r="A9" s="49"/>
      <c r="B9" s="50"/>
      <c r="C9" s="51"/>
      <c r="D9" s="52"/>
      <c r="E9" s="52"/>
      <c r="F9" s="38" t="str">
        <f t="shared" si="0"/>
        <v/>
      </c>
      <c r="G9" s="661"/>
      <c r="H9" s="49"/>
      <c r="I9" s="50"/>
      <c r="J9" s="51"/>
      <c r="K9" s="52"/>
      <c r="L9" s="52"/>
      <c r="M9" s="38" t="str">
        <f t="shared" si="1"/>
        <v/>
      </c>
    </row>
    <row r="10" spans="1:13" ht="15.75" x14ac:dyDescent="0.25">
      <c r="A10" s="49"/>
      <c r="B10" s="50"/>
      <c r="C10" s="51"/>
      <c r="D10" s="52"/>
      <c r="E10" s="52"/>
      <c r="F10" s="38" t="str">
        <f t="shared" si="0"/>
        <v/>
      </c>
      <c r="G10" s="661"/>
      <c r="H10" s="49"/>
      <c r="I10" s="50"/>
      <c r="J10" s="51"/>
      <c r="K10" s="52"/>
      <c r="L10" s="52"/>
      <c r="M10" s="38" t="str">
        <f t="shared" si="1"/>
        <v/>
      </c>
    </row>
    <row r="11" spans="1:13" ht="15.75" x14ac:dyDescent="0.25">
      <c r="A11" s="49"/>
      <c r="B11" s="50"/>
      <c r="C11" s="51"/>
      <c r="D11" s="52"/>
      <c r="E11" s="52"/>
      <c r="F11" s="38" t="str">
        <f t="shared" si="0"/>
        <v/>
      </c>
      <c r="G11" s="661"/>
      <c r="H11" s="49"/>
      <c r="I11" s="50"/>
      <c r="J11" s="51"/>
      <c r="K11" s="52"/>
      <c r="L11" s="52"/>
      <c r="M11" s="38" t="str">
        <f t="shared" si="1"/>
        <v/>
      </c>
    </row>
    <row r="12" spans="1:13" ht="15.75" x14ac:dyDescent="0.25">
      <c r="A12" s="49"/>
      <c r="B12" s="50"/>
      <c r="C12" s="51"/>
      <c r="D12" s="52"/>
      <c r="E12" s="52"/>
      <c r="F12" s="38" t="str">
        <f t="shared" si="0"/>
        <v/>
      </c>
      <c r="G12" s="661"/>
      <c r="H12" s="49"/>
      <c r="I12" s="50"/>
      <c r="J12" s="51"/>
      <c r="K12" s="52"/>
      <c r="L12" s="52"/>
      <c r="M12" s="38" t="str">
        <f t="shared" si="1"/>
        <v/>
      </c>
    </row>
    <row r="13" spans="1:13" ht="15.75" x14ac:dyDescent="0.25">
      <c r="A13" s="49"/>
      <c r="B13" s="50"/>
      <c r="C13" s="51"/>
      <c r="D13" s="52"/>
      <c r="E13" s="52"/>
      <c r="F13" s="38" t="str">
        <f t="shared" si="0"/>
        <v/>
      </c>
      <c r="G13" s="661"/>
      <c r="H13" s="49"/>
      <c r="I13" s="50"/>
      <c r="J13" s="51"/>
      <c r="K13" s="52"/>
      <c r="L13" s="52"/>
      <c r="M13" s="38" t="str">
        <f t="shared" si="1"/>
        <v/>
      </c>
    </row>
    <row r="14" spans="1:13" ht="15.75" x14ac:dyDescent="0.25">
      <c r="A14" s="49"/>
      <c r="B14" s="50"/>
      <c r="C14" s="51"/>
      <c r="D14" s="52"/>
      <c r="E14" s="52"/>
      <c r="F14" s="38" t="str">
        <f t="shared" si="0"/>
        <v/>
      </c>
      <c r="G14" s="661"/>
      <c r="H14" s="49"/>
      <c r="I14" s="50"/>
      <c r="J14" s="51"/>
      <c r="K14" s="52"/>
      <c r="L14" s="52"/>
      <c r="M14" s="38" t="str">
        <f t="shared" si="1"/>
        <v/>
      </c>
    </row>
    <row r="15" spans="1:13" ht="15.75" x14ac:dyDescent="0.25">
      <c r="A15" s="49"/>
      <c r="B15" s="50"/>
      <c r="C15" s="51"/>
      <c r="D15" s="52"/>
      <c r="E15" s="52"/>
      <c r="F15" s="38" t="str">
        <f t="shared" si="0"/>
        <v/>
      </c>
      <c r="G15" s="661"/>
      <c r="H15" s="49"/>
      <c r="I15" s="50"/>
      <c r="J15" s="51"/>
      <c r="K15" s="52"/>
      <c r="L15" s="52"/>
      <c r="M15" s="38" t="str">
        <f t="shared" si="1"/>
        <v/>
      </c>
    </row>
    <row r="16" spans="1:13" ht="15.75" x14ac:dyDescent="0.25">
      <c r="A16" s="49"/>
      <c r="B16" s="50"/>
      <c r="C16" s="51"/>
      <c r="D16" s="52"/>
      <c r="E16" s="52"/>
      <c r="F16" s="38" t="str">
        <f t="shared" si="0"/>
        <v/>
      </c>
      <c r="G16" s="661"/>
      <c r="H16" s="49"/>
      <c r="I16" s="50"/>
      <c r="J16" s="51"/>
      <c r="K16" s="52"/>
      <c r="L16" s="52"/>
      <c r="M16" s="38" t="str">
        <f t="shared" si="1"/>
        <v/>
      </c>
    </row>
    <row r="17" spans="1:13" ht="15.75" x14ac:dyDescent="0.25">
      <c r="A17" s="49"/>
      <c r="B17" s="50"/>
      <c r="C17" s="51"/>
      <c r="D17" s="52"/>
      <c r="E17" s="52"/>
      <c r="F17" s="38" t="str">
        <f t="shared" si="0"/>
        <v/>
      </c>
      <c r="G17" s="661"/>
      <c r="H17" s="49"/>
      <c r="I17" s="50"/>
      <c r="J17" s="51"/>
      <c r="K17" s="52"/>
      <c r="L17" s="52"/>
      <c r="M17" s="38" t="str">
        <f t="shared" si="1"/>
        <v/>
      </c>
    </row>
    <row r="18" spans="1:13" ht="15.75" x14ac:dyDescent="0.25">
      <c r="A18" s="49"/>
      <c r="B18" s="50"/>
      <c r="C18" s="51"/>
      <c r="D18" s="52"/>
      <c r="E18" s="52"/>
      <c r="F18" s="38" t="str">
        <f t="shared" si="0"/>
        <v/>
      </c>
      <c r="G18" s="661"/>
      <c r="H18" s="49"/>
      <c r="I18" s="50"/>
      <c r="J18" s="51"/>
      <c r="K18" s="52"/>
      <c r="L18" s="52"/>
      <c r="M18" s="38" t="str">
        <f t="shared" si="1"/>
        <v/>
      </c>
    </row>
    <row r="19" spans="1:13" ht="15.75" x14ac:dyDescent="0.25">
      <c r="A19" s="49"/>
      <c r="B19" s="50"/>
      <c r="C19" s="51"/>
      <c r="D19" s="52"/>
      <c r="E19" s="52"/>
      <c r="F19" s="38" t="str">
        <f t="shared" si="0"/>
        <v/>
      </c>
      <c r="G19" s="661"/>
      <c r="H19" s="49"/>
      <c r="I19" s="50"/>
      <c r="J19" s="51"/>
      <c r="K19" s="52"/>
      <c r="L19" s="52"/>
      <c r="M19" s="38" t="str">
        <f t="shared" si="1"/>
        <v/>
      </c>
    </row>
    <row r="20" spans="1:13" ht="15.75" x14ac:dyDescent="0.25">
      <c r="A20" s="49"/>
      <c r="B20" s="50"/>
      <c r="C20" s="51"/>
      <c r="D20" s="52"/>
      <c r="E20" s="52"/>
      <c r="F20" s="38" t="str">
        <f t="shared" si="0"/>
        <v/>
      </c>
      <c r="G20" s="661"/>
      <c r="H20" s="49"/>
      <c r="I20" s="50"/>
      <c r="J20" s="51"/>
      <c r="K20" s="52"/>
      <c r="L20" s="52"/>
      <c r="M20" s="38" t="str">
        <f t="shared" si="1"/>
        <v/>
      </c>
    </row>
    <row r="21" spans="1:13" ht="15.75" x14ac:dyDescent="0.25">
      <c r="A21" s="49"/>
      <c r="B21" s="50"/>
      <c r="C21" s="51"/>
      <c r="D21" s="52"/>
      <c r="E21" s="52"/>
      <c r="F21" s="38" t="str">
        <f t="shared" si="0"/>
        <v/>
      </c>
      <c r="G21" s="661"/>
      <c r="H21" s="49"/>
      <c r="I21" s="50"/>
      <c r="J21" s="51"/>
      <c r="K21" s="52"/>
      <c r="L21" s="52"/>
      <c r="M21" s="38" t="str">
        <f t="shared" si="1"/>
        <v/>
      </c>
    </row>
    <row r="22" spans="1:13" ht="15.75" x14ac:dyDescent="0.25">
      <c r="A22" s="49"/>
      <c r="B22" s="50"/>
      <c r="C22" s="51"/>
      <c r="D22" s="52"/>
      <c r="E22" s="52"/>
      <c r="F22" s="38" t="str">
        <f t="shared" si="0"/>
        <v/>
      </c>
      <c r="G22" s="661"/>
      <c r="H22" s="49"/>
      <c r="I22" s="50"/>
      <c r="J22" s="51"/>
      <c r="K22" s="52"/>
      <c r="L22" s="52"/>
      <c r="M22" s="38" t="str">
        <f t="shared" si="1"/>
        <v/>
      </c>
    </row>
    <row r="23" spans="1:13" ht="15.75" x14ac:dyDescent="0.25">
      <c r="A23" s="49"/>
      <c r="B23" s="50"/>
      <c r="C23" s="51"/>
      <c r="D23" s="52"/>
      <c r="E23" s="52"/>
      <c r="F23" s="38" t="str">
        <f t="shared" si="0"/>
        <v/>
      </c>
      <c r="G23" s="661"/>
      <c r="H23" s="49"/>
      <c r="I23" s="50"/>
      <c r="J23" s="51"/>
      <c r="K23" s="52"/>
      <c r="L23" s="52"/>
      <c r="M23" s="38" t="str">
        <f t="shared" si="1"/>
        <v/>
      </c>
    </row>
    <row r="24" spans="1:13" ht="15.75" x14ac:dyDescent="0.25">
      <c r="A24" s="49"/>
      <c r="B24" s="50"/>
      <c r="C24" s="51"/>
      <c r="D24" s="52"/>
      <c r="E24" s="52"/>
      <c r="F24" s="38" t="str">
        <f t="shared" si="0"/>
        <v/>
      </c>
      <c r="G24" s="661"/>
      <c r="H24" s="49"/>
      <c r="I24" s="50"/>
      <c r="J24" s="51"/>
      <c r="K24" s="52"/>
      <c r="L24" s="52"/>
      <c r="M24" s="38" t="str">
        <f t="shared" si="1"/>
        <v/>
      </c>
    </row>
    <row r="25" spans="1:13" ht="15.75" x14ac:dyDescent="0.25">
      <c r="A25" s="49"/>
      <c r="B25" s="50"/>
      <c r="C25" s="51"/>
      <c r="D25" s="52"/>
      <c r="E25" s="52"/>
      <c r="F25" s="38" t="str">
        <f t="shared" si="0"/>
        <v/>
      </c>
      <c r="G25" s="661"/>
      <c r="H25" s="49"/>
      <c r="I25" s="50"/>
      <c r="J25" s="51"/>
      <c r="K25" s="52"/>
      <c r="L25" s="52"/>
      <c r="M25" s="38" t="str">
        <f t="shared" si="1"/>
        <v/>
      </c>
    </row>
    <row r="26" spans="1:13" ht="15.75" x14ac:dyDescent="0.25">
      <c r="A26" s="49"/>
      <c r="B26" s="50"/>
      <c r="C26" s="51"/>
      <c r="D26" s="52"/>
      <c r="E26" s="52"/>
      <c r="F26" s="38" t="str">
        <f t="shared" si="0"/>
        <v/>
      </c>
      <c r="G26" s="661"/>
      <c r="H26" s="49"/>
      <c r="I26" s="50"/>
      <c r="J26" s="51"/>
      <c r="K26" s="52"/>
      <c r="L26" s="52"/>
      <c r="M26" s="38" t="str">
        <f t="shared" si="1"/>
        <v/>
      </c>
    </row>
    <row r="27" spans="1:13" ht="15.75" x14ac:dyDescent="0.25">
      <c r="A27" s="49"/>
      <c r="B27" s="50"/>
      <c r="C27" s="51"/>
      <c r="D27" s="52"/>
      <c r="E27" s="52"/>
      <c r="F27" s="38" t="str">
        <f t="shared" si="0"/>
        <v/>
      </c>
      <c r="G27" s="661"/>
      <c r="H27" s="49"/>
      <c r="I27" s="50"/>
      <c r="J27" s="51"/>
      <c r="K27" s="52"/>
      <c r="L27" s="52"/>
      <c r="M27" s="38" t="str">
        <f t="shared" si="1"/>
        <v/>
      </c>
    </row>
    <row r="28" spans="1:13" ht="15.75" x14ac:dyDescent="0.25">
      <c r="A28" s="49"/>
      <c r="B28" s="50"/>
      <c r="C28" s="51"/>
      <c r="D28" s="52"/>
      <c r="E28" s="52"/>
      <c r="F28" s="38" t="str">
        <f t="shared" si="0"/>
        <v/>
      </c>
      <c r="G28" s="661"/>
      <c r="H28" s="49"/>
      <c r="I28" s="50"/>
      <c r="J28" s="51"/>
      <c r="K28" s="52"/>
      <c r="L28" s="52"/>
      <c r="M28" s="38" t="str">
        <f t="shared" si="1"/>
        <v/>
      </c>
    </row>
    <row r="29" spans="1:13" ht="16.5" thickBot="1" x14ac:dyDescent="0.3">
      <c r="A29" s="53"/>
      <c r="B29" s="54"/>
      <c r="C29" s="55"/>
      <c r="D29" s="56"/>
      <c r="E29" s="56"/>
      <c r="F29" s="38" t="str">
        <f t="shared" si="0"/>
        <v/>
      </c>
      <c r="G29" s="661"/>
      <c r="H29" s="53"/>
      <c r="I29" s="54"/>
      <c r="J29" s="55"/>
      <c r="K29" s="56"/>
      <c r="L29" s="56"/>
      <c r="M29" s="38" t="str">
        <f t="shared" si="1"/>
        <v/>
      </c>
    </row>
    <row r="30" spans="1:13" ht="19.5" thickBot="1" x14ac:dyDescent="0.3">
      <c r="A30" s="39"/>
      <c r="B30" s="40"/>
      <c r="C30" s="41" t="s">
        <v>56</v>
      </c>
      <c r="D30" s="42" t="str">
        <f>IF(AND(D5="",D6="",D7="",D8="",D9="",D10="",D11="",D12="",D13="",D14="",D15="",D16="",D17="",D18="",D19="",D20="",D21="",D22="",D23="",D24="",D25="",D26="",D27="",D28="",D29=""),"",SUM(D5:D29))</f>
        <v/>
      </c>
      <c r="E30" s="43"/>
      <c r="F30" s="42" t="str">
        <f>IF(AND(F5="",F6="",F7="",F8="",F9="",F10="",F11="",F12="",F13="",F14="",F15="",F16="",F17="",F18="",F19="",F20="",F21="",F22="",F23="",F24="",F25="",F26="",F27="",F28="",F29=""),"",SUM(F5:F29))</f>
        <v/>
      </c>
      <c r="G30" s="661"/>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x14ac:dyDescent="0.3">
      <c r="A31" s="39"/>
      <c r="B31" s="39"/>
      <c r="C31" s="44" t="s">
        <v>57</v>
      </c>
      <c r="D31" s="42" t="str">
        <f>IF(OR($B1="",D30=""),"",(D30/$B1))</f>
        <v/>
      </c>
      <c r="E31" s="39"/>
      <c r="F31" s="42" t="str">
        <f>IF(OR($B1="",F30=""),"",(F30/$B1))</f>
        <v/>
      </c>
      <c r="G31" s="661"/>
      <c r="H31" s="39"/>
      <c r="I31" s="39"/>
      <c r="J31" s="44" t="s">
        <v>57</v>
      </c>
      <c r="K31" s="42" t="str">
        <f>IF(OR($I1="",K30=""),"",(K30/$I1))</f>
        <v/>
      </c>
      <c r="L31" s="39"/>
      <c r="M31" s="42" t="str">
        <f>IF(OR($I1="",M30=""),"",(M30/$I1))</f>
        <v/>
      </c>
    </row>
    <row r="32" spans="1:13" s="25" customFormat="1" ht="18.75" x14ac:dyDescent="0.2">
      <c r="A32" s="345" t="s">
        <v>184</v>
      </c>
      <c r="B32" s="45"/>
      <c r="C32" s="45"/>
      <c r="D32" s="45"/>
      <c r="E32" s="45"/>
      <c r="F32" s="45"/>
      <c r="G32" s="45"/>
      <c r="H32" s="45"/>
      <c r="I32" s="45"/>
      <c r="J32" s="45"/>
      <c r="K32" s="45"/>
      <c r="L32" s="45"/>
      <c r="M32" s="45"/>
    </row>
    <row r="33" spans="1:13" s="47" customFormat="1" ht="15.75"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row r="35" spans="1:13" ht="15.75" hidden="1" x14ac:dyDescent="0.25"/>
  </sheetData>
  <sheetProtection algorithmName="SHA-512" hashValue="1Yzth4jluHZaNh0fHUOQKSZL4nnW6Ac5Ruob8svl2e2YvHZun/yiLCn8KfmTW19Jzho9AKVhQG1pBIi1br3wwA==" saltValue="Uu2voDgbv4N1sKVM6ymF6A=="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800-000000000000}"/>
    <dataValidation allowBlank="1" showInputMessage="1" showErrorMessage="1" prompt="Don't forget to enter Child Count in Cell I1." sqref="H5" xr:uid="{00000000-0002-0000-1800-000001000000}"/>
  </dataValidations>
  <hyperlinks>
    <hyperlink ref="A33" r:id="rId1" xr:uid="{00000000-0004-0000-1800-000000000000}"/>
  </hyperlinks>
  <pageMargins left="0.75" right="0.75" top="1" bottom="1" header="0.5" footer="0.5"/>
  <pageSetup orientation="portrait" horizontalDpi="4294967292" verticalDpi="4294967292"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5"/>
    <pageSetUpPr autoPageBreaks="0"/>
  </sheetPr>
  <dimension ref="A1:AB75"/>
  <sheetViews>
    <sheetView showGridLines="0" topLeftCell="F1" zoomScale="90" zoomScaleNormal="90" zoomScalePageLayoutView="90" workbookViewId="0">
      <pane ySplit="3" topLeftCell="A65" activePane="bottomLeft" state="frozen"/>
      <selection activeCell="A5" sqref="A5"/>
      <selection pane="bottomLeft" activeCell="I73" sqref="I73"/>
    </sheetView>
  </sheetViews>
  <sheetFormatPr defaultColWidth="0" defaultRowHeight="15.75"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x14ac:dyDescent="0.25">
      <c r="A1" s="57" t="s">
        <v>58</v>
      </c>
      <c r="D1" s="59" t="s">
        <v>14</v>
      </c>
      <c r="E1" s="10" t="str">
        <f>IF('2. Getting Started'!$B2="","",'2. Getting Started'!$B2)</f>
        <v/>
      </c>
      <c r="G1" s="667" t="s">
        <v>176</v>
      </c>
      <c r="K1" s="59" t="s">
        <v>14</v>
      </c>
      <c r="L1" s="10" t="str">
        <f>IF('2. Getting Started'!$B2="","",'2. Getting Started'!$B2)</f>
        <v/>
      </c>
    </row>
    <row r="2" spans="1:20" ht="25.9" customHeight="1" thickBot="1" x14ac:dyDescent="0.3">
      <c r="A2" s="338" t="s">
        <v>170</v>
      </c>
      <c r="D2" s="59"/>
      <c r="E2" s="10"/>
      <c r="G2" s="667"/>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Started'!B6+6," Budget")</f>
        <v>Eligibility Standard -- Exceptions to MOE as Permitted by 34 CFR §300.204 and Adjustment to MOE as Permitted by 34 CFR §300.205 -- Projections for State Fiscal Year 2027 Budget</v>
      </c>
      <c r="B3" s="61"/>
      <c r="C3" s="61"/>
      <c r="D3" s="61"/>
      <c r="E3" s="61"/>
      <c r="F3" s="62"/>
      <c r="G3" s="667"/>
      <c r="H3" s="60" t="str">
        <f>CONCATENATE("Compliance Standard -- Exceptions to MOE as Permitted by 34 CFR §300.204 and Adjustment to MOE as Permitted by 34 CFR §300.205 -- Final Expenditures for  State Fiscal Year ",'2. Getting Started'!B6+6)</f>
        <v>Compliance Standard -- Exceptions to MOE as Permitted by 34 CFR §300.204 and Adjustment to MOE as Permitted by 34 CFR §300.205 -- Final Expenditures for  State Fiscal Year 2027</v>
      </c>
      <c r="I3" s="61"/>
      <c r="J3" s="61"/>
      <c r="K3" s="61"/>
      <c r="L3" s="61"/>
      <c r="M3" s="62"/>
      <c r="O3" s="64"/>
      <c r="P3" s="64"/>
      <c r="Q3" s="64"/>
      <c r="R3" s="64"/>
      <c r="S3" s="64"/>
      <c r="T3" s="64"/>
    </row>
    <row r="4" spans="1:20" x14ac:dyDescent="0.25">
      <c r="A4" s="65" t="s">
        <v>59</v>
      </c>
      <c r="B4" s="66"/>
      <c r="C4" s="67"/>
      <c r="D4" s="67"/>
      <c r="E4" s="67"/>
      <c r="F4" s="68"/>
      <c r="G4" s="667"/>
      <c r="H4" s="65" t="s">
        <v>59</v>
      </c>
      <c r="I4" s="66"/>
      <c r="J4" s="67"/>
      <c r="K4" s="67"/>
      <c r="L4" s="67"/>
      <c r="M4" s="68"/>
      <c r="N4" s="70"/>
      <c r="O4" s="70"/>
      <c r="P4" s="70"/>
      <c r="Q4" s="70"/>
      <c r="R4" s="70"/>
      <c r="S4" s="70"/>
    </row>
    <row r="5" spans="1:20" x14ac:dyDescent="0.25">
      <c r="A5" s="71" t="s">
        <v>60</v>
      </c>
      <c r="B5" s="72"/>
      <c r="C5" s="69"/>
      <c r="D5" s="69"/>
      <c r="E5" s="69"/>
      <c r="F5" s="73"/>
      <c r="G5" s="667"/>
      <c r="H5" s="71" t="s">
        <v>60</v>
      </c>
      <c r="I5" s="72"/>
      <c r="J5" s="69"/>
      <c r="K5" s="69"/>
      <c r="L5" s="69"/>
      <c r="M5" s="73"/>
      <c r="N5" s="74"/>
      <c r="O5" s="74"/>
      <c r="P5" s="74"/>
      <c r="Q5" s="74"/>
      <c r="R5" s="74"/>
    </row>
    <row r="6" spans="1:20" ht="35.65" customHeight="1" thickBot="1" x14ac:dyDescent="0.3">
      <c r="A6" s="75" t="s">
        <v>61</v>
      </c>
      <c r="B6" s="76"/>
      <c r="C6" s="76"/>
      <c r="D6" s="76"/>
      <c r="E6" s="76"/>
      <c r="F6" s="77"/>
      <c r="G6" s="667"/>
      <c r="H6" s="75" t="s">
        <v>61</v>
      </c>
      <c r="I6" s="76"/>
      <c r="J6" s="76"/>
      <c r="K6" s="76"/>
      <c r="L6" s="76"/>
      <c r="M6" s="77"/>
      <c r="N6" s="74"/>
      <c r="O6" s="74"/>
      <c r="P6" s="74"/>
      <c r="Q6" s="74"/>
      <c r="R6" s="74"/>
      <c r="S6" s="74"/>
    </row>
    <row r="7" spans="1:20" x14ac:dyDescent="0.25">
      <c r="A7" s="78" t="s">
        <v>62</v>
      </c>
      <c r="B7" s="79" t="s">
        <v>63</v>
      </c>
      <c r="C7" s="80" t="s">
        <v>64</v>
      </c>
      <c r="D7" s="80" t="s">
        <v>65</v>
      </c>
      <c r="E7" s="81" t="s">
        <v>66</v>
      </c>
      <c r="F7" s="82" t="s">
        <v>67</v>
      </c>
      <c r="G7" s="667"/>
      <c r="H7" s="78" t="s">
        <v>62</v>
      </c>
      <c r="I7" s="79" t="s">
        <v>63</v>
      </c>
      <c r="J7" s="80" t="s">
        <v>64</v>
      </c>
      <c r="K7" s="80" t="s">
        <v>65</v>
      </c>
      <c r="L7" s="81" t="s">
        <v>66</v>
      </c>
      <c r="M7" s="82" t="s">
        <v>68</v>
      </c>
      <c r="N7" s="74"/>
      <c r="O7" s="74"/>
    </row>
    <row r="8" spans="1:20" x14ac:dyDescent="0.25">
      <c r="A8" s="186"/>
      <c r="B8" s="187"/>
      <c r="C8" s="187"/>
      <c r="D8" s="188"/>
      <c r="E8" s="188"/>
      <c r="F8" s="84">
        <f>D8+E8</f>
        <v>0</v>
      </c>
      <c r="G8" s="667"/>
      <c r="H8" s="186"/>
      <c r="I8" s="187"/>
      <c r="J8" s="187"/>
      <c r="K8" s="188"/>
      <c r="L8" s="188"/>
      <c r="M8" s="84">
        <f>K8+L8</f>
        <v>0</v>
      </c>
      <c r="N8" s="85"/>
      <c r="O8" s="85"/>
    </row>
    <row r="9" spans="1:20" x14ac:dyDescent="0.25">
      <c r="A9" s="186"/>
      <c r="B9" s="187"/>
      <c r="C9" s="187"/>
      <c r="D9" s="188"/>
      <c r="E9" s="188"/>
      <c r="F9" s="84">
        <f>D9+E9</f>
        <v>0</v>
      </c>
      <c r="G9" s="667"/>
      <c r="H9" s="186"/>
      <c r="I9" s="187"/>
      <c r="J9" s="187"/>
      <c r="K9" s="188"/>
      <c r="L9" s="188"/>
      <c r="M9" s="84">
        <f>K9+L9</f>
        <v>0</v>
      </c>
      <c r="N9" s="85"/>
      <c r="O9" s="85"/>
    </row>
    <row r="10" spans="1:20" x14ac:dyDescent="0.25">
      <c r="A10" s="186"/>
      <c r="B10" s="187"/>
      <c r="C10" s="187"/>
      <c r="D10" s="188"/>
      <c r="E10" s="188"/>
      <c r="F10" s="84">
        <f>D10+E10</f>
        <v>0</v>
      </c>
      <c r="G10" s="667"/>
      <c r="H10" s="186"/>
      <c r="I10" s="187"/>
      <c r="J10" s="187"/>
      <c r="K10" s="188"/>
      <c r="L10" s="188"/>
      <c r="M10" s="84">
        <f>K10+L10</f>
        <v>0</v>
      </c>
      <c r="N10" s="85"/>
      <c r="O10" s="85"/>
    </row>
    <row r="11" spans="1:20" x14ac:dyDescent="0.25">
      <c r="A11" s="186"/>
      <c r="B11" s="187"/>
      <c r="C11" s="187"/>
      <c r="D11" s="188"/>
      <c r="E11" s="188"/>
      <c r="F11" s="84">
        <f>D11+E11</f>
        <v>0</v>
      </c>
      <c r="G11" s="667"/>
      <c r="H11" s="186"/>
      <c r="I11" s="187"/>
      <c r="J11" s="187"/>
      <c r="K11" s="188"/>
      <c r="L11" s="188"/>
      <c r="M11" s="84">
        <f>K11+L11</f>
        <v>0</v>
      </c>
      <c r="N11" s="85"/>
      <c r="O11" s="85"/>
    </row>
    <row r="12" spans="1:20" x14ac:dyDescent="0.25">
      <c r="A12" s="186"/>
      <c r="B12" s="187"/>
      <c r="C12" s="187"/>
      <c r="D12" s="188"/>
      <c r="E12" s="188"/>
      <c r="F12" s="84">
        <f>D12+E12</f>
        <v>0</v>
      </c>
      <c r="G12" s="667"/>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67"/>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67"/>
      <c r="H14" s="91" t="s">
        <v>70</v>
      </c>
      <c r="I14" s="92"/>
      <c r="J14" s="92"/>
      <c r="K14" s="92"/>
      <c r="L14" s="92"/>
      <c r="M14" s="93"/>
      <c r="N14" s="74"/>
      <c r="O14" s="74"/>
      <c r="P14" s="74"/>
      <c r="Q14" s="74"/>
      <c r="R14" s="74"/>
      <c r="S14" s="94"/>
    </row>
    <row r="15" spans="1:20" x14ac:dyDescent="0.25">
      <c r="A15" s="95" t="s">
        <v>62</v>
      </c>
      <c r="B15" s="96" t="s">
        <v>63</v>
      </c>
      <c r="C15" s="97" t="s">
        <v>175</v>
      </c>
      <c r="D15" s="80" t="s">
        <v>65</v>
      </c>
      <c r="E15" s="81" t="s">
        <v>66</v>
      </c>
      <c r="F15" s="82" t="s">
        <v>67</v>
      </c>
      <c r="G15" s="667"/>
      <c r="H15" s="95" t="s">
        <v>62</v>
      </c>
      <c r="I15" s="96" t="s">
        <v>63</v>
      </c>
      <c r="J15" s="97" t="s">
        <v>175</v>
      </c>
      <c r="K15" s="80" t="s">
        <v>65</v>
      </c>
      <c r="L15" s="81" t="s">
        <v>66</v>
      </c>
      <c r="M15" s="82" t="s">
        <v>68</v>
      </c>
      <c r="N15" s="64"/>
      <c r="O15" s="99"/>
    </row>
    <row r="16" spans="1:20" x14ac:dyDescent="0.25">
      <c r="A16" s="189"/>
      <c r="B16" s="190"/>
      <c r="C16" s="100"/>
      <c r="D16" s="188"/>
      <c r="E16" s="188"/>
      <c r="F16" s="84">
        <f t="shared" ref="F16:F20" si="2">D16+E16</f>
        <v>0</v>
      </c>
      <c r="G16" s="667"/>
      <c r="H16" s="189"/>
      <c r="I16" s="190"/>
      <c r="J16" s="100"/>
      <c r="K16" s="188"/>
      <c r="L16" s="188"/>
      <c r="M16" s="84">
        <f t="shared" ref="M16:M20" si="3">K16+L16</f>
        <v>0</v>
      </c>
      <c r="N16" s="85"/>
      <c r="O16" s="85"/>
    </row>
    <row r="17" spans="1:19" x14ac:dyDescent="0.25">
      <c r="A17" s="189"/>
      <c r="B17" s="190"/>
      <c r="C17" s="100"/>
      <c r="D17" s="188"/>
      <c r="E17" s="188"/>
      <c r="F17" s="84">
        <f t="shared" si="2"/>
        <v>0</v>
      </c>
      <c r="G17" s="667"/>
      <c r="H17" s="189"/>
      <c r="I17" s="190"/>
      <c r="J17" s="100"/>
      <c r="K17" s="188"/>
      <c r="L17" s="188"/>
      <c r="M17" s="84">
        <f t="shared" si="3"/>
        <v>0</v>
      </c>
      <c r="N17" s="85"/>
      <c r="O17" s="85"/>
    </row>
    <row r="18" spans="1:19" x14ac:dyDescent="0.25">
      <c r="A18" s="189"/>
      <c r="B18" s="190"/>
      <c r="C18" s="100"/>
      <c r="D18" s="188"/>
      <c r="E18" s="188"/>
      <c r="F18" s="84">
        <f t="shared" si="2"/>
        <v>0</v>
      </c>
      <c r="G18" s="667"/>
      <c r="H18" s="189"/>
      <c r="I18" s="190"/>
      <c r="J18" s="100"/>
      <c r="K18" s="188"/>
      <c r="L18" s="188"/>
      <c r="M18" s="84">
        <f t="shared" si="3"/>
        <v>0</v>
      </c>
      <c r="N18" s="85"/>
      <c r="O18" s="85"/>
    </row>
    <row r="19" spans="1:19" x14ac:dyDescent="0.25">
      <c r="A19" s="189"/>
      <c r="B19" s="190"/>
      <c r="C19" s="100"/>
      <c r="D19" s="188"/>
      <c r="E19" s="188"/>
      <c r="F19" s="84">
        <f t="shared" si="2"/>
        <v>0</v>
      </c>
      <c r="G19" s="667"/>
      <c r="H19" s="189"/>
      <c r="I19" s="190"/>
      <c r="J19" s="100"/>
      <c r="K19" s="188"/>
      <c r="L19" s="188"/>
      <c r="M19" s="84">
        <f t="shared" si="3"/>
        <v>0</v>
      </c>
      <c r="N19" s="85"/>
      <c r="O19" s="85"/>
    </row>
    <row r="20" spans="1:19" x14ac:dyDescent="0.25">
      <c r="A20" s="189"/>
      <c r="B20" s="190"/>
      <c r="C20" s="100"/>
      <c r="D20" s="188"/>
      <c r="E20" s="188"/>
      <c r="F20" s="84">
        <f t="shared" si="2"/>
        <v>0</v>
      </c>
      <c r="G20" s="667"/>
      <c r="H20" s="189"/>
      <c r="I20" s="190"/>
      <c r="J20" s="100"/>
      <c r="K20" s="188"/>
      <c r="L20" s="188"/>
      <c r="M20" s="84">
        <f t="shared" si="3"/>
        <v>0</v>
      </c>
      <c r="N20" s="85"/>
      <c r="O20" s="85"/>
    </row>
    <row r="21" spans="1:19" x14ac:dyDescent="0.25">
      <c r="A21" s="101"/>
      <c r="B21" s="102"/>
      <c r="C21" s="103" t="s">
        <v>72</v>
      </c>
      <c r="D21" s="104">
        <f t="shared" ref="D21:F21" si="4">SUM(D16:D20)</f>
        <v>0</v>
      </c>
      <c r="E21" s="104">
        <f t="shared" si="4"/>
        <v>0</v>
      </c>
      <c r="F21" s="84">
        <f t="shared" si="4"/>
        <v>0</v>
      </c>
      <c r="G21" s="667"/>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67"/>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67"/>
      <c r="H23" s="668" t="s">
        <v>22</v>
      </c>
      <c r="I23" s="668"/>
      <c r="J23" s="668"/>
      <c r="K23" s="668"/>
      <c r="L23" s="668"/>
      <c r="M23" s="668"/>
      <c r="N23" s="94"/>
      <c r="O23" s="94"/>
      <c r="P23" s="94"/>
      <c r="Q23" s="94"/>
      <c r="R23" s="94"/>
      <c r="S23" s="94"/>
    </row>
    <row r="24" spans="1:19" x14ac:dyDescent="0.25">
      <c r="A24" s="112" t="s">
        <v>105</v>
      </c>
      <c r="B24" s="113"/>
      <c r="C24" s="113"/>
      <c r="D24" s="63"/>
      <c r="E24" s="120"/>
      <c r="F24" s="120"/>
      <c r="G24" s="667"/>
      <c r="H24" s="112" t="s">
        <v>105</v>
      </c>
      <c r="I24" s="113"/>
      <c r="J24" s="113"/>
      <c r="K24" s="63"/>
      <c r="L24" s="120"/>
      <c r="M24" s="120"/>
      <c r="N24" s="119"/>
      <c r="O24" s="119"/>
      <c r="P24" s="119"/>
      <c r="Q24" s="119"/>
    </row>
    <row r="25" spans="1:19" x14ac:dyDescent="0.25">
      <c r="A25" s="121" t="s">
        <v>71</v>
      </c>
      <c r="B25" s="122" t="s">
        <v>77</v>
      </c>
      <c r="C25" s="123"/>
      <c r="D25" s="124"/>
      <c r="E25" s="123"/>
      <c r="F25" s="123"/>
      <c r="G25" s="667"/>
      <c r="H25" s="121" t="s">
        <v>71</v>
      </c>
      <c r="I25" s="122" t="s">
        <v>77</v>
      </c>
      <c r="J25" s="123"/>
      <c r="K25" s="124"/>
      <c r="L25" s="123"/>
      <c r="M25" s="123"/>
      <c r="N25" s="119"/>
      <c r="O25" s="119"/>
      <c r="P25" s="119"/>
      <c r="Q25" s="119"/>
    </row>
    <row r="26" spans="1:19" x14ac:dyDescent="0.25">
      <c r="A26" s="125" t="str">
        <f>CONCATENATE("SFY ",'2. Getting Started'!B6+6," Projected Child Count")</f>
        <v>SFY 2027 Projected Child Count</v>
      </c>
      <c r="B26" s="126" t="str">
        <f>IF('23. Year 7 Amounts'!B1="","",'23. Year 7 Amounts'!B1)</f>
        <v/>
      </c>
      <c r="C26" s="123"/>
      <c r="D26" s="124"/>
      <c r="E26" s="123"/>
      <c r="F26" s="123"/>
      <c r="G26" s="667"/>
      <c r="H26" s="125" t="str">
        <f>CONCATENATE("SFY ",'2. Getting Started'!B6+6," Child Count")</f>
        <v>SFY 2027 Child Count</v>
      </c>
      <c r="I26" s="126" t="str">
        <f>IF('23. Year 7 Amounts'!I1="","",'23. Year 7 Amounts'!I1)</f>
        <v/>
      </c>
      <c r="J26" s="123"/>
      <c r="K26" s="124"/>
      <c r="L26" s="123"/>
      <c r="M26" s="123"/>
      <c r="N26" s="119"/>
      <c r="O26" s="119"/>
      <c r="P26" s="119"/>
      <c r="Q26" s="119"/>
    </row>
    <row r="27" spans="1:19" x14ac:dyDescent="0.25">
      <c r="A27" s="125" t="str">
        <f>CONCATENATE("SFY ",'2. Getting Started'!B6+5," Projected Child Count")</f>
        <v>SFY 2026 Projected Child Count</v>
      </c>
      <c r="B27" s="126" t="str">
        <f>IF('20. Year 6 Amounts'!B1="","",'20. Year 6 Amounts'!B1)</f>
        <v/>
      </c>
      <c r="C27" s="119"/>
      <c r="D27" s="128"/>
      <c r="E27" s="119"/>
      <c r="F27" s="123"/>
      <c r="G27" s="667"/>
      <c r="H27" s="125" t="str">
        <f>CONCATENATE("SFY ",'2. Getting Started'!B6+5," Child Count")</f>
        <v>SFY 2026 Child Count</v>
      </c>
      <c r="I27" s="126" t="str">
        <f>IF('20. Year 6 Amounts'!I1="","",'20. Year 6 Amounts'!I1)</f>
        <v/>
      </c>
      <c r="J27" s="119"/>
      <c r="K27" s="128"/>
      <c r="L27" s="119"/>
      <c r="M27" s="123"/>
      <c r="N27" s="129"/>
      <c r="O27" s="129"/>
      <c r="P27" s="129"/>
      <c r="Q27" s="129"/>
    </row>
    <row r="28" spans="1:19" x14ac:dyDescent="0.25">
      <c r="A28" s="127" t="s">
        <v>78</v>
      </c>
      <c r="B28" s="130" t="str">
        <f>IF(B26="","",B26-B27)</f>
        <v/>
      </c>
      <c r="C28" s="123" t="str">
        <f>IF(B28="","",IF(B28&gt;=0,"Not eligible for this exception",""))</f>
        <v/>
      </c>
      <c r="D28" s="124"/>
      <c r="E28" s="123"/>
      <c r="F28" s="123"/>
      <c r="G28" s="667"/>
      <c r="H28" s="127" t="s">
        <v>78</v>
      </c>
      <c r="I28" s="130" t="str">
        <f>IF(I26="","",I26-I27)</f>
        <v/>
      </c>
      <c r="J28" s="123" t="str">
        <f>IF(I28="","",IF(I28&gt;=0,"Not eligible for this exception",""))</f>
        <v/>
      </c>
      <c r="K28" s="124"/>
      <c r="L28" s="123"/>
      <c r="M28" s="123"/>
      <c r="N28" s="132"/>
      <c r="O28" s="132"/>
      <c r="P28" s="132"/>
      <c r="Q28" s="132"/>
    </row>
    <row r="29" spans="1:19" x14ac:dyDescent="0.25">
      <c r="A29" s="133" t="s">
        <v>79</v>
      </c>
      <c r="B29" s="134" t="str">
        <f>IF(B26="","",IF(B28&lt;=0,ABS(B28/B27),""))</f>
        <v/>
      </c>
      <c r="C29" s="135"/>
      <c r="D29" s="136"/>
      <c r="E29" s="135"/>
      <c r="F29" s="10"/>
      <c r="G29" s="667"/>
      <c r="H29" s="133" t="s">
        <v>79</v>
      </c>
      <c r="I29" s="134" t="str">
        <f>IF(I26="","",IF(I28&lt;=0,ABS(I28/I27),""))</f>
        <v/>
      </c>
      <c r="J29" s="135"/>
      <c r="K29" s="136"/>
      <c r="L29" s="135"/>
      <c r="M29" s="10"/>
      <c r="N29" s="137"/>
      <c r="O29" s="137"/>
      <c r="P29" s="138"/>
      <c r="Q29" s="138"/>
    </row>
    <row r="30" spans="1:19" ht="31.5" x14ac:dyDescent="0.25">
      <c r="A30" s="115" t="s">
        <v>71</v>
      </c>
      <c r="B30" s="116" t="s">
        <v>0</v>
      </c>
      <c r="C30" s="116" t="s">
        <v>2</v>
      </c>
      <c r="D30" s="10"/>
      <c r="E30" s="72"/>
      <c r="F30" s="72"/>
      <c r="G30" s="667"/>
      <c r="H30" s="115" t="s">
        <v>71</v>
      </c>
      <c r="I30" s="116" t="s">
        <v>75</v>
      </c>
      <c r="J30" s="116" t="s">
        <v>76</v>
      </c>
      <c r="K30" s="10"/>
      <c r="L30" s="72"/>
      <c r="M30" s="72"/>
      <c r="N30" s="138"/>
      <c r="O30" s="138"/>
    </row>
    <row r="31" spans="1:19" x14ac:dyDescent="0.25">
      <c r="A31" s="139" t="str">
        <f>CONCATENATE("SFY ",'2. Getting Started'!B6+5," Budget")</f>
        <v>SFY 2026 Budget</v>
      </c>
      <c r="B31" s="140" t="str">
        <f>IF('20. Year 6 Amounts'!D30="","",'20. Year 6 Amounts'!D30)</f>
        <v/>
      </c>
      <c r="C31" s="140" t="str">
        <f>IF('20. Year 6 Amounts'!F30="","",'20. Year 6 Amounts'!F30)</f>
        <v/>
      </c>
      <c r="D31" s="141"/>
      <c r="E31" s="74"/>
      <c r="F31" s="74"/>
      <c r="G31" s="667"/>
      <c r="H31" s="139" t="str">
        <f>CONCATENATE("SFY ",'2. Getting Started'!B6+5," Final Expenditures")</f>
        <v>SFY 2026 Final Expenditures</v>
      </c>
      <c r="I31" s="140" t="str">
        <f>IF('20. Year 6 Amounts'!K30="","",'20. Year 6 Amounts'!K30)</f>
        <v/>
      </c>
      <c r="J31" s="140" t="str">
        <f>IF('20. Year 6 Amounts'!M30="","",'20. Year 6 Amounts'!M30)</f>
        <v/>
      </c>
      <c r="K31" s="142"/>
      <c r="L31" s="74"/>
      <c r="M31" s="74"/>
    </row>
    <row r="32" spans="1:19" x14ac:dyDescent="0.25">
      <c r="A32" s="117" t="s">
        <v>80</v>
      </c>
      <c r="B32" s="143" t="str">
        <f>IF(OR($B26="",B29="",B31=""),"",($B29*B31))</f>
        <v/>
      </c>
      <c r="C32" s="143" t="str">
        <f>IF(OR($B26="",B29="",C31=""),"",($B29*C31))</f>
        <v/>
      </c>
      <c r="D32" s="142"/>
      <c r="E32" s="118"/>
      <c r="F32" s="118"/>
      <c r="G32" s="667"/>
      <c r="H32" s="117" t="s">
        <v>81</v>
      </c>
      <c r="I32" s="143" t="str">
        <f>IF(OR($I26="",I29="",I31=""),"",($I29*I31))</f>
        <v/>
      </c>
      <c r="J32" s="143" t="str">
        <f>IF(OR($I26="",I29="",J31=""),"",($I29*J31))</f>
        <v/>
      </c>
      <c r="K32" s="142"/>
      <c r="L32" s="118"/>
      <c r="M32" s="118"/>
    </row>
    <row r="33" spans="1:28" ht="16.5" thickBot="1" x14ac:dyDescent="0.3">
      <c r="A33" s="663" t="s">
        <v>22</v>
      </c>
      <c r="B33" s="663"/>
      <c r="C33" s="663"/>
      <c r="D33" s="123"/>
      <c r="E33" s="123"/>
      <c r="F33" s="123"/>
      <c r="G33" s="667"/>
      <c r="H33" s="663" t="s">
        <v>22</v>
      </c>
      <c r="I33" s="663"/>
      <c r="J33" s="663"/>
      <c r="K33" s="123"/>
      <c r="L33" s="123"/>
      <c r="M33" s="123"/>
      <c r="P33" s="118"/>
      <c r="Q33" s="118"/>
      <c r="R33" s="118"/>
      <c r="S33" s="118"/>
      <c r="T33" s="118"/>
      <c r="U33" s="74"/>
      <c r="V33" s="118"/>
      <c r="W33" s="118"/>
      <c r="X33" s="118"/>
      <c r="Y33" s="118"/>
      <c r="Z33" s="118"/>
      <c r="AA33" s="118"/>
    </row>
    <row r="34" spans="1:28" x14ac:dyDescent="0.25">
      <c r="A34" s="112" t="s">
        <v>82</v>
      </c>
      <c r="B34" s="145"/>
      <c r="C34" s="146"/>
      <c r="D34" s="147"/>
      <c r="E34" s="131"/>
      <c r="F34" s="131"/>
      <c r="G34" s="667"/>
      <c r="H34" s="112" t="s">
        <v>82</v>
      </c>
      <c r="I34" s="145"/>
      <c r="J34" s="146"/>
      <c r="K34" s="147"/>
      <c r="L34" s="131"/>
      <c r="M34" s="131"/>
      <c r="P34" s="118"/>
      <c r="Q34" s="118"/>
      <c r="R34" s="118"/>
      <c r="S34" s="118"/>
      <c r="T34" s="118"/>
      <c r="U34" s="118"/>
      <c r="V34" s="118"/>
      <c r="W34" s="118"/>
      <c r="X34" s="118"/>
      <c r="Y34" s="118"/>
      <c r="Z34" s="118"/>
      <c r="AA34" s="118"/>
    </row>
    <row r="35" spans="1:28" x14ac:dyDescent="0.25">
      <c r="A35" s="148" t="s">
        <v>83</v>
      </c>
      <c r="B35" s="72"/>
      <c r="C35" s="149"/>
      <c r="D35" s="150"/>
      <c r="E35" s="10"/>
      <c r="F35" s="10"/>
      <c r="G35" s="667"/>
      <c r="H35" s="148" t="s">
        <v>83</v>
      </c>
      <c r="I35" s="72"/>
      <c r="J35" s="149"/>
      <c r="K35" s="150"/>
      <c r="L35" s="10"/>
      <c r="M35" s="10"/>
      <c r="P35" s="74"/>
      <c r="Q35" s="74"/>
      <c r="R35" s="74"/>
      <c r="S35" s="74"/>
      <c r="T35" s="74"/>
      <c r="U35" s="74"/>
      <c r="V35" s="74"/>
      <c r="W35" s="74"/>
      <c r="X35" s="74"/>
      <c r="Y35" s="74"/>
      <c r="Z35" s="74"/>
      <c r="AA35" s="74"/>
    </row>
    <row r="36" spans="1:28" x14ac:dyDescent="0.25">
      <c r="A36" s="151" t="s">
        <v>84</v>
      </c>
      <c r="B36" s="72"/>
      <c r="C36" s="152"/>
      <c r="D36" s="150"/>
      <c r="E36" s="10"/>
      <c r="F36" s="10"/>
      <c r="G36" s="667"/>
      <c r="H36" s="151" t="s">
        <v>84</v>
      </c>
      <c r="I36" s="72"/>
      <c r="J36" s="152"/>
      <c r="K36" s="150"/>
      <c r="L36" s="10"/>
      <c r="M36" s="10"/>
      <c r="Q36" s="74"/>
      <c r="R36" s="74"/>
      <c r="S36" s="74"/>
      <c r="T36" s="74"/>
      <c r="U36" s="74"/>
      <c r="V36" s="74"/>
      <c r="W36" s="74"/>
      <c r="X36" s="74"/>
      <c r="Y36" s="74"/>
      <c r="Z36" s="74"/>
      <c r="AA36" s="74"/>
      <c r="AB36" s="74"/>
    </row>
    <row r="37" spans="1:28" x14ac:dyDescent="0.25">
      <c r="A37" s="153" t="s">
        <v>85</v>
      </c>
      <c r="B37" s="154" t="s">
        <v>86</v>
      </c>
      <c r="C37" s="155" t="s">
        <v>87</v>
      </c>
      <c r="D37" s="118"/>
      <c r="E37" s="144"/>
      <c r="F37" s="144"/>
      <c r="G37" s="667"/>
      <c r="H37" s="153" t="s">
        <v>85</v>
      </c>
      <c r="I37" s="154" t="s">
        <v>86</v>
      </c>
      <c r="J37" s="155" t="s">
        <v>88</v>
      </c>
      <c r="K37" s="118"/>
      <c r="L37" s="144"/>
      <c r="M37" s="144"/>
      <c r="P37" s="94"/>
      <c r="Q37" s="94"/>
      <c r="R37" s="94"/>
      <c r="S37" s="94"/>
      <c r="T37" s="94"/>
      <c r="U37" s="94"/>
      <c r="V37" s="94"/>
      <c r="W37" s="94"/>
      <c r="X37" s="94"/>
      <c r="Y37" s="94"/>
      <c r="Z37" s="94"/>
      <c r="AA37" s="94"/>
    </row>
    <row r="38" spans="1:28" x14ac:dyDescent="0.25">
      <c r="A38" s="191"/>
      <c r="B38" s="192"/>
      <c r="C38" s="193"/>
      <c r="D38" s="144"/>
      <c r="E38" s="144"/>
      <c r="F38" s="144"/>
      <c r="G38" s="667"/>
      <c r="H38" s="191"/>
      <c r="I38" s="192"/>
      <c r="J38" s="193"/>
      <c r="K38" s="144"/>
      <c r="L38" s="144"/>
      <c r="M38" s="144"/>
      <c r="P38" s="94"/>
      <c r="Q38" s="94"/>
      <c r="R38" s="94"/>
      <c r="S38" s="94"/>
      <c r="T38" s="94"/>
      <c r="U38" s="94"/>
      <c r="V38" s="94"/>
      <c r="W38" s="94"/>
      <c r="X38" s="94"/>
      <c r="Y38" s="94"/>
      <c r="Z38" s="94"/>
      <c r="AA38" s="94"/>
    </row>
    <row r="39" spans="1:28" x14ac:dyDescent="0.25">
      <c r="A39" s="191"/>
      <c r="B39" s="192"/>
      <c r="C39" s="193"/>
      <c r="D39" s="144"/>
      <c r="E39" s="72"/>
      <c r="F39" s="72"/>
      <c r="G39" s="667"/>
      <c r="H39" s="191"/>
      <c r="I39" s="192"/>
      <c r="J39" s="193"/>
      <c r="K39" s="144"/>
      <c r="L39" s="72"/>
      <c r="M39" s="72"/>
      <c r="P39" s="94"/>
      <c r="Q39" s="94"/>
      <c r="R39" s="94"/>
      <c r="S39" s="94"/>
      <c r="T39" s="94"/>
      <c r="U39" s="94"/>
      <c r="V39" s="94"/>
      <c r="W39" s="94"/>
      <c r="X39" s="94"/>
      <c r="Y39" s="94"/>
      <c r="Z39" s="94"/>
      <c r="AA39" s="94"/>
    </row>
    <row r="40" spans="1:28" x14ac:dyDescent="0.25">
      <c r="A40" s="191"/>
      <c r="B40" s="192"/>
      <c r="C40" s="193"/>
      <c r="D40" s="144"/>
      <c r="E40" s="72"/>
      <c r="F40" s="72"/>
      <c r="G40" s="667"/>
      <c r="H40" s="191"/>
      <c r="I40" s="192"/>
      <c r="J40" s="193"/>
      <c r="K40" s="144"/>
      <c r="L40" s="72"/>
      <c r="M40" s="72"/>
      <c r="P40" s="94"/>
      <c r="Q40" s="94"/>
      <c r="R40" s="94"/>
      <c r="S40" s="94"/>
      <c r="T40" s="94"/>
      <c r="U40" s="94"/>
      <c r="V40" s="94"/>
      <c r="W40" s="94"/>
      <c r="X40" s="94"/>
      <c r="Y40" s="94"/>
      <c r="Z40" s="94"/>
      <c r="AA40" s="94"/>
    </row>
    <row r="41" spans="1:28" x14ac:dyDescent="0.25">
      <c r="A41" s="191"/>
      <c r="B41" s="192"/>
      <c r="C41" s="193"/>
      <c r="D41" s="144"/>
      <c r="E41" s="120"/>
      <c r="F41" s="120"/>
      <c r="G41" s="667"/>
      <c r="H41" s="191"/>
      <c r="I41" s="192"/>
      <c r="J41" s="193"/>
      <c r="K41" s="144"/>
      <c r="L41" s="120"/>
      <c r="M41" s="120"/>
      <c r="P41" s="94"/>
      <c r="Q41" s="94"/>
      <c r="R41" s="94"/>
      <c r="S41" s="94"/>
      <c r="T41" s="94"/>
      <c r="U41" s="94"/>
      <c r="V41" s="94"/>
      <c r="W41" s="94"/>
      <c r="X41" s="94"/>
      <c r="Y41" s="94"/>
      <c r="Z41" s="94"/>
      <c r="AA41" s="94"/>
    </row>
    <row r="42" spans="1:28" x14ac:dyDescent="0.25">
      <c r="A42" s="191"/>
      <c r="B42" s="192"/>
      <c r="C42" s="193"/>
      <c r="D42" s="144"/>
      <c r="F42" s="10"/>
      <c r="G42" s="667"/>
      <c r="H42" s="191"/>
      <c r="I42" s="192"/>
      <c r="J42" s="193"/>
      <c r="K42" s="144"/>
      <c r="M42" s="10"/>
      <c r="P42" s="74"/>
      <c r="Q42" s="74"/>
      <c r="R42" s="74"/>
      <c r="S42" s="74"/>
      <c r="T42" s="74"/>
      <c r="U42" s="74"/>
      <c r="V42" s="74"/>
      <c r="W42" s="74"/>
      <c r="X42" s="74"/>
      <c r="Y42" s="74"/>
      <c r="Z42" s="74"/>
      <c r="AA42" s="74"/>
    </row>
    <row r="43" spans="1:28" x14ac:dyDescent="0.25">
      <c r="A43" s="157" t="s">
        <v>89</v>
      </c>
      <c r="B43" s="158"/>
      <c r="C43" s="159">
        <f>SUM(C38:C42)</f>
        <v>0</v>
      </c>
      <c r="D43" s="144"/>
      <c r="E43" s="74"/>
      <c r="F43" s="72"/>
      <c r="G43" s="667"/>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67"/>
      <c r="H44" s="669" t="s">
        <v>22</v>
      </c>
      <c r="I44" s="669"/>
      <c r="J44" s="669"/>
      <c r="K44" s="72"/>
      <c r="L44" s="72"/>
      <c r="M44" s="72"/>
      <c r="P44" s="94"/>
      <c r="Q44" s="94"/>
      <c r="R44" s="94"/>
      <c r="S44" s="94"/>
      <c r="T44" s="94"/>
      <c r="U44" s="94"/>
      <c r="V44" s="94"/>
      <c r="W44" s="94"/>
      <c r="X44" s="94"/>
      <c r="Y44" s="94"/>
      <c r="Z44" s="94"/>
      <c r="AA44" s="94"/>
    </row>
    <row r="45" spans="1:28" x14ac:dyDescent="0.25">
      <c r="A45" s="112" t="s">
        <v>91</v>
      </c>
      <c r="B45" s="114"/>
      <c r="C45" s="120"/>
      <c r="D45" s="120"/>
      <c r="E45" s="120"/>
      <c r="F45" s="120"/>
      <c r="G45" s="667"/>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67"/>
      <c r="H46" s="71" t="s">
        <v>92</v>
      </c>
      <c r="I46" s="152"/>
      <c r="J46" s="120"/>
      <c r="K46" s="72"/>
      <c r="L46" s="74"/>
      <c r="M46" s="74"/>
      <c r="O46" s="94"/>
      <c r="P46" s="94"/>
      <c r="Q46" s="94"/>
      <c r="R46" s="94"/>
      <c r="S46" s="94"/>
      <c r="T46" s="94"/>
      <c r="U46" s="94"/>
      <c r="V46" s="94"/>
      <c r="W46" s="94"/>
      <c r="X46" s="94"/>
      <c r="Y46" s="94"/>
      <c r="Z46" s="94"/>
    </row>
    <row r="47" spans="1:28" x14ac:dyDescent="0.25">
      <c r="A47" s="160" t="s">
        <v>93</v>
      </c>
      <c r="B47" s="161" t="s">
        <v>94</v>
      </c>
      <c r="C47" s="118"/>
      <c r="D47" s="118"/>
      <c r="E47" s="144"/>
      <c r="F47" s="110"/>
      <c r="G47" s="667"/>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67"/>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67"/>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67"/>
      <c r="H50" s="194"/>
      <c r="I50" s="195"/>
      <c r="J50" s="144"/>
      <c r="K50" s="144"/>
      <c r="L50" s="72"/>
      <c r="M50" s="72"/>
    </row>
    <row r="51" spans="1:26" ht="60" customHeight="1" x14ac:dyDescent="0.25">
      <c r="A51" s="194"/>
      <c r="B51" s="195"/>
      <c r="C51" s="144"/>
      <c r="D51" s="144"/>
      <c r="E51" s="162"/>
      <c r="F51" s="162"/>
      <c r="G51" s="667"/>
      <c r="H51" s="194"/>
      <c r="I51" s="195"/>
      <c r="J51" s="144"/>
      <c r="K51" s="144"/>
      <c r="L51" s="162"/>
      <c r="M51" s="162"/>
    </row>
    <row r="52" spans="1:26" ht="60" customHeight="1" x14ac:dyDescent="0.25">
      <c r="A52" s="194"/>
      <c r="B52" s="195"/>
      <c r="C52" s="144"/>
      <c r="D52" s="144"/>
      <c r="E52" s="163"/>
      <c r="F52" s="163"/>
      <c r="G52" s="667"/>
      <c r="H52" s="194"/>
      <c r="I52" s="195"/>
      <c r="J52" s="144"/>
      <c r="K52" s="144"/>
      <c r="L52" s="163"/>
      <c r="M52" s="163"/>
    </row>
    <row r="53" spans="1:26" x14ac:dyDescent="0.25">
      <c r="A53" s="164" t="s">
        <v>89</v>
      </c>
      <c r="B53" s="165">
        <f>SUM(B48:B52)</f>
        <v>0</v>
      </c>
      <c r="C53" s="144"/>
      <c r="D53" s="144"/>
      <c r="E53" s="74"/>
      <c r="G53" s="667"/>
      <c r="H53" s="166" t="s">
        <v>90</v>
      </c>
      <c r="I53" s="165">
        <f>SUM(I48:I52)</f>
        <v>0</v>
      </c>
      <c r="J53" s="144"/>
      <c r="K53" s="144"/>
      <c r="L53" s="74"/>
    </row>
    <row r="54" spans="1:26" ht="16.5" thickBot="1" x14ac:dyDescent="0.3">
      <c r="A54" s="663" t="s">
        <v>22</v>
      </c>
      <c r="B54" s="663"/>
      <c r="C54" s="10"/>
      <c r="D54" s="72"/>
      <c r="E54" s="72"/>
      <c r="F54" s="72"/>
      <c r="G54" s="667"/>
      <c r="H54" s="663" t="s">
        <v>22</v>
      </c>
      <c r="I54" s="663"/>
      <c r="J54" s="10"/>
      <c r="K54" s="72"/>
      <c r="L54" s="72"/>
      <c r="M54" s="72"/>
    </row>
    <row r="55" spans="1:26" x14ac:dyDescent="0.25">
      <c r="A55" s="167" t="str">
        <f>IF('3b. High Cost Fund'!$B9="No","This exception is not valid in your state.","Exception (e) The assumption of cost by the high cost fund operated by the")</f>
        <v>Exception (e) The assumption of cost by the high cost fund operated by the</v>
      </c>
      <c r="B55" s="146"/>
      <c r="C55" s="147"/>
      <c r="D55" s="131"/>
      <c r="E55" s="131"/>
      <c r="F55" s="144"/>
      <c r="G55" s="667"/>
      <c r="H55" s="167" t="str">
        <f>IF('3b. High Cost Fund'!$B9="No","This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Fund'!$B9="No","","SEA under §300.704. MUST be explicitly permitted by the SEA.")</f>
        <v>SEA under §300.704. MUST be explicitly permitted by the SEA.</v>
      </c>
      <c r="B56" s="168"/>
      <c r="C56" s="169"/>
      <c r="D56" s="170"/>
      <c r="E56" s="163"/>
      <c r="F56" s="144"/>
      <c r="G56" s="667"/>
      <c r="H56" s="71" t="str">
        <f>IF('3b. High Cost Fund'!$B9="No","","SEA under §300.704. MUST be explicitly permitted by the SEA.")</f>
        <v>SEA under §300.704. MUST be explicitly permitted by the SEA.</v>
      </c>
      <c r="I56" s="168"/>
      <c r="J56" s="147"/>
      <c r="K56" s="170"/>
      <c r="L56" s="163"/>
      <c r="M56" s="144"/>
    </row>
    <row r="57" spans="1:26" x14ac:dyDescent="0.25">
      <c r="A57" s="171" t="s">
        <v>85</v>
      </c>
      <c r="B57" s="172" t="s">
        <v>96</v>
      </c>
      <c r="C57" s="118"/>
      <c r="D57" s="144"/>
      <c r="E57" s="144"/>
      <c r="F57" s="10"/>
      <c r="G57" s="667"/>
      <c r="H57" s="171" t="s">
        <v>85</v>
      </c>
      <c r="I57" s="172" t="s">
        <v>97</v>
      </c>
      <c r="J57" s="118"/>
      <c r="K57" s="144"/>
      <c r="L57" s="144"/>
      <c r="M57" s="10"/>
    </row>
    <row r="58" spans="1:26" ht="15.4" customHeight="1" x14ac:dyDescent="0.25">
      <c r="A58" s="196"/>
      <c r="B58" s="197"/>
      <c r="C58" s="337" t="str">
        <f>IF(AND(B58&lt;&gt;"",'3b. High Cost Fund'!$B9="No"),"Invalid entry. This exception is valid only in states with high-cost funds. If your state has a high-cost fund, please indicate that on tab 3b.","")</f>
        <v/>
      </c>
      <c r="D58" s="144"/>
      <c r="E58" s="144"/>
      <c r="F58" s="10"/>
      <c r="G58" s="667"/>
      <c r="H58" s="196"/>
      <c r="I58" s="197"/>
      <c r="J58" s="337" t="str">
        <f>IF(AND(I58&lt;&gt;"",'3b. High Cost Fund'!$B9="No"),"Invalid entry. This exception is valid only in states with high-cost funds. If your state has a high-cost fund, please indicate that on tab 3b.","")</f>
        <v/>
      </c>
      <c r="K58" s="144"/>
      <c r="L58" s="144"/>
      <c r="M58" s="10"/>
    </row>
    <row r="59" spans="1:26" x14ac:dyDescent="0.25">
      <c r="A59" s="196"/>
      <c r="B59" s="197"/>
      <c r="C59" s="144"/>
      <c r="D59" s="10"/>
      <c r="E59" s="10"/>
      <c r="F59" s="10"/>
      <c r="G59" s="667"/>
      <c r="H59" s="196"/>
      <c r="I59" s="197"/>
      <c r="J59" s="144"/>
      <c r="K59" s="10"/>
      <c r="L59" s="10"/>
      <c r="M59" s="10"/>
    </row>
    <row r="60" spans="1:26" x14ac:dyDescent="0.25">
      <c r="A60" s="196"/>
      <c r="B60" s="197"/>
      <c r="C60" s="144"/>
      <c r="D60" s="10"/>
      <c r="E60" s="10"/>
      <c r="F60" s="10"/>
      <c r="G60" s="667"/>
      <c r="H60" s="196"/>
      <c r="I60" s="197"/>
      <c r="J60" s="144"/>
      <c r="K60" s="10"/>
      <c r="L60" s="10"/>
      <c r="M60" s="10"/>
    </row>
    <row r="61" spans="1:26" x14ac:dyDescent="0.25">
      <c r="A61" s="196"/>
      <c r="B61" s="197"/>
      <c r="C61" s="144"/>
      <c r="D61" s="10"/>
      <c r="E61" s="10"/>
      <c r="F61" s="10"/>
      <c r="G61" s="667"/>
      <c r="H61" s="196"/>
      <c r="I61" s="197"/>
      <c r="J61" s="144"/>
      <c r="K61" s="10"/>
      <c r="L61" s="10"/>
      <c r="M61" s="10"/>
    </row>
    <row r="62" spans="1:26" x14ac:dyDescent="0.25">
      <c r="A62" s="196"/>
      <c r="B62" s="197"/>
      <c r="C62" s="144"/>
      <c r="D62" s="10"/>
      <c r="E62" s="10"/>
      <c r="F62" s="10"/>
      <c r="G62" s="667"/>
      <c r="H62" s="196"/>
      <c r="I62" s="197"/>
      <c r="J62" s="144"/>
      <c r="K62" s="10"/>
      <c r="L62" s="10"/>
      <c r="M62" s="10"/>
    </row>
    <row r="63" spans="1:26" x14ac:dyDescent="0.25">
      <c r="A63" s="173" t="s">
        <v>89</v>
      </c>
      <c r="B63" s="174">
        <f>IF('3b. High Cost Fund'!$B9="No",0,SUM(B58:B62))</f>
        <v>0</v>
      </c>
      <c r="C63" s="144"/>
      <c r="D63" s="10"/>
      <c r="E63" s="10"/>
      <c r="F63" s="10"/>
      <c r="G63" s="667"/>
      <c r="H63" s="175" t="s">
        <v>90</v>
      </c>
      <c r="I63" s="174">
        <f>IF('3b. High Cost Fund'!$B9="No",0,SUM(I58:I62))</f>
        <v>0</v>
      </c>
      <c r="J63" s="144"/>
      <c r="K63" s="10"/>
      <c r="L63" s="10"/>
      <c r="M63" s="10"/>
    </row>
    <row r="64" spans="1:26" ht="16.5" thickBot="1" x14ac:dyDescent="0.3">
      <c r="A64" s="663" t="s">
        <v>22</v>
      </c>
      <c r="B64" s="663"/>
      <c r="C64" s="144"/>
      <c r="D64" s="10"/>
      <c r="E64" s="10"/>
      <c r="F64" s="10"/>
      <c r="G64" s="667"/>
      <c r="H64" s="663" t="s">
        <v>22</v>
      </c>
      <c r="I64" s="663"/>
      <c r="J64" s="144"/>
      <c r="K64" s="10"/>
      <c r="L64" s="10"/>
      <c r="M64" s="10"/>
    </row>
    <row r="65" spans="1:13" x14ac:dyDescent="0.25">
      <c r="A65" s="347" t="s">
        <v>107</v>
      </c>
      <c r="B65" s="348"/>
      <c r="C65" s="144"/>
      <c r="D65" s="10"/>
      <c r="E65" s="10"/>
      <c r="F65" s="10"/>
      <c r="G65" s="667"/>
      <c r="H65" s="347" t="s">
        <v>106</v>
      </c>
      <c r="I65" s="348"/>
      <c r="J65" s="144"/>
      <c r="K65" s="10"/>
      <c r="L65" s="10"/>
      <c r="M65" s="10"/>
    </row>
    <row r="66" spans="1:13" x14ac:dyDescent="0.25">
      <c r="A66" s="242" t="s">
        <v>123</v>
      </c>
      <c r="B66" s="265" t="s">
        <v>124</v>
      </c>
      <c r="C66" s="144"/>
      <c r="D66" s="10"/>
      <c r="E66" s="10"/>
      <c r="F66" s="10"/>
      <c r="G66" s="667"/>
      <c r="H66" s="269" t="s">
        <v>123</v>
      </c>
      <c r="I66" s="270" t="s">
        <v>124</v>
      </c>
      <c r="J66" s="144"/>
      <c r="K66" s="10"/>
      <c r="L66" s="10"/>
      <c r="M66" s="10"/>
    </row>
    <row r="67" spans="1:13" x14ac:dyDescent="0.25">
      <c r="A67" s="103" t="s">
        <v>0</v>
      </c>
      <c r="B67" s="240">
        <f>IF(B$28&gt;=0,(F$22+C$43+B$53+B$63),(F$22+C$43+B$53+B$63+B$32))</f>
        <v>0</v>
      </c>
      <c r="C67" s="144"/>
      <c r="D67" s="10"/>
      <c r="E67" s="10"/>
      <c r="F67" s="10"/>
      <c r="G67" s="667"/>
      <c r="H67" s="103" t="s">
        <v>0</v>
      </c>
      <c r="I67" s="240">
        <f>IF(I$28&gt;=0,(M$22+J$43+I$53+I$63),(M$22+J$43+I$53+I$63+I$32))</f>
        <v>0</v>
      </c>
      <c r="J67" s="144"/>
      <c r="K67" s="10"/>
      <c r="L67" s="10"/>
      <c r="M67" s="10"/>
    </row>
    <row r="68" spans="1:13" x14ac:dyDescent="0.25">
      <c r="A68" s="241" t="s">
        <v>2</v>
      </c>
      <c r="B68" s="174">
        <f>IF(B$28&gt;=0,(F$22+C$43+B$53+B$63),(F$22+C$43+B$53+B$63+C$32))</f>
        <v>0</v>
      </c>
      <c r="C68" s="144"/>
      <c r="D68" s="10"/>
      <c r="E68" s="10"/>
      <c r="F68" s="10"/>
      <c r="G68" s="667"/>
      <c r="H68" s="241" t="s">
        <v>2</v>
      </c>
      <c r="I68" s="174">
        <f>IF(I$28&gt;=0,(M$22+J$43+I$53+I$63),(M$22+J$43+I$53+I$63+J$32))</f>
        <v>0</v>
      </c>
      <c r="J68" s="144"/>
      <c r="K68" s="10"/>
      <c r="L68" s="10"/>
      <c r="M68" s="10"/>
    </row>
    <row r="69" spans="1:13" ht="16.5" thickBot="1" x14ac:dyDescent="0.3">
      <c r="A69" s="664" t="s">
        <v>22</v>
      </c>
      <c r="B69" s="664"/>
      <c r="C69" s="10"/>
      <c r="D69" s="10"/>
      <c r="E69" s="10"/>
      <c r="F69" s="10"/>
      <c r="G69" s="667"/>
      <c r="H69" s="664" t="s">
        <v>22</v>
      </c>
      <c r="I69" s="664"/>
      <c r="J69" s="10"/>
      <c r="K69" s="10"/>
      <c r="L69" s="10"/>
      <c r="M69" s="10"/>
    </row>
    <row r="70" spans="1:13" ht="31.15" customHeight="1" x14ac:dyDescent="0.25">
      <c r="A70" s="336" t="s">
        <v>98</v>
      </c>
      <c r="B70" s="177"/>
      <c r="C70" s="11"/>
      <c r="D70" s="178"/>
      <c r="E70" s="10"/>
      <c r="F70" s="10"/>
      <c r="G70" s="667"/>
      <c r="H70" s="336" t="s">
        <v>98</v>
      </c>
      <c r="I70" s="177"/>
      <c r="J70" s="11"/>
      <c r="K70" s="178"/>
      <c r="L70" s="10"/>
      <c r="M70" s="10"/>
    </row>
    <row r="71" spans="1:13" x14ac:dyDescent="0.25">
      <c r="A71" s="179" t="s">
        <v>71</v>
      </c>
      <c r="B71" s="180" t="s">
        <v>99</v>
      </c>
      <c r="C71" s="11" t="s">
        <v>100</v>
      </c>
      <c r="E71" s="10"/>
      <c r="F71" s="10"/>
      <c r="G71" s="667"/>
      <c r="H71" s="179" t="s">
        <v>71</v>
      </c>
      <c r="I71" s="180" t="s">
        <v>101</v>
      </c>
      <c r="J71" s="11" t="s">
        <v>100</v>
      </c>
      <c r="K71" s="10"/>
      <c r="L71" s="10"/>
      <c r="M71" s="10"/>
    </row>
    <row r="72" spans="1:13" x14ac:dyDescent="0.25">
      <c r="A72" s="181" t="s">
        <v>102</v>
      </c>
      <c r="B72" s="198">
        <v>0</v>
      </c>
      <c r="C72" s="182" t="s">
        <v>103</v>
      </c>
      <c r="D72" s="10"/>
      <c r="E72" s="10"/>
      <c r="F72" s="10"/>
      <c r="G72" s="667"/>
      <c r="H72" s="181" t="s">
        <v>104</v>
      </c>
      <c r="I72" s="198">
        <f>IF(I$28&gt;=0,(M$22+J$43+I$53+I$63),(M$22+J$43+I$53+I$63+J$32))</f>
        <v>0</v>
      </c>
      <c r="J72" s="182" t="s">
        <v>103</v>
      </c>
      <c r="K72" s="10"/>
      <c r="L72" s="10"/>
      <c r="M72" s="10"/>
    </row>
    <row r="73" spans="1:13" ht="30" customHeight="1" x14ac:dyDescent="0.25">
      <c r="A73" s="345" t="s">
        <v>184</v>
      </c>
      <c r="B73" s="183"/>
      <c r="C73" s="183"/>
      <c r="D73" s="183"/>
      <c r="E73" s="183"/>
      <c r="F73" s="183"/>
      <c r="G73" s="667"/>
      <c r="H73" s="183"/>
      <c r="I73" s="183"/>
      <c r="J73" s="183"/>
      <c r="K73" s="183"/>
      <c r="L73" s="183"/>
      <c r="M73" s="183"/>
    </row>
    <row r="74" spans="1:13" s="185" customFormat="1" x14ac:dyDescent="0.25">
      <c r="A74" s="358" t="s">
        <v>183</v>
      </c>
      <c r="B74" s="184"/>
      <c r="C74" s="184"/>
      <c r="D74" s="184"/>
      <c r="E74" s="184"/>
      <c r="F74" s="184"/>
      <c r="G74" s="667"/>
      <c r="H74" s="184"/>
      <c r="I74" s="184"/>
      <c r="J74" s="184"/>
      <c r="K74" s="184"/>
      <c r="L74" s="184"/>
      <c r="M74" s="184"/>
    </row>
    <row r="75" spans="1:13" x14ac:dyDescent="0.25">
      <c r="A75" s="665" t="s">
        <v>24</v>
      </c>
      <c r="B75" s="665"/>
      <c r="C75" s="665"/>
      <c r="D75" s="665"/>
      <c r="E75" s="665"/>
      <c r="F75" s="665"/>
      <c r="G75" s="665"/>
      <c r="H75" s="665"/>
      <c r="I75" s="665"/>
      <c r="J75" s="665"/>
      <c r="K75" s="665"/>
      <c r="L75" s="665"/>
      <c r="M75" s="665"/>
    </row>
  </sheetData>
  <sheetProtection algorithmName="SHA-512" hashValue="CR1HkriwCjl+Y7EJHWeIn4/RVQE8LkLkLhYTPxe+S/KT4CuY9WST24NnGBjtWjwJK2TmXJtha1IMtctefgSMTA==" saltValue="MN8h8Rw9DTUnQsveplV84w=="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186" priority="3" operator="containsText" text="not valid">
      <formula>NOT(ISERROR(SEARCH("not valid",A55)))</formula>
    </cfRule>
  </conditionalFormatting>
  <conditionalFormatting sqref="H55">
    <cfRule type="containsText" dxfId="185" priority="1" operator="containsText" text="not valid">
      <formula>NOT(ISERROR(SEARCH("not valid",H55)))</formula>
    </cfRule>
  </conditionalFormatting>
  <dataValidations count="1">
    <dataValidation type="list" allowBlank="1" showInputMessage="1" showErrorMessage="1" sqref="B38:B42 I38:I42" xr:uid="{00000000-0002-0000-1900-000000000000}">
      <formula1>Exception_c</formula1>
    </dataValidation>
  </dataValidations>
  <hyperlinks>
    <hyperlink ref="C72" r:id="rId1" xr:uid="{00000000-0004-0000-1900-000000000000}"/>
    <hyperlink ref="J72" r:id="rId2" xr:uid="{00000000-0004-0000-1900-000001000000}"/>
    <hyperlink ref="A74" r:id="rId3" xr:uid="{00000000-0004-0000-19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0070C0"/>
  </sheetPr>
  <dimension ref="A1:F43"/>
  <sheetViews>
    <sheetView showGridLines="0" workbookViewId="0">
      <selection activeCell="A5" sqref="A5"/>
    </sheetView>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7: State Fiscal Year ",'2. Getting Started'!B6+6)</f>
        <v>Summary of Year 7: State Fiscal Year 2027</v>
      </c>
      <c r="B1" s="299"/>
      <c r="C1" s="299"/>
      <c r="D1" s="21" t="s">
        <v>14</v>
      </c>
      <c r="E1" s="20" t="str">
        <f>IF('2. Getting Started'!B2="","",'2. Getting Started'!B2)</f>
        <v/>
      </c>
    </row>
    <row r="2" spans="1:5" ht="18.75" x14ac:dyDescent="0.3">
      <c r="A2" s="2" t="str">
        <f>CONCATENATE("State fiscal year ",'2. Getting Started'!B6+6," covers the period ",'2. Getting Started'!B4,", ",'2. Getting Started'!B6+5," through ",'2. Getting Started'!B5,", ",'2. Getting Started'!B6+6)</f>
        <v>State fiscal year 2027 covers the period July 1, 2026 through June 30, 2027</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3" t="e">
        <f>IF('2. Getting Started'!B10="","",IF('38.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6" s="257" t="e">
        <f>IF('2. Getting Started'!B13="","",IF('41.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7" spans="1:5" x14ac:dyDescent="0.25">
      <c r="A7" s="243" t="s">
        <v>45</v>
      </c>
      <c r="B7" s="205" t="e">
        <f>IF(B6="","",IF(B6='2.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Started'!$B$6+4,'17. Year 5 Amounts'!K31,IF(D6='2. Getting Started'!$B$6+3,'14. Year 4 Amounts'!K31,IF(D6='2. Getting Started'!$B$6+2,'11. Year 3 Amounts'!K31,IF(D6='2. Getting Started'!$B$6+1,'8. Year 2 Amounts'!K31,IF(D6='2. Getting Started'!$B$6,'5. Year 1 Amounts'!K31,'2. Getting Started'!$C12))))))</f>
        <v>#DIV/0!</v>
      </c>
      <c r="E7" s="267" t="e">
        <f>IF(E6="","",IF(E6='2. Getting Started'!$B$6+4,'17. Year 5 Amounts'!M31,IF(E6='2. Getting Started'!$B$6+3,'14. Year 4 Amounts'!M31,IF(E6='2. Getting Started'!$B$6+2,'11. Year 3 Amounts'!M31,IF(E6='2. Getting Started'!$B$6+1,'8. Year 2 Amounts'!M31,IF(E6='2. Getting Started'!$B$6,'5. Year 1 Amounts'!M31,'2. Getting Started'!$C13))))))</f>
        <v>#DIV/0!</v>
      </c>
    </row>
    <row r="8" spans="1:5" x14ac:dyDescent="0.25">
      <c r="A8" s="243" t="s">
        <v>9</v>
      </c>
      <c r="B8" s="205" t="str">
        <f>'23. Year 7 Amounts'!D30</f>
        <v/>
      </c>
      <c r="C8" s="205" t="str">
        <f>'23. Year 7 Amounts'!F30</f>
        <v/>
      </c>
      <c r="D8" s="205" t="str">
        <f>'23. Year 7 Amounts'!D31</f>
        <v/>
      </c>
      <c r="E8" s="267" t="str">
        <f>'23. Year 7 Amounts'!F31</f>
        <v/>
      </c>
    </row>
    <row r="9" spans="1:5" x14ac:dyDescent="0.25">
      <c r="A9" s="243" t="s">
        <v>117</v>
      </c>
      <c r="B9" s="201" t="str">
        <f>IF(B8="","",IF(B8&gt;=B7,"Met",IF(AND(B8&lt;B7,'38. Total Local Funds'!$B62="Met"),"Met with Exceptions &amp; Adjustments","Did Not Meet")))</f>
        <v/>
      </c>
      <c r="C9" s="201" t="str">
        <f>IF(C8="","",IF(C8&gt;=C7,"Met",IF(AND(C8&lt;C7,'39. Total State &amp; Local Funds'!$B62="Met"),"Met with Exceptions &amp; Adjustments","Did Not Meet")))</f>
        <v/>
      </c>
      <c r="D9" s="201" t="str">
        <f>IF(D8="","",IF(D8&gt;=D7,"Met",IF(AND(D8&lt;D7,'40. Local Funds Per Capita'!$B63="Met"),"Met with Exceptions &amp; Adjustments","Did Not Meet")))</f>
        <v/>
      </c>
      <c r="E9" s="259" t="str">
        <f>IF(E8="","",IF(E8&gt;=E7,"Met",IF(AND(E8&lt;E7,'41. State &amp; Local Funds Per Cap'!$B63="Met"),"Met with Exceptions &amp; Adjustments","Did Not Meet")))</f>
        <v/>
      </c>
    </row>
    <row r="10" spans="1:5" x14ac:dyDescent="0.25">
      <c r="A10" s="246" t="s">
        <v>46</v>
      </c>
      <c r="B10" s="256" t="str">
        <f>IF(B9="","",IF(B9="Did Not Meet",'38. Total Local Funds'!$B60-'38. Total Local Funds'!$B61,0))</f>
        <v/>
      </c>
      <c r="C10" s="256" t="str">
        <f>IF(C9="","",IF(C9="Did Not Meet",'39. Total State &amp; Local Funds'!$B60-'39. Total State &amp; Local Funds'!$B61,0))</f>
        <v/>
      </c>
      <c r="D10" s="256" t="str">
        <f>IF(D9="","",IF(D9="Did Not Meet",(('40. Local Funds Per Capita'!$B61-'40. Local Funds Per Capita'!$B62)*'23. Year 7 Amounts'!B1),0))</f>
        <v/>
      </c>
      <c r="E10" s="261" t="str">
        <f>IF(E9="","",IF(E9="Did Not Meet",(('41. State &amp; Local Funds Per Cap'!$B61-'41. State &amp; Local Funds Per Cap'!$B62)*'23. Year 7 Amounts'!B1),0))</f>
        <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t="e">
        <f>IF('2. Getting Started'!B10="","",IF('38.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14" s="257" t="e">
        <f>IF('2. Getting Started'!B13="","",IF('41.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15" spans="1:5" x14ac:dyDescent="0.25">
      <c r="A15" s="243" t="s">
        <v>45</v>
      </c>
      <c r="B15" s="17" t="e">
        <f>IF(B14="","",IF(B14='2.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#DIV/0!</v>
      </c>
      <c r="E15" s="258" t="e">
        <f>IF(E14="","",IF(E14='2.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#DIV/0!</v>
      </c>
    </row>
    <row r="16" spans="1:5" x14ac:dyDescent="0.25">
      <c r="A16" s="243" t="s">
        <v>11</v>
      </c>
      <c r="B16" s="17" t="str">
        <f>'23. Year 7 Amounts'!K30</f>
        <v/>
      </c>
      <c r="C16" s="17" t="str">
        <f>'23. Year 7 Amounts'!M30</f>
        <v/>
      </c>
      <c r="D16" s="17" t="str">
        <f>'23. Year 7 Amounts'!K31</f>
        <v/>
      </c>
      <c r="E16" s="258" t="str">
        <f>'23. Year 7 Amounts'!M31</f>
        <v/>
      </c>
    </row>
    <row r="17" spans="1:5" x14ac:dyDescent="0.25">
      <c r="A17" s="243" t="s">
        <v>117</v>
      </c>
      <c r="B17" s="201" t="str">
        <f>IF(B16="","",IF(B16&gt;=B15,"Met",IF(AND(B16&lt;B15,'38. Total Local Funds'!F62="Met"),"Met with Exceptions &amp; Adjustments","Did Not Meet")))</f>
        <v/>
      </c>
      <c r="C17" s="201" t="str">
        <f>IF(C16="","",IF(C16&gt;=C15,"Met",IF(AND(C16&lt;C15,'39. Total State &amp; Local Funds'!F62="Met"),"Met with Exceptions &amp; Adjustments","Did Not Meet")))</f>
        <v/>
      </c>
      <c r="D17" s="201" t="str">
        <f>IF(D16="","",IF(D16&gt;=D15,"Met",IF(AND(D16&lt;D15,'40. Local Funds Per Capita'!F63="Met"),"Met with Exceptions &amp; Adjustments","Did Not Meet")))</f>
        <v/>
      </c>
      <c r="E17" s="259" t="str">
        <f>IF(E16="","",IF(E16&gt;=E15,"Met",IF(AND(E16&lt;E15,'41. State &amp; Local Funds Per Cap'!F63="Met"),"Met with Exceptions &amp; Adjustments","Did Not Meet")))</f>
        <v/>
      </c>
    </row>
    <row r="18" spans="1:5" x14ac:dyDescent="0.25">
      <c r="A18" s="246" t="s">
        <v>46</v>
      </c>
      <c r="B18" s="256" t="str">
        <f>IF(B17="","",IF(B17="Did Not Meet",'38. Total Local Funds'!F60-'38. Total Local Funds'!F61,0))</f>
        <v/>
      </c>
      <c r="C18" s="256" t="str">
        <f>IF(C17="","",IF(C17="Did Not Meet",'39. Total State &amp; Local Funds'!F60-'39. Total State &amp; Local Funds'!F61,0))</f>
        <v/>
      </c>
      <c r="D18" s="256" t="str">
        <f>IF(D17="","",IF(D17="Did Not Meet",(('40. Local Funds Per Capita'!F61-'40. Local Funds Per Capita'!F62)*'23. Year 7 Amounts'!I1),0))</f>
        <v/>
      </c>
      <c r="E18" s="261" t="str">
        <f>IF(E17="","",IF(E17="Did Not Meet",(('41. State &amp; Local Funds Per Cap'!F61-'41. State &amp; Local Funds Per Cap'!F62)*'23. Year 7 Amounts'!I1),0))</f>
        <v/>
      </c>
    </row>
    <row r="19" spans="1:5" x14ac:dyDescent="0.25">
      <c r="A19" s="657" t="s">
        <v>174</v>
      </c>
      <c r="B19" s="657"/>
      <c r="C19" s="657"/>
      <c r="D19" s="657"/>
      <c r="E19" s="657"/>
    </row>
    <row r="20" spans="1:5" ht="15.75" x14ac:dyDescent="0.2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x14ac:dyDescent="0.25">
      <c r="A21" s="260" t="s">
        <v>126</v>
      </c>
      <c r="B21" s="271" t="s">
        <v>133</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f>MIN(B24,B18,C18,D18,E18)</f>
        <v>0</v>
      </c>
    </row>
    <row r="26" spans="1:5" x14ac:dyDescent="0.25">
      <c r="A26" s="243" t="s">
        <v>114</v>
      </c>
      <c r="B26" s="263"/>
    </row>
    <row r="27" spans="1:5" x14ac:dyDescent="0.25">
      <c r="A27" s="246" t="s">
        <v>115</v>
      </c>
      <c r="B27" s="26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Started'!B6+6)</f>
        <v>Exceptions and Adjustment Claimed for State Fiscal Year 2027</v>
      </c>
    </row>
    <row r="32" spans="1:5" x14ac:dyDescent="0.25">
      <c r="A32" s="2"/>
      <c r="B32" s="322" t="s">
        <v>147</v>
      </c>
      <c r="C32" s="4"/>
      <c r="D32" s="322" t="s">
        <v>151</v>
      </c>
      <c r="E32" s="4"/>
    </row>
    <row r="33" spans="1:5" x14ac:dyDescent="0.25">
      <c r="A33" s="218" t="s">
        <v>150</v>
      </c>
      <c r="B33" s="323" t="s">
        <v>154</v>
      </c>
      <c r="C33" s="324" t="s">
        <v>155</v>
      </c>
      <c r="D33" s="325" t="s">
        <v>152</v>
      </c>
      <c r="E33" s="324" t="s">
        <v>153</v>
      </c>
    </row>
    <row r="34" spans="1:5" x14ac:dyDescent="0.25">
      <c r="A34" s="224" t="s">
        <v>139</v>
      </c>
      <c r="B34" s="17">
        <f>'24. Year 7 Exc &amp; Adj'!F22</f>
        <v>0</v>
      </c>
      <c r="C34" s="258">
        <f>'24. Year 7 Exc &amp; Adj'!F22</f>
        <v>0</v>
      </c>
      <c r="D34" s="326">
        <f>'24. Year 7 Exc &amp; Adj'!M22</f>
        <v>0</v>
      </c>
      <c r="E34" s="17">
        <f>'24. Year 7 Exc &amp; Adj'!M22</f>
        <v>0</v>
      </c>
    </row>
    <row r="35" spans="1:5" x14ac:dyDescent="0.25">
      <c r="A35" s="224" t="s">
        <v>140</v>
      </c>
      <c r="B35" s="17" t="str">
        <f>'24. Year 7 Exc &amp; Adj'!B32</f>
        <v/>
      </c>
      <c r="C35" s="258" t="str">
        <f>'24. Year 7 Exc &amp; Adj'!C32</f>
        <v/>
      </c>
      <c r="D35" s="326" t="str">
        <f>'24. Year 7 Exc &amp; Adj'!I32</f>
        <v/>
      </c>
      <c r="E35" s="258" t="str">
        <f>'24. Year 7 Exc &amp; Adj'!J32</f>
        <v/>
      </c>
    </row>
    <row r="36" spans="1:5" x14ac:dyDescent="0.25">
      <c r="A36" s="224" t="s">
        <v>141</v>
      </c>
      <c r="B36" s="17">
        <f>'24. Year 7 Exc &amp; Adj'!C43</f>
        <v>0</v>
      </c>
      <c r="C36" s="258">
        <f>'24. Year 7 Exc &amp; Adj'!C43</f>
        <v>0</v>
      </c>
      <c r="D36" s="326">
        <f>'24. Year 7 Exc &amp; Adj'!J43</f>
        <v>0</v>
      </c>
      <c r="E36" s="17">
        <f>'24. Year 7 Exc &amp; Adj'!J43</f>
        <v>0</v>
      </c>
    </row>
    <row r="37" spans="1:5" x14ac:dyDescent="0.25">
      <c r="A37" s="224" t="s">
        <v>142</v>
      </c>
      <c r="B37" s="17">
        <f>'24. Year 7 Exc &amp; Adj'!B53</f>
        <v>0</v>
      </c>
      <c r="C37" s="258">
        <f>'24. Year 7 Exc &amp; Adj'!B53</f>
        <v>0</v>
      </c>
      <c r="D37" s="326">
        <f>'24. Year 7 Exc &amp; Adj'!I53</f>
        <v>0</v>
      </c>
      <c r="E37" s="17">
        <f>'24. Year 7 Exc &amp; Adj'!I53</f>
        <v>0</v>
      </c>
    </row>
    <row r="38" spans="1:5" x14ac:dyDescent="0.25">
      <c r="A38" s="224" t="str">
        <f>IF('3b. High Cost Fund'!$B9="No","This exception is not valid for your state.","Exception (e)")</f>
        <v>Exception (e)</v>
      </c>
      <c r="B38" s="331">
        <f>IF('3b. High Cost Fund'!$B9="No","",'24. Year 7 Exc &amp; Adj'!B63)</f>
        <v>0</v>
      </c>
      <c r="C38" s="332">
        <f>IF('3b. High Cost Fund'!$B9="No","",'24. Year 7 Exc &amp; Adj'!B63)</f>
        <v>0</v>
      </c>
      <c r="D38" s="326">
        <f>IF('3b. High Cost Fund'!$B9="No","",'24. Year 7 Exc &amp; Adj'!I63)</f>
        <v>0</v>
      </c>
      <c r="E38" s="331">
        <f>IF('3b. High Cost Fund'!$B9="No","",'24. Year 7 Exc &amp; Adj'!I63)</f>
        <v>0</v>
      </c>
    </row>
    <row r="39" spans="1:5" x14ac:dyDescent="0.25">
      <c r="A39" s="224" t="s">
        <v>143</v>
      </c>
      <c r="B39" s="17">
        <f>AdjDataYear7Budget[Projected Adjustment]</f>
        <v>0</v>
      </c>
      <c r="C39" s="17">
        <f>AdjDataYear7Budget[Projected Adjustment]</f>
        <v>0</v>
      </c>
      <c r="D39" s="327">
        <f>AdjDataYear7Expenditures[[Adjustment ]]</f>
        <v>0</v>
      </c>
      <c r="E39" s="17">
        <f>AdjDataYear7Expenditures[[Adjustment ]]</f>
        <v>0</v>
      </c>
    </row>
    <row r="40" spans="1:5" x14ac:dyDescent="0.25">
      <c r="A40" s="246" t="s">
        <v>124</v>
      </c>
      <c r="B40" s="328">
        <f>SUM(B34:B39)</f>
        <v>0</v>
      </c>
      <c r="C40" s="329">
        <f>SUM(C34:C39)</f>
        <v>0</v>
      </c>
      <c r="D40" s="330">
        <f>SUM(D34:D39)</f>
        <v>0</v>
      </c>
      <c r="E40" s="329">
        <f>SUM(E34:E39)</f>
        <v>0</v>
      </c>
    </row>
    <row r="41" spans="1:5" ht="28.5"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piJ5rwUfddHmzrH08m1vO65gBROwKddnhnM8CB+sOOJ3FW2VR2ISdyVXiPcumwafba7KiNnK0iiOC2ObaF0PGQ==" saltValue="sfclPyXN/uEYM0JByfWrkw==" spinCount="100000" sheet="1" objects="1" scenarios="1" formatColumns="0" formatRows="0"/>
  <mergeCells count="5">
    <mergeCell ref="A11:E11"/>
    <mergeCell ref="A19:E19"/>
    <mergeCell ref="A28:E28"/>
    <mergeCell ref="A30:E30"/>
    <mergeCell ref="A43:E43"/>
  </mergeCells>
  <conditionalFormatting sqref="B9:E9">
    <cfRule type="containsText" dxfId="184" priority="3" operator="containsText" text="Did Not Meet">
      <formula>NOT(ISERROR(SEARCH("Did Not Meet",B9)))</formula>
    </cfRule>
    <cfRule type="containsText" dxfId="183" priority="4" operator="containsText" text="Met">
      <formula>NOT(ISERROR(SEARCH("Met",B9)))</formula>
    </cfRule>
  </conditionalFormatting>
  <conditionalFormatting sqref="B17:E17">
    <cfRule type="containsText" dxfId="182" priority="1" operator="containsText" text="Did Not Meet">
      <formula>NOT(ISERROR(SEARCH("Did Not Meet",B17)))</formula>
    </cfRule>
    <cfRule type="containsText" dxfId="181" priority="2" operator="containsText" text="Met">
      <formula>NOT(ISERROR(SEARCH("Met",B17)))</formula>
    </cfRule>
  </conditionalFormatting>
  <hyperlinks>
    <hyperlink ref="A29" location="'4. Multi-Year MOE Summary'!A10" display="Go to the Multi-Year MOE Summary" xr:uid="{00000000-0004-0000-1A00-000000000000}"/>
    <hyperlink ref="A42" r:id="rId1" xr:uid="{00000000-0004-0000-1A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FF0000"/>
    <pageSetUpPr autoPageBreaks="0"/>
  </sheetPr>
  <dimension ref="A1:N35"/>
  <sheetViews>
    <sheetView showGridLines="0" workbookViewId="0">
      <pane ySplit="4" topLeftCell="A23" activePane="bottomLeft" state="frozen"/>
      <selection activeCell="A32" sqref="A32:A33"/>
      <selection pane="bottomLeft" activeCell="A32" sqref="A32:A33"/>
    </sheetView>
  </sheetViews>
  <sheetFormatPr defaultColWidth="0" defaultRowHeight="0" customHeight="1"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c r="D1" s="21" t="s">
        <v>14</v>
      </c>
      <c r="E1" s="20" t="str">
        <f>IF('2. Getting Started'!B2="","",'2. Getting Started'!B2)</f>
        <v/>
      </c>
      <c r="G1" s="661" t="s">
        <v>22</v>
      </c>
      <c r="H1" s="19" t="s">
        <v>49</v>
      </c>
      <c r="I1" s="48"/>
      <c r="K1" s="21" t="s">
        <v>14</v>
      </c>
      <c r="L1" s="20" t="str">
        <f>IF('2. Getting Started'!B2="","",'2. Getting Started'!B2)</f>
        <v/>
      </c>
    </row>
    <row r="2" spans="1:13" s="25" customFormat="1" ht="37.9" customHeight="1" thickBot="1" x14ac:dyDescent="0.3">
      <c r="A2" s="22" t="str">
        <f>CONCATENATE("Eligibility Standard - State Fiscal Year ",'2. Getting Started'!B6+7," -  LEA Effort - Budgeted Amounts")</f>
        <v>Eligibility Standard - State Fiscal Year 2028 -  LEA Effort - Budgeted Amounts</v>
      </c>
      <c r="B2" s="23"/>
      <c r="C2" s="23"/>
      <c r="D2" s="23"/>
      <c r="E2" s="23"/>
      <c r="F2" s="24"/>
      <c r="G2" s="661"/>
      <c r="H2" s="22" t="str">
        <f>CONCATENATE("Compliance Standard - State Fiscal Year ",'2. Getting Started'!B6+7," - LEA Effort - Final Expenditures")</f>
        <v>Compliance Standard - State Fiscal Year 2028 - LEA Effort - Final Expenditures</v>
      </c>
      <c r="I2" s="23"/>
      <c r="J2" s="23"/>
      <c r="K2" s="23"/>
      <c r="L2" s="23"/>
      <c r="M2" s="24"/>
    </row>
    <row r="3" spans="1:13" s="25" customFormat="1" ht="24" customHeight="1" x14ac:dyDescent="0.25">
      <c r="A3" s="26"/>
      <c r="B3" s="27"/>
      <c r="D3" s="28" t="str">
        <f>CONCATENATE("SFY ",'2. Getting Started'!$B6+7," Budget")</f>
        <v>SFY 2028 Budget</v>
      </c>
      <c r="E3" s="29"/>
      <c r="F3" s="30"/>
      <c r="G3" s="661"/>
      <c r="H3" s="26"/>
      <c r="I3" s="27"/>
      <c r="J3" s="31"/>
      <c r="K3" s="28" t="str">
        <f>CONCATENATE("SFY ",'2. Getting Started'!$B6+7," Final Expenditures")</f>
        <v>SFY 2028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ht="15.75" x14ac:dyDescent="0.25">
      <c r="A5" s="49"/>
      <c r="B5" s="50"/>
      <c r="C5" s="51"/>
      <c r="D5" s="52"/>
      <c r="E5" s="52"/>
      <c r="F5" s="38" t="str">
        <f>IF(AND(D5="",E5=""),"",SUM(D5:E5))</f>
        <v/>
      </c>
      <c r="G5" s="661"/>
      <c r="H5" s="49"/>
      <c r="I5" s="50"/>
      <c r="J5" s="51"/>
      <c r="K5" s="52"/>
      <c r="L5" s="52"/>
      <c r="M5" s="38" t="str">
        <f>IF(AND(K5="",L5=""),"",SUM(K5:L5))</f>
        <v/>
      </c>
    </row>
    <row r="6" spans="1:13" ht="15.75" x14ac:dyDescent="0.25">
      <c r="A6" s="49"/>
      <c r="B6" s="50"/>
      <c r="C6" s="51"/>
      <c r="D6" s="52"/>
      <c r="E6" s="52"/>
      <c r="F6" s="38" t="str">
        <f t="shared" ref="F6:F29" si="0">IF(AND(D6="",E6=""),"",SUM(D6:E6))</f>
        <v/>
      </c>
      <c r="G6" s="661"/>
      <c r="H6" s="49"/>
      <c r="I6" s="50"/>
      <c r="J6" s="51"/>
      <c r="K6" s="52"/>
      <c r="L6" s="52"/>
      <c r="M6" s="38" t="str">
        <f t="shared" ref="M6:M29" si="1">IF(AND(K6="",L6=""),"",SUM(K6:L6))</f>
        <v/>
      </c>
    </row>
    <row r="7" spans="1:13" ht="15.75" x14ac:dyDescent="0.25">
      <c r="A7" s="49"/>
      <c r="B7" s="50"/>
      <c r="C7" s="51"/>
      <c r="D7" s="52"/>
      <c r="E7" s="52"/>
      <c r="F7" s="38" t="str">
        <f t="shared" si="0"/>
        <v/>
      </c>
      <c r="G7" s="661"/>
      <c r="H7" s="49"/>
      <c r="I7" s="50"/>
      <c r="J7" s="51"/>
      <c r="K7" s="52"/>
      <c r="L7" s="52"/>
      <c r="M7" s="38" t="str">
        <f t="shared" si="1"/>
        <v/>
      </c>
    </row>
    <row r="8" spans="1:13" ht="15.75" x14ac:dyDescent="0.25">
      <c r="A8" s="49"/>
      <c r="B8" s="50"/>
      <c r="C8" s="51"/>
      <c r="D8" s="52"/>
      <c r="E8" s="52"/>
      <c r="F8" s="38" t="str">
        <f t="shared" si="0"/>
        <v/>
      </c>
      <c r="G8" s="661"/>
      <c r="H8" s="49"/>
      <c r="I8" s="50"/>
      <c r="J8" s="51"/>
      <c r="K8" s="52"/>
      <c r="L8" s="52"/>
      <c r="M8" s="38" t="str">
        <f t="shared" si="1"/>
        <v/>
      </c>
    </row>
    <row r="9" spans="1:13" ht="15.75" x14ac:dyDescent="0.25">
      <c r="A9" s="49"/>
      <c r="B9" s="50"/>
      <c r="C9" s="51"/>
      <c r="D9" s="52"/>
      <c r="E9" s="52"/>
      <c r="F9" s="38" t="str">
        <f t="shared" si="0"/>
        <v/>
      </c>
      <c r="G9" s="661"/>
      <c r="H9" s="49"/>
      <c r="I9" s="50"/>
      <c r="J9" s="51"/>
      <c r="K9" s="52"/>
      <c r="L9" s="52"/>
      <c r="M9" s="38" t="str">
        <f t="shared" si="1"/>
        <v/>
      </c>
    </row>
    <row r="10" spans="1:13" ht="15.75" x14ac:dyDescent="0.25">
      <c r="A10" s="49"/>
      <c r="B10" s="50"/>
      <c r="C10" s="51"/>
      <c r="D10" s="52"/>
      <c r="E10" s="52"/>
      <c r="F10" s="38" t="str">
        <f t="shared" si="0"/>
        <v/>
      </c>
      <c r="G10" s="661"/>
      <c r="H10" s="49"/>
      <c r="I10" s="50"/>
      <c r="J10" s="51"/>
      <c r="K10" s="52"/>
      <c r="L10" s="52"/>
      <c r="M10" s="38" t="str">
        <f t="shared" si="1"/>
        <v/>
      </c>
    </row>
    <row r="11" spans="1:13" ht="15.75" x14ac:dyDescent="0.25">
      <c r="A11" s="49"/>
      <c r="B11" s="50"/>
      <c r="C11" s="51"/>
      <c r="D11" s="52"/>
      <c r="E11" s="52"/>
      <c r="F11" s="38" t="str">
        <f t="shared" si="0"/>
        <v/>
      </c>
      <c r="G11" s="661"/>
      <c r="H11" s="49"/>
      <c r="I11" s="50"/>
      <c r="J11" s="51"/>
      <c r="K11" s="52"/>
      <c r="L11" s="52"/>
      <c r="M11" s="38" t="str">
        <f t="shared" si="1"/>
        <v/>
      </c>
    </row>
    <row r="12" spans="1:13" ht="15.75" x14ac:dyDescent="0.25">
      <c r="A12" s="49"/>
      <c r="B12" s="50"/>
      <c r="C12" s="51"/>
      <c r="D12" s="52"/>
      <c r="E12" s="52"/>
      <c r="F12" s="38" t="str">
        <f t="shared" si="0"/>
        <v/>
      </c>
      <c r="G12" s="661"/>
      <c r="H12" s="49"/>
      <c r="I12" s="50"/>
      <c r="J12" s="51"/>
      <c r="K12" s="52"/>
      <c r="L12" s="52"/>
      <c r="M12" s="38" t="str">
        <f t="shared" si="1"/>
        <v/>
      </c>
    </row>
    <row r="13" spans="1:13" ht="15.75" x14ac:dyDescent="0.25">
      <c r="A13" s="49"/>
      <c r="B13" s="50"/>
      <c r="C13" s="51"/>
      <c r="D13" s="52"/>
      <c r="E13" s="52"/>
      <c r="F13" s="38" t="str">
        <f t="shared" si="0"/>
        <v/>
      </c>
      <c r="G13" s="661"/>
      <c r="H13" s="49"/>
      <c r="I13" s="50"/>
      <c r="J13" s="51"/>
      <c r="K13" s="52"/>
      <c r="L13" s="52"/>
      <c r="M13" s="38" t="str">
        <f t="shared" si="1"/>
        <v/>
      </c>
    </row>
    <row r="14" spans="1:13" ht="15.75" x14ac:dyDescent="0.25">
      <c r="A14" s="49"/>
      <c r="B14" s="50"/>
      <c r="C14" s="51"/>
      <c r="D14" s="52"/>
      <c r="E14" s="52"/>
      <c r="F14" s="38" t="str">
        <f t="shared" si="0"/>
        <v/>
      </c>
      <c r="G14" s="661"/>
      <c r="H14" s="49"/>
      <c r="I14" s="50"/>
      <c r="J14" s="51"/>
      <c r="K14" s="52"/>
      <c r="L14" s="52"/>
      <c r="M14" s="38" t="str">
        <f t="shared" si="1"/>
        <v/>
      </c>
    </row>
    <row r="15" spans="1:13" ht="15.75" x14ac:dyDescent="0.25">
      <c r="A15" s="49"/>
      <c r="B15" s="50"/>
      <c r="C15" s="51"/>
      <c r="D15" s="52"/>
      <c r="E15" s="52"/>
      <c r="F15" s="38" t="str">
        <f t="shared" si="0"/>
        <v/>
      </c>
      <c r="G15" s="661"/>
      <c r="H15" s="49"/>
      <c r="I15" s="50"/>
      <c r="J15" s="51"/>
      <c r="K15" s="52"/>
      <c r="L15" s="52"/>
      <c r="M15" s="38" t="str">
        <f t="shared" si="1"/>
        <v/>
      </c>
    </row>
    <row r="16" spans="1:13" ht="15.75" x14ac:dyDescent="0.25">
      <c r="A16" s="49"/>
      <c r="B16" s="50"/>
      <c r="C16" s="51"/>
      <c r="D16" s="52"/>
      <c r="E16" s="52"/>
      <c r="F16" s="38" t="str">
        <f t="shared" si="0"/>
        <v/>
      </c>
      <c r="G16" s="661"/>
      <c r="H16" s="49"/>
      <c r="I16" s="50"/>
      <c r="J16" s="51"/>
      <c r="K16" s="52"/>
      <c r="L16" s="52"/>
      <c r="M16" s="38" t="str">
        <f t="shared" si="1"/>
        <v/>
      </c>
    </row>
    <row r="17" spans="1:13" ht="15.75" x14ac:dyDescent="0.25">
      <c r="A17" s="49"/>
      <c r="B17" s="50"/>
      <c r="C17" s="51"/>
      <c r="D17" s="52"/>
      <c r="E17" s="52"/>
      <c r="F17" s="38" t="str">
        <f t="shared" si="0"/>
        <v/>
      </c>
      <c r="G17" s="661"/>
      <c r="H17" s="49"/>
      <c r="I17" s="50"/>
      <c r="J17" s="51"/>
      <c r="K17" s="52"/>
      <c r="L17" s="52"/>
      <c r="M17" s="38" t="str">
        <f t="shared" si="1"/>
        <v/>
      </c>
    </row>
    <row r="18" spans="1:13" ht="15.75" x14ac:dyDescent="0.25">
      <c r="A18" s="49"/>
      <c r="B18" s="50"/>
      <c r="C18" s="51"/>
      <c r="D18" s="52"/>
      <c r="E18" s="52"/>
      <c r="F18" s="38" t="str">
        <f t="shared" si="0"/>
        <v/>
      </c>
      <c r="G18" s="661"/>
      <c r="H18" s="49"/>
      <c r="I18" s="50"/>
      <c r="J18" s="51"/>
      <c r="K18" s="52"/>
      <c r="L18" s="52"/>
      <c r="M18" s="38" t="str">
        <f t="shared" si="1"/>
        <v/>
      </c>
    </row>
    <row r="19" spans="1:13" ht="15.75" x14ac:dyDescent="0.25">
      <c r="A19" s="49"/>
      <c r="B19" s="50"/>
      <c r="C19" s="51"/>
      <c r="D19" s="52"/>
      <c r="E19" s="52"/>
      <c r="F19" s="38" t="str">
        <f t="shared" si="0"/>
        <v/>
      </c>
      <c r="G19" s="661"/>
      <c r="H19" s="49"/>
      <c r="I19" s="50"/>
      <c r="J19" s="51"/>
      <c r="K19" s="52"/>
      <c r="L19" s="52"/>
      <c r="M19" s="38" t="str">
        <f t="shared" si="1"/>
        <v/>
      </c>
    </row>
    <row r="20" spans="1:13" ht="15.75" x14ac:dyDescent="0.25">
      <c r="A20" s="49"/>
      <c r="B20" s="50"/>
      <c r="C20" s="51"/>
      <c r="D20" s="52"/>
      <c r="E20" s="52"/>
      <c r="F20" s="38" t="str">
        <f t="shared" si="0"/>
        <v/>
      </c>
      <c r="G20" s="661"/>
      <c r="H20" s="49"/>
      <c r="I20" s="50"/>
      <c r="J20" s="51"/>
      <c r="K20" s="52"/>
      <c r="L20" s="52"/>
      <c r="M20" s="38" t="str">
        <f t="shared" si="1"/>
        <v/>
      </c>
    </row>
    <row r="21" spans="1:13" ht="15.75" x14ac:dyDescent="0.25">
      <c r="A21" s="49"/>
      <c r="B21" s="50"/>
      <c r="C21" s="51"/>
      <c r="D21" s="52"/>
      <c r="E21" s="52"/>
      <c r="F21" s="38" t="str">
        <f t="shared" si="0"/>
        <v/>
      </c>
      <c r="G21" s="661"/>
      <c r="H21" s="49"/>
      <c r="I21" s="50"/>
      <c r="J21" s="51"/>
      <c r="K21" s="52"/>
      <c r="L21" s="52"/>
      <c r="M21" s="38" t="str">
        <f t="shared" si="1"/>
        <v/>
      </c>
    </row>
    <row r="22" spans="1:13" ht="15.75" x14ac:dyDescent="0.25">
      <c r="A22" s="49"/>
      <c r="B22" s="50"/>
      <c r="C22" s="51"/>
      <c r="D22" s="52"/>
      <c r="E22" s="52"/>
      <c r="F22" s="38" t="str">
        <f t="shared" si="0"/>
        <v/>
      </c>
      <c r="G22" s="661"/>
      <c r="H22" s="49"/>
      <c r="I22" s="50"/>
      <c r="J22" s="51"/>
      <c r="K22" s="52"/>
      <c r="L22" s="52"/>
      <c r="M22" s="38" t="str">
        <f t="shared" si="1"/>
        <v/>
      </c>
    </row>
    <row r="23" spans="1:13" ht="15.75" x14ac:dyDescent="0.25">
      <c r="A23" s="49"/>
      <c r="B23" s="50"/>
      <c r="C23" s="51"/>
      <c r="D23" s="52"/>
      <c r="E23" s="52"/>
      <c r="F23" s="38" t="str">
        <f t="shared" si="0"/>
        <v/>
      </c>
      <c r="G23" s="661"/>
      <c r="H23" s="49"/>
      <c r="I23" s="50"/>
      <c r="J23" s="51"/>
      <c r="K23" s="52"/>
      <c r="L23" s="52"/>
      <c r="M23" s="38" t="str">
        <f t="shared" si="1"/>
        <v/>
      </c>
    </row>
    <row r="24" spans="1:13" ht="15.75" x14ac:dyDescent="0.25">
      <c r="A24" s="49"/>
      <c r="B24" s="50"/>
      <c r="C24" s="51"/>
      <c r="D24" s="52"/>
      <c r="E24" s="52"/>
      <c r="F24" s="38" t="str">
        <f t="shared" si="0"/>
        <v/>
      </c>
      <c r="G24" s="661"/>
      <c r="H24" s="49"/>
      <c r="I24" s="50"/>
      <c r="J24" s="51"/>
      <c r="K24" s="52"/>
      <c r="L24" s="52"/>
      <c r="M24" s="38" t="str">
        <f t="shared" si="1"/>
        <v/>
      </c>
    </row>
    <row r="25" spans="1:13" ht="15.75" x14ac:dyDescent="0.25">
      <c r="A25" s="49"/>
      <c r="B25" s="50"/>
      <c r="C25" s="51"/>
      <c r="D25" s="52"/>
      <c r="E25" s="52"/>
      <c r="F25" s="38" t="str">
        <f t="shared" si="0"/>
        <v/>
      </c>
      <c r="G25" s="661"/>
      <c r="H25" s="49"/>
      <c r="I25" s="50"/>
      <c r="J25" s="51"/>
      <c r="K25" s="52"/>
      <c r="L25" s="52"/>
      <c r="M25" s="38" t="str">
        <f t="shared" si="1"/>
        <v/>
      </c>
    </row>
    <row r="26" spans="1:13" ht="15.75" x14ac:dyDescent="0.25">
      <c r="A26" s="49"/>
      <c r="B26" s="50"/>
      <c r="C26" s="51"/>
      <c r="D26" s="52"/>
      <c r="E26" s="52"/>
      <c r="F26" s="38" t="str">
        <f t="shared" si="0"/>
        <v/>
      </c>
      <c r="G26" s="661"/>
      <c r="H26" s="49"/>
      <c r="I26" s="50"/>
      <c r="J26" s="51"/>
      <c r="K26" s="52"/>
      <c r="L26" s="52"/>
      <c r="M26" s="38" t="str">
        <f t="shared" si="1"/>
        <v/>
      </c>
    </row>
    <row r="27" spans="1:13" ht="15.75" x14ac:dyDescent="0.25">
      <c r="A27" s="49"/>
      <c r="B27" s="50"/>
      <c r="C27" s="51"/>
      <c r="D27" s="52"/>
      <c r="E27" s="52"/>
      <c r="F27" s="38" t="str">
        <f t="shared" si="0"/>
        <v/>
      </c>
      <c r="G27" s="661"/>
      <c r="H27" s="49"/>
      <c r="I27" s="50"/>
      <c r="J27" s="51"/>
      <c r="K27" s="52"/>
      <c r="L27" s="52"/>
      <c r="M27" s="38" t="str">
        <f t="shared" si="1"/>
        <v/>
      </c>
    </row>
    <row r="28" spans="1:13" ht="15.75" x14ac:dyDescent="0.25">
      <c r="A28" s="49"/>
      <c r="B28" s="50"/>
      <c r="C28" s="51"/>
      <c r="D28" s="52"/>
      <c r="E28" s="52"/>
      <c r="F28" s="38" t="str">
        <f t="shared" si="0"/>
        <v/>
      </c>
      <c r="G28" s="661"/>
      <c r="H28" s="49"/>
      <c r="I28" s="50"/>
      <c r="J28" s="51"/>
      <c r="K28" s="52"/>
      <c r="L28" s="52"/>
      <c r="M28" s="38" t="str">
        <f t="shared" si="1"/>
        <v/>
      </c>
    </row>
    <row r="29" spans="1:13" ht="16.5" thickBot="1" x14ac:dyDescent="0.3">
      <c r="A29" s="53"/>
      <c r="B29" s="54"/>
      <c r="C29" s="55"/>
      <c r="D29" s="56"/>
      <c r="E29" s="56"/>
      <c r="F29" s="38" t="str">
        <f t="shared" si="0"/>
        <v/>
      </c>
      <c r="G29" s="661"/>
      <c r="H29" s="53"/>
      <c r="I29" s="54"/>
      <c r="J29" s="55"/>
      <c r="K29" s="56"/>
      <c r="L29" s="56"/>
      <c r="M29" s="38" t="str">
        <f t="shared" si="1"/>
        <v/>
      </c>
    </row>
    <row r="30" spans="1:13" ht="19.5" thickBot="1" x14ac:dyDescent="0.3">
      <c r="A30" s="39"/>
      <c r="B30" s="40"/>
      <c r="C30" s="41" t="s">
        <v>56</v>
      </c>
      <c r="D30" s="42" t="str">
        <f>IF(AND(D5="",D6="",D7="",D8="",D9="",D10="",D11="",D12="",D13="",D14="",D15="",D16="",D17="",D18="",D19="",D20="",D21="",D22="",D23="",D24="",D25="",D26="",D27="",D28="",D29=""),"",SUM(D5:D29))</f>
        <v/>
      </c>
      <c r="E30" s="43"/>
      <c r="F30" s="42" t="str">
        <f>IF(AND(F5="",F6="",F7="",F8="",F9="",F10="",F11="",F12="",F13="",F14="",F15="",F16="",F17="",F18="",F19="",F20="",F21="",F22="",F23="",F24="",F25="",F26="",F27="",F28="",F29=""),"",SUM(F5:F29))</f>
        <v/>
      </c>
      <c r="G30" s="661"/>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x14ac:dyDescent="0.3">
      <c r="A31" s="39"/>
      <c r="B31" s="39"/>
      <c r="C31" s="44" t="s">
        <v>57</v>
      </c>
      <c r="D31" s="42" t="str">
        <f>IF(OR($B1="",D30=""),"",(D30/$B1))</f>
        <v/>
      </c>
      <c r="E31" s="39"/>
      <c r="F31" s="42" t="str">
        <f>IF(OR($B1="",F30=""),"",(F30/$B1))</f>
        <v/>
      </c>
      <c r="G31" s="661"/>
      <c r="H31" s="39"/>
      <c r="I31" s="39"/>
      <c r="J31" s="44" t="s">
        <v>57</v>
      </c>
      <c r="K31" s="42" t="str">
        <f>IF(OR($I1="",K30=""),"",(K30/$I1))</f>
        <v/>
      </c>
      <c r="L31" s="39"/>
      <c r="M31" s="42" t="str">
        <f>IF(OR($I1="",M30=""),"",(M30/$I1))</f>
        <v/>
      </c>
    </row>
    <row r="32" spans="1:13" s="25" customFormat="1" ht="18.75" x14ac:dyDescent="0.2">
      <c r="A32" s="345" t="s">
        <v>184</v>
      </c>
      <c r="B32" s="45"/>
      <c r="C32" s="45"/>
      <c r="D32" s="45"/>
      <c r="E32" s="45"/>
      <c r="F32" s="45"/>
      <c r="G32" s="45"/>
      <c r="H32" s="45"/>
      <c r="I32" s="45"/>
      <c r="J32" s="45"/>
      <c r="K32" s="45"/>
      <c r="L32" s="45"/>
      <c r="M32" s="45"/>
    </row>
    <row r="33" spans="1:13" s="47" customFormat="1" ht="15.75"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row r="35" spans="1:13" ht="15.75" hidden="1" x14ac:dyDescent="0.25"/>
  </sheetData>
  <sheetProtection formatColumns="0" formatRows="0"/>
  <mergeCells count="2">
    <mergeCell ref="G1:G31"/>
    <mergeCell ref="A34:M34"/>
  </mergeCells>
  <dataValidations count="2">
    <dataValidation allowBlank="1" showInputMessage="1" showErrorMessage="1" prompt="Don't forget to enter Projected Child Count in Cell B1." sqref="A5" xr:uid="{00000000-0002-0000-1B00-000000000000}"/>
    <dataValidation allowBlank="1" showInputMessage="1" showErrorMessage="1" prompt="Don't forget to enter Child Count in Cell I1." sqref="H5" xr:uid="{00000000-0002-0000-1B00-000001000000}"/>
  </dataValidations>
  <hyperlinks>
    <hyperlink ref="A33" r:id="rId1" xr:uid="{00000000-0004-0000-1B00-000000000000}"/>
  </hyperlinks>
  <pageMargins left="0.75" right="0.75" top="1" bottom="1" header="0.5" footer="0.5"/>
  <pageSetup orientation="portrait" horizontalDpi="4294967292" verticalDpi="4294967292" r:id="rId2"/>
  <tableParts count="2">
    <tablePart r:id="rId3"/>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5"/>
    <pageSetUpPr autoPageBreaks="0"/>
  </sheetPr>
  <dimension ref="A1:AB75"/>
  <sheetViews>
    <sheetView showGridLines="0" topLeftCell="F1" zoomScale="90" zoomScaleNormal="90" zoomScalePageLayoutView="90" workbookViewId="0">
      <pane ySplit="3" topLeftCell="A59" activePane="bottomLeft" state="frozen"/>
      <selection activeCell="A32" sqref="A32:A33"/>
      <selection pane="bottomLeft" activeCell="I73" sqref="I73"/>
    </sheetView>
  </sheetViews>
  <sheetFormatPr defaultColWidth="0" defaultRowHeight="15.75"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x14ac:dyDescent="0.25">
      <c r="A1" s="57" t="s">
        <v>58</v>
      </c>
      <c r="D1" s="59" t="s">
        <v>14</v>
      </c>
      <c r="E1" s="10" t="str">
        <f>IF('2. Getting Started'!$B2="","",'2. Getting Started'!$B2)</f>
        <v/>
      </c>
      <c r="G1" s="667" t="s">
        <v>176</v>
      </c>
      <c r="K1" s="59" t="s">
        <v>14</v>
      </c>
      <c r="L1" s="10" t="str">
        <f>IF('2. Getting Started'!$B2="","",'2. Getting Started'!$B2)</f>
        <v/>
      </c>
    </row>
    <row r="2" spans="1:20" ht="25.9" customHeight="1" thickBot="1" x14ac:dyDescent="0.3">
      <c r="A2" s="338" t="s">
        <v>170</v>
      </c>
      <c r="D2" s="59"/>
      <c r="E2" s="10"/>
      <c r="G2" s="667"/>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Started'!B6+7," Budget")</f>
        <v>Eligibility Standard -- Exceptions to MOE as Permitted by 34 CFR §300.204 and Adjustment to MOE as Permitted by 34 CFR §300.205 -- Projections for State Fiscal Year 2028 Budget</v>
      </c>
      <c r="B3" s="61"/>
      <c r="C3" s="61"/>
      <c r="D3" s="61"/>
      <c r="E3" s="61"/>
      <c r="F3" s="62"/>
      <c r="G3" s="667"/>
      <c r="H3" s="60" t="str">
        <f>CONCATENATE("Compliance Standard -- Exceptions to MOE as Permitted by 34 CFR §300.204 and Adjustment to MOE as Permitted by 34 CFR §300.205 -- Final Expenditures for  State Fiscal Year ",'2. Getting Started'!B6+7)</f>
        <v>Compliance Standard -- Exceptions to MOE as Permitted by 34 CFR §300.204 and Adjustment to MOE as Permitted by 34 CFR §300.205 -- Final Expenditures for  State Fiscal Year 2028</v>
      </c>
      <c r="I3" s="61"/>
      <c r="J3" s="61"/>
      <c r="K3" s="61"/>
      <c r="L3" s="61"/>
      <c r="M3" s="62"/>
      <c r="O3" s="64"/>
      <c r="P3" s="64"/>
      <c r="Q3" s="64"/>
      <c r="R3" s="64"/>
      <c r="S3" s="64"/>
      <c r="T3" s="64"/>
    </row>
    <row r="4" spans="1:20" x14ac:dyDescent="0.25">
      <c r="A4" s="65" t="s">
        <v>59</v>
      </c>
      <c r="B4" s="66"/>
      <c r="C4" s="67"/>
      <c r="D4" s="67"/>
      <c r="E4" s="67"/>
      <c r="F4" s="68"/>
      <c r="G4" s="667"/>
      <c r="H4" s="65" t="s">
        <v>59</v>
      </c>
      <c r="I4" s="66"/>
      <c r="J4" s="67"/>
      <c r="K4" s="67"/>
      <c r="L4" s="67"/>
      <c r="M4" s="68"/>
      <c r="N4" s="70"/>
      <c r="O4" s="70"/>
      <c r="P4" s="70"/>
      <c r="Q4" s="70"/>
      <c r="R4" s="70"/>
      <c r="S4" s="70"/>
    </row>
    <row r="5" spans="1:20" x14ac:dyDescent="0.25">
      <c r="A5" s="71" t="s">
        <v>60</v>
      </c>
      <c r="B5" s="72"/>
      <c r="C5" s="69"/>
      <c r="D5" s="69"/>
      <c r="E5" s="69"/>
      <c r="F5" s="73"/>
      <c r="G5" s="667"/>
      <c r="H5" s="71" t="s">
        <v>60</v>
      </c>
      <c r="I5" s="72"/>
      <c r="J5" s="69"/>
      <c r="K5" s="69"/>
      <c r="L5" s="69"/>
      <c r="M5" s="73"/>
      <c r="N5" s="74"/>
      <c r="O5" s="74"/>
      <c r="P5" s="74"/>
      <c r="Q5" s="74"/>
      <c r="R5" s="74"/>
    </row>
    <row r="6" spans="1:20" ht="35.65" customHeight="1" thickBot="1" x14ac:dyDescent="0.3">
      <c r="A6" s="75" t="s">
        <v>61</v>
      </c>
      <c r="B6" s="76"/>
      <c r="C6" s="76"/>
      <c r="D6" s="76"/>
      <c r="E6" s="76"/>
      <c r="F6" s="77"/>
      <c r="G6" s="667"/>
      <c r="H6" s="75" t="s">
        <v>61</v>
      </c>
      <c r="I6" s="76"/>
      <c r="J6" s="76"/>
      <c r="K6" s="76"/>
      <c r="L6" s="76"/>
      <c r="M6" s="77"/>
      <c r="N6" s="74"/>
      <c r="O6" s="74"/>
      <c r="P6" s="74"/>
      <c r="Q6" s="74"/>
      <c r="R6" s="74"/>
      <c r="S6" s="74"/>
    </row>
    <row r="7" spans="1:20" x14ac:dyDescent="0.25">
      <c r="A7" s="78" t="s">
        <v>62</v>
      </c>
      <c r="B7" s="79" t="s">
        <v>63</v>
      </c>
      <c r="C7" s="80" t="s">
        <v>64</v>
      </c>
      <c r="D7" s="80" t="s">
        <v>65</v>
      </c>
      <c r="E7" s="81" t="s">
        <v>66</v>
      </c>
      <c r="F7" s="82" t="s">
        <v>67</v>
      </c>
      <c r="G7" s="667"/>
      <c r="H7" s="78" t="s">
        <v>62</v>
      </c>
      <c r="I7" s="79" t="s">
        <v>63</v>
      </c>
      <c r="J7" s="80" t="s">
        <v>64</v>
      </c>
      <c r="K7" s="80" t="s">
        <v>65</v>
      </c>
      <c r="L7" s="81" t="s">
        <v>66</v>
      </c>
      <c r="M7" s="82" t="s">
        <v>68</v>
      </c>
      <c r="N7" s="74"/>
      <c r="O7" s="74"/>
    </row>
    <row r="8" spans="1:20" x14ac:dyDescent="0.25">
      <c r="A8" s="186"/>
      <c r="B8" s="187"/>
      <c r="C8" s="187"/>
      <c r="D8" s="188"/>
      <c r="E8" s="188"/>
      <c r="F8" s="84">
        <f>D8+E8</f>
        <v>0</v>
      </c>
      <c r="G8" s="667"/>
      <c r="H8" s="186"/>
      <c r="I8" s="187"/>
      <c r="J8" s="187"/>
      <c r="K8" s="188"/>
      <c r="L8" s="188"/>
      <c r="M8" s="84">
        <f>K8+L8</f>
        <v>0</v>
      </c>
      <c r="N8" s="85"/>
      <c r="O8" s="85"/>
    </row>
    <row r="9" spans="1:20" x14ac:dyDescent="0.25">
      <c r="A9" s="186"/>
      <c r="B9" s="187"/>
      <c r="C9" s="187"/>
      <c r="D9" s="188"/>
      <c r="E9" s="188"/>
      <c r="F9" s="84">
        <f>D9+E9</f>
        <v>0</v>
      </c>
      <c r="G9" s="667"/>
      <c r="H9" s="186"/>
      <c r="I9" s="187"/>
      <c r="J9" s="187"/>
      <c r="K9" s="188"/>
      <c r="L9" s="188"/>
      <c r="M9" s="84">
        <f>K9+L9</f>
        <v>0</v>
      </c>
      <c r="N9" s="85"/>
      <c r="O9" s="85"/>
    </row>
    <row r="10" spans="1:20" x14ac:dyDescent="0.25">
      <c r="A10" s="186"/>
      <c r="B10" s="187"/>
      <c r="C10" s="187"/>
      <c r="D10" s="188"/>
      <c r="E10" s="188"/>
      <c r="F10" s="84">
        <f>D10+E10</f>
        <v>0</v>
      </c>
      <c r="G10" s="667"/>
      <c r="H10" s="186"/>
      <c r="I10" s="187"/>
      <c r="J10" s="187"/>
      <c r="K10" s="188"/>
      <c r="L10" s="188"/>
      <c r="M10" s="84">
        <f>K10+L10</f>
        <v>0</v>
      </c>
      <c r="N10" s="85"/>
      <c r="O10" s="85"/>
    </row>
    <row r="11" spans="1:20" x14ac:dyDescent="0.25">
      <c r="A11" s="186"/>
      <c r="B11" s="187"/>
      <c r="C11" s="187"/>
      <c r="D11" s="188"/>
      <c r="E11" s="188"/>
      <c r="F11" s="84">
        <f>D11+E11</f>
        <v>0</v>
      </c>
      <c r="G11" s="667"/>
      <c r="H11" s="186"/>
      <c r="I11" s="187"/>
      <c r="J11" s="187"/>
      <c r="K11" s="188"/>
      <c r="L11" s="188"/>
      <c r="M11" s="84">
        <f>K11+L11</f>
        <v>0</v>
      </c>
      <c r="N11" s="85"/>
      <c r="O11" s="85"/>
    </row>
    <row r="12" spans="1:20" x14ac:dyDescent="0.25">
      <c r="A12" s="186"/>
      <c r="B12" s="187"/>
      <c r="C12" s="187"/>
      <c r="D12" s="188"/>
      <c r="E12" s="188"/>
      <c r="F12" s="84">
        <f>D12+E12</f>
        <v>0</v>
      </c>
      <c r="G12" s="667"/>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67"/>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67"/>
      <c r="H14" s="91" t="s">
        <v>70</v>
      </c>
      <c r="I14" s="92"/>
      <c r="J14" s="92"/>
      <c r="K14" s="92"/>
      <c r="L14" s="92"/>
      <c r="M14" s="93"/>
      <c r="N14" s="74"/>
      <c r="O14" s="74"/>
      <c r="P14" s="74"/>
      <c r="Q14" s="74"/>
      <c r="R14" s="74"/>
      <c r="S14" s="94"/>
    </row>
    <row r="15" spans="1:20" x14ac:dyDescent="0.25">
      <c r="A15" s="95" t="s">
        <v>62</v>
      </c>
      <c r="B15" s="96" t="s">
        <v>63</v>
      </c>
      <c r="C15" s="97" t="s">
        <v>175</v>
      </c>
      <c r="D15" s="80" t="s">
        <v>65</v>
      </c>
      <c r="E15" s="81" t="s">
        <v>66</v>
      </c>
      <c r="F15" s="82" t="s">
        <v>67</v>
      </c>
      <c r="G15" s="667"/>
      <c r="H15" s="95" t="s">
        <v>62</v>
      </c>
      <c r="I15" s="96" t="s">
        <v>63</v>
      </c>
      <c r="J15" s="97" t="s">
        <v>175</v>
      </c>
      <c r="K15" s="80" t="s">
        <v>65</v>
      </c>
      <c r="L15" s="81" t="s">
        <v>66</v>
      </c>
      <c r="M15" s="82" t="s">
        <v>68</v>
      </c>
      <c r="N15" s="64"/>
      <c r="O15" s="99"/>
    </row>
    <row r="16" spans="1:20" x14ac:dyDescent="0.25">
      <c r="A16" s="189"/>
      <c r="B16" s="190"/>
      <c r="C16" s="100"/>
      <c r="D16" s="188"/>
      <c r="E16" s="188"/>
      <c r="F16" s="84">
        <f t="shared" ref="F16:F20" si="2">D16+E16</f>
        <v>0</v>
      </c>
      <c r="G16" s="667"/>
      <c r="H16" s="189"/>
      <c r="I16" s="190"/>
      <c r="J16" s="100"/>
      <c r="K16" s="188"/>
      <c r="L16" s="188"/>
      <c r="M16" s="84">
        <f t="shared" ref="M16:M20" si="3">K16+L16</f>
        <v>0</v>
      </c>
      <c r="N16" s="85"/>
      <c r="O16" s="85"/>
    </row>
    <row r="17" spans="1:19" x14ac:dyDescent="0.25">
      <c r="A17" s="189"/>
      <c r="B17" s="190"/>
      <c r="C17" s="100"/>
      <c r="D17" s="188"/>
      <c r="E17" s="188"/>
      <c r="F17" s="84">
        <f t="shared" si="2"/>
        <v>0</v>
      </c>
      <c r="G17" s="667"/>
      <c r="H17" s="189"/>
      <c r="I17" s="190"/>
      <c r="J17" s="100"/>
      <c r="K17" s="188"/>
      <c r="L17" s="188"/>
      <c r="M17" s="84">
        <f t="shared" si="3"/>
        <v>0</v>
      </c>
      <c r="N17" s="85"/>
      <c r="O17" s="85"/>
    </row>
    <row r="18" spans="1:19" x14ac:dyDescent="0.25">
      <c r="A18" s="189"/>
      <c r="B18" s="190"/>
      <c r="C18" s="100"/>
      <c r="D18" s="188"/>
      <c r="E18" s="188"/>
      <c r="F18" s="84">
        <f t="shared" si="2"/>
        <v>0</v>
      </c>
      <c r="G18" s="667"/>
      <c r="H18" s="189"/>
      <c r="I18" s="190"/>
      <c r="J18" s="100"/>
      <c r="K18" s="188"/>
      <c r="L18" s="188"/>
      <c r="M18" s="84">
        <f t="shared" si="3"/>
        <v>0</v>
      </c>
      <c r="N18" s="85"/>
      <c r="O18" s="85"/>
    </row>
    <row r="19" spans="1:19" x14ac:dyDescent="0.25">
      <c r="A19" s="189"/>
      <c r="B19" s="190"/>
      <c r="C19" s="100"/>
      <c r="D19" s="188"/>
      <c r="E19" s="188"/>
      <c r="F19" s="84">
        <f t="shared" si="2"/>
        <v>0</v>
      </c>
      <c r="G19" s="667"/>
      <c r="H19" s="189"/>
      <c r="I19" s="190"/>
      <c r="J19" s="100"/>
      <c r="K19" s="188"/>
      <c r="L19" s="188"/>
      <c r="M19" s="84">
        <f t="shared" si="3"/>
        <v>0</v>
      </c>
      <c r="N19" s="85"/>
      <c r="O19" s="85"/>
    </row>
    <row r="20" spans="1:19" x14ac:dyDescent="0.25">
      <c r="A20" s="189"/>
      <c r="B20" s="190"/>
      <c r="C20" s="100"/>
      <c r="D20" s="188"/>
      <c r="E20" s="188"/>
      <c r="F20" s="84">
        <f t="shared" si="2"/>
        <v>0</v>
      </c>
      <c r="G20" s="667"/>
      <c r="H20" s="189"/>
      <c r="I20" s="190"/>
      <c r="J20" s="100"/>
      <c r="K20" s="188"/>
      <c r="L20" s="188"/>
      <c r="M20" s="84">
        <f t="shared" si="3"/>
        <v>0</v>
      </c>
      <c r="N20" s="85"/>
      <c r="O20" s="85"/>
    </row>
    <row r="21" spans="1:19" x14ac:dyDescent="0.25">
      <c r="A21" s="101"/>
      <c r="B21" s="102"/>
      <c r="C21" s="103" t="s">
        <v>72</v>
      </c>
      <c r="D21" s="104">
        <f t="shared" ref="D21:F21" si="4">SUM(D16:D20)</f>
        <v>0</v>
      </c>
      <c r="E21" s="104">
        <f t="shared" si="4"/>
        <v>0</v>
      </c>
      <c r="F21" s="84">
        <f t="shared" si="4"/>
        <v>0</v>
      </c>
      <c r="G21" s="667"/>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67"/>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67"/>
      <c r="H23" s="668" t="s">
        <v>22</v>
      </c>
      <c r="I23" s="668"/>
      <c r="J23" s="668"/>
      <c r="K23" s="668"/>
      <c r="L23" s="668"/>
      <c r="M23" s="668"/>
      <c r="N23" s="94"/>
      <c r="O23" s="94"/>
      <c r="P23" s="94"/>
      <c r="Q23" s="94"/>
      <c r="R23" s="94"/>
      <c r="S23" s="94"/>
    </row>
    <row r="24" spans="1:19" x14ac:dyDescent="0.25">
      <c r="A24" s="112" t="s">
        <v>105</v>
      </c>
      <c r="B24" s="113"/>
      <c r="C24" s="113"/>
      <c r="D24" s="63"/>
      <c r="E24" s="120"/>
      <c r="F24" s="120"/>
      <c r="G24" s="667"/>
      <c r="H24" s="112" t="s">
        <v>105</v>
      </c>
      <c r="I24" s="113"/>
      <c r="J24" s="113"/>
      <c r="K24" s="63"/>
      <c r="L24" s="120"/>
      <c r="M24" s="120"/>
      <c r="N24" s="119"/>
      <c r="O24" s="119"/>
      <c r="P24" s="119"/>
      <c r="Q24" s="119"/>
    </row>
    <row r="25" spans="1:19" x14ac:dyDescent="0.25">
      <c r="A25" s="121" t="s">
        <v>71</v>
      </c>
      <c r="B25" s="122" t="s">
        <v>77</v>
      </c>
      <c r="C25" s="123"/>
      <c r="D25" s="124"/>
      <c r="E25" s="123"/>
      <c r="F25" s="123"/>
      <c r="G25" s="667"/>
      <c r="H25" s="121" t="s">
        <v>71</v>
      </c>
      <c r="I25" s="122" t="s">
        <v>77</v>
      </c>
      <c r="J25" s="123"/>
      <c r="K25" s="124"/>
      <c r="L25" s="123"/>
      <c r="M25" s="123"/>
      <c r="N25" s="119"/>
      <c r="O25" s="119"/>
      <c r="P25" s="119"/>
      <c r="Q25" s="119"/>
    </row>
    <row r="26" spans="1:19" x14ac:dyDescent="0.25">
      <c r="A26" s="125" t="str">
        <f>CONCATENATE("SFY ",'2. Getting Started'!B6+7," Projected Child Count")</f>
        <v>SFY 2028 Projected Child Count</v>
      </c>
      <c r="B26" s="126" t="str">
        <f>IF('26. Year 8 Amounts'!B1="","",'26. Year 8 Amounts'!B1)</f>
        <v/>
      </c>
      <c r="C26" s="123"/>
      <c r="D26" s="124"/>
      <c r="E26" s="123"/>
      <c r="F26" s="123"/>
      <c r="G26" s="667"/>
      <c r="H26" s="125" t="str">
        <f>CONCATENATE("SFY ",'2. Getting Started'!B6+7," Child Count")</f>
        <v>SFY 2028 Child Count</v>
      </c>
      <c r="I26" s="126" t="str">
        <f>IF('26. Year 8 Amounts'!I1="","",'26. Year 8 Amounts'!I1)</f>
        <v/>
      </c>
      <c r="J26" s="123"/>
      <c r="K26" s="124"/>
      <c r="L26" s="123"/>
      <c r="M26" s="123"/>
      <c r="N26" s="119"/>
      <c r="O26" s="119"/>
      <c r="P26" s="119"/>
      <c r="Q26" s="119"/>
    </row>
    <row r="27" spans="1:19" x14ac:dyDescent="0.25">
      <c r="A27" s="125" t="str">
        <f>CONCATENATE("SFY ",'2. Getting Started'!B6+6," Projected Child Count")</f>
        <v>SFY 2027 Projected Child Count</v>
      </c>
      <c r="B27" s="126" t="str">
        <f>IF('23. Year 7 Amounts'!B1="","",'23. Year 7 Amounts'!B1)</f>
        <v/>
      </c>
      <c r="C27" s="119"/>
      <c r="D27" s="128"/>
      <c r="E27" s="119"/>
      <c r="F27" s="123"/>
      <c r="G27" s="667"/>
      <c r="H27" s="125" t="str">
        <f>CONCATENATE("SFY ",'2. Getting Started'!B6+6," Child Count")</f>
        <v>SFY 2027 Child Count</v>
      </c>
      <c r="I27" s="126" t="str">
        <f>IF('23. Year 7 Amounts'!I1="","",'23. Year 7 Amounts'!I1)</f>
        <v/>
      </c>
      <c r="J27" s="119"/>
      <c r="K27" s="128"/>
      <c r="L27" s="119"/>
      <c r="M27" s="123"/>
      <c r="N27" s="129"/>
      <c r="O27" s="129"/>
      <c r="P27" s="129"/>
      <c r="Q27" s="129"/>
    </row>
    <row r="28" spans="1:19" x14ac:dyDescent="0.25">
      <c r="A28" s="127" t="s">
        <v>78</v>
      </c>
      <c r="B28" s="130" t="str">
        <f>IF(B26="","",B26-B27)</f>
        <v/>
      </c>
      <c r="C28" s="123" t="str">
        <f>IF(B28="","",IF(B28&gt;=0,"Not eligible for this exception",""))</f>
        <v/>
      </c>
      <c r="D28" s="124"/>
      <c r="E28" s="123"/>
      <c r="F28" s="123"/>
      <c r="G28" s="667"/>
      <c r="H28" s="127" t="s">
        <v>78</v>
      </c>
      <c r="I28" s="130" t="str">
        <f>IF(I26="","",I26-I27)</f>
        <v/>
      </c>
      <c r="J28" s="123" t="str">
        <f>IF(I28="","",IF(I28&gt;=0,"Not eligible for this exception",""))</f>
        <v/>
      </c>
      <c r="K28" s="124"/>
      <c r="L28" s="123"/>
      <c r="M28" s="123"/>
      <c r="N28" s="132"/>
      <c r="O28" s="132"/>
      <c r="P28" s="132"/>
      <c r="Q28" s="132"/>
    </row>
    <row r="29" spans="1:19" x14ac:dyDescent="0.25">
      <c r="A29" s="133" t="s">
        <v>79</v>
      </c>
      <c r="B29" s="134" t="str">
        <f>IF(B26="","",IF(B28&lt;=0,ABS(B28/B27),""))</f>
        <v/>
      </c>
      <c r="C29" s="135"/>
      <c r="D29" s="136"/>
      <c r="E29" s="135"/>
      <c r="F29" s="10"/>
      <c r="G29" s="667"/>
      <c r="H29" s="133" t="s">
        <v>79</v>
      </c>
      <c r="I29" s="134" t="str">
        <f>IF(I26="","",IF(I28&lt;=0,ABS(I28/I27),""))</f>
        <v/>
      </c>
      <c r="J29" s="135"/>
      <c r="K29" s="136"/>
      <c r="L29" s="135"/>
      <c r="M29" s="10"/>
      <c r="N29" s="137"/>
      <c r="O29" s="137"/>
      <c r="P29" s="138"/>
      <c r="Q29" s="138"/>
    </row>
    <row r="30" spans="1:19" ht="31.5" x14ac:dyDescent="0.25">
      <c r="A30" s="115" t="s">
        <v>71</v>
      </c>
      <c r="B30" s="116" t="s">
        <v>0</v>
      </c>
      <c r="C30" s="116" t="s">
        <v>2</v>
      </c>
      <c r="D30" s="10"/>
      <c r="E30" s="72"/>
      <c r="F30" s="72"/>
      <c r="G30" s="667"/>
      <c r="H30" s="115" t="s">
        <v>71</v>
      </c>
      <c r="I30" s="116" t="s">
        <v>75</v>
      </c>
      <c r="J30" s="116" t="s">
        <v>76</v>
      </c>
      <c r="K30" s="10"/>
      <c r="L30" s="72"/>
      <c r="M30" s="72"/>
      <c r="N30" s="138"/>
      <c r="O30" s="138"/>
    </row>
    <row r="31" spans="1:19" x14ac:dyDescent="0.25">
      <c r="A31" s="139" t="str">
        <f>CONCATENATE("SFY ",'2. Getting Started'!B6+6," Budget")</f>
        <v>SFY 2027 Budget</v>
      </c>
      <c r="B31" s="140" t="str">
        <f>IF('23. Year 7 Amounts'!D30="","",'23. Year 7 Amounts'!D30)</f>
        <v/>
      </c>
      <c r="C31" s="140" t="str">
        <f>IF('23. Year 7 Amounts'!F30="","",'23. Year 7 Amounts'!F30)</f>
        <v/>
      </c>
      <c r="D31" s="141"/>
      <c r="E31" s="74"/>
      <c r="F31" s="74"/>
      <c r="G31" s="667"/>
      <c r="H31" s="139" t="str">
        <f>CONCATENATE("SFY ",'2. Getting Started'!B6+6," Final Expenditures")</f>
        <v>SFY 2027 Final Expenditures</v>
      </c>
      <c r="I31" s="140" t="str">
        <f>IF('23. Year 7 Amounts'!K30="","",'23. Year 7 Amounts'!K30)</f>
        <v/>
      </c>
      <c r="J31" s="140" t="str">
        <f>IF('23. Year 7 Amounts'!M30="","",'23. Year 7 Amounts'!M30)</f>
        <v/>
      </c>
      <c r="K31" s="142"/>
      <c r="L31" s="74"/>
      <c r="M31" s="74"/>
    </row>
    <row r="32" spans="1:19" x14ac:dyDescent="0.25">
      <c r="A32" s="117" t="s">
        <v>80</v>
      </c>
      <c r="B32" s="143" t="str">
        <f>IF(OR($B26="",B29="",B31=""),"",($B29*B31))</f>
        <v/>
      </c>
      <c r="C32" s="143" t="str">
        <f>IF(OR($B26="",B29="",C31=""),"",($B29*C31))</f>
        <v/>
      </c>
      <c r="D32" s="142"/>
      <c r="E32" s="118"/>
      <c r="F32" s="118"/>
      <c r="G32" s="667"/>
      <c r="H32" s="117" t="s">
        <v>81</v>
      </c>
      <c r="I32" s="143" t="str">
        <f>IF(OR($I26="",I29="",I31=""),"",($I29*I31))</f>
        <v/>
      </c>
      <c r="J32" s="143" t="str">
        <f>IF(OR($I26="",I29="",J31=""),"",($I29*J31))</f>
        <v/>
      </c>
      <c r="K32" s="142"/>
      <c r="L32" s="118"/>
      <c r="M32" s="118"/>
    </row>
    <row r="33" spans="1:28" ht="16.5" thickBot="1" x14ac:dyDescent="0.3">
      <c r="A33" s="663" t="s">
        <v>22</v>
      </c>
      <c r="B33" s="663"/>
      <c r="C33" s="663"/>
      <c r="D33" s="123"/>
      <c r="E33" s="123"/>
      <c r="F33" s="123"/>
      <c r="G33" s="667"/>
      <c r="H33" s="663" t="s">
        <v>22</v>
      </c>
      <c r="I33" s="663"/>
      <c r="J33" s="663"/>
      <c r="K33" s="123"/>
      <c r="L33" s="123"/>
      <c r="M33" s="123"/>
      <c r="P33" s="118"/>
      <c r="Q33" s="118"/>
      <c r="R33" s="118"/>
      <c r="S33" s="118"/>
      <c r="T33" s="118"/>
      <c r="U33" s="74"/>
      <c r="V33" s="118"/>
      <c r="W33" s="118"/>
      <c r="X33" s="118"/>
      <c r="Y33" s="118"/>
      <c r="Z33" s="118"/>
      <c r="AA33" s="118"/>
    </row>
    <row r="34" spans="1:28" x14ac:dyDescent="0.25">
      <c r="A34" s="112" t="s">
        <v>82</v>
      </c>
      <c r="B34" s="145"/>
      <c r="C34" s="146"/>
      <c r="D34" s="147"/>
      <c r="E34" s="131"/>
      <c r="F34" s="131"/>
      <c r="G34" s="667"/>
      <c r="H34" s="112" t="s">
        <v>82</v>
      </c>
      <c r="I34" s="145"/>
      <c r="J34" s="146"/>
      <c r="K34" s="147"/>
      <c r="L34" s="131"/>
      <c r="M34" s="131"/>
      <c r="P34" s="118"/>
      <c r="Q34" s="118"/>
      <c r="R34" s="118"/>
      <c r="S34" s="118"/>
      <c r="T34" s="118"/>
      <c r="U34" s="118"/>
      <c r="V34" s="118"/>
      <c r="W34" s="118"/>
      <c r="X34" s="118"/>
      <c r="Y34" s="118"/>
      <c r="Z34" s="118"/>
      <c r="AA34" s="118"/>
    </row>
    <row r="35" spans="1:28" x14ac:dyDescent="0.25">
      <c r="A35" s="148" t="s">
        <v>83</v>
      </c>
      <c r="B35" s="72"/>
      <c r="C35" s="149"/>
      <c r="D35" s="150"/>
      <c r="E35" s="10"/>
      <c r="F35" s="10"/>
      <c r="G35" s="667"/>
      <c r="H35" s="148" t="s">
        <v>83</v>
      </c>
      <c r="I35" s="72"/>
      <c r="J35" s="149"/>
      <c r="K35" s="150"/>
      <c r="L35" s="10"/>
      <c r="M35" s="10"/>
      <c r="P35" s="74"/>
      <c r="Q35" s="74"/>
      <c r="R35" s="74"/>
      <c r="S35" s="74"/>
      <c r="T35" s="74"/>
      <c r="U35" s="74"/>
      <c r="V35" s="74"/>
      <c r="W35" s="74"/>
      <c r="X35" s="74"/>
      <c r="Y35" s="74"/>
      <c r="Z35" s="74"/>
      <c r="AA35" s="74"/>
    </row>
    <row r="36" spans="1:28" x14ac:dyDescent="0.25">
      <c r="A36" s="151" t="s">
        <v>84</v>
      </c>
      <c r="B36" s="72"/>
      <c r="C36" s="152"/>
      <c r="D36" s="150"/>
      <c r="E36" s="10"/>
      <c r="F36" s="10"/>
      <c r="G36" s="667"/>
      <c r="H36" s="151" t="s">
        <v>84</v>
      </c>
      <c r="I36" s="72"/>
      <c r="J36" s="152"/>
      <c r="K36" s="150"/>
      <c r="L36" s="10"/>
      <c r="M36" s="10"/>
      <c r="Q36" s="74"/>
      <c r="R36" s="74"/>
      <c r="S36" s="74"/>
      <c r="T36" s="74"/>
      <c r="U36" s="74"/>
      <c r="V36" s="74"/>
      <c r="W36" s="74"/>
      <c r="X36" s="74"/>
      <c r="Y36" s="74"/>
      <c r="Z36" s="74"/>
      <c r="AA36" s="74"/>
      <c r="AB36" s="74"/>
    </row>
    <row r="37" spans="1:28" x14ac:dyDescent="0.25">
      <c r="A37" s="153" t="s">
        <v>85</v>
      </c>
      <c r="B37" s="154" t="s">
        <v>86</v>
      </c>
      <c r="C37" s="155" t="s">
        <v>87</v>
      </c>
      <c r="D37" s="118"/>
      <c r="E37" s="144"/>
      <c r="F37" s="144"/>
      <c r="G37" s="667"/>
      <c r="H37" s="153" t="s">
        <v>85</v>
      </c>
      <c r="I37" s="154" t="s">
        <v>86</v>
      </c>
      <c r="J37" s="155" t="s">
        <v>88</v>
      </c>
      <c r="K37" s="118"/>
      <c r="L37" s="144"/>
      <c r="M37" s="144"/>
      <c r="P37" s="94"/>
      <c r="Q37" s="94"/>
      <c r="R37" s="94"/>
      <c r="S37" s="94"/>
      <c r="T37" s="94"/>
      <c r="U37" s="94"/>
      <c r="V37" s="94"/>
      <c r="W37" s="94"/>
      <c r="X37" s="94"/>
      <c r="Y37" s="94"/>
      <c r="Z37" s="94"/>
      <c r="AA37" s="94"/>
    </row>
    <row r="38" spans="1:28" x14ac:dyDescent="0.25">
      <c r="A38" s="191"/>
      <c r="B38" s="192"/>
      <c r="C38" s="193"/>
      <c r="D38" s="144"/>
      <c r="E38" s="144"/>
      <c r="F38" s="144"/>
      <c r="G38" s="667"/>
      <c r="H38" s="191"/>
      <c r="I38" s="192"/>
      <c r="J38" s="193"/>
      <c r="K38" s="144"/>
      <c r="L38" s="144"/>
      <c r="M38" s="144"/>
      <c r="P38" s="94"/>
      <c r="Q38" s="94"/>
      <c r="R38" s="94"/>
      <c r="S38" s="94"/>
      <c r="T38" s="94"/>
      <c r="U38" s="94"/>
      <c r="V38" s="94"/>
      <c r="W38" s="94"/>
      <c r="X38" s="94"/>
      <c r="Y38" s="94"/>
      <c r="Z38" s="94"/>
      <c r="AA38" s="94"/>
    </row>
    <row r="39" spans="1:28" x14ac:dyDescent="0.25">
      <c r="A39" s="191"/>
      <c r="B39" s="192"/>
      <c r="C39" s="193"/>
      <c r="D39" s="144"/>
      <c r="E39" s="72"/>
      <c r="F39" s="72"/>
      <c r="G39" s="667"/>
      <c r="H39" s="191"/>
      <c r="I39" s="192"/>
      <c r="J39" s="193"/>
      <c r="K39" s="144"/>
      <c r="L39" s="72"/>
      <c r="M39" s="72"/>
      <c r="P39" s="94"/>
      <c r="Q39" s="94"/>
      <c r="R39" s="94"/>
      <c r="S39" s="94"/>
      <c r="T39" s="94"/>
      <c r="U39" s="94"/>
      <c r="V39" s="94"/>
      <c r="W39" s="94"/>
      <c r="X39" s="94"/>
      <c r="Y39" s="94"/>
      <c r="Z39" s="94"/>
      <c r="AA39" s="94"/>
    </row>
    <row r="40" spans="1:28" x14ac:dyDescent="0.25">
      <c r="A40" s="191"/>
      <c r="B40" s="192"/>
      <c r="C40" s="193"/>
      <c r="D40" s="144"/>
      <c r="E40" s="72"/>
      <c r="F40" s="72"/>
      <c r="G40" s="667"/>
      <c r="H40" s="191"/>
      <c r="I40" s="192"/>
      <c r="J40" s="193"/>
      <c r="K40" s="144"/>
      <c r="L40" s="72"/>
      <c r="M40" s="72"/>
      <c r="P40" s="94"/>
      <c r="Q40" s="94"/>
      <c r="R40" s="94"/>
      <c r="S40" s="94"/>
      <c r="T40" s="94"/>
      <c r="U40" s="94"/>
      <c r="V40" s="94"/>
      <c r="W40" s="94"/>
      <c r="X40" s="94"/>
      <c r="Y40" s="94"/>
      <c r="Z40" s="94"/>
      <c r="AA40" s="94"/>
    </row>
    <row r="41" spans="1:28" x14ac:dyDescent="0.25">
      <c r="A41" s="191"/>
      <c r="B41" s="192"/>
      <c r="C41" s="193"/>
      <c r="D41" s="144"/>
      <c r="E41" s="120"/>
      <c r="F41" s="120"/>
      <c r="G41" s="667"/>
      <c r="H41" s="191"/>
      <c r="I41" s="192"/>
      <c r="J41" s="193"/>
      <c r="K41" s="144"/>
      <c r="L41" s="120"/>
      <c r="M41" s="120"/>
      <c r="P41" s="94"/>
      <c r="Q41" s="94"/>
      <c r="R41" s="94"/>
      <c r="S41" s="94"/>
      <c r="T41" s="94"/>
      <c r="U41" s="94"/>
      <c r="V41" s="94"/>
      <c r="W41" s="94"/>
      <c r="X41" s="94"/>
      <c r="Y41" s="94"/>
      <c r="Z41" s="94"/>
      <c r="AA41" s="94"/>
    </row>
    <row r="42" spans="1:28" x14ac:dyDescent="0.25">
      <c r="A42" s="191"/>
      <c r="B42" s="192"/>
      <c r="C42" s="193"/>
      <c r="D42" s="144"/>
      <c r="F42" s="10"/>
      <c r="G42" s="667"/>
      <c r="H42" s="191"/>
      <c r="I42" s="192"/>
      <c r="J42" s="193"/>
      <c r="K42" s="144"/>
      <c r="M42" s="10"/>
      <c r="P42" s="74"/>
      <c r="Q42" s="74"/>
      <c r="R42" s="74"/>
      <c r="S42" s="74"/>
      <c r="T42" s="74"/>
      <c r="U42" s="74"/>
      <c r="V42" s="74"/>
      <c r="W42" s="74"/>
      <c r="X42" s="74"/>
      <c r="Y42" s="74"/>
      <c r="Z42" s="74"/>
      <c r="AA42" s="74"/>
    </row>
    <row r="43" spans="1:28" x14ac:dyDescent="0.25">
      <c r="A43" s="157" t="s">
        <v>89</v>
      </c>
      <c r="B43" s="158"/>
      <c r="C43" s="159">
        <f>SUM(C38:C42)</f>
        <v>0</v>
      </c>
      <c r="D43" s="144"/>
      <c r="E43" s="74"/>
      <c r="F43" s="72"/>
      <c r="G43" s="667"/>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67"/>
      <c r="H44" s="669" t="s">
        <v>22</v>
      </c>
      <c r="I44" s="669"/>
      <c r="J44" s="669"/>
      <c r="K44" s="72"/>
      <c r="L44" s="72"/>
      <c r="M44" s="72"/>
      <c r="P44" s="94"/>
      <c r="Q44" s="94"/>
      <c r="R44" s="94"/>
      <c r="S44" s="94"/>
      <c r="T44" s="94"/>
      <c r="U44" s="94"/>
      <c r="V44" s="94"/>
      <c r="W44" s="94"/>
      <c r="X44" s="94"/>
      <c r="Y44" s="94"/>
      <c r="Z44" s="94"/>
      <c r="AA44" s="94"/>
    </row>
    <row r="45" spans="1:28" x14ac:dyDescent="0.25">
      <c r="A45" s="112" t="s">
        <v>91</v>
      </c>
      <c r="B45" s="114"/>
      <c r="C45" s="120"/>
      <c r="D45" s="120"/>
      <c r="E45" s="120"/>
      <c r="F45" s="120"/>
      <c r="G45" s="667"/>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67"/>
      <c r="H46" s="71" t="s">
        <v>92</v>
      </c>
      <c r="I46" s="152"/>
      <c r="J46" s="120"/>
      <c r="K46" s="72"/>
      <c r="L46" s="74"/>
      <c r="M46" s="74"/>
      <c r="O46" s="94"/>
      <c r="P46" s="94"/>
      <c r="Q46" s="94"/>
      <c r="R46" s="94"/>
      <c r="S46" s="94"/>
      <c r="T46" s="94"/>
      <c r="U46" s="94"/>
      <c r="V46" s="94"/>
      <c r="W46" s="94"/>
      <c r="X46" s="94"/>
      <c r="Y46" s="94"/>
      <c r="Z46" s="94"/>
    </row>
    <row r="47" spans="1:28" x14ac:dyDescent="0.25">
      <c r="A47" s="160" t="s">
        <v>93</v>
      </c>
      <c r="B47" s="161" t="s">
        <v>94</v>
      </c>
      <c r="C47" s="118"/>
      <c r="D47" s="118"/>
      <c r="E47" s="144"/>
      <c r="F47" s="110"/>
      <c r="G47" s="667"/>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67"/>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67"/>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67"/>
      <c r="H50" s="194"/>
      <c r="I50" s="195"/>
      <c r="J50" s="144"/>
      <c r="K50" s="144"/>
      <c r="L50" s="72"/>
      <c r="M50" s="72"/>
    </row>
    <row r="51" spans="1:26" ht="60" customHeight="1" x14ac:dyDescent="0.25">
      <c r="A51" s="194"/>
      <c r="B51" s="195"/>
      <c r="C51" s="144"/>
      <c r="D51" s="144"/>
      <c r="E51" s="162"/>
      <c r="F51" s="162"/>
      <c r="G51" s="667"/>
      <c r="H51" s="194"/>
      <c r="I51" s="195"/>
      <c r="J51" s="144"/>
      <c r="K51" s="144"/>
      <c r="L51" s="162"/>
      <c r="M51" s="162"/>
    </row>
    <row r="52" spans="1:26" ht="60" customHeight="1" x14ac:dyDescent="0.25">
      <c r="A52" s="194"/>
      <c r="B52" s="195"/>
      <c r="C52" s="144"/>
      <c r="D52" s="144"/>
      <c r="E52" s="163"/>
      <c r="F52" s="163"/>
      <c r="G52" s="667"/>
      <c r="H52" s="194"/>
      <c r="I52" s="195"/>
      <c r="J52" s="144"/>
      <c r="K52" s="144"/>
      <c r="L52" s="163"/>
      <c r="M52" s="163"/>
    </row>
    <row r="53" spans="1:26" x14ac:dyDescent="0.25">
      <c r="A53" s="164" t="s">
        <v>89</v>
      </c>
      <c r="B53" s="165">
        <f>SUM(B48:B52)</f>
        <v>0</v>
      </c>
      <c r="C53" s="144"/>
      <c r="D53" s="144"/>
      <c r="E53" s="74"/>
      <c r="G53" s="667"/>
      <c r="H53" s="166" t="s">
        <v>90</v>
      </c>
      <c r="I53" s="165">
        <f>SUM(I48:I52)</f>
        <v>0</v>
      </c>
      <c r="J53" s="144"/>
      <c r="K53" s="144"/>
      <c r="L53" s="74"/>
    </row>
    <row r="54" spans="1:26" ht="16.5" thickBot="1" x14ac:dyDescent="0.3">
      <c r="A54" s="663" t="s">
        <v>22</v>
      </c>
      <c r="B54" s="663"/>
      <c r="C54" s="10"/>
      <c r="D54" s="72"/>
      <c r="E54" s="72"/>
      <c r="F54" s="72"/>
      <c r="G54" s="667"/>
      <c r="H54" s="663" t="s">
        <v>22</v>
      </c>
      <c r="I54" s="663"/>
      <c r="J54" s="10"/>
      <c r="K54" s="72"/>
      <c r="L54" s="72"/>
      <c r="M54" s="72"/>
    </row>
    <row r="55" spans="1:26" x14ac:dyDescent="0.25">
      <c r="A55" s="167" t="str">
        <f>IF('3b. High Cost Fund'!$B10="No","This exception is not valid in your state.","Exception (e) The assumption of cost by the high cost fund operated by the")</f>
        <v>Exception (e) The assumption of cost by the high cost fund operated by the</v>
      </c>
      <c r="B55" s="146"/>
      <c r="C55" s="147"/>
      <c r="D55" s="131"/>
      <c r="E55" s="131"/>
      <c r="F55" s="144"/>
      <c r="G55" s="667"/>
      <c r="H55" s="167" t="str">
        <f>IF('3b. High Cost Fund'!$B10="No","This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Fund'!$B10="No","","SEA under §300.704. MUST be explicitly permitted by the SEA.")</f>
        <v>SEA under §300.704. MUST be explicitly permitted by the SEA.</v>
      </c>
      <c r="B56" s="168"/>
      <c r="C56" s="169"/>
      <c r="D56" s="170"/>
      <c r="E56" s="163"/>
      <c r="F56" s="144"/>
      <c r="G56" s="667"/>
      <c r="H56" s="71" t="str">
        <f>IF('3b. High Cost Fund'!$B10="No","","SEA under §300.704. MUST be explicitly permitted by the SEA.")</f>
        <v>SEA under §300.704. MUST be explicitly permitted by the SEA.</v>
      </c>
      <c r="I56" s="168"/>
      <c r="J56" s="147"/>
      <c r="K56" s="170"/>
      <c r="L56" s="163"/>
      <c r="M56" s="144"/>
    </row>
    <row r="57" spans="1:26" x14ac:dyDescent="0.25">
      <c r="A57" s="171" t="s">
        <v>85</v>
      </c>
      <c r="B57" s="172" t="s">
        <v>96</v>
      </c>
      <c r="C57" s="118"/>
      <c r="D57" s="144"/>
      <c r="E57" s="144"/>
      <c r="F57" s="10"/>
      <c r="G57" s="667"/>
      <c r="H57" s="171" t="s">
        <v>85</v>
      </c>
      <c r="I57" s="172" t="s">
        <v>97</v>
      </c>
      <c r="J57" s="118"/>
      <c r="K57" s="144"/>
      <c r="L57" s="144"/>
      <c r="M57" s="10"/>
    </row>
    <row r="58" spans="1:26" ht="15.4" customHeight="1" x14ac:dyDescent="0.25">
      <c r="A58" s="196"/>
      <c r="B58" s="197"/>
      <c r="C58" s="337" t="str">
        <f>IF(AND(B58&lt;&gt;"",'3b. High Cost Fund'!$B10="No"),"Invalid entry. This exception is valid only in states with high-cost funds. If your state has a high-cost fund, please indicate that on tab 3b.","")</f>
        <v/>
      </c>
      <c r="D58" s="144"/>
      <c r="E58" s="144"/>
      <c r="F58" s="10"/>
      <c r="G58" s="667"/>
      <c r="H58" s="196"/>
      <c r="I58" s="197"/>
      <c r="J58" s="337" t="str">
        <f>IF(AND(I58&lt;&gt;"",'3b. High Cost Fund'!$B10="No"),"Invalid entry. This exception is valid only in states with high-cost funds. If your state has a high-cost fund, please indicate that on tab 3b.","")</f>
        <v/>
      </c>
      <c r="K58" s="144"/>
      <c r="L58" s="144"/>
      <c r="M58" s="10"/>
    </row>
    <row r="59" spans="1:26" x14ac:dyDescent="0.25">
      <c r="A59" s="196"/>
      <c r="B59" s="197"/>
      <c r="C59" s="144"/>
      <c r="D59" s="10"/>
      <c r="E59" s="10"/>
      <c r="F59" s="10"/>
      <c r="G59" s="667"/>
      <c r="H59" s="196"/>
      <c r="I59" s="197"/>
      <c r="J59" s="144"/>
      <c r="K59" s="10"/>
      <c r="L59" s="10"/>
      <c r="M59" s="10"/>
    </row>
    <row r="60" spans="1:26" x14ac:dyDescent="0.25">
      <c r="A60" s="196"/>
      <c r="B60" s="197"/>
      <c r="C60" s="144"/>
      <c r="D60" s="10"/>
      <c r="E60" s="10"/>
      <c r="F60" s="10"/>
      <c r="G60" s="667"/>
      <c r="H60" s="196"/>
      <c r="I60" s="197"/>
      <c r="J60" s="144"/>
      <c r="K60" s="10"/>
      <c r="L60" s="10"/>
      <c r="M60" s="10"/>
    </row>
    <row r="61" spans="1:26" x14ac:dyDescent="0.25">
      <c r="A61" s="196"/>
      <c r="B61" s="197"/>
      <c r="C61" s="144"/>
      <c r="D61" s="10"/>
      <c r="E61" s="10"/>
      <c r="F61" s="10"/>
      <c r="G61" s="667"/>
      <c r="H61" s="196"/>
      <c r="I61" s="197"/>
      <c r="J61" s="144"/>
      <c r="K61" s="10"/>
      <c r="L61" s="10"/>
      <c r="M61" s="10"/>
    </row>
    <row r="62" spans="1:26" x14ac:dyDescent="0.25">
      <c r="A62" s="196"/>
      <c r="B62" s="197"/>
      <c r="C62" s="144"/>
      <c r="D62" s="10"/>
      <c r="E62" s="10"/>
      <c r="F62" s="10"/>
      <c r="G62" s="667"/>
      <c r="H62" s="196"/>
      <c r="I62" s="197"/>
      <c r="J62" s="144"/>
      <c r="K62" s="10"/>
      <c r="L62" s="10"/>
      <c r="M62" s="10"/>
    </row>
    <row r="63" spans="1:26" x14ac:dyDescent="0.25">
      <c r="A63" s="173" t="s">
        <v>89</v>
      </c>
      <c r="B63" s="174">
        <f>IF('3b. High Cost Fund'!$B10="No",0,SUM(B58:B62))</f>
        <v>0</v>
      </c>
      <c r="C63" s="144"/>
      <c r="D63" s="10"/>
      <c r="E63" s="10"/>
      <c r="F63" s="10"/>
      <c r="G63" s="667"/>
      <c r="H63" s="175" t="s">
        <v>90</v>
      </c>
      <c r="I63" s="174">
        <f>IF('3b. High Cost Fund'!$B10="No",0,SUM(I58:I62))</f>
        <v>0</v>
      </c>
      <c r="J63" s="144"/>
      <c r="K63" s="10"/>
      <c r="L63" s="10"/>
      <c r="M63" s="10"/>
    </row>
    <row r="64" spans="1:26" ht="16.5" thickBot="1" x14ac:dyDescent="0.3">
      <c r="A64" s="663" t="s">
        <v>22</v>
      </c>
      <c r="B64" s="663"/>
      <c r="C64" s="144"/>
      <c r="D64" s="10"/>
      <c r="E64" s="10"/>
      <c r="F64" s="10"/>
      <c r="G64" s="667"/>
      <c r="H64" s="663" t="s">
        <v>22</v>
      </c>
      <c r="I64" s="663"/>
      <c r="J64" s="144"/>
      <c r="K64" s="10"/>
      <c r="L64" s="10"/>
      <c r="M64" s="10"/>
    </row>
    <row r="65" spans="1:13" x14ac:dyDescent="0.25">
      <c r="A65" s="347" t="s">
        <v>107</v>
      </c>
      <c r="B65" s="348"/>
      <c r="C65" s="144"/>
      <c r="D65" s="10"/>
      <c r="E65" s="10"/>
      <c r="F65" s="10"/>
      <c r="G65" s="667"/>
      <c r="H65" s="347" t="s">
        <v>106</v>
      </c>
      <c r="I65" s="348"/>
      <c r="J65" s="144"/>
      <c r="K65" s="10"/>
      <c r="L65" s="10"/>
      <c r="M65" s="10"/>
    </row>
    <row r="66" spans="1:13" x14ac:dyDescent="0.25">
      <c r="A66" s="242" t="s">
        <v>123</v>
      </c>
      <c r="B66" s="265" t="s">
        <v>124</v>
      </c>
      <c r="C66" s="144"/>
      <c r="D66" s="10"/>
      <c r="E66" s="10"/>
      <c r="F66" s="10"/>
      <c r="G66" s="667"/>
      <c r="H66" s="269" t="s">
        <v>123</v>
      </c>
      <c r="I66" s="270" t="s">
        <v>124</v>
      </c>
      <c r="J66" s="144"/>
      <c r="K66" s="10"/>
      <c r="L66" s="10"/>
      <c r="M66" s="10"/>
    </row>
    <row r="67" spans="1:13" x14ac:dyDescent="0.25">
      <c r="A67" s="103" t="s">
        <v>0</v>
      </c>
      <c r="B67" s="240">
        <f>IF(B$28&gt;=0,(F$22+C$43+B$53+B$63),(F$22+C$43+B$53+B$63+B$32))</f>
        <v>0</v>
      </c>
      <c r="C67" s="144"/>
      <c r="D67" s="10"/>
      <c r="E67" s="10"/>
      <c r="F67" s="10"/>
      <c r="G67" s="667"/>
      <c r="H67" s="103" t="s">
        <v>0</v>
      </c>
      <c r="I67" s="240">
        <f>IF(I$28&gt;=0,(M$22+J$43+I$53+I$63),(M$22+J$43+I$53+I$63+I$32))</f>
        <v>0</v>
      </c>
      <c r="J67" s="144"/>
      <c r="K67" s="10"/>
      <c r="L67" s="10"/>
      <c r="M67" s="10"/>
    </row>
    <row r="68" spans="1:13" x14ac:dyDescent="0.25">
      <c r="A68" s="241" t="s">
        <v>2</v>
      </c>
      <c r="B68" s="174">
        <f>IF(B$28&gt;=0,(F$22+C$43+B$53+B$63),(F$22+C$43+B$53+B$63+C$32))</f>
        <v>0</v>
      </c>
      <c r="C68" s="144"/>
      <c r="D68" s="10"/>
      <c r="E68" s="10"/>
      <c r="F68" s="10"/>
      <c r="G68" s="667"/>
      <c r="H68" s="241" t="s">
        <v>2</v>
      </c>
      <c r="I68" s="174">
        <f>IF(I$28&gt;=0,(M$22+J$43+I$53+I$63),(M$22+J$43+I$53+I$63+J$32))</f>
        <v>0</v>
      </c>
      <c r="J68" s="144"/>
      <c r="K68" s="10"/>
      <c r="L68" s="10"/>
      <c r="M68" s="10"/>
    </row>
    <row r="69" spans="1:13" ht="16.5" thickBot="1" x14ac:dyDescent="0.3">
      <c r="A69" s="664" t="s">
        <v>22</v>
      </c>
      <c r="B69" s="664"/>
      <c r="C69" s="10"/>
      <c r="D69" s="10"/>
      <c r="E69" s="10"/>
      <c r="F69" s="10"/>
      <c r="G69" s="667"/>
      <c r="H69" s="664" t="s">
        <v>22</v>
      </c>
      <c r="I69" s="664"/>
      <c r="J69" s="10"/>
      <c r="K69" s="10"/>
      <c r="L69" s="10"/>
      <c r="M69" s="10"/>
    </row>
    <row r="70" spans="1:13" ht="31.15" customHeight="1" x14ac:dyDescent="0.25">
      <c r="A70" s="336" t="s">
        <v>98</v>
      </c>
      <c r="B70" s="177"/>
      <c r="C70" s="11"/>
      <c r="D70" s="178"/>
      <c r="E70" s="10"/>
      <c r="F70" s="10"/>
      <c r="G70" s="667"/>
      <c r="H70" s="336" t="s">
        <v>98</v>
      </c>
      <c r="I70" s="177"/>
      <c r="J70" s="11"/>
      <c r="K70" s="178"/>
      <c r="L70" s="10"/>
      <c r="M70" s="10"/>
    </row>
    <row r="71" spans="1:13" x14ac:dyDescent="0.25">
      <c r="A71" s="179" t="s">
        <v>71</v>
      </c>
      <c r="B71" s="180" t="s">
        <v>99</v>
      </c>
      <c r="C71" s="11" t="s">
        <v>100</v>
      </c>
      <c r="E71" s="10"/>
      <c r="F71" s="10"/>
      <c r="G71" s="667"/>
      <c r="H71" s="179" t="s">
        <v>71</v>
      </c>
      <c r="I71" s="180" t="s">
        <v>101</v>
      </c>
      <c r="J71" s="11" t="s">
        <v>100</v>
      </c>
      <c r="K71" s="10"/>
      <c r="L71" s="10"/>
      <c r="M71" s="10"/>
    </row>
    <row r="72" spans="1:13" x14ac:dyDescent="0.25">
      <c r="A72" s="181" t="s">
        <v>102</v>
      </c>
      <c r="B72" s="198">
        <v>0</v>
      </c>
      <c r="C72" s="182" t="s">
        <v>103</v>
      </c>
      <c r="D72" s="10"/>
      <c r="E72" s="10"/>
      <c r="F72" s="10"/>
      <c r="G72" s="667"/>
      <c r="H72" s="181" t="s">
        <v>104</v>
      </c>
      <c r="I72" s="198">
        <f>IF(I$28&gt;=0,(M$22+J$43+I$53+I$63),(M$22+J$43+I$53+I$63+J$32))</f>
        <v>0</v>
      </c>
      <c r="J72" s="182" t="s">
        <v>103</v>
      </c>
      <c r="K72" s="10"/>
      <c r="L72" s="10"/>
      <c r="M72" s="10"/>
    </row>
    <row r="73" spans="1:13" ht="30" customHeight="1" x14ac:dyDescent="0.25">
      <c r="A73" s="345" t="s">
        <v>184</v>
      </c>
      <c r="B73" s="183"/>
      <c r="C73" s="183"/>
      <c r="D73" s="183"/>
      <c r="E73" s="183"/>
      <c r="F73" s="183"/>
      <c r="G73" s="667"/>
      <c r="H73" s="183"/>
      <c r="I73" s="183"/>
      <c r="J73" s="183"/>
      <c r="K73" s="183"/>
      <c r="L73" s="183"/>
      <c r="M73" s="183"/>
    </row>
    <row r="74" spans="1:13" s="185" customFormat="1" x14ac:dyDescent="0.25">
      <c r="A74" s="358" t="s">
        <v>183</v>
      </c>
      <c r="B74" s="184"/>
      <c r="C74" s="184"/>
      <c r="D74" s="184"/>
      <c r="E74" s="184"/>
      <c r="F74" s="184"/>
      <c r="G74" s="667"/>
      <c r="H74" s="184"/>
      <c r="I74" s="184"/>
      <c r="J74" s="184"/>
      <c r="K74" s="184"/>
      <c r="L74" s="184"/>
      <c r="M74" s="184"/>
    </row>
    <row r="75" spans="1:13" x14ac:dyDescent="0.25">
      <c r="A75" s="665" t="s">
        <v>24</v>
      </c>
      <c r="B75" s="665"/>
      <c r="C75" s="665"/>
      <c r="D75" s="665"/>
      <c r="E75" s="665"/>
      <c r="F75" s="665"/>
      <c r="G75" s="665"/>
      <c r="H75" s="665"/>
      <c r="I75" s="665"/>
      <c r="J75" s="665"/>
      <c r="K75" s="665"/>
      <c r="L75" s="665"/>
      <c r="M75" s="665"/>
    </row>
  </sheetData>
  <sheetProtection algorithmName="SHA-512" hashValue="JbnIrD20lr0unOXe0ouq4BaA1atxexxvY4VvFqj1Q4ThwKUjju8RW4Y/juaw8wfZifvfOQvzdOv8Fglr6DccCw==" saltValue="e/NRqrQpl703m2cD/AGQWA=="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180" priority="2" operator="containsText" text="not valid">
      <formula>NOT(ISERROR(SEARCH("not valid",A55)))</formula>
    </cfRule>
  </conditionalFormatting>
  <conditionalFormatting sqref="H55">
    <cfRule type="containsText" dxfId="179" priority="1" operator="containsText" text="not valid">
      <formula>NOT(ISERROR(SEARCH("not valid",H55)))</formula>
    </cfRule>
  </conditionalFormatting>
  <dataValidations count="1">
    <dataValidation type="list" allowBlank="1" showInputMessage="1" showErrorMessage="1" sqref="B38:B42 I38:I42" xr:uid="{00000000-0002-0000-1C00-000000000000}">
      <formula1>Exception_c</formula1>
    </dataValidation>
  </dataValidations>
  <hyperlinks>
    <hyperlink ref="C72" r:id="rId1" xr:uid="{00000000-0004-0000-1C00-000000000000}"/>
    <hyperlink ref="J72" r:id="rId2" xr:uid="{00000000-0004-0000-1C00-000001000000}"/>
    <hyperlink ref="A74" r:id="rId3" xr:uid="{00000000-0004-0000-1C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rgb="FF0070C0"/>
  </sheetPr>
  <dimension ref="A1:F43"/>
  <sheetViews>
    <sheetView showGridLines="0" workbookViewId="0">
      <selection activeCell="A32" sqref="A32:A33"/>
    </sheetView>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8: State Fiscal Year ",'2. Getting Started'!B6+7)</f>
        <v>Summary of Year 8: State Fiscal Year 2028</v>
      </c>
      <c r="B1" s="299"/>
      <c r="C1" s="299"/>
      <c r="D1" s="21" t="s">
        <v>14</v>
      </c>
      <c r="E1" s="20" t="str">
        <f>IF('2. Getting Started'!B2="","",'2. Getting Started'!B2)</f>
        <v/>
      </c>
    </row>
    <row r="2" spans="1:5" ht="18.75" x14ac:dyDescent="0.3">
      <c r="A2" s="2" t="str">
        <f>CONCATENATE("State fiscal year ",'2. Getting Started'!B6+7," covers the period ",'2. Getting Started'!B4,", ",'2. Getting Started'!B6+6," through ",'2. Getting Started'!B5,", ",'2. Getting Started'!B6+7)</f>
        <v>State fiscal year 2028 covers the period July 1, 2027 through June 30, 2028</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3" t="e">
        <f>IF('2. Getting Started'!B10="","",IF('38.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6" s="257" t="e">
        <f>IF('2. Getting Started'!B13="","",IF('41.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7" spans="1:5" x14ac:dyDescent="0.25">
      <c r="A7" s="243" t="s">
        <v>45</v>
      </c>
      <c r="B7" s="205" t="e">
        <f>IF(B6="","",IF(B6='2.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#DIV/0!</v>
      </c>
      <c r="E7" s="267" t="e">
        <f>IF(E6="","",IF(E6='2.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#DIV/0!</v>
      </c>
    </row>
    <row r="8" spans="1:5" x14ac:dyDescent="0.25">
      <c r="A8" s="243" t="s">
        <v>9</v>
      </c>
      <c r="B8" s="205" t="str">
        <f>'26. Year 8 Amounts'!D30</f>
        <v/>
      </c>
      <c r="C8" s="205" t="str">
        <f>'26. Year 8 Amounts'!F30</f>
        <v/>
      </c>
      <c r="D8" s="205" t="str">
        <f>'26. Year 8 Amounts'!D31</f>
        <v/>
      </c>
      <c r="E8" s="267" t="str">
        <f>'26. Year 8 Amounts'!F31</f>
        <v/>
      </c>
    </row>
    <row r="9" spans="1:5" x14ac:dyDescent="0.25">
      <c r="A9" s="243" t="s">
        <v>117</v>
      </c>
      <c r="B9" s="201" t="str">
        <f>IF(B8="","",IF(B8&gt;=B7,"Met",IF(AND(B8&lt;B7,'38. Total Local Funds'!$B70="Met"),"Met with Exceptions &amp; Adjustments","Did Not Meet")))</f>
        <v/>
      </c>
      <c r="C9" s="201" t="str">
        <f>IF(C8="","",IF(C8&gt;=C7,"Met",IF(AND(C8&lt;C7,'39. Total State &amp; Local Funds'!$B70="Met"),"Met with Exceptions &amp; Adjustments","Did Not Meet")))</f>
        <v/>
      </c>
      <c r="D9" s="201" t="str">
        <f>IF(D8="","",IF(D8&gt;=D7,"Met",IF(AND(D8&lt;D7,'40. Local Funds Per Capita'!$B71="Met"),"Met with Exceptions &amp; Adjustments","Did Not Meet")))</f>
        <v/>
      </c>
      <c r="E9" s="259" t="str">
        <f>IF(E8="","",IF(E8&gt;=E7,"Met",IF(AND(E8&lt;E7,'41. State &amp; Local Funds Per Cap'!$B71="Met"),"Met with Exceptions &amp; Adjustments","Did Not Meet")))</f>
        <v/>
      </c>
    </row>
    <row r="10" spans="1:5" x14ac:dyDescent="0.25">
      <c r="A10" s="246" t="s">
        <v>46</v>
      </c>
      <c r="B10" s="256" t="str">
        <f>IF(B9="","",IF(B9="Did Not Meet",'38. Total Local Funds'!$B68-'38. Total Local Funds'!$B69,0))</f>
        <v/>
      </c>
      <c r="C10" s="256" t="str">
        <f>IF(C9="","",IF(C9="Did Not Meet",'39. Total State &amp; Local Funds'!$B68-'39. Total State &amp; Local Funds'!$B69,0))</f>
        <v/>
      </c>
      <c r="D10" s="256" t="str">
        <f>IF(D9="","",IF(D9="Did Not Meet",(('40. Local Funds Per Capita'!$B69-'40. Local Funds Per Capita'!$B70)*'26. Year 8 Amounts'!B1),0))</f>
        <v/>
      </c>
      <c r="E10" s="261" t="str">
        <f>IF(E9="","",IF(E9="Did Not Meet",(('41. State &amp; Local Funds Per Cap'!$B69-'41. State &amp; Local Funds Per Cap'!$B70)*'26. Year 8 Amounts'!B1),0))</f>
        <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t="e">
        <f>IF('2. Getting Started'!B10="","",IF('38.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14" s="257" t="e">
        <f>IF('2. Getting Started'!B13="","",IF('41.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15" spans="1:5" x14ac:dyDescent="0.25">
      <c r="A15" s="243" t="s">
        <v>45</v>
      </c>
      <c r="B15" s="17" t="e">
        <f>IF(B14="","",IF(B14='2. Getting Started'!B6+6,'23. Year 7 Amounts'!K30,IF(B14='2.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Started'!B6+6,'23. Year 7 Amounts'!M30,IF(C14='2.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Started'!B6+6,'23. Year 7 Amounts'!K31,IF(D14='2.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#DIV/0!</v>
      </c>
      <c r="E15" s="258" t="e">
        <f>IF(E14="","",IF(E14='2. Getting Started'!B6+6,'23. Year 7 Amounts'!M31,IF(E14='2.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#DIV/0!</v>
      </c>
    </row>
    <row r="16" spans="1:5" x14ac:dyDescent="0.25">
      <c r="A16" s="243" t="s">
        <v>11</v>
      </c>
      <c r="B16" s="17" t="str">
        <f>'26. Year 8 Amounts'!K30</f>
        <v/>
      </c>
      <c r="C16" s="17" t="str">
        <f>'26. Year 8 Amounts'!M30</f>
        <v/>
      </c>
      <c r="D16" s="17" t="str">
        <f>'26. Year 8 Amounts'!K31</f>
        <v/>
      </c>
      <c r="E16" s="258" t="str">
        <f>'26. Year 8 Amounts'!M31</f>
        <v/>
      </c>
    </row>
    <row r="17" spans="1:5" x14ac:dyDescent="0.25">
      <c r="A17" s="243" t="s">
        <v>117</v>
      </c>
      <c r="B17" s="201" t="str">
        <f>IF(B16="","",IF(B16&gt;=B15,"Met",IF(AND(B16&lt;B15,'38. Total Local Funds'!F70="Met"),"Met with Exceptions &amp; Adjustments","Did Not Meet")))</f>
        <v/>
      </c>
      <c r="C17" s="201" t="str">
        <f>IF(C16="","",IF(C16&gt;=C15,"Met",IF(AND(C16&lt;C15,'39. Total State &amp; Local Funds'!F70="Met"),"Met with Exceptions &amp; Adjustments","Did Not Meet")))</f>
        <v/>
      </c>
      <c r="D17" s="201" t="str">
        <f>IF(D16="","",IF(D16&gt;=D15,"Met",IF(AND(D16&lt;D15,'40. Local Funds Per Capita'!F71="Met"),"Met with Exceptions &amp; Adjustments","Did Not Meet")))</f>
        <v/>
      </c>
      <c r="E17" s="259" t="str">
        <f>IF(E16="","",IF(E16&gt;=E15,"Met",IF(AND(E16&lt;E15,'41. State &amp; Local Funds Per Cap'!F71="Met"),"Met with Exceptions &amp; Adjustments","Did Not Meet")))</f>
        <v/>
      </c>
    </row>
    <row r="18" spans="1:5" x14ac:dyDescent="0.25">
      <c r="A18" s="246" t="s">
        <v>46</v>
      </c>
      <c r="B18" s="256" t="str">
        <f>IF(B17="","",IF(B17="Did Not Meet",'38. Total Local Funds'!F68-'38. Total Local Funds'!F69,0))</f>
        <v/>
      </c>
      <c r="C18" s="256" t="str">
        <f>IF(C17="","",IF(C17="Did Not Meet",'39. Total State &amp; Local Funds'!F68-'39. Total State &amp; Local Funds'!F69,0))</f>
        <v/>
      </c>
      <c r="D18" s="256" t="str">
        <f>IF(D17="","",IF(D17="Did Not Meet",(('40. Local Funds Per Capita'!F69-'40. Local Funds Per Capita'!F70)*'26. Year 8 Amounts'!I1),0))</f>
        <v/>
      </c>
      <c r="E18" s="261" t="str">
        <f>IF(E17="","",IF(E17="Did Not Meet",(('41. State &amp; Local Funds Per Cap'!F69-'41. State &amp; Local Funds Per Cap'!F70)*'26. Year 8 Amounts'!I1),0))</f>
        <v/>
      </c>
    </row>
    <row r="19" spans="1:5" x14ac:dyDescent="0.25">
      <c r="A19" s="657" t="s">
        <v>174</v>
      </c>
      <c r="B19" s="657"/>
      <c r="C19" s="657"/>
      <c r="D19" s="657"/>
      <c r="E19" s="657"/>
    </row>
    <row r="20" spans="1:5" ht="15.75" x14ac:dyDescent="0.2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x14ac:dyDescent="0.25">
      <c r="A21" s="260" t="s">
        <v>126</v>
      </c>
      <c r="B21" s="271" t="s">
        <v>134</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f>MIN(B24,B18,C18,D18,E18)</f>
        <v>0</v>
      </c>
    </row>
    <row r="26" spans="1:5" x14ac:dyDescent="0.25">
      <c r="A26" s="243" t="s">
        <v>114</v>
      </c>
      <c r="B26" s="263"/>
    </row>
    <row r="27" spans="1:5" x14ac:dyDescent="0.25">
      <c r="A27" s="246" t="s">
        <v>115</v>
      </c>
      <c r="B27" s="26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Started'!B6+7)</f>
        <v>Exceptions and Adjustment Claimed for State Fiscal Year 2028</v>
      </c>
    </row>
    <row r="32" spans="1:5" x14ac:dyDescent="0.25">
      <c r="A32" s="2"/>
      <c r="B32" s="322" t="s">
        <v>147</v>
      </c>
      <c r="C32" s="4"/>
      <c r="D32" s="322" t="s">
        <v>151</v>
      </c>
      <c r="E32" s="4"/>
    </row>
    <row r="33" spans="1:5" x14ac:dyDescent="0.25">
      <c r="A33" s="218" t="s">
        <v>150</v>
      </c>
      <c r="B33" s="323" t="s">
        <v>154</v>
      </c>
      <c r="C33" s="324" t="s">
        <v>155</v>
      </c>
      <c r="D33" s="325" t="s">
        <v>152</v>
      </c>
      <c r="E33" s="324" t="s">
        <v>153</v>
      </c>
    </row>
    <row r="34" spans="1:5" x14ac:dyDescent="0.25">
      <c r="A34" s="224" t="s">
        <v>139</v>
      </c>
      <c r="B34" s="17">
        <f>'27. Year 8 Exc &amp; Adj'!F22</f>
        <v>0</v>
      </c>
      <c r="C34" s="258">
        <f>'27. Year 8 Exc &amp; Adj'!F22</f>
        <v>0</v>
      </c>
      <c r="D34" s="326">
        <f>'27. Year 8 Exc &amp; Adj'!M22</f>
        <v>0</v>
      </c>
      <c r="E34" s="17">
        <f>'27. Year 8 Exc &amp; Adj'!M22</f>
        <v>0</v>
      </c>
    </row>
    <row r="35" spans="1:5" x14ac:dyDescent="0.25">
      <c r="A35" s="224" t="s">
        <v>140</v>
      </c>
      <c r="B35" s="17" t="str">
        <f>'27. Year 8 Exc &amp; Adj'!B32</f>
        <v/>
      </c>
      <c r="C35" s="258" t="str">
        <f>'27. Year 8 Exc &amp; Adj'!C32</f>
        <v/>
      </c>
      <c r="D35" s="326" t="str">
        <f>'27. Year 8 Exc &amp; Adj'!I32</f>
        <v/>
      </c>
      <c r="E35" s="258" t="str">
        <f>'27. Year 8 Exc &amp; Adj'!J32</f>
        <v/>
      </c>
    </row>
    <row r="36" spans="1:5" x14ac:dyDescent="0.25">
      <c r="A36" s="224" t="s">
        <v>141</v>
      </c>
      <c r="B36" s="17">
        <f>'27. Year 8 Exc &amp; Adj'!C43</f>
        <v>0</v>
      </c>
      <c r="C36" s="258">
        <f>'27. Year 8 Exc &amp; Adj'!C43</f>
        <v>0</v>
      </c>
      <c r="D36" s="326">
        <f>'27. Year 8 Exc &amp; Adj'!J43</f>
        <v>0</v>
      </c>
      <c r="E36" s="17">
        <f>'27. Year 8 Exc &amp; Adj'!J43</f>
        <v>0</v>
      </c>
    </row>
    <row r="37" spans="1:5" x14ac:dyDescent="0.25">
      <c r="A37" s="224" t="s">
        <v>142</v>
      </c>
      <c r="B37" s="17">
        <f>'27. Year 8 Exc &amp; Adj'!B53</f>
        <v>0</v>
      </c>
      <c r="C37" s="258">
        <f>'27. Year 8 Exc &amp; Adj'!B53</f>
        <v>0</v>
      </c>
      <c r="D37" s="326">
        <f>'27. Year 8 Exc &amp; Adj'!I53</f>
        <v>0</v>
      </c>
      <c r="E37" s="17">
        <f>'27. Year 8 Exc &amp; Adj'!I53</f>
        <v>0</v>
      </c>
    </row>
    <row r="38" spans="1:5" x14ac:dyDescent="0.25">
      <c r="A38" s="224" t="str">
        <f>IF('3b. High Cost Fund'!$B10="No","This exception is not valid for your state.","Exception (e)")</f>
        <v>Exception (e)</v>
      </c>
      <c r="B38" s="331">
        <f>IF('3b. High Cost Fund'!$B10="No","",'27. Year 8 Exc &amp; Adj'!B63)</f>
        <v>0</v>
      </c>
      <c r="C38" s="332">
        <f>IF('3b. High Cost Fund'!$B10="No","",'27. Year 8 Exc &amp; Adj'!B63)</f>
        <v>0</v>
      </c>
      <c r="D38" s="326">
        <f>IF('3b. High Cost Fund'!$B10="No","",'27. Year 8 Exc &amp; Adj'!I63)</f>
        <v>0</v>
      </c>
      <c r="E38" s="331">
        <f>IF('3b. High Cost Fund'!$B10="No","",'27. Year 8 Exc &amp; Adj'!I63)</f>
        <v>0</v>
      </c>
    </row>
    <row r="39" spans="1:5" x14ac:dyDescent="0.25">
      <c r="A39" s="224" t="s">
        <v>143</v>
      </c>
      <c r="B39" s="17">
        <f>AdjDataYear8Budget[Projected Adjustment]</f>
        <v>0</v>
      </c>
      <c r="C39" s="17">
        <f>AdjDataYear8Budget[Projected Adjustment]</f>
        <v>0</v>
      </c>
      <c r="D39" s="327">
        <f>AdjDataYear8Expenditures[[Adjustment ]]</f>
        <v>0</v>
      </c>
      <c r="E39" s="17">
        <f>AdjDataYear8Expenditures[[Adjustment ]]</f>
        <v>0</v>
      </c>
    </row>
    <row r="40" spans="1:5" x14ac:dyDescent="0.25">
      <c r="A40" s="246" t="s">
        <v>124</v>
      </c>
      <c r="B40" s="328">
        <f>SUM(B34:B39)</f>
        <v>0</v>
      </c>
      <c r="C40" s="329">
        <f>SUM(C34:C39)</f>
        <v>0</v>
      </c>
      <c r="D40" s="330">
        <f>SUM(D34:D39)</f>
        <v>0</v>
      </c>
      <c r="E40" s="329">
        <f>SUM(E34:E39)</f>
        <v>0</v>
      </c>
    </row>
    <row r="41" spans="1:5" ht="27"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PwWjVArc9cv74JQN9T77XcfdqQjIwlYfEUNeiMMA61rq15cZ5RCejC8VZNKOdk8+vWM7GMvjNC0lNy6eK5pcwg==" saltValue="LDqtcZPyqztXMYLBzFY+Sw==" spinCount="100000" sheet="1" objects="1" scenarios="1" formatColumns="0" formatRows="0"/>
  <mergeCells count="5">
    <mergeCell ref="A11:E11"/>
    <mergeCell ref="A19:E19"/>
    <mergeCell ref="A28:E28"/>
    <mergeCell ref="A30:E30"/>
    <mergeCell ref="A43:E43"/>
  </mergeCells>
  <conditionalFormatting sqref="B9:E9">
    <cfRule type="containsText" dxfId="178" priority="3" operator="containsText" text="Did Not Meet">
      <formula>NOT(ISERROR(SEARCH("Did Not Meet",B9)))</formula>
    </cfRule>
    <cfRule type="containsText" dxfId="177" priority="4" operator="containsText" text="Met">
      <formula>NOT(ISERROR(SEARCH("Met",B9)))</formula>
    </cfRule>
  </conditionalFormatting>
  <conditionalFormatting sqref="B17:E17">
    <cfRule type="containsText" dxfId="176" priority="1" operator="containsText" text="Did Not Meet">
      <formula>NOT(ISERROR(SEARCH("Did Not Meet",B17)))</formula>
    </cfRule>
    <cfRule type="containsText" dxfId="175" priority="2" operator="containsText" text="Met">
      <formula>NOT(ISERROR(SEARCH("Met",B17)))</formula>
    </cfRule>
  </conditionalFormatting>
  <hyperlinks>
    <hyperlink ref="A29" location="'4. Multi-Year MOE Summary'!A11" display="Go to the Multi-Year MOE Summary" xr:uid="{00000000-0004-0000-1D00-000000000000}"/>
    <hyperlink ref="A42" r:id="rId1" xr:uid="{00000000-0004-0000-1D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c r="D1" s="21" t="s">
        <v>14</v>
      </c>
      <c r="E1" s="20" t="str">
        <f>IF('2. Getting Started'!B2="","",'2. Getting Started'!B2)</f>
        <v/>
      </c>
      <c r="G1" s="661" t="s">
        <v>22</v>
      </c>
      <c r="H1" s="19" t="s">
        <v>49</v>
      </c>
      <c r="I1" s="48"/>
      <c r="K1" s="21" t="s">
        <v>14</v>
      </c>
      <c r="L1" s="20" t="str">
        <f>IF('2. Getting Started'!B2="","",'2. Getting Started'!B2)</f>
        <v/>
      </c>
    </row>
    <row r="2" spans="1:13" s="25" customFormat="1" ht="37.9" customHeight="1" thickBot="1" x14ac:dyDescent="0.3">
      <c r="A2" s="22" t="str">
        <f>CONCATENATE("Eligibility Standard - State Fiscal Year ",'2. Getting Started'!B6+8," -  LEA Effort - Budgeted Amounts")</f>
        <v>Eligibility Standard - State Fiscal Year 2029 -  LEA Effort - Budgeted Amounts</v>
      </c>
      <c r="B2" s="23"/>
      <c r="C2" s="23"/>
      <c r="D2" s="23"/>
      <c r="E2" s="23"/>
      <c r="F2" s="24"/>
      <c r="G2" s="661"/>
      <c r="H2" s="22" t="str">
        <f>CONCATENATE("Compliance Standard - State Fiscal Year ",'2. Getting Started'!B6+8," - LEA Effort - Final Expenditures")</f>
        <v>Compliance Standard - State Fiscal Year 2029 - LEA Effort - Final Expenditures</v>
      </c>
      <c r="I2" s="23"/>
      <c r="J2" s="23"/>
      <c r="K2" s="23"/>
      <c r="L2" s="23"/>
      <c r="M2" s="24"/>
    </row>
    <row r="3" spans="1:13" s="25" customFormat="1" ht="24" customHeight="1" x14ac:dyDescent="0.25">
      <c r="A3" s="26"/>
      <c r="B3" s="27"/>
      <c r="D3" s="28" t="str">
        <f>CONCATENATE("SFY ",'2. Getting Started'!$B6+8," Budget")</f>
        <v>SFY 2029 Budget</v>
      </c>
      <c r="E3" s="29"/>
      <c r="F3" s="30"/>
      <c r="G3" s="661"/>
      <c r="H3" s="26"/>
      <c r="I3" s="27"/>
      <c r="J3" s="31"/>
      <c r="K3" s="28" t="str">
        <f>CONCATENATE("SFY ",'2. Getting Started'!$B6+8," Final Expenditures")</f>
        <v>SFY 2029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ht="15.75" x14ac:dyDescent="0.25">
      <c r="A5" s="49"/>
      <c r="B5" s="50"/>
      <c r="C5" s="51"/>
      <c r="D5" s="52"/>
      <c r="E5" s="52"/>
      <c r="F5" s="38" t="str">
        <f>IF(AND(D5="",E5=""),"",SUM(D5:E5))</f>
        <v/>
      </c>
      <c r="G5" s="661"/>
      <c r="H5" s="49"/>
      <c r="I5" s="50"/>
      <c r="J5" s="51"/>
      <c r="K5" s="52"/>
      <c r="L5" s="52"/>
      <c r="M5" s="38" t="str">
        <f>IF(AND(K5="",L5=""),"",SUM(K5:L5))</f>
        <v/>
      </c>
    </row>
    <row r="6" spans="1:13" ht="15.75" x14ac:dyDescent="0.25">
      <c r="A6" s="49"/>
      <c r="B6" s="50"/>
      <c r="C6" s="51"/>
      <c r="D6" s="52"/>
      <c r="E6" s="52"/>
      <c r="F6" s="38" t="str">
        <f t="shared" ref="F6:F29" si="0">IF(AND(D6="",E6=""),"",SUM(D6:E6))</f>
        <v/>
      </c>
      <c r="G6" s="661"/>
      <c r="H6" s="49"/>
      <c r="I6" s="50"/>
      <c r="J6" s="51"/>
      <c r="K6" s="52"/>
      <c r="L6" s="52"/>
      <c r="M6" s="38" t="str">
        <f t="shared" ref="M6:M29" si="1">IF(AND(K6="",L6=""),"",SUM(K6:L6))</f>
        <v/>
      </c>
    </row>
    <row r="7" spans="1:13" ht="15.75" x14ac:dyDescent="0.25">
      <c r="A7" s="49"/>
      <c r="B7" s="50"/>
      <c r="C7" s="51"/>
      <c r="D7" s="52"/>
      <c r="E7" s="52"/>
      <c r="F7" s="38" t="str">
        <f t="shared" si="0"/>
        <v/>
      </c>
      <c r="G7" s="661"/>
      <c r="H7" s="49"/>
      <c r="I7" s="50"/>
      <c r="J7" s="51"/>
      <c r="K7" s="52"/>
      <c r="L7" s="52"/>
      <c r="M7" s="38" t="str">
        <f t="shared" si="1"/>
        <v/>
      </c>
    </row>
    <row r="8" spans="1:13" ht="15.75" x14ac:dyDescent="0.25">
      <c r="A8" s="49"/>
      <c r="B8" s="50"/>
      <c r="C8" s="51"/>
      <c r="D8" s="52"/>
      <c r="E8" s="52"/>
      <c r="F8" s="38" t="str">
        <f t="shared" si="0"/>
        <v/>
      </c>
      <c r="G8" s="661"/>
      <c r="H8" s="49"/>
      <c r="I8" s="50"/>
      <c r="J8" s="51"/>
      <c r="K8" s="52"/>
      <c r="L8" s="52"/>
      <c r="M8" s="38" t="str">
        <f t="shared" si="1"/>
        <v/>
      </c>
    </row>
    <row r="9" spans="1:13" ht="15.75" x14ac:dyDescent="0.25">
      <c r="A9" s="49"/>
      <c r="B9" s="50"/>
      <c r="C9" s="51"/>
      <c r="D9" s="52"/>
      <c r="E9" s="52"/>
      <c r="F9" s="38" t="str">
        <f t="shared" si="0"/>
        <v/>
      </c>
      <c r="G9" s="661"/>
      <c r="H9" s="49"/>
      <c r="I9" s="50"/>
      <c r="J9" s="51"/>
      <c r="K9" s="52"/>
      <c r="L9" s="52"/>
      <c r="M9" s="38" t="str">
        <f t="shared" si="1"/>
        <v/>
      </c>
    </row>
    <row r="10" spans="1:13" ht="15.75" x14ac:dyDescent="0.25">
      <c r="A10" s="49"/>
      <c r="B10" s="50"/>
      <c r="C10" s="51"/>
      <c r="D10" s="52"/>
      <c r="E10" s="52"/>
      <c r="F10" s="38" t="str">
        <f t="shared" si="0"/>
        <v/>
      </c>
      <c r="G10" s="661"/>
      <c r="H10" s="49"/>
      <c r="I10" s="50"/>
      <c r="J10" s="51"/>
      <c r="K10" s="52"/>
      <c r="L10" s="52"/>
      <c r="M10" s="38" t="str">
        <f t="shared" si="1"/>
        <v/>
      </c>
    </row>
    <row r="11" spans="1:13" ht="15.75" x14ac:dyDescent="0.25">
      <c r="A11" s="49"/>
      <c r="B11" s="50"/>
      <c r="C11" s="51"/>
      <c r="D11" s="52"/>
      <c r="E11" s="52"/>
      <c r="F11" s="38" t="str">
        <f t="shared" si="0"/>
        <v/>
      </c>
      <c r="G11" s="661"/>
      <c r="H11" s="49"/>
      <c r="I11" s="50"/>
      <c r="J11" s="51"/>
      <c r="K11" s="52"/>
      <c r="L11" s="52"/>
      <c r="M11" s="38" t="str">
        <f t="shared" si="1"/>
        <v/>
      </c>
    </row>
    <row r="12" spans="1:13" ht="15.75" x14ac:dyDescent="0.25">
      <c r="A12" s="49"/>
      <c r="B12" s="50"/>
      <c r="C12" s="51"/>
      <c r="D12" s="52"/>
      <c r="E12" s="52"/>
      <c r="F12" s="38" t="str">
        <f t="shared" si="0"/>
        <v/>
      </c>
      <c r="G12" s="661"/>
      <c r="H12" s="49"/>
      <c r="I12" s="50"/>
      <c r="J12" s="51"/>
      <c r="K12" s="52"/>
      <c r="L12" s="52"/>
      <c r="M12" s="38" t="str">
        <f t="shared" si="1"/>
        <v/>
      </c>
    </row>
    <row r="13" spans="1:13" ht="15.75" x14ac:dyDescent="0.25">
      <c r="A13" s="49"/>
      <c r="B13" s="50"/>
      <c r="C13" s="51"/>
      <c r="D13" s="52"/>
      <c r="E13" s="52"/>
      <c r="F13" s="38" t="str">
        <f t="shared" si="0"/>
        <v/>
      </c>
      <c r="G13" s="661"/>
      <c r="H13" s="49"/>
      <c r="I13" s="50"/>
      <c r="J13" s="51"/>
      <c r="K13" s="52"/>
      <c r="L13" s="52"/>
      <c r="M13" s="38" t="str">
        <f t="shared" si="1"/>
        <v/>
      </c>
    </row>
    <row r="14" spans="1:13" ht="15.75" x14ac:dyDescent="0.25">
      <c r="A14" s="49"/>
      <c r="B14" s="50"/>
      <c r="C14" s="51"/>
      <c r="D14" s="52"/>
      <c r="E14" s="52"/>
      <c r="F14" s="38" t="str">
        <f t="shared" si="0"/>
        <v/>
      </c>
      <c r="G14" s="661"/>
      <c r="H14" s="49"/>
      <c r="I14" s="50"/>
      <c r="J14" s="51"/>
      <c r="K14" s="52"/>
      <c r="L14" s="52"/>
      <c r="M14" s="38" t="str">
        <f t="shared" si="1"/>
        <v/>
      </c>
    </row>
    <row r="15" spans="1:13" ht="15.75" x14ac:dyDescent="0.25">
      <c r="A15" s="49"/>
      <c r="B15" s="50"/>
      <c r="C15" s="51"/>
      <c r="D15" s="52"/>
      <c r="E15" s="52"/>
      <c r="F15" s="38" t="str">
        <f t="shared" si="0"/>
        <v/>
      </c>
      <c r="G15" s="661"/>
      <c r="H15" s="49"/>
      <c r="I15" s="50"/>
      <c r="J15" s="51"/>
      <c r="K15" s="52"/>
      <c r="L15" s="52"/>
      <c r="M15" s="38" t="str">
        <f t="shared" si="1"/>
        <v/>
      </c>
    </row>
    <row r="16" spans="1:13" ht="15.75" x14ac:dyDescent="0.25">
      <c r="A16" s="49"/>
      <c r="B16" s="50"/>
      <c r="C16" s="51"/>
      <c r="D16" s="52"/>
      <c r="E16" s="52"/>
      <c r="F16" s="38" t="str">
        <f t="shared" si="0"/>
        <v/>
      </c>
      <c r="G16" s="661"/>
      <c r="H16" s="49"/>
      <c r="I16" s="50"/>
      <c r="J16" s="51"/>
      <c r="K16" s="52"/>
      <c r="L16" s="52"/>
      <c r="M16" s="38" t="str">
        <f t="shared" si="1"/>
        <v/>
      </c>
    </row>
    <row r="17" spans="1:13" ht="15.75" x14ac:dyDescent="0.25">
      <c r="A17" s="49"/>
      <c r="B17" s="50"/>
      <c r="C17" s="51"/>
      <c r="D17" s="52"/>
      <c r="E17" s="52"/>
      <c r="F17" s="38" t="str">
        <f t="shared" si="0"/>
        <v/>
      </c>
      <c r="G17" s="661"/>
      <c r="H17" s="49"/>
      <c r="I17" s="50"/>
      <c r="J17" s="51"/>
      <c r="K17" s="52"/>
      <c r="L17" s="52"/>
      <c r="M17" s="38" t="str">
        <f t="shared" si="1"/>
        <v/>
      </c>
    </row>
    <row r="18" spans="1:13" ht="15.75" x14ac:dyDescent="0.25">
      <c r="A18" s="49"/>
      <c r="B18" s="50"/>
      <c r="C18" s="51"/>
      <c r="D18" s="52"/>
      <c r="E18" s="52"/>
      <c r="F18" s="38" t="str">
        <f t="shared" si="0"/>
        <v/>
      </c>
      <c r="G18" s="661"/>
      <c r="H18" s="49"/>
      <c r="I18" s="50"/>
      <c r="J18" s="51"/>
      <c r="K18" s="52"/>
      <c r="L18" s="52"/>
      <c r="M18" s="38" t="str">
        <f t="shared" si="1"/>
        <v/>
      </c>
    </row>
    <row r="19" spans="1:13" ht="15.75" x14ac:dyDescent="0.25">
      <c r="A19" s="49"/>
      <c r="B19" s="50"/>
      <c r="C19" s="51"/>
      <c r="D19" s="52"/>
      <c r="E19" s="52"/>
      <c r="F19" s="38" t="str">
        <f t="shared" si="0"/>
        <v/>
      </c>
      <c r="G19" s="661"/>
      <c r="H19" s="49"/>
      <c r="I19" s="50"/>
      <c r="J19" s="51"/>
      <c r="K19" s="52"/>
      <c r="L19" s="52"/>
      <c r="M19" s="38" t="str">
        <f t="shared" si="1"/>
        <v/>
      </c>
    </row>
    <row r="20" spans="1:13" ht="15.75" x14ac:dyDescent="0.25">
      <c r="A20" s="49"/>
      <c r="B20" s="50"/>
      <c r="C20" s="51"/>
      <c r="D20" s="52"/>
      <c r="E20" s="52"/>
      <c r="F20" s="38" t="str">
        <f t="shared" si="0"/>
        <v/>
      </c>
      <c r="G20" s="661"/>
      <c r="H20" s="49"/>
      <c r="I20" s="50"/>
      <c r="J20" s="51"/>
      <c r="K20" s="52"/>
      <c r="L20" s="52"/>
      <c r="M20" s="38" t="str">
        <f t="shared" si="1"/>
        <v/>
      </c>
    </row>
    <row r="21" spans="1:13" ht="15.75" x14ac:dyDescent="0.25">
      <c r="A21" s="49"/>
      <c r="B21" s="50"/>
      <c r="C21" s="51"/>
      <c r="D21" s="52"/>
      <c r="E21" s="52"/>
      <c r="F21" s="38" t="str">
        <f t="shared" si="0"/>
        <v/>
      </c>
      <c r="G21" s="661"/>
      <c r="H21" s="49"/>
      <c r="I21" s="50"/>
      <c r="J21" s="51"/>
      <c r="K21" s="52"/>
      <c r="L21" s="52"/>
      <c r="M21" s="38" t="str">
        <f t="shared" si="1"/>
        <v/>
      </c>
    </row>
    <row r="22" spans="1:13" ht="15.75" x14ac:dyDescent="0.25">
      <c r="A22" s="49"/>
      <c r="B22" s="50"/>
      <c r="C22" s="51"/>
      <c r="D22" s="52"/>
      <c r="E22" s="52"/>
      <c r="F22" s="38" t="str">
        <f t="shared" si="0"/>
        <v/>
      </c>
      <c r="G22" s="661"/>
      <c r="H22" s="49"/>
      <c r="I22" s="50"/>
      <c r="J22" s="51"/>
      <c r="K22" s="52"/>
      <c r="L22" s="52"/>
      <c r="M22" s="38" t="str">
        <f t="shared" si="1"/>
        <v/>
      </c>
    </row>
    <row r="23" spans="1:13" ht="15.75" x14ac:dyDescent="0.25">
      <c r="A23" s="49"/>
      <c r="B23" s="50"/>
      <c r="C23" s="51"/>
      <c r="D23" s="52"/>
      <c r="E23" s="52"/>
      <c r="F23" s="38" t="str">
        <f t="shared" si="0"/>
        <v/>
      </c>
      <c r="G23" s="661"/>
      <c r="H23" s="49"/>
      <c r="I23" s="50"/>
      <c r="J23" s="51"/>
      <c r="K23" s="52"/>
      <c r="L23" s="52"/>
      <c r="M23" s="38" t="str">
        <f t="shared" si="1"/>
        <v/>
      </c>
    </row>
    <row r="24" spans="1:13" ht="15.75" x14ac:dyDescent="0.25">
      <c r="A24" s="49"/>
      <c r="B24" s="50"/>
      <c r="C24" s="51"/>
      <c r="D24" s="52"/>
      <c r="E24" s="52"/>
      <c r="F24" s="38" t="str">
        <f t="shared" si="0"/>
        <v/>
      </c>
      <c r="G24" s="661"/>
      <c r="H24" s="49"/>
      <c r="I24" s="50"/>
      <c r="J24" s="51"/>
      <c r="K24" s="52"/>
      <c r="L24" s="52"/>
      <c r="M24" s="38" t="str">
        <f t="shared" si="1"/>
        <v/>
      </c>
    </row>
    <row r="25" spans="1:13" ht="15.75" x14ac:dyDescent="0.25">
      <c r="A25" s="49"/>
      <c r="B25" s="50"/>
      <c r="C25" s="51"/>
      <c r="D25" s="52"/>
      <c r="E25" s="52"/>
      <c r="F25" s="38" t="str">
        <f t="shared" si="0"/>
        <v/>
      </c>
      <c r="G25" s="661"/>
      <c r="H25" s="49"/>
      <c r="I25" s="50"/>
      <c r="J25" s="51"/>
      <c r="K25" s="52"/>
      <c r="L25" s="52"/>
      <c r="M25" s="38" t="str">
        <f t="shared" si="1"/>
        <v/>
      </c>
    </row>
    <row r="26" spans="1:13" ht="15.75" x14ac:dyDescent="0.25">
      <c r="A26" s="49"/>
      <c r="B26" s="50"/>
      <c r="C26" s="51"/>
      <c r="D26" s="52"/>
      <c r="E26" s="52"/>
      <c r="F26" s="38" t="str">
        <f t="shared" si="0"/>
        <v/>
      </c>
      <c r="G26" s="661"/>
      <c r="H26" s="49"/>
      <c r="I26" s="50"/>
      <c r="J26" s="51"/>
      <c r="K26" s="52"/>
      <c r="L26" s="52"/>
      <c r="M26" s="38" t="str">
        <f t="shared" si="1"/>
        <v/>
      </c>
    </row>
    <row r="27" spans="1:13" ht="15.75" x14ac:dyDescent="0.25">
      <c r="A27" s="49"/>
      <c r="B27" s="50"/>
      <c r="C27" s="51"/>
      <c r="D27" s="52"/>
      <c r="E27" s="52"/>
      <c r="F27" s="38" t="str">
        <f t="shared" si="0"/>
        <v/>
      </c>
      <c r="G27" s="661"/>
      <c r="H27" s="49"/>
      <c r="I27" s="50"/>
      <c r="J27" s="51"/>
      <c r="K27" s="52"/>
      <c r="L27" s="52"/>
      <c r="M27" s="38" t="str">
        <f t="shared" si="1"/>
        <v/>
      </c>
    </row>
    <row r="28" spans="1:13" ht="15.75" x14ac:dyDescent="0.25">
      <c r="A28" s="49"/>
      <c r="B28" s="50"/>
      <c r="C28" s="51"/>
      <c r="D28" s="52"/>
      <c r="E28" s="52"/>
      <c r="F28" s="38" t="str">
        <f t="shared" si="0"/>
        <v/>
      </c>
      <c r="G28" s="661"/>
      <c r="H28" s="49"/>
      <c r="I28" s="50"/>
      <c r="J28" s="51"/>
      <c r="K28" s="52"/>
      <c r="L28" s="52"/>
      <c r="M28" s="38" t="str">
        <f t="shared" si="1"/>
        <v/>
      </c>
    </row>
    <row r="29" spans="1:13" ht="16.5" thickBot="1" x14ac:dyDescent="0.3">
      <c r="A29" s="53"/>
      <c r="B29" s="54"/>
      <c r="C29" s="55"/>
      <c r="D29" s="56"/>
      <c r="E29" s="56"/>
      <c r="F29" s="38" t="str">
        <f t="shared" si="0"/>
        <v/>
      </c>
      <c r="G29" s="661"/>
      <c r="H29" s="53"/>
      <c r="I29" s="54"/>
      <c r="J29" s="55"/>
      <c r="K29" s="56"/>
      <c r="L29" s="56"/>
      <c r="M29" s="38" t="str">
        <f t="shared" si="1"/>
        <v/>
      </c>
    </row>
    <row r="30" spans="1:13" ht="19.5" thickBot="1" x14ac:dyDescent="0.3">
      <c r="A30" s="39"/>
      <c r="B30" s="40"/>
      <c r="C30" s="41" t="s">
        <v>56</v>
      </c>
      <c r="D30" s="42" t="str">
        <f>IF(AND(D5="",D6="",D7="",D8="",D9="",D10="",D11="",D12="",D13="",D14="",D15="",D16="",D17="",D18="",D19="",D20="",D21="",D22="",D23="",D24="",D25="",D26="",D27="",D28="",D29=""),"",SUM(D5:D29))</f>
        <v/>
      </c>
      <c r="E30" s="43"/>
      <c r="F30" s="42" t="str">
        <f>IF(AND(F5="",F6="",F7="",F8="",F9="",F10="",F11="",F12="",F13="",F14="",F15="",F16="",F17="",F18="",F19="",F20="",F21="",F22="",F23="",F24="",F25="",F26="",F27="",F28="",F29=""),"",SUM(F5:F29))</f>
        <v/>
      </c>
      <c r="G30" s="661"/>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x14ac:dyDescent="0.3">
      <c r="A31" s="39"/>
      <c r="B31" s="39"/>
      <c r="C31" s="44" t="s">
        <v>57</v>
      </c>
      <c r="D31" s="42" t="str">
        <f>IF(OR($B1="",D30=""),"",(D30/$B1))</f>
        <v/>
      </c>
      <c r="E31" s="39"/>
      <c r="F31" s="42" t="str">
        <f>IF(OR($B1="",F30=""),"",(F30/$B1))</f>
        <v/>
      </c>
      <c r="G31" s="661"/>
      <c r="H31" s="39"/>
      <c r="I31" s="39"/>
      <c r="J31" s="44" t="s">
        <v>57</v>
      </c>
      <c r="K31" s="42" t="str">
        <f>IF(OR($I1="",K30=""),"",(K30/$I1))</f>
        <v/>
      </c>
      <c r="L31" s="39"/>
      <c r="M31" s="42" t="str">
        <f>IF(OR($I1="",M30=""),"",(M30/$I1))</f>
        <v/>
      </c>
    </row>
    <row r="32" spans="1:13" s="25" customFormat="1" ht="18.75" x14ac:dyDescent="0.2">
      <c r="A32" s="345" t="s">
        <v>184</v>
      </c>
      <c r="B32" s="45"/>
      <c r="C32" s="45"/>
      <c r="D32" s="45"/>
      <c r="E32" s="45"/>
      <c r="F32" s="45"/>
      <c r="G32" s="45"/>
      <c r="H32" s="45"/>
      <c r="I32" s="45"/>
      <c r="J32" s="45"/>
      <c r="K32" s="45"/>
      <c r="L32" s="45"/>
      <c r="M32" s="45"/>
    </row>
    <row r="33" spans="1:13" s="47" customFormat="1" ht="15.75"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row r="35" spans="1:13" ht="15.75" hidden="1" x14ac:dyDescent="0.25"/>
  </sheetData>
  <sheetProtection algorithmName="SHA-512" hashValue="yrLb/+cc+BBXqWZyDo3SeIreme4C0gqZYOFwo1l+hqWjF3BTgh7FkKkA8ygH1OzaDZpM0aRSCaXWNCSBXksjsA==" saltValue="IkCSerVt/5rlbeJtoElWRw=="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E00-000000000000}"/>
    <dataValidation allowBlank="1" showInputMessage="1" showErrorMessage="1" prompt="Don't forget to enter Child Count in Cell I1." sqref="H5" xr:uid="{00000000-0002-0000-1E00-000001000000}"/>
  </dataValidations>
  <hyperlinks>
    <hyperlink ref="A33" r:id="rId1" xr:uid="{00000000-0004-0000-1E00-000000000000}"/>
  </hyperlinks>
  <pageMargins left="0.75" right="0.75" top="1" bottom="1" header="0.5" footer="0.5"/>
  <pageSetup orientation="portrait" horizontalDpi="4294967292" verticalDpi="4294967292" r:id="rId2"/>
  <tableParts count="2">
    <tablePart r:id="rId3"/>
    <tablePart r:id="rId4"/>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5"/>
    <pageSetUpPr autoPageBreaks="0"/>
  </sheetPr>
  <dimension ref="A1:AB79"/>
  <sheetViews>
    <sheetView showGridLines="0" topLeftCell="G1" zoomScale="90" zoomScaleNormal="90" zoomScalePageLayoutView="90" workbookViewId="0">
      <pane ySplit="3" topLeftCell="A62" activePane="bottomLeft" state="frozen"/>
      <selection activeCell="A5" sqref="A5"/>
      <selection pane="bottomLeft" activeCell="I72" sqref="I72"/>
    </sheetView>
  </sheetViews>
  <sheetFormatPr defaultColWidth="0" defaultRowHeight="15.6" customHeight="1"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x14ac:dyDescent="0.25">
      <c r="A1" s="57" t="s">
        <v>58</v>
      </c>
      <c r="D1" s="59" t="s">
        <v>14</v>
      </c>
      <c r="E1" s="10" t="str">
        <f>IF('2. Getting Started'!$B2="","",'2. Getting Started'!$B2)</f>
        <v/>
      </c>
      <c r="G1" s="667" t="s">
        <v>176</v>
      </c>
      <c r="K1" s="59" t="s">
        <v>14</v>
      </c>
      <c r="L1" s="10" t="str">
        <f>IF('2. Getting Started'!$B2="","",'2. Getting Started'!$B2)</f>
        <v/>
      </c>
    </row>
    <row r="2" spans="1:20" ht="25.9" customHeight="1" thickBot="1" x14ac:dyDescent="0.3">
      <c r="A2" s="338" t="s">
        <v>170</v>
      </c>
      <c r="D2" s="59"/>
      <c r="E2" s="10"/>
      <c r="G2" s="667"/>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Started'!B6+8," Budget")</f>
        <v>Eligibility Standard -- Exceptions to MOE as Permitted by 34 CFR §300.204 and Adjustment to MOE as Permitted by 34 CFR §300.205 -- Projections for State Fiscal Year 2029 Budget</v>
      </c>
      <c r="B3" s="61"/>
      <c r="C3" s="61"/>
      <c r="D3" s="61"/>
      <c r="E3" s="61"/>
      <c r="F3" s="62"/>
      <c r="G3" s="667"/>
      <c r="H3" s="60" t="str">
        <f>CONCATENATE("Compliance Standard -- Exceptions to MOE as Permitted by 34 CFR §300.204 and Adjustment to MOE as Permitted by 34 CFR §300.205 -- Final Expenditures for  State Fiscal Year ",'2. Getting Started'!B6+8)</f>
        <v>Compliance Standard -- Exceptions to MOE as Permitted by 34 CFR §300.204 and Adjustment to MOE as Permitted by 34 CFR §300.205 -- Final Expenditures for  State Fiscal Year 2029</v>
      </c>
      <c r="I3" s="61"/>
      <c r="J3" s="61"/>
      <c r="K3" s="61"/>
      <c r="L3" s="61"/>
      <c r="M3" s="62"/>
      <c r="O3" s="64"/>
      <c r="P3" s="64"/>
      <c r="Q3" s="64"/>
      <c r="R3" s="64"/>
      <c r="S3" s="64"/>
      <c r="T3" s="64"/>
    </row>
    <row r="4" spans="1:20" ht="15.75" x14ac:dyDescent="0.25">
      <c r="A4" s="65" t="s">
        <v>59</v>
      </c>
      <c r="B4" s="66"/>
      <c r="C4" s="67"/>
      <c r="D4" s="67"/>
      <c r="E4" s="67"/>
      <c r="F4" s="68"/>
      <c r="G4" s="667"/>
      <c r="H4" s="65" t="s">
        <v>59</v>
      </c>
      <c r="I4" s="66"/>
      <c r="J4" s="67"/>
      <c r="K4" s="67"/>
      <c r="L4" s="67"/>
      <c r="M4" s="68"/>
      <c r="N4" s="70"/>
      <c r="O4" s="70"/>
      <c r="P4" s="70"/>
      <c r="Q4" s="70"/>
      <c r="R4" s="70"/>
      <c r="S4" s="70"/>
    </row>
    <row r="5" spans="1:20" ht="15.75" x14ac:dyDescent="0.25">
      <c r="A5" s="71" t="s">
        <v>60</v>
      </c>
      <c r="B5" s="72"/>
      <c r="C5" s="69"/>
      <c r="D5" s="69"/>
      <c r="E5" s="69"/>
      <c r="F5" s="73"/>
      <c r="G5" s="667"/>
      <c r="H5" s="71" t="s">
        <v>60</v>
      </c>
      <c r="I5" s="72"/>
      <c r="J5" s="69"/>
      <c r="K5" s="69"/>
      <c r="L5" s="69"/>
      <c r="M5" s="73"/>
      <c r="N5" s="74"/>
      <c r="O5" s="74"/>
      <c r="P5" s="74"/>
      <c r="Q5" s="74"/>
      <c r="R5" s="74"/>
    </row>
    <row r="6" spans="1:20" ht="35.65" customHeight="1" thickBot="1" x14ac:dyDescent="0.3">
      <c r="A6" s="75" t="s">
        <v>61</v>
      </c>
      <c r="B6" s="76"/>
      <c r="C6" s="76"/>
      <c r="D6" s="76"/>
      <c r="E6" s="76"/>
      <c r="F6" s="77"/>
      <c r="G6" s="667"/>
      <c r="H6" s="75" t="s">
        <v>61</v>
      </c>
      <c r="I6" s="76"/>
      <c r="J6" s="76"/>
      <c r="K6" s="76"/>
      <c r="L6" s="76"/>
      <c r="M6" s="77"/>
      <c r="N6" s="74"/>
      <c r="O6" s="74"/>
      <c r="P6" s="74"/>
      <c r="Q6" s="74"/>
      <c r="R6" s="74"/>
      <c r="S6" s="74"/>
    </row>
    <row r="7" spans="1:20" ht="15.75" x14ac:dyDescent="0.25">
      <c r="A7" s="78" t="s">
        <v>62</v>
      </c>
      <c r="B7" s="79" t="s">
        <v>63</v>
      </c>
      <c r="C7" s="80" t="s">
        <v>64</v>
      </c>
      <c r="D7" s="80" t="s">
        <v>65</v>
      </c>
      <c r="E7" s="81" t="s">
        <v>66</v>
      </c>
      <c r="F7" s="82" t="s">
        <v>67</v>
      </c>
      <c r="G7" s="667"/>
      <c r="H7" s="78" t="s">
        <v>62</v>
      </c>
      <c r="I7" s="79" t="s">
        <v>63</v>
      </c>
      <c r="J7" s="80" t="s">
        <v>64</v>
      </c>
      <c r="K7" s="80" t="s">
        <v>65</v>
      </c>
      <c r="L7" s="81" t="s">
        <v>66</v>
      </c>
      <c r="M7" s="82" t="s">
        <v>68</v>
      </c>
      <c r="N7" s="74"/>
      <c r="O7" s="74"/>
    </row>
    <row r="8" spans="1:20" ht="15.75" x14ac:dyDescent="0.25">
      <c r="A8" s="186"/>
      <c r="B8" s="187"/>
      <c r="C8" s="187"/>
      <c r="D8" s="188"/>
      <c r="E8" s="188"/>
      <c r="F8" s="84">
        <f>D8+E8</f>
        <v>0</v>
      </c>
      <c r="G8" s="667"/>
      <c r="H8" s="186"/>
      <c r="I8" s="187"/>
      <c r="J8" s="187"/>
      <c r="K8" s="188"/>
      <c r="L8" s="188"/>
      <c r="M8" s="84">
        <f>K8+L8</f>
        <v>0</v>
      </c>
      <c r="N8" s="85"/>
      <c r="O8" s="85"/>
    </row>
    <row r="9" spans="1:20" ht="15.75" x14ac:dyDescent="0.25">
      <c r="A9" s="186"/>
      <c r="B9" s="187"/>
      <c r="C9" s="187"/>
      <c r="D9" s="188"/>
      <c r="E9" s="188"/>
      <c r="F9" s="84">
        <f>D9+E9</f>
        <v>0</v>
      </c>
      <c r="G9" s="667"/>
      <c r="H9" s="186"/>
      <c r="I9" s="187"/>
      <c r="J9" s="187"/>
      <c r="K9" s="188"/>
      <c r="L9" s="188"/>
      <c r="M9" s="84">
        <f>K9+L9</f>
        <v>0</v>
      </c>
      <c r="N9" s="85"/>
      <c r="O9" s="85"/>
    </row>
    <row r="10" spans="1:20" ht="15.75" x14ac:dyDescent="0.25">
      <c r="A10" s="186"/>
      <c r="B10" s="187"/>
      <c r="C10" s="187"/>
      <c r="D10" s="188"/>
      <c r="E10" s="188"/>
      <c r="F10" s="84">
        <f>D10+E10</f>
        <v>0</v>
      </c>
      <c r="G10" s="667"/>
      <c r="H10" s="186"/>
      <c r="I10" s="187"/>
      <c r="J10" s="187"/>
      <c r="K10" s="188"/>
      <c r="L10" s="188"/>
      <c r="M10" s="84">
        <f>K10+L10</f>
        <v>0</v>
      </c>
      <c r="N10" s="85"/>
      <c r="O10" s="85"/>
    </row>
    <row r="11" spans="1:20" ht="15.75" x14ac:dyDescent="0.25">
      <c r="A11" s="186"/>
      <c r="B11" s="187"/>
      <c r="C11" s="187"/>
      <c r="D11" s="188"/>
      <c r="E11" s="188"/>
      <c r="F11" s="84">
        <f>D11+E11</f>
        <v>0</v>
      </c>
      <c r="G11" s="667"/>
      <c r="H11" s="186"/>
      <c r="I11" s="187"/>
      <c r="J11" s="187"/>
      <c r="K11" s="188"/>
      <c r="L11" s="188"/>
      <c r="M11" s="84">
        <f>K11+L11</f>
        <v>0</v>
      </c>
      <c r="N11" s="85"/>
      <c r="O11" s="85"/>
    </row>
    <row r="12" spans="1:20" ht="15.75" x14ac:dyDescent="0.25">
      <c r="A12" s="186"/>
      <c r="B12" s="187"/>
      <c r="C12" s="187"/>
      <c r="D12" s="188"/>
      <c r="E12" s="188"/>
      <c r="F12" s="84">
        <f>D12+E12</f>
        <v>0</v>
      </c>
      <c r="G12" s="667"/>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67"/>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67"/>
      <c r="H14" s="91" t="s">
        <v>70</v>
      </c>
      <c r="I14" s="92"/>
      <c r="J14" s="92"/>
      <c r="K14" s="92"/>
      <c r="L14" s="92"/>
      <c r="M14" s="93"/>
      <c r="N14" s="74"/>
      <c r="O14" s="74"/>
      <c r="P14" s="74"/>
      <c r="Q14" s="74"/>
      <c r="R14" s="74"/>
      <c r="S14" s="94"/>
    </row>
    <row r="15" spans="1:20" ht="15.75" x14ac:dyDescent="0.25">
      <c r="A15" s="95" t="s">
        <v>62</v>
      </c>
      <c r="B15" s="96" t="s">
        <v>63</v>
      </c>
      <c r="C15" s="97" t="s">
        <v>175</v>
      </c>
      <c r="D15" s="80" t="s">
        <v>65</v>
      </c>
      <c r="E15" s="81" t="s">
        <v>66</v>
      </c>
      <c r="F15" s="82" t="s">
        <v>67</v>
      </c>
      <c r="G15" s="667"/>
      <c r="H15" s="95" t="s">
        <v>62</v>
      </c>
      <c r="I15" s="96" t="s">
        <v>63</v>
      </c>
      <c r="J15" s="97" t="s">
        <v>175</v>
      </c>
      <c r="K15" s="80" t="s">
        <v>65</v>
      </c>
      <c r="L15" s="81" t="s">
        <v>66</v>
      </c>
      <c r="M15" s="82" t="s">
        <v>68</v>
      </c>
      <c r="N15" s="64"/>
      <c r="O15" s="99"/>
    </row>
    <row r="16" spans="1:20" ht="15.75" x14ac:dyDescent="0.25">
      <c r="A16" s="189"/>
      <c r="B16" s="190"/>
      <c r="C16" s="100"/>
      <c r="D16" s="188"/>
      <c r="E16" s="188"/>
      <c r="F16" s="84">
        <f t="shared" ref="F16:F20" si="2">D16+E16</f>
        <v>0</v>
      </c>
      <c r="G16" s="667"/>
      <c r="H16" s="189"/>
      <c r="I16" s="190"/>
      <c r="J16" s="100"/>
      <c r="K16" s="188"/>
      <c r="L16" s="188"/>
      <c r="M16" s="84">
        <f t="shared" ref="M16:M20" si="3">K16+L16</f>
        <v>0</v>
      </c>
      <c r="N16" s="85"/>
      <c r="O16" s="85"/>
    </row>
    <row r="17" spans="1:19" ht="15.75" x14ac:dyDescent="0.25">
      <c r="A17" s="189"/>
      <c r="B17" s="190"/>
      <c r="C17" s="100"/>
      <c r="D17" s="188"/>
      <c r="E17" s="188"/>
      <c r="F17" s="84">
        <f t="shared" si="2"/>
        <v>0</v>
      </c>
      <c r="G17" s="667"/>
      <c r="H17" s="189"/>
      <c r="I17" s="190"/>
      <c r="J17" s="100"/>
      <c r="K17" s="188"/>
      <c r="L17" s="188"/>
      <c r="M17" s="84">
        <f t="shared" si="3"/>
        <v>0</v>
      </c>
      <c r="N17" s="85"/>
      <c r="O17" s="85"/>
    </row>
    <row r="18" spans="1:19" ht="15.75" x14ac:dyDescent="0.25">
      <c r="A18" s="189"/>
      <c r="B18" s="190"/>
      <c r="C18" s="100"/>
      <c r="D18" s="188"/>
      <c r="E18" s="188"/>
      <c r="F18" s="84">
        <f t="shared" si="2"/>
        <v>0</v>
      </c>
      <c r="G18" s="667"/>
      <c r="H18" s="189"/>
      <c r="I18" s="190"/>
      <c r="J18" s="100"/>
      <c r="K18" s="188"/>
      <c r="L18" s="188"/>
      <c r="M18" s="84">
        <f t="shared" si="3"/>
        <v>0</v>
      </c>
      <c r="N18" s="85"/>
      <c r="O18" s="85"/>
    </row>
    <row r="19" spans="1:19" ht="15.75" x14ac:dyDescent="0.25">
      <c r="A19" s="189"/>
      <c r="B19" s="190"/>
      <c r="C19" s="100"/>
      <c r="D19" s="188"/>
      <c r="E19" s="188"/>
      <c r="F19" s="84">
        <f t="shared" si="2"/>
        <v>0</v>
      </c>
      <c r="G19" s="667"/>
      <c r="H19" s="189"/>
      <c r="I19" s="190"/>
      <c r="J19" s="100"/>
      <c r="K19" s="188"/>
      <c r="L19" s="188"/>
      <c r="M19" s="84">
        <f t="shared" si="3"/>
        <v>0</v>
      </c>
      <c r="N19" s="85"/>
      <c r="O19" s="85"/>
    </row>
    <row r="20" spans="1:19" ht="15.75" x14ac:dyDescent="0.25">
      <c r="A20" s="189"/>
      <c r="B20" s="190"/>
      <c r="C20" s="100"/>
      <c r="D20" s="188"/>
      <c r="E20" s="188"/>
      <c r="F20" s="84">
        <f t="shared" si="2"/>
        <v>0</v>
      </c>
      <c r="G20" s="667"/>
      <c r="H20" s="189"/>
      <c r="I20" s="190"/>
      <c r="J20" s="100"/>
      <c r="K20" s="188"/>
      <c r="L20" s="188"/>
      <c r="M20" s="84">
        <f t="shared" si="3"/>
        <v>0</v>
      </c>
      <c r="N20" s="85"/>
      <c r="O20" s="85"/>
    </row>
    <row r="21" spans="1:19" ht="15.75" x14ac:dyDescent="0.25">
      <c r="A21" s="101"/>
      <c r="B21" s="102"/>
      <c r="C21" s="103" t="s">
        <v>72</v>
      </c>
      <c r="D21" s="104">
        <f t="shared" ref="D21:F21" si="4">SUM(D16:D20)</f>
        <v>0</v>
      </c>
      <c r="E21" s="104">
        <f t="shared" si="4"/>
        <v>0</v>
      </c>
      <c r="F21" s="84">
        <f t="shared" si="4"/>
        <v>0</v>
      </c>
      <c r="G21" s="667"/>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67"/>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67"/>
      <c r="H23" s="668" t="s">
        <v>22</v>
      </c>
      <c r="I23" s="668"/>
      <c r="J23" s="668"/>
      <c r="K23" s="668"/>
      <c r="L23" s="668"/>
      <c r="M23" s="668"/>
      <c r="N23" s="94"/>
      <c r="O23" s="94"/>
      <c r="P23" s="94"/>
      <c r="Q23" s="94"/>
      <c r="R23" s="94"/>
      <c r="S23" s="94"/>
    </row>
    <row r="24" spans="1:19" ht="15.75" x14ac:dyDescent="0.25">
      <c r="A24" s="112" t="s">
        <v>105</v>
      </c>
      <c r="B24" s="113"/>
      <c r="C24" s="113"/>
      <c r="D24" s="63"/>
      <c r="E24" s="120"/>
      <c r="F24" s="120"/>
      <c r="G24" s="667"/>
      <c r="H24" s="112" t="s">
        <v>105</v>
      </c>
      <c r="I24" s="113"/>
      <c r="J24" s="113"/>
      <c r="K24" s="63"/>
      <c r="L24" s="120"/>
      <c r="M24" s="120"/>
      <c r="N24" s="119"/>
      <c r="O24" s="119"/>
      <c r="P24" s="119"/>
      <c r="Q24" s="119"/>
    </row>
    <row r="25" spans="1:19" ht="15.75" x14ac:dyDescent="0.25">
      <c r="A25" s="121" t="s">
        <v>71</v>
      </c>
      <c r="B25" s="122" t="s">
        <v>77</v>
      </c>
      <c r="C25" s="123"/>
      <c r="D25" s="124"/>
      <c r="E25" s="123"/>
      <c r="F25" s="123"/>
      <c r="G25" s="667"/>
      <c r="H25" s="121" t="s">
        <v>71</v>
      </c>
      <c r="I25" s="122" t="s">
        <v>77</v>
      </c>
      <c r="J25" s="123"/>
      <c r="K25" s="124"/>
      <c r="L25" s="123"/>
      <c r="M25" s="123"/>
      <c r="N25" s="119"/>
      <c r="O25" s="119"/>
      <c r="P25" s="119"/>
      <c r="Q25" s="119"/>
    </row>
    <row r="26" spans="1:19" ht="15.75" x14ac:dyDescent="0.25">
      <c r="A26" s="125" t="str">
        <f>CONCATENATE("SFY ",'2. Getting Started'!B6+8," Projected Child Count")</f>
        <v>SFY 2029 Projected Child Count</v>
      </c>
      <c r="B26" s="126" t="str">
        <f>IF('29. Year 9 Amounts'!B1="","",'29. Year 9 Amounts'!B1)</f>
        <v/>
      </c>
      <c r="C26" s="123"/>
      <c r="D26" s="124"/>
      <c r="E26" s="123"/>
      <c r="F26" s="123"/>
      <c r="G26" s="667"/>
      <c r="H26" s="125" t="str">
        <f>CONCATENATE("SFY ",'2. Getting Started'!B6+8," Child Count")</f>
        <v>SFY 2029 Child Count</v>
      </c>
      <c r="I26" s="126" t="str">
        <f>IF('29. Year 9 Amounts'!I1="","",'29. Year 9 Amounts'!I1)</f>
        <v/>
      </c>
      <c r="J26" s="123"/>
      <c r="K26" s="124"/>
      <c r="L26" s="123"/>
      <c r="M26" s="123"/>
      <c r="N26" s="119"/>
      <c r="O26" s="119"/>
      <c r="P26" s="119"/>
      <c r="Q26" s="119"/>
    </row>
    <row r="27" spans="1:19" ht="15.75" x14ac:dyDescent="0.25">
      <c r="A27" s="125" t="str">
        <f>CONCATENATE("SFY ",'2. Getting Started'!B6+7," Projected Child Count")</f>
        <v>SFY 2028 Projected Child Count</v>
      </c>
      <c r="B27" s="126" t="str">
        <f>IF('26. Year 8 Amounts'!B1="","",'26. Year 8 Amounts'!B1)</f>
        <v/>
      </c>
      <c r="C27" s="119"/>
      <c r="D27" s="128"/>
      <c r="E27" s="119"/>
      <c r="F27" s="123"/>
      <c r="G27" s="667"/>
      <c r="H27" s="125" t="str">
        <f>CONCATENATE("SFY ",'2. Getting Started'!B6+7," Child Count")</f>
        <v>SFY 2028 Child Count</v>
      </c>
      <c r="I27" s="126" t="str">
        <f>IF('26. Year 8 Amounts'!I1="","",'26. Year 8 Amounts'!I1)</f>
        <v/>
      </c>
      <c r="J27" s="119"/>
      <c r="K27" s="128"/>
      <c r="L27" s="119"/>
      <c r="M27" s="123"/>
      <c r="N27" s="129"/>
      <c r="O27" s="129"/>
      <c r="P27" s="129"/>
      <c r="Q27" s="129"/>
    </row>
    <row r="28" spans="1:19" ht="15.75" x14ac:dyDescent="0.25">
      <c r="A28" s="127" t="s">
        <v>78</v>
      </c>
      <c r="B28" s="130" t="str">
        <f>IF(B26="","",B26-B27)</f>
        <v/>
      </c>
      <c r="C28" s="123" t="str">
        <f>IF(B28="","",IF(B28&gt;=0,"Not eligible for this exception",""))</f>
        <v/>
      </c>
      <c r="D28" s="124"/>
      <c r="E28" s="123"/>
      <c r="F28" s="123"/>
      <c r="G28" s="667"/>
      <c r="H28" s="127" t="s">
        <v>78</v>
      </c>
      <c r="I28" s="130" t="str">
        <f>IF(I26="","",I26-I27)</f>
        <v/>
      </c>
      <c r="J28" s="123" t="str">
        <f>IF(I28="","",IF(I28&gt;=0,"Not eligible for this exception",""))</f>
        <v/>
      </c>
      <c r="K28" s="124"/>
      <c r="L28" s="123"/>
      <c r="M28" s="123"/>
      <c r="N28" s="132"/>
      <c r="O28" s="132"/>
      <c r="P28" s="132"/>
      <c r="Q28" s="132"/>
    </row>
    <row r="29" spans="1:19" ht="15.75" x14ac:dyDescent="0.25">
      <c r="A29" s="133" t="s">
        <v>79</v>
      </c>
      <c r="B29" s="134" t="str">
        <f>IF(B26="","",IF(B28&lt;=0,ABS(B28/B27),""))</f>
        <v/>
      </c>
      <c r="C29" s="135"/>
      <c r="D29" s="136"/>
      <c r="E29" s="135"/>
      <c r="F29" s="10"/>
      <c r="G29" s="667"/>
      <c r="H29" s="133" t="s">
        <v>79</v>
      </c>
      <c r="I29" s="134" t="str">
        <f>IF(I26="","",IF(I28&lt;=0,ABS(I28/I27),""))</f>
        <v/>
      </c>
      <c r="J29" s="135"/>
      <c r="K29" s="136"/>
      <c r="L29" s="135"/>
      <c r="M29" s="10"/>
      <c r="N29" s="137"/>
      <c r="O29" s="137"/>
      <c r="P29" s="138"/>
      <c r="Q29" s="138"/>
    </row>
    <row r="30" spans="1:19" ht="31.5" x14ac:dyDescent="0.25">
      <c r="A30" s="115" t="s">
        <v>71</v>
      </c>
      <c r="B30" s="116" t="s">
        <v>0</v>
      </c>
      <c r="C30" s="116" t="s">
        <v>2</v>
      </c>
      <c r="D30" s="10"/>
      <c r="E30" s="72"/>
      <c r="F30" s="72"/>
      <c r="G30" s="667"/>
      <c r="H30" s="115" t="s">
        <v>71</v>
      </c>
      <c r="I30" s="116" t="s">
        <v>75</v>
      </c>
      <c r="J30" s="116" t="s">
        <v>76</v>
      </c>
      <c r="K30" s="10"/>
      <c r="L30" s="72"/>
      <c r="M30" s="72"/>
      <c r="N30" s="138"/>
      <c r="O30" s="138"/>
    </row>
    <row r="31" spans="1:19" ht="15.75" x14ac:dyDescent="0.25">
      <c r="A31" s="139" t="str">
        <f>CONCATENATE("SFY ",'2. Getting Started'!B6+7," Budget")</f>
        <v>SFY 2028 Budget</v>
      </c>
      <c r="B31" s="140" t="str">
        <f>IF('26. Year 8 Amounts'!D30="","",'26. Year 8 Amounts'!D30)</f>
        <v/>
      </c>
      <c r="C31" s="140" t="str">
        <f>IF('26. Year 8 Amounts'!F30="","",'26. Year 8 Amounts'!F30)</f>
        <v/>
      </c>
      <c r="D31" s="141"/>
      <c r="E31" s="74"/>
      <c r="F31" s="74"/>
      <c r="G31" s="667"/>
      <c r="H31" s="139" t="str">
        <f>CONCATENATE("SFY ",'2. Getting Started'!B6+7," Final Expenditures")</f>
        <v>SFY 2028 Final Expenditures</v>
      </c>
      <c r="I31" s="140" t="str">
        <f>IF('26. Year 8 Amounts'!K30="","",'26. Year 8 Amounts'!K30)</f>
        <v/>
      </c>
      <c r="J31" s="140" t="str">
        <f>IF('26. Year 8 Amounts'!M30="","",'26. Year 8 Amounts'!M30)</f>
        <v/>
      </c>
      <c r="K31" s="142"/>
      <c r="L31" s="74"/>
      <c r="M31" s="74"/>
    </row>
    <row r="32" spans="1:19" ht="15.75" x14ac:dyDescent="0.25">
      <c r="A32" s="117" t="s">
        <v>80</v>
      </c>
      <c r="B32" s="143" t="str">
        <f>IF(OR($B26="",B29="",B31=""),"",($B29*B31))</f>
        <v/>
      </c>
      <c r="C32" s="143" t="str">
        <f>IF(OR($B26="",B29="",C31=""),"",($B29*C31))</f>
        <v/>
      </c>
      <c r="D32" s="142"/>
      <c r="E32" s="118"/>
      <c r="F32" s="118"/>
      <c r="G32" s="667"/>
      <c r="H32" s="117" t="s">
        <v>81</v>
      </c>
      <c r="I32" s="143" t="str">
        <f>IF(OR($I26="",I29="",I31=""),"",($I29*I31))</f>
        <v/>
      </c>
      <c r="J32" s="143" t="str">
        <f>IF(OR($I26="",I29="",J31=""),"",($I29*J31))</f>
        <v/>
      </c>
      <c r="K32" s="142"/>
      <c r="L32" s="118"/>
      <c r="M32" s="118"/>
    </row>
    <row r="33" spans="1:28" ht="16.5" thickBot="1" x14ac:dyDescent="0.3">
      <c r="A33" s="663" t="s">
        <v>22</v>
      </c>
      <c r="B33" s="663"/>
      <c r="C33" s="663"/>
      <c r="D33" s="123"/>
      <c r="E33" s="123"/>
      <c r="F33" s="123"/>
      <c r="G33" s="667"/>
      <c r="H33" s="663" t="s">
        <v>22</v>
      </c>
      <c r="I33" s="663"/>
      <c r="J33" s="663"/>
      <c r="K33" s="123"/>
      <c r="L33" s="123"/>
      <c r="M33" s="123"/>
      <c r="P33" s="118"/>
      <c r="Q33" s="118"/>
      <c r="R33" s="118"/>
      <c r="S33" s="118"/>
      <c r="T33" s="118"/>
      <c r="U33" s="74"/>
      <c r="V33" s="118"/>
      <c r="W33" s="118"/>
      <c r="X33" s="118"/>
      <c r="Y33" s="118"/>
      <c r="Z33" s="118"/>
      <c r="AA33" s="118"/>
    </row>
    <row r="34" spans="1:28" ht="15.75" x14ac:dyDescent="0.25">
      <c r="A34" s="112" t="s">
        <v>82</v>
      </c>
      <c r="B34" s="145"/>
      <c r="C34" s="146"/>
      <c r="D34" s="147"/>
      <c r="E34" s="131"/>
      <c r="F34" s="131"/>
      <c r="G34" s="667"/>
      <c r="H34" s="112" t="s">
        <v>82</v>
      </c>
      <c r="I34" s="145"/>
      <c r="J34" s="146"/>
      <c r="K34" s="147"/>
      <c r="L34" s="131"/>
      <c r="M34" s="131"/>
      <c r="P34" s="118"/>
      <c r="Q34" s="118"/>
      <c r="R34" s="118"/>
      <c r="S34" s="118"/>
      <c r="T34" s="118"/>
      <c r="U34" s="118"/>
      <c r="V34" s="118"/>
      <c r="W34" s="118"/>
      <c r="X34" s="118"/>
      <c r="Y34" s="118"/>
      <c r="Z34" s="118"/>
      <c r="AA34" s="118"/>
    </row>
    <row r="35" spans="1:28" ht="15.75" x14ac:dyDescent="0.25">
      <c r="A35" s="148" t="s">
        <v>83</v>
      </c>
      <c r="B35" s="72"/>
      <c r="C35" s="149"/>
      <c r="D35" s="150"/>
      <c r="E35" s="10"/>
      <c r="F35" s="10"/>
      <c r="G35" s="667"/>
      <c r="H35" s="148" t="s">
        <v>83</v>
      </c>
      <c r="I35" s="72"/>
      <c r="J35" s="149"/>
      <c r="K35" s="150"/>
      <c r="L35" s="10"/>
      <c r="M35" s="10"/>
      <c r="P35" s="74"/>
      <c r="Q35" s="74"/>
      <c r="R35" s="74"/>
      <c r="S35" s="74"/>
      <c r="T35" s="74"/>
      <c r="U35" s="74"/>
      <c r="V35" s="74"/>
      <c r="W35" s="74"/>
      <c r="X35" s="74"/>
      <c r="Y35" s="74"/>
      <c r="Z35" s="74"/>
      <c r="AA35" s="74"/>
    </row>
    <row r="36" spans="1:28" ht="15.75" x14ac:dyDescent="0.25">
      <c r="A36" s="151" t="s">
        <v>84</v>
      </c>
      <c r="B36" s="72"/>
      <c r="C36" s="152"/>
      <c r="D36" s="150"/>
      <c r="E36" s="10"/>
      <c r="F36" s="10"/>
      <c r="G36" s="667"/>
      <c r="H36" s="151" t="s">
        <v>84</v>
      </c>
      <c r="I36" s="72"/>
      <c r="J36" s="152"/>
      <c r="K36" s="150"/>
      <c r="L36" s="10"/>
      <c r="M36" s="10"/>
      <c r="Q36" s="74"/>
      <c r="R36" s="74"/>
      <c r="S36" s="74"/>
      <c r="T36" s="74"/>
      <c r="U36" s="74"/>
      <c r="V36" s="74"/>
      <c r="W36" s="74"/>
      <c r="X36" s="74"/>
      <c r="Y36" s="74"/>
      <c r="Z36" s="74"/>
      <c r="AA36" s="74"/>
      <c r="AB36" s="74"/>
    </row>
    <row r="37" spans="1:28" ht="15.75" x14ac:dyDescent="0.25">
      <c r="A37" s="153" t="s">
        <v>85</v>
      </c>
      <c r="B37" s="154" t="s">
        <v>86</v>
      </c>
      <c r="C37" s="155" t="s">
        <v>87</v>
      </c>
      <c r="D37" s="118"/>
      <c r="E37" s="144"/>
      <c r="F37" s="144"/>
      <c r="G37" s="667"/>
      <c r="H37" s="153" t="s">
        <v>85</v>
      </c>
      <c r="I37" s="154" t="s">
        <v>86</v>
      </c>
      <c r="J37" s="155" t="s">
        <v>88</v>
      </c>
      <c r="K37" s="118"/>
      <c r="L37" s="144"/>
      <c r="M37" s="144"/>
      <c r="P37" s="94"/>
      <c r="Q37" s="94"/>
      <c r="R37" s="94"/>
      <c r="S37" s="94"/>
      <c r="T37" s="94"/>
      <c r="U37" s="94"/>
      <c r="V37" s="94"/>
      <c r="W37" s="94"/>
      <c r="X37" s="94"/>
      <c r="Y37" s="94"/>
      <c r="Z37" s="94"/>
      <c r="AA37" s="94"/>
    </row>
    <row r="38" spans="1:28" ht="15.75" x14ac:dyDescent="0.25">
      <c r="A38" s="191"/>
      <c r="B38" s="192"/>
      <c r="C38" s="193"/>
      <c r="D38" s="144"/>
      <c r="E38" s="144"/>
      <c r="F38" s="144"/>
      <c r="G38" s="667"/>
      <c r="H38" s="191"/>
      <c r="I38" s="192"/>
      <c r="J38" s="193"/>
      <c r="K38" s="144"/>
      <c r="L38" s="144"/>
      <c r="M38" s="144"/>
      <c r="P38" s="94"/>
      <c r="Q38" s="94"/>
      <c r="R38" s="94"/>
      <c r="S38" s="94"/>
      <c r="T38" s="94"/>
      <c r="U38" s="94"/>
      <c r="V38" s="94"/>
      <c r="W38" s="94"/>
      <c r="X38" s="94"/>
      <c r="Y38" s="94"/>
      <c r="Z38" s="94"/>
      <c r="AA38" s="94"/>
    </row>
    <row r="39" spans="1:28" ht="15.75" x14ac:dyDescent="0.25">
      <c r="A39" s="191"/>
      <c r="B39" s="192"/>
      <c r="C39" s="193"/>
      <c r="D39" s="144"/>
      <c r="E39" s="72"/>
      <c r="F39" s="72"/>
      <c r="G39" s="667"/>
      <c r="H39" s="191"/>
      <c r="I39" s="192"/>
      <c r="J39" s="193"/>
      <c r="K39" s="144"/>
      <c r="L39" s="72"/>
      <c r="M39" s="72"/>
      <c r="P39" s="94"/>
      <c r="Q39" s="94"/>
      <c r="R39" s="94"/>
      <c r="S39" s="94"/>
      <c r="T39" s="94"/>
      <c r="U39" s="94"/>
      <c r="V39" s="94"/>
      <c r="W39" s="94"/>
      <c r="X39" s="94"/>
      <c r="Y39" s="94"/>
      <c r="Z39" s="94"/>
      <c r="AA39" s="94"/>
    </row>
    <row r="40" spans="1:28" ht="15.75" x14ac:dyDescent="0.25">
      <c r="A40" s="191"/>
      <c r="B40" s="192"/>
      <c r="C40" s="193"/>
      <c r="D40" s="144"/>
      <c r="E40" s="72"/>
      <c r="F40" s="72"/>
      <c r="G40" s="667"/>
      <c r="H40" s="191"/>
      <c r="I40" s="192"/>
      <c r="J40" s="193"/>
      <c r="K40" s="144"/>
      <c r="L40" s="72"/>
      <c r="M40" s="72"/>
      <c r="P40" s="94"/>
      <c r="Q40" s="94"/>
      <c r="R40" s="94"/>
      <c r="S40" s="94"/>
      <c r="T40" s="94"/>
      <c r="U40" s="94"/>
      <c r="V40" s="94"/>
      <c r="W40" s="94"/>
      <c r="X40" s="94"/>
      <c r="Y40" s="94"/>
      <c r="Z40" s="94"/>
      <c r="AA40" s="94"/>
    </row>
    <row r="41" spans="1:28" ht="15.75" x14ac:dyDescent="0.25">
      <c r="A41" s="191"/>
      <c r="B41" s="192"/>
      <c r="C41" s="193"/>
      <c r="D41" s="144"/>
      <c r="E41" s="120"/>
      <c r="F41" s="120"/>
      <c r="G41" s="667"/>
      <c r="H41" s="191"/>
      <c r="I41" s="192"/>
      <c r="J41" s="193"/>
      <c r="K41" s="144"/>
      <c r="L41" s="120"/>
      <c r="M41" s="120"/>
      <c r="P41" s="94"/>
      <c r="Q41" s="94"/>
      <c r="R41" s="94"/>
      <c r="S41" s="94"/>
      <c r="T41" s="94"/>
      <c r="U41" s="94"/>
      <c r="V41" s="94"/>
      <c r="W41" s="94"/>
      <c r="X41" s="94"/>
      <c r="Y41" s="94"/>
      <c r="Z41" s="94"/>
      <c r="AA41" s="94"/>
    </row>
    <row r="42" spans="1:28" ht="15.75" x14ac:dyDescent="0.25">
      <c r="A42" s="191"/>
      <c r="B42" s="192"/>
      <c r="C42" s="193"/>
      <c r="D42" s="144"/>
      <c r="F42" s="10"/>
      <c r="G42" s="667"/>
      <c r="H42" s="191"/>
      <c r="I42" s="192"/>
      <c r="J42" s="193"/>
      <c r="K42" s="144"/>
      <c r="M42" s="10"/>
      <c r="P42" s="74"/>
      <c r="Q42" s="74"/>
      <c r="R42" s="74"/>
      <c r="S42" s="74"/>
      <c r="T42" s="74"/>
      <c r="U42" s="74"/>
      <c r="V42" s="74"/>
      <c r="W42" s="74"/>
      <c r="X42" s="74"/>
      <c r="Y42" s="74"/>
      <c r="Z42" s="74"/>
      <c r="AA42" s="74"/>
    </row>
    <row r="43" spans="1:28" ht="15.75" x14ac:dyDescent="0.25">
      <c r="A43" s="157" t="s">
        <v>89</v>
      </c>
      <c r="B43" s="158"/>
      <c r="C43" s="159">
        <f>SUM(C38:C42)</f>
        <v>0</v>
      </c>
      <c r="D43" s="144"/>
      <c r="E43" s="74"/>
      <c r="F43" s="72"/>
      <c r="G43" s="667"/>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67"/>
      <c r="H44" s="669" t="s">
        <v>22</v>
      </c>
      <c r="I44" s="669"/>
      <c r="J44" s="669"/>
      <c r="K44" s="72"/>
      <c r="L44" s="72"/>
      <c r="M44" s="72"/>
      <c r="P44" s="94"/>
      <c r="Q44" s="94"/>
      <c r="R44" s="94"/>
      <c r="S44" s="94"/>
      <c r="T44" s="94"/>
      <c r="U44" s="94"/>
      <c r="V44" s="94"/>
      <c r="W44" s="94"/>
      <c r="X44" s="94"/>
      <c r="Y44" s="94"/>
      <c r="Z44" s="94"/>
      <c r="AA44" s="94"/>
    </row>
    <row r="45" spans="1:28" ht="15.75" x14ac:dyDescent="0.25">
      <c r="A45" s="112" t="s">
        <v>91</v>
      </c>
      <c r="B45" s="114"/>
      <c r="C45" s="120"/>
      <c r="D45" s="120"/>
      <c r="E45" s="120"/>
      <c r="F45" s="120"/>
      <c r="G45" s="667"/>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67"/>
      <c r="H46" s="71" t="s">
        <v>92</v>
      </c>
      <c r="I46" s="152"/>
      <c r="J46" s="120"/>
      <c r="K46" s="72"/>
      <c r="L46" s="74"/>
      <c r="M46" s="74"/>
      <c r="O46" s="94"/>
      <c r="P46" s="94"/>
      <c r="Q46" s="94"/>
      <c r="R46" s="94"/>
      <c r="S46" s="94"/>
      <c r="T46" s="94"/>
      <c r="U46" s="94"/>
      <c r="V46" s="94"/>
      <c r="W46" s="94"/>
      <c r="X46" s="94"/>
      <c r="Y46" s="94"/>
      <c r="Z46" s="94"/>
    </row>
    <row r="47" spans="1:28" ht="15.75" x14ac:dyDescent="0.25">
      <c r="A47" s="160" t="s">
        <v>93</v>
      </c>
      <c r="B47" s="161" t="s">
        <v>94</v>
      </c>
      <c r="C47" s="118"/>
      <c r="D47" s="118"/>
      <c r="E47" s="144"/>
      <c r="F47" s="110"/>
      <c r="G47" s="667"/>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67"/>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67"/>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67"/>
      <c r="H50" s="194"/>
      <c r="I50" s="195"/>
      <c r="J50" s="144"/>
      <c r="K50" s="144"/>
      <c r="L50" s="72"/>
      <c r="M50" s="72"/>
    </row>
    <row r="51" spans="1:26" ht="60" customHeight="1" x14ac:dyDescent="0.25">
      <c r="A51" s="194"/>
      <c r="B51" s="195"/>
      <c r="C51" s="144"/>
      <c r="D51" s="144"/>
      <c r="E51" s="162"/>
      <c r="F51" s="162"/>
      <c r="G51" s="667"/>
      <c r="H51" s="194"/>
      <c r="I51" s="195"/>
      <c r="J51" s="144"/>
      <c r="K51" s="144"/>
      <c r="L51" s="162"/>
      <c r="M51" s="162"/>
    </row>
    <row r="52" spans="1:26" ht="60" customHeight="1" x14ac:dyDescent="0.25">
      <c r="A52" s="194"/>
      <c r="B52" s="195"/>
      <c r="C52" s="144"/>
      <c r="D52" s="144"/>
      <c r="E52" s="163"/>
      <c r="F52" s="163"/>
      <c r="G52" s="667"/>
      <c r="H52" s="194"/>
      <c r="I52" s="195"/>
      <c r="J52" s="144"/>
      <c r="K52" s="144"/>
      <c r="L52" s="163"/>
      <c r="M52" s="163"/>
    </row>
    <row r="53" spans="1:26" ht="15.75" x14ac:dyDescent="0.25">
      <c r="A53" s="164" t="s">
        <v>89</v>
      </c>
      <c r="B53" s="165">
        <f>SUM(B48:B52)</f>
        <v>0</v>
      </c>
      <c r="C53" s="144"/>
      <c r="D53" s="144"/>
      <c r="E53" s="74"/>
      <c r="G53" s="667"/>
      <c r="H53" s="166" t="s">
        <v>90</v>
      </c>
      <c r="I53" s="165">
        <f>SUM(I48:I52)</f>
        <v>0</v>
      </c>
      <c r="J53" s="144"/>
      <c r="K53" s="144"/>
      <c r="L53" s="74"/>
    </row>
    <row r="54" spans="1:26" ht="16.5" thickBot="1" x14ac:dyDescent="0.3">
      <c r="A54" s="663" t="s">
        <v>22</v>
      </c>
      <c r="B54" s="663"/>
      <c r="C54" s="10"/>
      <c r="D54" s="72"/>
      <c r="E54" s="72"/>
      <c r="F54" s="72"/>
      <c r="G54" s="667"/>
      <c r="H54" s="663" t="s">
        <v>22</v>
      </c>
      <c r="I54" s="663"/>
      <c r="J54" s="10"/>
      <c r="K54" s="72"/>
      <c r="L54" s="72"/>
      <c r="M54" s="72"/>
    </row>
    <row r="55" spans="1:26" ht="15.75" x14ac:dyDescent="0.25">
      <c r="A55" s="167" t="str">
        <f>IF('3b. High Cost Fund'!$B11="No","This exception is not valid in your state.","Exception (e) The assumption of cost by the high cost fund operated by the")</f>
        <v>Exception (e) The assumption of cost by the high cost fund operated by the</v>
      </c>
      <c r="B55" s="146"/>
      <c r="C55" s="147"/>
      <c r="D55" s="131"/>
      <c r="E55" s="131"/>
      <c r="F55" s="144"/>
      <c r="G55" s="667"/>
      <c r="H55" s="167" t="str">
        <f>IF('3b. High Cost Fund'!$B11="No","This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Fund'!$B11="No","","SEA under §300.704. MUST be explicitly permitted by the SEA.")</f>
        <v>SEA under §300.704. MUST be explicitly permitted by the SEA.</v>
      </c>
      <c r="B56" s="168"/>
      <c r="C56" s="169"/>
      <c r="D56" s="170"/>
      <c r="E56" s="163"/>
      <c r="F56" s="144"/>
      <c r="G56" s="667"/>
      <c r="H56" s="71" t="str">
        <f>IF('3b. High Cost Fund'!$B11="No","","SEA under §300.704. MUST be explicitly permitted by the SEA.")</f>
        <v>SEA under §300.704. MUST be explicitly permitted by the SEA.</v>
      </c>
      <c r="I56" s="168"/>
      <c r="J56" s="147"/>
      <c r="K56" s="170"/>
      <c r="L56" s="163"/>
      <c r="M56" s="144"/>
    </row>
    <row r="57" spans="1:26" ht="15.75" x14ac:dyDescent="0.25">
      <c r="A57" s="171" t="s">
        <v>85</v>
      </c>
      <c r="B57" s="172" t="s">
        <v>96</v>
      </c>
      <c r="C57" s="118"/>
      <c r="D57" s="144"/>
      <c r="E57" s="144"/>
      <c r="F57" s="10"/>
      <c r="G57" s="667"/>
      <c r="H57" s="171" t="s">
        <v>85</v>
      </c>
      <c r="I57" s="172" t="s">
        <v>97</v>
      </c>
      <c r="J57" s="118"/>
      <c r="K57" s="144"/>
      <c r="L57" s="144"/>
      <c r="M57" s="10"/>
    </row>
    <row r="58" spans="1:26" ht="15.4" customHeight="1" x14ac:dyDescent="0.25">
      <c r="A58" s="196"/>
      <c r="B58" s="197"/>
      <c r="C58" s="337" t="str">
        <f>IF(AND(B58&lt;&gt;"",'3b. High Cost Fund'!$B11="No"),"Invalid entry. This exception is valid only in states with high-cost funds. If your state has a high-cost fund, please indicate that on tab 3b.","")</f>
        <v/>
      </c>
      <c r="D58" s="144"/>
      <c r="E58" s="144"/>
      <c r="F58" s="10"/>
      <c r="G58" s="667"/>
      <c r="H58" s="196"/>
      <c r="I58" s="197"/>
      <c r="J58" s="337" t="str">
        <f>IF(AND(I58&lt;&gt;"",'3b. High Cost Fund'!$B11="No"),"Invalid entry. This exception is valid only in states with high-cost funds. If your state has a high-cost fund, please indicate that on tab 3b.","")</f>
        <v/>
      </c>
      <c r="K58" s="144"/>
      <c r="L58" s="144"/>
      <c r="M58" s="10"/>
    </row>
    <row r="59" spans="1:26" ht="15.75" x14ac:dyDescent="0.25">
      <c r="A59" s="196"/>
      <c r="B59" s="197"/>
      <c r="C59" s="144"/>
      <c r="D59" s="10"/>
      <c r="E59" s="10"/>
      <c r="F59" s="10"/>
      <c r="G59" s="667"/>
      <c r="H59" s="196"/>
      <c r="I59" s="197"/>
      <c r="J59" s="144"/>
      <c r="K59" s="10"/>
      <c r="L59" s="10"/>
      <c r="M59" s="10"/>
    </row>
    <row r="60" spans="1:26" ht="15.75" x14ac:dyDescent="0.25">
      <c r="A60" s="196"/>
      <c r="B60" s="197"/>
      <c r="C60" s="144"/>
      <c r="D60" s="10"/>
      <c r="E60" s="10"/>
      <c r="F60" s="10"/>
      <c r="G60" s="667"/>
      <c r="H60" s="196"/>
      <c r="I60" s="197"/>
      <c r="J60" s="144"/>
      <c r="K60" s="10"/>
      <c r="L60" s="10"/>
      <c r="M60" s="10"/>
    </row>
    <row r="61" spans="1:26" ht="15.75" x14ac:dyDescent="0.25">
      <c r="A61" s="196"/>
      <c r="B61" s="197"/>
      <c r="C61" s="144"/>
      <c r="D61" s="10"/>
      <c r="E61" s="10"/>
      <c r="F61" s="10"/>
      <c r="G61" s="667"/>
      <c r="H61" s="196"/>
      <c r="I61" s="197"/>
      <c r="J61" s="144"/>
      <c r="K61" s="10"/>
      <c r="L61" s="10"/>
      <c r="M61" s="10"/>
    </row>
    <row r="62" spans="1:26" ht="15.75" x14ac:dyDescent="0.25">
      <c r="A62" s="196"/>
      <c r="B62" s="197"/>
      <c r="C62" s="144"/>
      <c r="D62" s="10"/>
      <c r="E62" s="10"/>
      <c r="F62" s="10"/>
      <c r="G62" s="667"/>
      <c r="H62" s="196"/>
      <c r="I62" s="197"/>
      <c r="J62" s="144"/>
      <c r="K62" s="10"/>
      <c r="L62" s="10"/>
      <c r="M62" s="10"/>
    </row>
    <row r="63" spans="1:26" ht="15.75" x14ac:dyDescent="0.25">
      <c r="A63" s="173" t="s">
        <v>89</v>
      </c>
      <c r="B63" s="174">
        <f>IF('3b. High Cost Fund'!$B11="No",0,SUM(B58:B62))</f>
        <v>0</v>
      </c>
      <c r="C63" s="144"/>
      <c r="D63" s="10"/>
      <c r="E63" s="10"/>
      <c r="F63" s="10"/>
      <c r="G63" s="667"/>
      <c r="H63" s="175" t="s">
        <v>90</v>
      </c>
      <c r="I63" s="174">
        <f>IF('3b. High Cost Fund'!$B11="No",0,SUM(I58:I62))</f>
        <v>0</v>
      </c>
      <c r="J63" s="144"/>
      <c r="K63" s="10"/>
      <c r="L63" s="10"/>
      <c r="M63" s="10"/>
    </row>
    <row r="64" spans="1:26" ht="16.5" thickBot="1" x14ac:dyDescent="0.3">
      <c r="A64" s="663" t="s">
        <v>22</v>
      </c>
      <c r="B64" s="663"/>
      <c r="C64" s="144"/>
      <c r="D64" s="10"/>
      <c r="E64" s="10"/>
      <c r="F64" s="10"/>
      <c r="G64" s="667"/>
      <c r="H64" s="663" t="s">
        <v>22</v>
      </c>
      <c r="I64" s="663"/>
      <c r="J64" s="144"/>
      <c r="K64" s="10"/>
      <c r="L64" s="10"/>
      <c r="M64" s="10"/>
    </row>
    <row r="65" spans="1:13" ht="15.75" x14ac:dyDescent="0.25">
      <c r="A65" s="347" t="s">
        <v>107</v>
      </c>
      <c r="B65" s="348"/>
      <c r="C65" s="144"/>
      <c r="D65" s="10"/>
      <c r="E65" s="10"/>
      <c r="F65" s="10"/>
      <c r="G65" s="667"/>
      <c r="H65" s="347" t="s">
        <v>106</v>
      </c>
      <c r="I65" s="348"/>
      <c r="J65" s="144"/>
      <c r="K65" s="10"/>
      <c r="L65" s="10"/>
      <c r="M65" s="10"/>
    </row>
    <row r="66" spans="1:13" ht="15.75" x14ac:dyDescent="0.25">
      <c r="A66" s="242" t="s">
        <v>123</v>
      </c>
      <c r="B66" s="265" t="s">
        <v>124</v>
      </c>
      <c r="C66" s="144"/>
      <c r="D66" s="10"/>
      <c r="E66" s="10"/>
      <c r="F66" s="10"/>
      <c r="G66" s="667"/>
      <c r="H66" s="269" t="s">
        <v>123</v>
      </c>
      <c r="I66" s="270" t="s">
        <v>124</v>
      </c>
      <c r="J66" s="144"/>
      <c r="K66" s="10"/>
      <c r="L66" s="10"/>
      <c r="M66" s="10"/>
    </row>
    <row r="67" spans="1:13" ht="15.75" x14ac:dyDescent="0.25">
      <c r="A67" s="103" t="s">
        <v>0</v>
      </c>
      <c r="B67" s="240">
        <f>IF(B$28&gt;=0,(F$22+C$43+B$53+B$63),(F$22+C$43+B$53+B$63+B$32))</f>
        <v>0</v>
      </c>
      <c r="C67" s="144"/>
      <c r="D67" s="10"/>
      <c r="E67" s="10"/>
      <c r="F67" s="10"/>
      <c r="G67" s="667"/>
      <c r="H67" s="103" t="s">
        <v>0</v>
      </c>
      <c r="I67" s="240">
        <f>IF(I$28&gt;=0,(M$22+J$43+I$53+I$63),(M$22+J$43+I$53+I$63+I$32))</f>
        <v>0</v>
      </c>
      <c r="J67" s="144"/>
      <c r="K67" s="10"/>
      <c r="L67" s="10"/>
      <c r="M67" s="10"/>
    </row>
    <row r="68" spans="1:13" ht="15.75" x14ac:dyDescent="0.25">
      <c r="A68" s="241" t="s">
        <v>2</v>
      </c>
      <c r="B68" s="174">
        <f>IF(B$28&gt;=0,(F$22+C$43+B$53+B$63),(F$22+C$43+B$53+B$63+C$32))</f>
        <v>0</v>
      </c>
      <c r="C68" s="144"/>
      <c r="D68" s="10"/>
      <c r="E68" s="10"/>
      <c r="F68" s="10"/>
      <c r="G68" s="667"/>
      <c r="H68" s="241" t="s">
        <v>2</v>
      </c>
      <c r="I68" s="174">
        <f>IF(I$28&gt;=0,(M$22+J$43+I$53+I$63),(M$22+J$43+I$53+I$63+J$32))</f>
        <v>0</v>
      </c>
      <c r="J68" s="144"/>
      <c r="K68" s="10"/>
      <c r="L68" s="10"/>
      <c r="M68" s="10"/>
    </row>
    <row r="69" spans="1:13" ht="16.5" thickBot="1" x14ac:dyDescent="0.3">
      <c r="A69" s="664" t="s">
        <v>22</v>
      </c>
      <c r="B69" s="664"/>
      <c r="C69" s="10"/>
      <c r="D69" s="10"/>
      <c r="E69" s="10"/>
      <c r="F69" s="10"/>
      <c r="G69" s="667"/>
      <c r="H69" s="664" t="s">
        <v>22</v>
      </c>
      <c r="I69" s="664"/>
      <c r="J69" s="10"/>
      <c r="K69" s="10"/>
      <c r="L69" s="10"/>
      <c r="M69" s="10"/>
    </row>
    <row r="70" spans="1:13" ht="31.15" customHeight="1" x14ac:dyDescent="0.25">
      <c r="A70" s="336" t="s">
        <v>98</v>
      </c>
      <c r="B70" s="177"/>
      <c r="C70" s="11"/>
      <c r="D70" s="178"/>
      <c r="E70" s="10"/>
      <c r="F70" s="10"/>
      <c r="G70" s="667"/>
      <c r="H70" s="336" t="s">
        <v>98</v>
      </c>
      <c r="I70" s="177"/>
      <c r="J70" s="11"/>
      <c r="K70" s="178"/>
      <c r="L70" s="10"/>
      <c r="M70" s="10"/>
    </row>
    <row r="71" spans="1:13" ht="15.75" x14ac:dyDescent="0.25">
      <c r="A71" s="179" t="s">
        <v>71</v>
      </c>
      <c r="B71" s="180" t="s">
        <v>99</v>
      </c>
      <c r="C71" s="11" t="s">
        <v>100</v>
      </c>
      <c r="E71" s="10"/>
      <c r="F71" s="10"/>
      <c r="G71" s="667"/>
      <c r="H71" s="179" t="s">
        <v>71</v>
      </c>
      <c r="I71" s="180" t="s">
        <v>101</v>
      </c>
      <c r="J71" s="11" t="s">
        <v>100</v>
      </c>
      <c r="K71" s="10"/>
      <c r="L71" s="10"/>
      <c r="M71" s="10"/>
    </row>
    <row r="72" spans="1:13" ht="15.75" x14ac:dyDescent="0.25">
      <c r="A72" s="181" t="s">
        <v>102</v>
      </c>
      <c r="B72" s="198">
        <v>0</v>
      </c>
      <c r="C72" s="182" t="s">
        <v>103</v>
      </c>
      <c r="D72" s="10"/>
      <c r="E72" s="10"/>
      <c r="F72" s="10"/>
      <c r="G72" s="667"/>
      <c r="H72" s="181" t="s">
        <v>104</v>
      </c>
      <c r="I72" s="198">
        <f>IF(I$28&gt;=0,(M$22+J$43+I$53+I$63),(M$22+J$43+I$53+I$63+J$32))</f>
        <v>0</v>
      </c>
      <c r="J72" s="182" t="s">
        <v>103</v>
      </c>
      <c r="K72" s="10"/>
      <c r="L72" s="10"/>
      <c r="M72" s="10"/>
    </row>
    <row r="73" spans="1:13" ht="30" customHeight="1" x14ac:dyDescent="0.25">
      <c r="A73" s="345" t="s">
        <v>184</v>
      </c>
      <c r="B73" s="183"/>
      <c r="C73" s="183"/>
      <c r="D73" s="183"/>
      <c r="E73" s="183"/>
      <c r="F73" s="183"/>
      <c r="G73" s="667"/>
      <c r="H73" s="183"/>
      <c r="I73" s="183"/>
      <c r="J73" s="183"/>
      <c r="K73" s="183"/>
      <c r="L73" s="183"/>
      <c r="M73" s="183"/>
    </row>
    <row r="74" spans="1:13" s="185" customFormat="1" ht="15.75" x14ac:dyDescent="0.25">
      <c r="A74" s="358" t="s">
        <v>183</v>
      </c>
      <c r="B74" s="184"/>
      <c r="C74" s="184"/>
      <c r="D74" s="184"/>
      <c r="E74" s="184"/>
      <c r="F74" s="184"/>
      <c r="G74" s="667"/>
      <c r="H74" s="184"/>
      <c r="I74" s="184"/>
      <c r="J74" s="184"/>
      <c r="K74" s="184"/>
      <c r="L74" s="184"/>
      <c r="M74" s="184"/>
    </row>
    <row r="75" spans="1:13" ht="15.75" x14ac:dyDescent="0.25">
      <c r="A75" s="665" t="s">
        <v>24</v>
      </c>
      <c r="B75" s="665"/>
      <c r="C75" s="665"/>
      <c r="D75" s="665"/>
      <c r="E75" s="665"/>
      <c r="F75" s="665"/>
      <c r="G75" s="665"/>
      <c r="H75" s="665"/>
      <c r="I75" s="665"/>
      <c r="J75" s="665"/>
      <c r="K75" s="665"/>
      <c r="L75" s="665"/>
      <c r="M75" s="665"/>
    </row>
    <row r="76" spans="1:13" ht="15.75" hidden="1" x14ac:dyDescent="0.25"/>
    <row r="77" spans="1:13" ht="15.75" hidden="1" x14ac:dyDescent="0.25"/>
    <row r="78" spans="1:13" ht="15.75" hidden="1" x14ac:dyDescent="0.25"/>
    <row r="79" spans="1:13" ht="15.75" hidden="1" x14ac:dyDescent="0.25"/>
  </sheetData>
  <sheetProtection algorithmName="SHA-512" hashValue="AKyMHq1IofC8IvEExak0nSytN6M7vcHjes6+yPryaDue38f+k+egHvpBGXrLH32/t9+5yOfT1Ry4DpLlbU+kTg==" saltValue="ry1NdKfxP4E+fq0Cd0Feyw==" spinCount="100000" sheet="1" formatColumns="0" formatRows="0"/>
  <mergeCells count="14">
    <mergeCell ref="A75:M75"/>
    <mergeCell ref="A64:B64"/>
    <mergeCell ref="H64:I64"/>
    <mergeCell ref="A23:F23"/>
    <mergeCell ref="H23:M23"/>
    <mergeCell ref="A33:C33"/>
    <mergeCell ref="H33:J33"/>
    <mergeCell ref="A44:C44"/>
    <mergeCell ref="H44:J44"/>
    <mergeCell ref="G1:G74"/>
    <mergeCell ref="A54:B54"/>
    <mergeCell ref="H54:I54"/>
    <mergeCell ref="A69:B69"/>
    <mergeCell ref="H69:I69"/>
  </mergeCells>
  <conditionalFormatting sqref="A55">
    <cfRule type="containsText" dxfId="174" priority="2" operator="containsText" text="not valid">
      <formula>NOT(ISERROR(SEARCH("not valid",A55)))</formula>
    </cfRule>
  </conditionalFormatting>
  <conditionalFormatting sqref="H55">
    <cfRule type="containsText" dxfId="173" priority="1" operator="containsText" text="not valid">
      <formula>NOT(ISERROR(SEARCH("not valid",H55)))</formula>
    </cfRule>
  </conditionalFormatting>
  <dataValidations count="1">
    <dataValidation type="list" allowBlank="1" showInputMessage="1" showErrorMessage="1" sqref="B38:B42 I38:I42" xr:uid="{00000000-0002-0000-1F00-000000000000}">
      <formula1>Exception_c</formula1>
    </dataValidation>
  </dataValidations>
  <hyperlinks>
    <hyperlink ref="C72" r:id="rId1" xr:uid="{00000000-0004-0000-1F00-000000000000}"/>
    <hyperlink ref="J72" r:id="rId2" xr:uid="{00000000-0004-0000-1F00-000001000000}"/>
    <hyperlink ref="A74" r:id="rId3" xr:uid="{00000000-0004-0000-1F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N22"/>
  <sheetViews>
    <sheetView showGridLines="0" zoomScaleNormal="100" workbookViewId="0">
      <selection activeCell="B3" sqref="B3"/>
    </sheetView>
  </sheetViews>
  <sheetFormatPr defaultColWidth="0" defaultRowHeight="15" zeroHeight="1" x14ac:dyDescent="0.25"/>
  <cols>
    <col min="1" max="1" width="44.42578125" customWidth="1"/>
    <col min="2" max="2" width="26.42578125" customWidth="1"/>
    <col min="3" max="3" width="23.42578125" customWidth="1"/>
    <col min="4" max="4" width="20.7109375" customWidth="1"/>
    <col min="5" max="6" width="9.140625" customWidth="1"/>
    <col min="7" max="7" width="9.5703125" bestFit="1" customWidth="1"/>
    <col min="8" max="14" width="9.140625" customWidth="1"/>
    <col min="15" max="16384" width="9.140625" hidden="1"/>
  </cols>
  <sheetData>
    <row r="1" spans="1:7" ht="15.75" x14ac:dyDescent="0.25">
      <c r="A1" s="219" t="s">
        <v>20</v>
      </c>
      <c r="B1" s="220" t="s">
        <v>120</v>
      </c>
    </row>
    <row r="2" spans="1:7" x14ac:dyDescent="0.25">
      <c r="A2" s="3" t="s">
        <v>14</v>
      </c>
      <c r="B2" s="342" t="str">
        <f>IFERROR(VLOOKUP(B3,'CCDDD#'!$A$2:$C$320,3,0),"")</f>
        <v/>
      </c>
    </row>
    <row r="3" spans="1:7" x14ac:dyDescent="0.25">
      <c r="A3" s="3" t="s">
        <v>15</v>
      </c>
      <c r="B3" s="367"/>
      <c r="C3" s="2" t="s">
        <v>1183</v>
      </c>
    </row>
    <row r="4" spans="1:7" ht="15.75" x14ac:dyDescent="0.25">
      <c r="A4" s="7" t="s">
        <v>16</v>
      </c>
      <c r="B4" s="222" t="s">
        <v>18</v>
      </c>
    </row>
    <row r="5" spans="1:7" ht="15.75" x14ac:dyDescent="0.25">
      <c r="A5" s="7" t="s">
        <v>17</v>
      </c>
      <c r="B5" s="222" t="s">
        <v>19</v>
      </c>
    </row>
    <row r="6" spans="1:7" ht="60" x14ac:dyDescent="0.25">
      <c r="A6" s="217" t="s">
        <v>144</v>
      </c>
      <c r="B6" s="223">
        <v>2021</v>
      </c>
      <c r="C6" s="8" t="str">
        <f>CONCATENATE("State fiscal year ",B6," covers the period ",B4,", ",B6-1," through ",B5,", ",B6)</f>
        <v>State fiscal year 2021 covers the period July 1, 2020 through June 30, 2021</v>
      </c>
      <c r="D6" s="4"/>
    </row>
    <row r="7" spans="1:7" x14ac:dyDescent="0.25">
      <c r="A7" s="656" t="s">
        <v>22</v>
      </c>
      <c r="B7" s="656"/>
      <c r="C7" s="656"/>
      <c r="D7" s="656"/>
    </row>
    <row r="8" spans="1:7" ht="30.75" customHeight="1" x14ac:dyDescent="0.25">
      <c r="A8" s="655" t="str">
        <f>CONCATENATE("Compliance standard: For each method, list the last fiscal year prior to state fiscal year ",B6," in which the LEA met the LEA MOE compliance standard and the final expenditures and child count for that year.")</f>
        <v>Compliance standard: For each method, list the last fiscal year prior to state fiscal year 2021 in which the LEA met the LEA MOE compliance standard and the final expenditures and child count for that year.</v>
      </c>
      <c r="B8" s="655"/>
      <c r="C8" s="655"/>
      <c r="D8" s="655"/>
    </row>
    <row r="9" spans="1:7" ht="30" x14ac:dyDescent="0.25">
      <c r="A9" s="226" t="s">
        <v>121</v>
      </c>
      <c r="B9" s="227" t="s">
        <v>156</v>
      </c>
      <c r="C9" s="227" t="s">
        <v>1</v>
      </c>
      <c r="D9" s="228" t="s">
        <v>116</v>
      </c>
      <c r="G9" s="204"/>
    </row>
    <row r="10" spans="1:7" x14ac:dyDescent="0.25">
      <c r="A10" s="224" t="s">
        <v>0</v>
      </c>
      <c r="B10" s="221">
        <v>2020</v>
      </c>
      <c r="C10" s="230">
        <f>IFERROR(VLOOKUP(B3,'42. SEA or LEA Worksheet'!A4:P325,16,0),0)</f>
        <v>0</v>
      </c>
      <c r="D10" s="231">
        <f>IFERROR(VLOOKUP(B3,'42. SEA or LEA Worksheet'!A4:O325,15,0),0)</f>
        <v>0</v>
      </c>
      <c r="E10" t="str">
        <f>IF(B10="","",IF(B$6-B10&gt;1,"There are intervening years. Use the intervening years tab to calculate exceptions and adjustments.",""))</f>
        <v/>
      </c>
    </row>
    <row r="11" spans="1:7" x14ac:dyDescent="0.25">
      <c r="A11" s="225" t="s">
        <v>2</v>
      </c>
      <c r="B11" s="221">
        <v>2020</v>
      </c>
      <c r="C11" s="230">
        <f>IFERROR(VLOOKUP(B3,'42. SEA or LEA Worksheet'!A4:R325,18,0),0)</f>
        <v>0</v>
      </c>
      <c r="D11" s="231">
        <f>IFERROR(VLOOKUP(B3,'42. SEA or LEA Worksheet'!A4:O325,15,0),0)</f>
        <v>0</v>
      </c>
      <c r="E11" t="str">
        <f t="shared" ref="E11:E13" si="0">IF(B11="","",IF(B$6-B11&gt;1,"There are intervening years. Use the intervening years tab to calculate exceptions and adjustments.",""))</f>
        <v/>
      </c>
    </row>
    <row r="12" spans="1:7" x14ac:dyDescent="0.25">
      <c r="A12" s="225" t="s">
        <v>3</v>
      </c>
      <c r="B12" s="221">
        <v>2020</v>
      </c>
      <c r="C12" s="230" t="e">
        <f>C10/D10</f>
        <v>#DIV/0!</v>
      </c>
      <c r="D12" s="231">
        <f>IFERROR(VLOOKUP(B3,'42. SEA or LEA Worksheet'!A4:O325,15,0),0)</f>
        <v>0</v>
      </c>
      <c r="E12" t="str">
        <f t="shared" si="0"/>
        <v/>
      </c>
    </row>
    <row r="13" spans="1:7" x14ac:dyDescent="0.25">
      <c r="A13" s="229" t="s">
        <v>4</v>
      </c>
      <c r="B13" s="223">
        <v>2020</v>
      </c>
      <c r="C13" s="230" t="e">
        <f>C11/D11</f>
        <v>#DIV/0!</v>
      </c>
      <c r="D13" s="231">
        <f>IFERROR(VLOOKUP(B3,'42. SEA or LEA Worksheet'!A4:O325,15,0),0)</f>
        <v>0</v>
      </c>
      <c r="E13" t="str">
        <f t="shared" si="0"/>
        <v/>
      </c>
    </row>
    <row r="14" spans="1:7" x14ac:dyDescent="0.25">
      <c r="A14" s="656" t="s">
        <v>22</v>
      </c>
      <c r="B14" s="656"/>
      <c r="C14" s="656"/>
      <c r="D14" s="656"/>
    </row>
    <row r="15" spans="1:7" ht="15.75" x14ac:dyDescent="0.25">
      <c r="A15" s="199" t="str">
        <f>CONCATENATE("Enter some essential information for SFY ",B6-1)</f>
        <v>Enter some essential information for SFY 2020</v>
      </c>
    </row>
    <row r="16" spans="1:7" ht="30" customHeight="1" x14ac:dyDescent="0.25">
      <c r="A16" s="233" t="s">
        <v>120</v>
      </c>
      <c r="B16" s="227" t="s">
        <v>162</v>
      </c>
      <c r="C16" s="228" t="s">
        <v>163</v>
      </c>
    </row>
    <row r="17" spans="1:14" x14ac:dyDescent="0.25">
      <c r="A17" s="224" t="s">
        <v>0</v>
      </c>
      <c r="B17" s="234">
        <f>'8. Year 2 Amounts'!D30</f>
        <v>0</v>
      </c>
      <c r="C17" s="235">
        <f>IFERROR(VLOOKUP(B3,'42. SEA or LEA Worksheet'!A4:P324,16,0),0)</f>
        <v>0</v>
      </c>
    </row>
    <row r="18" spans="1:14" x14ac:dyDescent="0.25">
      <c r="A18" s="225" t="s">
        <v>2</v>
      </c>
      <c r="B18" s="234">
        <f>'8. Year 2 Amounts'!F30</f>
        <v>0</v>
      </c>
      <c r="C18" s="235">
        <f>IFERROR(VLOOKUP(B3,'42. SEA or LEA Worksheet'!A4:R324,18,0),0)</f>
        <v>0</v>
      </c>
    </row>
    <row r="19" spans="1:14" x14ac:dyDescent="0.25">
      <c r="A19" s="229" t="s">
        <v>49</v>
      </c>
      <c r="B19" s="236" t="e">
        <f>'8. Year 2 Amounts'!B1</f>
        <v>#N/A</v>
      </c>
      <c r="C19" s="232">
        <f>IFERROR(VLOOKUP(B3,'42. SEA or LEA Worksheet'!A4:O324,15,0),0)</f>
        <v>0</v>
      </c>
    </row>
    <row r="20" spans="1:14" ht="26.25" customHeight="1" x14ac:dyDescent="0.25">
      <c r="A20" s="341" t="s">
        <v>184</v>
      </c>
      <c r="B20" s="341"/>
    </row>
    <row r="21" spans="1:14" ht="15.75" x14ac:dyDescent="0.25">
      <c r="A21" s="358" t="s">
        <v>183</v>
      </c>
      <c r="B21" s="340"/>
    </row>
    <row r="22" spans="1:14" x14ac:dyDescent="0.25">
      <c r="A22" s="657" t="s">
        <v>24</v>
      </c>
      <c r="B22" s="657"/>
      <c r="C22" s="657"/>
      <c r="D22" s="657"/>
      <c r="E22" s="657"/>
      <c r="F22" s="657"/>
      <c r="G22" s="657"/>
      <c r="H22" s="657"/>
      <c r="I22" s="657"/>
      <c r="J22" s="657"/>
      <c r="K22" s="657"/>
      <c r="L22" s="657"/>
      <c r="M22" s="657"/>
      <c r="N22" s="657"/>
    </row>
  </sheetData>
  <sheetProtection algorithmName="SHA-512" hashValue="xQ3bCseybe+efbunsd8fkDXAUXaYC0l5vqtj6tE4clQLEbIi12Uww11iP3J27iMUDojWEiJjN26jHhxaqfulUA==" saltValue="DWOdWv+9ywr1A48IVUcI/g==" spinCount="100000" sheet="1" objects="1" scenarios="1" formatColumns="0" formatRows="0"/>
  <mergeCells count="4">
    <mergeCell ref="A8:D8"/>
    <mergeCell ref="A7:D7"/>
    <mergeCell ref="A14:D14"/>
    <mergeCell ref="A22:N22"/>
  </mergeCells>
  <hyperlinks>
    <hyperlink ref="A21" r:id="rId1" xr:uid="{00000000-0004-0000-0200-000000000000}"/>
  </hyperlinks>
  <pageMargins left="0.7" right="0.7" top="0.75" bottom="0.75" header="0.3" footer="0.3"/>
  <pageSetup orientation="portrait" r:id="rId2"/>
  <tableParts count="3">
    <tablePart r:id="rId3"/>
    <tablePart r:id="rId4"/>
    <tablePart r:id="rId5"/>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0070C0"/>
  </sheetPr>
  <dimension ref="A1:F43"/>
  <sheetViews>
    <sheetView showGridLines="0" workbookViewId="0">
      <selection activeCell="A5" sqref="A5"/>
    </sheetView>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9: State Fiscal Year ",'2. Getting Started'!B6+8)</f>
        <v>Summary of Year 9: State Fiscal Year 2029</v>
      </c>
      <c r="B1" s="299"/>
      <c r="C1" s="299"/>
      <c r="D1" s="21" t="s">
        <v>14</v>
      </c>
      <c r="E1" s="20" t="str">
        <f>IF('2. Getting Started'!B2="","",'2. Getting Started'!B2)</f>
        <v/>
      </c>
    </row>
    <row r="2" spans="1:5" ht="18.75" x14ac:dyDescent="0.3">
      <c r="A2" s="2" t="str">
        <f>CONCATENATE("State fiscal year ",'2. Getting Started'!B6+8," covers the period ",'2. Getting Started'!B4,", ",'2. Getting Started'!B6+7," through ",'2. Getting Started'!B5,", ",'2. Getting Started'!B6+8)</f>
        <v>State fiscal year 2029 covers the period July 1, 2028 through June 30, 2029</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3" t="e">
        <f>IF('2. Getting Started'!B10="","",IF('38.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6" s="257" t="e">
        <f>IF('2. Getting Started'!B13="","",IF('41.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7" spans="1:5" x14ac:dyDescent="0.25">
      <c r="A7" s="243" t="s">
        <v>45</v>
      </c>
      <c r="B7" s="205" t="e">
        <f>IF(B6="","",IF(B6='2. Getting Started'!$B$6+6,'23. Year 7 Amounts'!K30,IF(B6='2.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Started'!$B$6+6,'23. Year 7 Amounts'!M30,IF(C6='2.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Started'!$B$6+6,'23. Year 7 Amounts'!K31,IF(D6='2.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#DIV/0!</v>
      </c>
      <c r="E7" s="267" t="e">
        <f>IF(E6="","",IF(E6='2. Getting Started'!$B$6+6,'23. Year 7 Amounts'!M31,IF(E6='2.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#DIV/0!</v>
      </c>
    </row>
    <row r="8" spans="1:5" x14ac:dyDescent="0.25">
      <c r="A8" s="243" t="s">
        <v>9</v>
      </c>
      <c r="B8" s="205" t="str">
        <f>'29. Year 9 Amounts'!D30</f>
        <v/>
      </c>
      <c r="C8" s="205" t="str">
        <f>'29. Year 9 Amounts'!F30</f>
        <v/>
      </c>
      <c r="D8" s="205" t="str">
        <f>'29. Year 9 Amounts'!D31</f>
        <v/>
      </c>
      <c r="E8" s="267" t="str">
        <f>'29. Year 9 Amounts'!F31</f>
        <v/>
      </c>
    </row>
    <row r="9" spans="1:5" x14ac:dyDescent="0.25">
      <c r="A9" s="243" t="s">
        <v>117</v>
      </c>
      <c r="B9" s="201" t="str">
        <f>IF(B8="","",IF(B8&gt;=B7,"Met",IF(AND(B8&lt;B7,'38. Total Local Funds'!$B78="Met"),"Met with Exceptions &amp; Adjustments","Did Not Meet")))</f>
        <v/>
      </c>
      <c r="C9" s="201" t="str">
        <f>IF(C8="","",IF(C8&gt;=C7,"Met",IF(AND(C8&lt;C7,'39. Total State &amp; Local Funds'!$B78="Met"),"Met with Exceptions &amp; Adjustments","Did Not Meet")))</f>
        <v/>
      </c>
      <c r="D9" s="201" t="str">
        <f>IF(D8="","",IF(D8&gt;=D7,"Met",IF(AND(D8&lt;D7,'40. Local Funds Per Capita'!$B79="Met"),"Met with Exceptions &amp; Adjustments","Did Not Meet")))</f>
        <v/>
      </c>
      <c r="E9" s="259" t="str">
        <f>IF(E8="","",IF(E8&gt;=E7,"Met",IF(AND(E8&lt;E7,'41. State &amp; Local Funds Per Cap'!$B79="Met"),"Met with Exceptions &amp; Adjustments","Did Not Meet")))</f>
        <v/>
      </c>
    </row>
    <row r="10" spans="1:5" x14ac:dyDescent="0.25">
      <c r="A10" s="246" t="s">
        <v>46</v>
      </c>
      <c r="B10" s="256" t="str">
        <f>IF(B9="","",IF(B9="Did Not Meet",'38. Total Local Funds'!$B76-'38. Total Local Funds'!$B77,0))</f>
        <v/>
      </c>
      <c r="C10" s="256" t="str">
        <f>IF(C9="","",IF(C9="Did Not Meet",'39. Total State &amp; Local Funds'!$B76-'39. Total State &amp; Local Funds'!$B77,0))</f>
        <v/>
      </c>
      <c r="D10" s="256" t="str">
        <f>IF(D9="","",IF(D9="Did Not Meet",(('40. Local Funds Per Capita'!$B77-'40. Local Funds Per Capita'!$B78)*'29. Year 9 Amounts'!B1),0))</f>
        <v/>
      </c>
      <c r="E10" s="261" t="str">
        <f>IF(E9="","",IF(E9="Did Not Meet",(('41. State &amp; Local Funds Per Cap'!$B77-'41. State &amp; Local Funds Per Cap'!$B78)*'29. Year 9 Amounts'!B1),0))</f>
        <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t="e">
        <f>IF('2. Getting Started'!B10="","",IF('38.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14" s="257" t="e">
        <f>IF('2. Getting Started'!B13="","",IF('41.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15" spans="1:5" x14ac:dyDescent="0.25">
      <c r="A15" s="243" t="s">
        <v>45</v>
      </c>
      <c r="B15" s="17" t="e">
        <f>IF(B14="","",IF(B14='2. Getting Started'!B6+7,'26. Year 8 Amounts'!K30,IF(B14='2. Getting Started'!B6+6,'23. Year 7 Amounts'!K30,IF(B14='2.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Started'!B6+7,'26. Year 8 Amounts'!M30,IF(C14='2. Getting Started'!B6+6,'23. Year 7 Amounts'!M30,IF(C14='2.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Started'!B6+7,'26. Year 8 Amounts'!K31,IF(D14='2. Getting Started'!B6+6,'23. Year 7 Amounts'!K31,IF(D14='2.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#DIV/0!</v>
      </c>
      <c r="E15" s="258" t="e">
        <f>IF(E14="","",IF(E14='2. Getting Started'!B6+7,'26. Year 8 Amounts'!M31,IF(E14='2. Getting Started'!B6+6,'23. Year 7 Amounts'!M31,IF(E14='2.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#DIV/0!</v>
      </c>
    </row>
    <row r="16" spans="1:5" x14ac:dyDescent="0.25">
      <c r="A16" s="243" t="s">
        <v>11</v>
      </c>
      <c r="B16" s="17" t="str">
        <f>'29. Year 9 Amounts'!K30</f>
        <v/>
      </c>
      <c r="C16" s="17" t="str">
        <f>'29. Year 9 Amounts'!M30</f>
        <v/>
      </c>
      <c r="D16" s="17" t="str">
        <f>'29. Year 9 Amounts'!K31</f>
        <v/>
      </c>
      <c r="E16" s="258" t="str">
        <f>'29. Year 9 Amounts'!M31</f>
        <v/>
      </c>
    </row>
    <row r="17" spans="1:5" x14ac:dyDescent="0.25">
      <c r="A17" s="243" t="s">
        <v>117</v>
      </c>
      <c r="B17" s="201" t="str">
        <f>IF(B16="","",IF(B16&gt;=B15,"Met",IF(AND(B16&lt;B15,'38. Total Local Funds'!F78="Met"),"Met with Exceptions &amp; Adjustments","Did Not Meet")))</f>
        <v/>
      </c>
      <c r="C17" s="201" t="str">
        <f>IF(C16="","",IF(C16&gt;=C15,"Met",IF(AND(C16&lt;C15,'39. Total State &amp; Local Funds'!F78="Met"),"Met with Exceptions &amp; Adjustments","Did Not Meet")))</f>
        <v/>
      </c>
      <c r="D17" s="201" t="str">
        <f>IF(D16="","",IF(D16&gt;=D15,"Met",IF(AND(D16&lt;D15,'40. Local Funds Per Capita'!F79="Met"),"Met with Exceptions &amp; Adjustments","Did Not Meet")))</f>
        <v/>
      </c>
      <c r="E17" s="259" t="str">
        <f>IF(E16="","",IF(E16&gt;=E15,"Met",IF(AND(E16&lt;E15,'41. State &amp; Local Funds Per Cap'!F79="Met"),"Met with Exceptions &amp; Adjustments","Did Not Meet")))</f>
        <v/>
      </c>
    </row>
    <row r="18" spans="1:5" x14ac:dyDescent="0.25">
      <c r="A18" s="246" t="s">
        <v>46</v>
      </c>
      <c r="B18" s="256" t="str">
        <f>IF(B17="","",IF(B17="Did Not Meet",'38. Total Local Funds'!F76-'38. Total Local Funds'!F77,0))</f>
        <v/>
      </c>
      <c r="C18" s="256" t="str">
        <f>IF(C17="","",IF(C17="Did Not Meet",'39. Total State &amp; Local Funds'!F76-'39. Total State &amp; Local Funds'!F77,0))</f>
        <v/>
      </c>
      <c r="D18" s="256" t="str">
        <f>IF(D17="","",IF(D17="Did Not Meet",(('40. Local Funds Per Capita'!F77-'40. Local Funds Per Capita'!F78)*'29. Year 9 Amounts'!I1),0))</f>
        <v/>
      </c>
      <c r="E18" s="261" t="str">
        <f>IF(E17="","",IF(E17="Did Not Meet",(('41. State &amp; Local Funds Per Cap'!F77-'41. State &amp; Local Funds Per Cap'!F78)*'29. Year 9 Amounts'!I1),0))</f>
        <v/>
      </c>
    </row>
    <row r="19" spans="1:5" x14ac:dyDescent="0.25">
      <c r="A19" s="657" t="s">
        <v>174</v>
      </c>
      <c r="B19" s="657"/>
      <c r="C19" s="657"/>
      <c r="D19" s="657"/>
      <c r="E19" s="657"/>
    </row>
    <row r="20" spans="1:5" ht="15.75" x14ac:dyDescent="0.2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x14ac:dyDescent="0.25">
      <c r="A21" s="260" t="s">
        <v>126</v>
      </c>
      <c r="B21" s="271" t="s">
        <v>135</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f>MIN(B24,B18,C18,D18,E18)</f>
        <v>0</v>
      </c>
    </row>
    <row r="26" spans="1:5" x14ac:dyDescent="0.25">
      <c r="A26" s="243" t="s">
        <v>114</v>
      </c>
      <c r="B26" s="263"/>
    </row>
    <row r="27" spans="1:5" x14ac:dyDescent="0.25">
      <c r="A27" s="246" t="s">
        <v>115</v>
      </c>
      <c r="B27" s="26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Started'!B6+8)</f>
        <v>Exceptions and Adjustment Claimed for State Fiscal Year 2029</v>
      </c>
    </row>
    <row r="32" spans="1:5" x14ac:dyDescent="0.25">
      <c r="A32" s="2"/>
      <c r="B32" s="322" t="s">
        <v>147</v>
      </c>
      <c r="C32" s="4"/>
      <c r="D32" s="322" t="s">
        <v>151</v>
      </c>
      <c r="E32" s="4"/>
    </row>
    <row r="33" spans="1:5" x14ac:dyDescent="0.25">
      <c r="A33" s="218" t="s">
        <v>150</v>
      </c>
      <c r="B33" s="323" t="s">
        <v>154</v>
      </c>
      <c r="C33" s="324" t="s">
        <v>155</v>
      </c>
      <c r="D33" s="325" t="s">
        <v>152</v>
      </c>
      <c r="E33" s="324" t="s">
        <v>153</v>
      </c>
    </row>
    <row r="34" spans="1:5" x14ac:dyDescent="0.25">
      <c r="A34" s="224" t="s">
        <v>139</v>
      </c>
      <c r="B34" s="17">
        <f>'30. Year 9 Exc &amp; Adj'!F22</f>
        <v>0</v>
      </c>
      <c r="C34" s="258">
        <f>'30. Year 9 Exc &amp; Adj'!F22</f>
        <v>0</v>
      </c>
      <c r="D34" s="326">
        <f>'30. Year 9 Exc &amp; Adj'!M22</f>
        <v>0</v>
      </c>
      <c r="E34" s="17">
        <f>'30. Year 9 Exc &amp; Adj'!M22</f>
        <v>0</v>
      </c>
    </row>
    <row r="35" spans="1:5" x14ac:dyDescent="0.25">
      <c r="A35" s="224" t="s">
        <v>140</v>
      </c>
      <c r="B35" s="17" t="str">
        <f>'30. Year 9 Exc &amp; Adj'!B32</f>
        <v/>
      </c>
      <c r="C35" s="258" t="str">
        <f>'30. Year 9 Exc &amp; Adj'!C32</f>
        <v/>
      </c>
      <c r="D35" s="326" t="str">
        <f>'30. Year 9 Exc &amp; Adj'!I32</f>
        <v/>
      </c>
      <c r="E35" s="258" t="str">
        <f>'30. Year 9 Exc &amp; Adj'!J32</f>
        <v/>
      </c>
    </row>
    <row r="36" spans="1:5" x14ac:dyDescent="0.25">
      <c r="A36" s="224" t="s">
        <v>141</v>
      </c>
      <c r="B36" s="17">
        <f>'30. Year 9 Exc &amp; Adj'!C43</f>
        <v>0</v>
      </c>
      <c r="C36" s="258">
        <f>'30. Year 9 Exc &amp; Adj'!C43</f>
        <v>0</v>
      </c>
      <c r="D36" s="326">
        <f>'30. Year 9 Exc &amp; Adj'!J43</f>
        <v>0</v>
      </c>
      <c r="E36" s="17">
        <f>'30. Year 9 Exc &amp; Adj'!J43</f>
        <v>0</v>
      </c>
    </row>
    <row r="37" spans="1:5" x14ac:dyDescent="0.25">
      <c r="A37" s="224" t="s">
        <v>142</v>
      </c>
      <c r="B37" s="17">
        <f>'30. Year 9 Exc &amp; Adj'!B53</f>
        <v>0</v>
      </c>
      <c r="C37" s="258">
        <f>'30. Year 9 Exc &amp; Adj'!B53</f>
        <v>0</v>
      </c>
      <c r="D37" s="326">
        <f>'30. Year 9 Exc &amp; Adj'!I53</f>
        <v>0</v>
      </c>
      <c r="E37" s="17">
        <f>'30. Year 9 Exc &amp; Adj'!I53</f>
        <v>0</v>
      </c>
    </row>
    <row r="38" spans="1:5" x14ac:dyDescent="0.25">
      <c r="A38" s="224" t="str">
        <f>IF('3b. High Cost Fund'!$B11="No","This exception is not valid for your state.","Exception (e)")</f>
        <v>Exception (e)</v>
      </c>
      <c r="B38" s="331">
        <f>IF('3b. High Cost Fund'!$B11="No","",'30. Year 9 Exc &amp; Adj'!B63)</f>
        <v>0</v>
      </c>
      <c r="C38" s="332">
        <f>IF('3b. High Cost Fund'!$B11="No","",'30. Year 9 Exc &amp; Adj'!B63)</f>
        <v>0</v>
      </c>
      <c r="D38" s="326">
        <f>IF('3b. High Cost Fund'!$B11="No","",'30. Year 9 Exc &amp; Adj'!I63)</f>
        <v>0</v>
      </c>
      <c r="E38" s="331">
        <f>IF('3b. High Cost Fund'!$B11="No","",'30. Year 9 Exc &amp; Adj'!I63)</f>
        <v>0</v>
      </c>
    </row>
    <row r="39" spans="1:5" x14ac:dyDescent="0.25">
      <c r="A39" s="224" t="s">
        <v>143</v>
      </c>
      <c r="B39" s="17">
        <f>AdjDataYear9Budget[Projected Adjustment]</f>
        <v>0</v>
      </c>
      <c r="C39" s="17">
        <f>AdjDataYear9Budget[Projected Adjustment]</f>
        <v>0</v>
      </c>
      <c r="D39" s="327">
        <f>AdjDataYear9Expenditures[[Adjustment ]]</f>
        <v>0</v>
      </c>
      <c r="E39" s="17">
        <f>AdjDataYear9Expenditures[[Adjustment ]]</f>
        <v>0</v>
      </c>
    </row>
    <row r="40" spans="1:5" x14ac:dyDescent="0.25">
      <c r="A40" s="246" t="s">
        <v>124</v>
      </c>
      <c r="B40" s="328">
        <f>SUM(B34:B39)</f>
        <v>0</v>
      </c>
      <c r="C40" s="329">
        <f>SUM(C34:C39)</f>
        <v>0</v>
      </c>
      <c r="D40" s="330">
        <f>SUM(D34:D39)</f>
        <v>0</v>
      </c>
      <c r="E40" s="329">
        <f>SUM(E34:E39)</f>
        <v>0</v>
      </c>
    </row>
    <row r="41" spans="1:5" ht="25.5"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p8tMJRGRE3Y0Vqp4tgtv7cxyZXfKUNLeBY/e5E82w1JWisAj42urgRdMQPiEIYxqsDaWykxVu/1I8mEFUtQ+Vg==" saltValue="f3ejwJAKLiGtnD6lTs8AiQ==" spinCount="100000" sheet="1" objects="1" scenarios="1" formatColumns="0" formatRows="0"/>
  <mergeCells count="5">
    <mergeCell ref="A11:E11"/>
    <mergeCell ref="A19:E19"/>
    <mergeCell ref="A28:E28"/>
    <mergeCell ref="A30:E30"/>
    <mergeCell ref="A43:E43"/>
  </mergeCells>
  <conditionalFormatting sqref="B9:E9">
    <cfRule type="containsText" dxfId="172" priority="3" operator="containsText" text="Did Not Meet">
      <formula>NOT(ISERROR(SEARCH("Did Not Meet",B9)))</formula>
    </cfRule>
    <cfRule type="containsText" dxfId="171" priority="4" operator="containsText" text="Met">
      <formula>NOT(ISERROR(SEARCH("Met",B9)))</formula>
    </cfRule>
  </conditionalFormatting>
  <conditionalFormatting sqref="B17:E17">
    <cfRule type="containsText" dxfId="170" priority="1" operator="containsText" text="Did Not Meet">
      <formula>NOT(ISERROR(SEARCH("Did Not Meet",B17)))</formula>
    </cfRule>
    <cfRule type="containsText" dxfId="169" priority="2" operator="containsText" text="Met">
      <formula>NOT(ISERROR(SEARCH("Met",B17)))</formula>
    </cfRule>
  </conditionalFormatting>
  <hyperlinks>
    <hyperlink ref="A29" location="'4. Multi-Year MOE Summary'!A12" display="Go to the Multi-Year MOE Summary" xr:uid="{00000000-0004-0000-2000-000000000000}"/>
    <hyperlink ref="A42" r:id="rId1" xr:uid="{00000000-0004-0000-20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c r="D1" s="21" t="s">
        <v>14</v>
      </c>
      <c r="E1" s="20" t="str">
        <f>IF('2. Getting Started'!B2="","",'2. Getting Started'!B2)</f>
        <v/>
      </c>
      <c r="G1" s="661" t="s">
        <v>22</v>
      </c>
      <c r="H1" s="19" t="s">
        <v>49</v>
      </c>
      <c r="I1" s="48"/>
      <c r="K1" s="21" t="s">
        <v>14</v>
      </c>
      <c r="L1" s="20" t="str">
        <f>IF('2. Getting Started'!B2="","",'2. Getting Started'!B2)</f>
        <v/>
      </c>
    </row>
    <row r="2" spans="1:13" s="25" customFormat="1" ht="37.9" customHeight="1" thickBot="1" x14ac:dyDescent="0.3">
      <c r="A2" s="22" t="str">
        <f>CONCATENATE("Eligibility Standard - State Fiscal Year ",'2. Getting Started'!B6+9," -  LEA Effort - Budgeted Amounts")</f>
        <v>Eligibility Standard - State Fiscal Year 2030 -  LEA Effort - Budgeted Amounts</v>
      </c>
      <c r="B2" s="23"/>
      <c r="C2" s="23"/>
      <c r="D2" s="23"/>
      <c r="E2" s="23"/>
      <c r="F2" s="24"/>
      <c r="G2" s="661"/>
      <c r="H2" s="22" t="str">
        <f>CONCATENATE("Compliance Standard - State Fiscal Year ",'2. Getting Started'!B6+9," - LEA Effort - Final Expenditures")</f>
        <v>Compliance Standard - State Fiscal Year 2030 - LEA Effort - Final Expenditures</v>
      </c>
      <c r="I2" s="23"/>
      <c r="J2" s="23"/>
      <c r="K2" s="23"/>
      <c r="L2" s="23"/>
      <c r="M2" s="24"/>
    </row>
    <row r="3" spans="1:13" s="25" customFormat="1" ht="24" customHeight="1" x14ac:dyDescent="0.25">
      <c r="A3" s="26"/>
      <c r="B3" s="27"/>
      <c r="D3" s="28" t="str">
        <f>CONCATENATE("SFY ",'2. Getting Started'!$B6+9," Budget")</f>
        <v>SFY 2030 Budget</v>
      </c>
      <c r="E3" s="29"/>
      <c r="F3" s="30"/>
      <c r="G3" s="661"/>
      <c r="H3" s="26"/>
      <c r="I3" s="27"/>
      <c r="J3" s="31"/>
      <c r="K3" s="28" t="str">
        <f>CONCATENATE("SFY ",'2. Getting Started'!$B6+9," Final Expenditures")</f>
        <v>SFY 2030 Final Expenditures</v>
      </c>
      <c r="L3" s="29"/>
      <c r="M3" s="32"/>
    </row>
    <row r="4" spans="1:13" s="37" customFormat="1" ht="18.75" x14ac:dyDescent="0.3">
      <c r="A4" s="33" t="s">
        <v>50</v>
      </c>
      <c r="B4" s="34" t="s">
        <v>51</v>
      </c>
      <c r="C4" s="35" t="s">
        <v>52</v>
      </c>
      <c r="D4" s="36" t="s">
        <v>53</v>
      </c>
      <c r="E4" s="36" t="s">
        <v>54</v>
      </c>
      <c r="F4" s="36" t="s">
        <v>8</v>
      </c>
      <c r="G4" s="661"/>
      <c r="H4" s="33" t="s">
        <v>50</v>
      </c>
      <c r="I4" s="34" t="s">
        <v>55</v>
      </c>
      <c r="J4" s="35" t="s">
        <v>52</v>
      </c>
      <c r="K4" s="36" t="s">
        <v>53</v>
      </c>
      <c r="L4" s="36" t="s">
        <v>54</v>
      </c>
      <c r="M4" s="36" t="s">
        <v>8</v>
      </c>
    </row>
    <row r="5" spans="1:13" ht="15.75" x14ac:dyDescent="0.25">
      <c r="A5" s="49"/>
      <c r="B5" s="50"/>
      <c r="C5" s="51"/>
      <c r="D5" s="52"/>
      <c r="E5" s="52"/>
      <c r="F5" s="38" t="str">
        <f>IF(AND(D5="",E5=""),"",SUM(D5:E5))</f>
        <v/>
      </c>
      <c r="G5" s="661"/>
      <c r="H5" s="49"/>
      <c r="I5" s="50"/>
      <c r="J5" s="51"/>
      <c r="K5" s="52"/>
      <c r="L5" s="52"/>
      <c r="M5" s="38" t="str">
        <f>IF(AND(K5="",L5=""),"",SUM(K5:L5))</f>
        <v/>
      </c>
    </row>
    <row r="6" spans="1:13" ht="15.75" x14ac:dyDescent="0.25">
      <c r="A6" s="49"/>
      <c r="B6" s="50"/>
      <c r="C6" s="51"/>
      <c r="D6" s="52"/>
      <c r="E6" s="52"/>
      <c r="F6" s="38" t="str">
        <f t="shared" ref="F6:F29" si="0">IF(AND(D6="",E6=""),"",SUM(D6:E6))</f>
        <v/>
      </c>
      <c r="G6" s="661"/>
      <c r="H6" s="49"/>
      <c r="I6" s="50"/>
      <c r="J6" s="51"/>
      <c r="K6" s="52"/>
      <c r="L6" s="52"/>
      <c r="M6" s="38" t="str">
        <f t="shared" ref="M6:M29" si="1">IF(AND(K6="",L6=""),"",SUM(K6:L6))</f>
        <v/>
      </c>
    </row>
    <row r="7" spans="1:13" ht="15.75" x14ac:dyDescent="0.25">
      <c r="A7" s="49"/>
      <c r="B7" s="50"/>
      <c r="C7" s="51"/>
      <c r="D7" s="52"/>
      <c r="E7" s="52"/>
      <c r="F7" s="38" t="str">
        <f t="shared" si="0"/>
        <v/>
      </c>
      <c r="G7" s="661"/>
      <c r="H7" s="49"/>
      <c r="I7" s="50"/>
      <c r="J7" s="51"/>
      <c r="K7" s="52"/>
      <c r="L7" s="52"/>
      <c r="M7" s="38" t="str">
        <f t="shared" si="1"/>
        <v/>
      </c>
    </row>
    <row r="8" spans="1:13" ht="15.75" x14ac:dyDescent="0.25">
      <c r="A8" s="49"/>
      <c r="B8" s="50"/>
      <c r="C8" s="51"/>
      <c r="D8" s="52"/>
      <c r="E8" s="52"/>
      <c r="F8" s="38" t="str">
        <f t="shared" si="0"/>
        <v/>
      </c>
      <c r="G8" s="661"/>
      <c r="H8" s="49"/>
      <c r="I8" s="50"/>
      <c r="J8" s="51"/>
      <c r="K8" s="52"/>
      <c r="L8" s="52"/>
      <c r="M8" s="38" t="str">
        <f t="shared" si="1"/>
        <v/>
      </c>
    </row>
    <row r="9" spans="1:13" ht="15.75" x14ac:dyDescent="0.25">
      <c r="A9" s="49"/>
      <c r="B9" s="50"/>
      <c r="C9" s="51"/>
      <c r="D9" s="52"/>
      <c r="E9" s="52"/>
      <c r="F9" s="38" t="str">
        <f t="shared" si="0"/>
        <v/>
      </c>
      <c r="G9" s="661"/>
      <c r="H9" s="49"/>
      <c r="I9" s="50"/>
      <c r="J9" s="51"/>
      <c r="K9" s="52"/>
      <c r="L9" s="52"/>
      <c r="M9" s="38" t="str">
        <f t="shared" si="1"/>
        <v/>
      </c>
    </row>
    <row r="10" spans="1:13" ht="15.75" x14ac:dyDescent="0.25">
      <c r="A10" s="49"/>
      <c r="B10" s="50"/>
      <c r="C10" s="51"/>
      <c r="D10" s="52"/>
      <c r="E10" s="52"/>
      <c r="F10" s="38" t="str">
        <f t="shared" si="0"/>
        <v/>
      </c>
      <c r="G10" s="661"/>
      <c r="H10" s="49"/>
      <c r="I10" s="50"/>
      <c r="J10" s="51"/>
      <c r="K10" s="52"/>
      <c r="L10" s="52"/>
      <c r="M10" s="38" t="str">
        <f t="shared" si="1"/>
        <v/>
      </c>
    </row>
    <row r="11" spans="1:13" ht="15.75" x14ac:dyDescent="0.25">
      <c r="A11" s="49"/>
      <c r="B11" s="50"/>
      <c r="C11" s="51"/>
      <c r="D11" s="52"/>
      <c r="E11" s="52"/>
      <c r="F11" s="38" t="str">
        <f t="shared" si="0"/>
        <v/>
      </c>
      <c r="G11" s="661"/>
      <c r="H11" s="49"/>
      <c r="I11" s="50"/>
      <c r="J11" s="51"/>
      <c r="K11" s="52"/>
      <c r="L11" s="52"/>
      <c r="M11" s="38" t="str">
        <f t="shared" si="1"/>
        <v/>
      </c>
    </row>
    <row r="12" spans="1:13" ht="15.75" x14ac:dyDescent="0.25">
      <c r="A12" s="49"/>
      <c r="B12" s="50"/>
      <c r="C12" s="51"/>
      <c r="D12" s="52"/>
      <c r="E12" s="52"/>
      <c r="F12" s="38" t="str">
        <f t="shared" si="0"/>
        <v/>
      </c>
      <c r="G12" s="661"/>
      <c r="H12" s="49"/>
      <c r="I12" s="50"/>
      <c r="J12" s="51"/>
      <c r="K12" s="52"/>
      <c r="L12" s="52"/>
      <c r="M12" s="38" t="str">
        <f t="shared" si="1"/>
        <v/>
      </c>
    </row>
    <row r="13" spans="1:13" ht="15.75" x14ac:dyDescent="0.25">
      <c r="A13" s="49"/>
      <c r="B13" s="50"/>
      <c r="C13" s="51"/>
      <c r="D13" s="52"/>
      <c r="E13" s="52"/>
      <c r="F13" s="38" t="str">
        <f t="shared" si="0"/>
        <v/>
      </c>
      <c r="G13" s="661"/>
      <c r="H13" s="49"/>
      <c r="I13" s="50"/>
      <c r="J13" s="51"/>
      <c r="K13" s="52"/>
      <c r="L13" s="52"/>
      <c r="M13" s="38" t="str">
        <f t="shared" si="1"/>
        <v/>
      </c>
    </row>
    <row r="14" spans="1:13" ht="15.75" x14ac:dyDescent="0.25">
      <c r="A14" s="49"/>
      <c r="B14" s="50"/>
      <c r="C14" s="51"/>
      <c r="D14" s="52"/>
      <c r="E14" s="52"/>
      <c r="F14" s="38" t="str">
        <f t="shared" si="0"/>
        <v/>
      </c>
      <c r="G14" s="661"/>
      <c r="H14" s="49"/>
      <c r="I14" s="50"/>
      <c r="J14" s="51"/>
      <c r="K14" s="52"/>
      <c r="L14" s="52"/>
      <c r="M14" s="38" t="str">
        <f t="shared" si="1"/>
        <v/>
      </c>
    </row>
    <row r="15" spans="1:13" ht="15.75" x14ac:dyDescent="0.25">
      <c r="A15" s="49"/>
      <c r="B15" s="50"/>
      <c r="C15" s="51"/>
      <c r="D15" s="52"/>
      <c r="E15" s="52"/>
      <c r="F15" s="38" t="str">
        <f t="shared" si="0"/>
        <v/>
      </c>
      <c r="G15" s="661"/>
      <c r="H15" s="49"/>
      <c r="I15" s="50"/>
      <c r="J15" s="51"/>
      <c r="K15" s="52"/>
      <c r="L15" s="52"/>
      <c r="M15" s="38" t="str">
        <f t="shared" si="1"/>
        <v/>
      </c>
    </row>
    <row r="16" spans="1:13" ht="15.75" x14ac:dyDescent="0.25">
      <c r="A16" s="49"/>
      <c r="B16" s="50"/>
      <c r="C16" s="51"/>
      <c r="D16" s="52"/>
      <c r="E16" s="52"/>
      <c r="F16" s="38" t="str">
        <f t="shared" si="0"/>
        <v/>
      </c>
      <c r="G16" s="661"/>
      <c r="H16" s="49"/>
      <c r="I16" s="50"/>
      <c r="J16" s="51"/>
      <c r="K16" s="52"/>
      <c r="L16" s="52"/>
      <c r="M16" s="38" t="str">
        <f t="shared" si="1"/>
        <v/>
      </c>
    </row>
    <row r="17" spans="1:13" ht="15.75" x14ac:dyDescent="0.25">
      <c r="A17" s="49"/>
      <c r="B17" s="50"/>
      <c r="C17" s="51"/>
      <c r="D17" s="52"/>
      <c r="E17" s="52"/>
      <c r="F17" s="38" t="str">
        <f t="shared" si="0"/>
        <v/>
      </c>
      <c r="G17" s="661"/>
      <c r="H17" s="49"/>
      <c r="I17" s="50"/>
      <c r="J17" s="51"/>
      <c r="K17" s="52"/>
      <c r="L17" s="52"/>
      <c r="M17" s="38" t="str">
        <f t="shared" si="1"/>
        <v/>
      </c>
    </row>
    <row r="18" spans="1:13" ht="15.75" x14ac:dyDescent="0.25">
      <c r="A18" s="49"/>
      <c r="B18" s="50"/>
      <c r="C18" s="51"/>
      <c r="D18" s="52"/>
      <c r="E18" s="52"/>
      <c r="F18" s="38" t="str">
        <f t="shared" si="0"/>
        <v/>
      </c>
      <c r="G18" s="661"/>
      <c r="H18" s="49"/>
      <c r="I18" s="50"/>
      <c r="J18" s="51"/>
      <c r="K18" s="52"/>
      <c r="L18" s="52"/>
      <c r="M18" s="38" t="str">
        <f t="shared" si="1"/>
        <v/>
      </c>
    </row>
    <row r="19" spans="1:13" ht="15.75" x14ac:dyDescent="0.25">
      <c r="A19" s="49"/>
      <c r="B19" s="50"/>
      <c r="C19" s="51"/>
      <c r="D19" s="52"/>
      <c r="E19" s="52"/>
      <c r="F19" s="38" t="str">
        <f t="shared" si="0"/>
        <v/>
      </c>
      <c r="G19" s="661"/>
      <c r="H19" s="49"/>
      <c r="I19" s="50"/>
      <c r="J19" s="51"/>
      <c r="K19" s="52"/>
      <c r="L19" s="52"/>
      <c r="M19" s="38" t="str">
        <f t="shared" si="1"/>
        <v/>
      </c>
    </row>
    <row r="20" spans="1:13" ht="15.75" x14ac:dyDescent="0.25">
      <c r="A20" s="49"/>
      <c r="B20" s="50"/>
      <c r="C20" s="51"/>
      <c r="D20" s="52"/>
      <c r="E20" s="52"/>
      <c r="F20" s="38" t="str">
        <f t="shared" si="0"/>
        <v/>
      </c>
      <c r="G20" s="661"/>
      <c r="H20" s="49"/>
      <c r="I20" s="50"/>
      <c r="J20" s="51"/>
      <c r="K20" s="52"/>
      <c r="L20" s="52"/>
      <c r="M20" s="38" t="str">
        <f t="shared" si="1"/>
        <v/>
      </c>
    </row>
    <row r="21" spans="1:13" ht="15.75" x14ac:dyDescent="0.25">
      <c r="A21" s="49"/>
      <c r="B21" s="50"/>
      <c r="C21" s="51"/>
      <c r="D21" s="52"/>
      <c r="E21" s="52"/>
      <c r="F21" s="38" t="str">
        <f t="shared" si="0"/>
        <v/>
      </c>
      <c r="G21" s="661"/>
      <c r="H21" s="49"/>
      <c r="I21" s="50"/>
      <c r="J21" s="51"/>
      <c r="K21" s="52"/>
      <c r="L21" s="52"/>
      <c r="M21" s="38" t="str">
        <f t="shared" si="1"/>
        <v/>
      </c>
    </row>
    <row r="22" spans="1:13" ht="15.75" x14ac:dyDescent="0.25">
      <c r="A22" s="49"/>
      <c r="B22" s="50"/>
      <c r="C22" s="51"/>
      <c r="D22" s="52"/>
      <c r="E22" s="52"/>
      <c r="F22" s="38" t="str">
        <f t="shared" si="0"/>
        <v/>
      </c>
      <c r="G22" s="661"/>
      <c r="H22" s="49"/>
      <c r="I22" s="50"/>
      <c r="J22" s="51"/>
      <c r="K22" s="52"/>
      <c r="L22" s="52"/>
      <c r="M22" s="38" t="str">
        <f t="shared" si="1"/>
        <v/>
      </c>
    </row>
    <row r="23" spans="1:13" ht="15.75" x14ac:dyDescent="0.25">
      <c r="A23" s="49"/>
      <c r="B23" s="50"/>
      <c r="C23" s="51"/>
      <c r="D23" s="52"/>
      <c r="E23" s="52"/>
      <c r="F23" s="38" t="str">
        <f t="shared" si="0"/>
        <v/>
      </c>
      <c r="G23" s="661"/>
      <c r="H23" s="49"/>
      <c r="I23" s="50"/>
      <c r="J23" s="51"/>
      <c r="K23" s="52"/>
      <c r="L23" s="52"/>
      <c r="M23" s="38" t="str">
        <f t="shared" si="1"/>
        <v/>
      </c>
    </row>
    <row r="24" spans="1:13" ht="15.75" x14ac:dyDescent="0.25">
      <c r="A24" s="49"/>
      <c r="B24" s="50"/>
      <c r="C24" s="51"/>
      <c r="D24" s="52"/>
      <c r="E24" s="52"/>
      <c r="F24" s="38" t="str">
        <f t="shared" si="0"/>
        <v/>
      </c>
      <c r="G24" s="661"/>
      <c r="H24" s="49"/>
      <c r="I24" s="50"/>
      <c r="J24" s="51"/>
      <c r="K24" s="52"/>
      <c r="L24" s="52"/>
      <c r="M24" s="38" t="str">
        <f t="shared" si="1"/>
        <v/>
      </c>
    </row>
    <row r="25" spans="1:13" ht="15.75" x14ac:dyDescent="0.25">
      <c r="A25" s="49"/>
      <c r="B25" s="50"/>
      <c r="C25" s="51"/>
      <c r="D25" s="52"/>
      <c r="E25" s="52"/>
      <c r="F25" s="38" t="str">
        <f t="shared" si="0"/>
        <v/>
      </c>
      <c r="G25" s="661"/>
      <c r="H25" s="49"/>
      <c r="I25" s="50"/>
      <c r="J25" s="51"/>
      <c r="K25" s="52"/>
      <c r="L25" s="52"/>
      <c r="M25" s="38" t="str">
        <f t="shared" si="1"/>
        <v/>
      </c>
    </row>
    <row r="26" spans="1:13" ht="15.75" x14ac:dyDescent="0.25">
      <c r="A26" s="49"/>
      <c r="B26" s="50"/>
      <c r="C26" s="51"/>
      <c r="D26" s="52"/>
      <c r="E26" s="52"/>
      <c r="F26" s="38" t="str">
        <f t="shared" si="0"/>
        <v/>
      </c>
      <c r="G26" s="661"/>
      <c r="H26" s="49"/>
      <c r="I26" s="50"/>
      <c r="J26" s="51"/>
      <c r="K26" s="52"/>
      <c r="L26" s="52"/>
      <c r="M26" s="38" t="str">
        <f t="shared" si="1"/>
        <v/>
      </c>
    </row>
    <row r="27" spans="1:13" ht="15.75" x14ac:dyDescent="0.25">
      <c r="A27" s="49"/>
      <c r="B27" s="50"/>
      <c r="C27" s="51"/>
      <c r="D27" s="52"/>
      <c r="E27" s="52"/>
      <c r="F27" s="38" t="str">
        <f t="shared" si="0"/>
        <v/>
      </c>
      <c r="G27" s="661"/>
      <c r="H27" s="49"/>
      <c r="I27" s="50"/>
      <c r="J27" s="51"/>
      <c r="K27" s="52"/>
      <c r="L27" s="52"/>
      <c r="M27" s="38" t="str">
        <f t="shared" si="1"/>
        <v/>
      </c>
    </row>
    <row r="28" spans="1:13" ht="15.75" x14ac:dyDescent="0.25">
      <c r="A28" s="49"/>
      <c r="B28" s="50"/>
      <c r="C28" s="51"/>
      <c r="D28" s="52"/>
      <c r="E28" s="52"/>
      <c r="F28" s="38" t="str">
        <f t="shared" si="0"/>
        <v/>
      </c>
      <c r="G28" s="661"/>
      <c r="H28" s="49"/>
      <c r="I28" s="50"/>
      <c r="J28" s="51"/>
      <c r="K28" s="52"/>
      <c r="L28" s="52"/>
      <c r="M28" s="38" t="str">
        <f t="shared" si="1"/>
        <v/>
      </c>
    </row>
    <row r="29" spans="1:13" ht="16.5" thickBot="1" x14ac:dyDescent="0.3">
      <c r="A29" s="53"/>
      <c r="B29" s="54"/>
      <c r="C29" s="55"/>
      <c r="D29" s="56"/>
      <c r="E29" s="56"/>
      <c r="F29" s="38" t="str">
        <f t="shared" si="0"/>
        <v/>
      </c>
      <c r="G29" s="661"/>
      <c r="H29" s="53"/>
      <c r="I29" s="54"/>
      <c r="J29" s="55"/>
      <c r="K29" s="56"/>
      <c r="L29" s="56"/>
      <c r="M29" s="38" t="str">
        <f t="shared" si="1"/>
        <v/>
      </c>
    </row>
    <row r="30" spans="1:13" ht="19.5" thickBot="1" x14ac:dyDescent="0.3">
      <c r="A30" s="39"/>
      <c r="B30" s="40"/>
      <c r="C30" s="41" t="s">
        <v>56</v>
      </c>
      <c r="D30" s="42" t="str">
        <f>IF(AND(D5="",D6="",D7="",D8="",D9="",D10="",D11="",D12="",D13="",D14="",D15="",D16="",D17="",D18="",D19="",D20="",D21="",D22="",D23="",D24="",D25="",D26="",D27="",D28="",D29=""),"",SUM(D5:D29))</f>
        <v/>
      </c>
      <c r="E30" s="43"/>
      <c r="F30" s="42" t="str">
        <f>IF(AND(F5="",F6="",F7="",F8="",F9="",F10="",F11="",F12="",F13="",F14="",F15="",F16="",F17="",F18="",F19="",F20="",F21="",F22="",F23="",F24="",F25="",F26="",F27="",F28="",F29=""),"",SUM(F5:F29))</f>
        <v/>
      </c>
      <c r="G30" s="661"/>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x14ac:dyDescent="0.3">
      <c r="A31" s="39"/>
      <c r="B31" s="39"/>
      <c r="C31" s="44" t="s">
        <v>57</v>
      </c>
      <c r="D31" s="42" t="str">
        <f>IF(OR($B1="",D30=""),"",(D30/$B1))</f>
        <v/>
      </c>
      <c r="E31" s="39"/>
      <c r="F31" s="42" t="str">
        <f>IF(OR($B1="",F30=""),"",(F30/$B1))</f>
        <v/>
      </c>
      <c r="G31" s="661"/>
      <c r="H31" s="39"/>
      <c r="I31" s="39"/>
      <c r="J31" s="44" t="s">
        <v>57</v>
      </c>
      <c r="K31" s="42" t="str">
        <f>IF(OR($I1="",K30=""),"",(K30/$I1))</f>
        <v/>
      </c>
      <c r="L31" s="39"/>
      <c r="M31" s="42" t="str">
        <f>IF(OR($I1="",M30=""),"",(M30/$I1))</f>
        <v/>
      </c>
    </row>
    <row r="32" spans="1:13" s="25" customFormat="1" ht="18.75" x14ac:dyDescent="0.2">
      <c r="A32" s="345" t="s">
        <v>184</v>
      </c>
      <c r="B32" s="45"/>
      <c r="C32" s="45"/>
      <c r="D32" s="45"/>
      <c r="E32" s="45"/>
      <c r="F32" s="45"/>
      <c r="G32" s="45"/>
      <c r="H32" s="45"/>
      <c r="I32" s="45"/>
      <c r="J32" s="45"/>
      <c r="K32" s="45"/>
      <c r="L32" s="45"/>
      <c r="M32" s="45"/>
    </row>
    <row r="33" spans="1:13" s="47" customFormat="1" ht="15.75" x14ac:dyDescent="0.25">
      <c r="A33" s="358" t="s">
        <v>183</v>
      </c>
      <c r="B33" s="46"/>
      <c r="C33" s="46"/>
      <c r="D33" s="46"/>
      <c r="E33" s="46"/>
      <c r="F33" s="46"/>
      <c r="G33" s="46"/>
      <c r="H33" s="46"/>
      <c r="I33" s="46"/>
      <c r="J33" s="46"/>
      <c r="K33" s="46"/>
      <c r="L33" s="46"/>
      <c r="M33" s="46"/>
    </row>
    <row r="34" spans="1:13" s="25" customFormat="1" ht="18.75" x14ac:dyDescent="0.25">
      <c r="A34" s="662" t="s">
        <v>24</v>
      </c>
      <c r="B34" s="662"/>
      <c r="C34" s="662"/>
      <c r="D34" s="662"/>
      <c r="E34" s="662"/>
      <c r="F34" s="662"/>
      <c r="G34" s="662"/>
      <c r="H34" s="662"/>
      <c r="I34" s="662"/>
      <c r="J34" s="662"/>
      <c r="K34" s="662"/>
      <c r="L34" s="662"/>
      <c r="M34" s="662"/>
    </row>
    <row r="35" spans="1:13" ht="15.75" hidden="1" x14ac:dyDescent="0.25"/>
  </sheetData>
  <sheetProtection algorithmName="SHA-512" hashValue="wI1N20afUBuIUIUpsa+ksFpui6VHiI5aGhz3nXEgpVA4pVnH977ficSDYKumSUbrVQrnd1OWMEfJbrGFPSbZqQ==" saltValue="fHREhFpyEZK6tI41KVzW8g=="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2100-000000000000}"/>
    <dataValidation allowBlank="1" showInputMessage="1" showErrorMessage="1" prompt="Don't forget to enter Child Count in Cell I1." sqref="H5" xr:uid="{00000000-0002-0000-2100-000001000000}"/>
  </dataValidations>
  <hyperlinks>
    <hyperlink ref="A33" r:id="rId1" xr:uid="{00000000-0004-0000-2100-000000000000}"/>
  </hyperlinks>
  <pageMargins left="0.75" right="0.75" top="1" bottom="1" header="0.5" footer="0.5"/>
  <pageSetup orientation="portrait" horizontalDpi="4294967292" verticalDpi="4294967292" r:id="rId2"/>
  <tableParts count="2">
    <tablePart r:id="rId3"/>
    <tablePart r:id="rId4"/>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theme="5"/>
    <pageSetUpPr autoPageBreaks="0"/>
  </sheetPr>
  <dimension ref="A1:AB79"/>
  <sheetViews>
    <sheetView showGridLines="0" zoomScale="90" zoomScaleNormal="90" zoomScalePageLayoutView="90" workbookViewId="0">
      <pane ySplit="3" topLeftCell="A62" activePane="bottomLeft" state="frozen"/>
      <selection activeCell="A5" sqref="A5"/>
      <selection pane="bottomLeft" activeCell="A75" sqref="A75:M75"/>
    </sheetView>
  </sheetViews>
  <sheetFormatPr defaultColWidth="0" defaultRowHeight="15.6" customHeight="1"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x14ac:dyDescent="0.25">
      <c r="A1" s="57" t="s">
        <v>58</v>
      </c>
      <c r="D1" s="59" t="s">
        <v>14</v>
      </c>
      <c r="E1" s="10" t="str">
        <f>IF('2. Getting Started'!$B2="","",'2. Getting Started'!$B2)</f>
        <v/>
      </c>
      <c r="G1" s="667" t="s">
        <v>176</v>
      </c>
      <c r="K1" s="59" t="s">
        <v>14</v>
      </c>
      <c r="L1" s="10" t="str">
        <f>IF('2. Getting Started'!$B2="","",'2. Getting Started'!$B2)</f>
        <v/>
      </c>
    </row>
    <row r="2" spans="1:20" ht="25.9" customHeight="1" thickBot="1" x14ac:dyDescent="0.3">
      <c r="A2" s="338" t="s">
        <v>170</v>
      </c>
      <c r="D2" s="59"/>
      <c r="E2" s="10"/>
      <c r="G2" s="667"/>
      <c r="H2" s="338" t="s">
        <v>170</v>
      </c>
      <c r="K2" s="59"/>
      <c r="L2" s="10"/>
    </row>
    <row r="3" spans="1:20" ht="25.9" customHeight="1" thickBot="1" x14ac:dyDescent="0.3">
      <c r="A3" s="60" t="str">
        <f>CONCATENATE("Eligibility Standard -- Exceptions to MOE as Permitted by 34 CFR §300.204 and Adjustment to MOE as Permitted by 34 CFR §300.205 -- Projections for State Fiscal Year ",'2. Getting Started'!B6+9," Budget")</f>
        <v>Eligibility Standard -- Exceptions to MOE as Permitted by 34 CFR §300.204 and Adjustment to MOE as Permitted by 34 CFR §300.205 -- Projections for State Fiscal Year 2030 Budget</v>
      </c>
      <c r="B3" s="61"/>
      <c r="C3" s="61"/>
      <c r="D3" s="61"/>
      <c r="E3" s="61"/>
      <c r="F3" s="62"/>
      <c r="G3" s="667"/>
      <c r="H3" s="60" t="str">
        <f>CONCATENATE("Compliance Standard -- Exceptions to MOE as Permitted by 34 CFR §300.204 and Adjustment to MOE as Permitted by 34 CFR §300.205 -- Final Expenditures for  State Fiscal Year ",'2. Getting Started'!B6+9)</f>
        <v>Compliance Standard -- Exceptions to MOE as Permitted by 34 CFR §300.204 and Adjustment to MOE as Permitted by 34 CFR §300.205 -- Final Expenditures for  State Fiscal Year 2030</v>
      </c>
      <c r="I3" s="61"/>
      <c r="J3" s="61"/>
      <c r="K3" s="61"/>
      <c r="L3" s="61"/>
      <c r="M3" s="62"/>
      <c r="O3" s="64"/>
      <c r="P3" s="64"/>
      <c r="Q3" s="64"/>
      <c r="R3" s="64"/>
      <c r="S3" s="64"/>
      <c r="T3" s="64"/>
    </row>
    <row r="4" spans="1:20" ht="15.75" x14ac:dyDescent="0.25">
      <c r="A4" s="65" t="s">
        <v>59</v>
      </c>
      <c r="B4" s="66"/>
      <c r="C4" s="67"/>
      <c r="D4" s="67"/>
      <c r="E4" s="67"/>
      <c r="F4" s="68"/>
      <c r="G4" s="667"/>
      <c r="H4" s="65" t="s">
        <v>59</v>
      </c>
      <c r="I4" s="66"/>
      <c r="J4" s="67"/>
      <c r="K4" s="67"/>
      <c r="L4" s="67"/>
      <c r="M4" s="68"/>
      <c r="N4" s="70"/>
      <c r="O4" s="70"/>
      <c r="P4" s="70"/>
      <c r="Q4" s="70"/>
      <c r="R4" s="70"/>
      <c r="S4" s="70"/>
    </row>
    <row r="5" spans="1:20" ht="15.75" x14ac:dyDescent="0.25">
      <c r="A5" s="71" t="s">
        <v>60</v>
      </c>
      <c r="B5" s="72"/>
      <c r="C5" s="69"/>
      <c r="D5" s="69"/>
      <c r="E5" s="69"/>
      <c r="F5" s="73"/>
      <c r="G5" s="667"/>
      <c r="H5" s="71" t="s">
        <v>60</v>
      </c>
      <c r="I5" s="72"/>
      <c r="J5" s="69"/>
      <c r="K5" s="69"/>
      <c r="L5" s="69"/>
      <c r="M5" s="73"/>
      <c r="N5" s="74"/>
      <c r="O5" s="74"/>
      <c r="P5" s="74"/>
      <c r="Q5" s="74"/>
      <c r="R5" s="74"/>
    </row>
    <row r="6" spans="1:20" ht="35.65" customHeight="1" thickBot="1" x14ac:dyDescent="0.3">
      <c r="A6" s="75" t="s">
        <v>61</v>
      </c>
      <c r="B6" s="76"/>
      <c r="C6" s="76"/>
      <c r="D6" s="76"/>
      <c r="E6" s="76"/>
      <c r="F6" s="77"/>
      <c r="G6" s="667"/>
      <c r="H6" s="75" t="s">
        <v>61</v>
      </c>
      <c r="I6" s="76"/>
      <c r="J6" s="76"/>
      <c r="K6" s="76"/>
      <c r="L6" s="76"/>
      <c r="M6" s="77"/>
      <c r="N6" s="74"/>
      <c r="O6" s="74"/>
      <c r="P6" s="74"/>
      <c r="Q6" s="74"/>
      <c r="R6" s="74"/>
      <c r="S6" s="74"/>
    </row>
    <row r="7" spans="1:20" ht="15.75" x14ac:dyDescent="0.25">
      <c r="A7" s="78" t="s">
        <v>62</v>
      </c>
      <c r="B7" s="79" t="s">
        <v>63</v>
      </c>
      <c r="C7" s="80" t="s">
        <v>64</v>
      </c>
      <c r="D7" s="80" t="s">
        <v>65</v>
      </c>
      <c r="E7" s="81" t="s">
        <v>66</v>
      </c>
      <c r="F7" s="82" t="s">
        <v>67</v>
      </c>
      <c r="G7" s="667"/>
      <c r="H7" s="78" t="s">
        <v>62</v>
      </c>
      <c r="I7" s="79" t="s">
        <v>63</v>
      </c>
      <c r="J7" s="80" t="s">
        <v>64</v>
      </c>
      <c r="K7" s="80" t="s">
        <v>65</v>
      </c>
      <c r="L7" s="81" t="s">
        <v>66</v>
      </c>
      <c r="M7" s="82" t="s">
        <v>68</v>
      </c>
      <c r="N7" s="74"/>
      <c r="O7" s="74"/>
    </row>
    <row r="8" spans="1:20" ht="15.75" x14ac:dyDescent="0.25">
      <c r="A8" s="186"/>
      <c r="B8" s="187"/>
      <c r="C8" s="187"/>
      <c r="D8" s="188"/>
      <c r="E8" s="188"/>
      <c r="F8" s="84">
        <f>D8+E8</f>
        <v>0</v>
      </c>
      <c r="G8" s="667"/>
      <c r="H8" s="186"/>
      <c r="I8" s="187"/>
      <c r="J8" s="187"/>
      <c r="K8" s="188"/>
      <c r="L8" s="188"/>
      <c r="M8" s="84">
        <f>K8+L8</f>
        <v>0</v>
      </c>
      <c r="N8" s="85"/>
      <c r="O8" s="85"/>
    </row>
    <row r="9" spans="1:20" ht="15.75" x14ac:dyDescent="0.25">
      <c r="A9" s="186"/>
      <c r="B9" s="187"/>
      <c r="C9" s="187"/>
      <c r="D9" s="188"/>
      <c r="E9" s="188"/>
      <c r="F9" s="84">
        <f>D9+E9</f>
        <v>0</v>
      </c>
      <c r="G9" s="667"/>
      <c r="H9" s="186"/>
      <c r="I9" s="187"/>
      <c r="J9" s="187"/>
      <c r="K9" s="188"/>
      <c r="L9" s="188"/>
      <c r="M9" s="84">
        <f>K9+L9</f>
        <v>0</v>
      </c>
      <c r="N9" s="85"/>
      <c r="O9" s="85"/>
    </row>
    <row r="10" spans="1:20" ht="15.75" x14ac:dyDescent="0.25">
      <c r="A10" s="186"/>
      <c r="B10" s="187"/>
      <c r="C10" s="187"/>
      <c r="D10" s="188"/>
      <c r="E10" s="188"/>
      <c r="F10" s="84">
        <f>D10+E10</f>
        <v>0</v>
      </c>
      <c r="G10" s="667"/>
      <c r="H10" s="186"/>
      <c r="I10" s="187"/>
      <c r="J10" s="187"/>
      <c r="K10" s="188"/>
      <c r="L10" s="188"/>
      <c r="M10" s="84">
        <f>K10+L10</f>
        <v>0</v>
      </c>
      <c r="N10" s="85"/>
      <c r="O10" s="85"/>
    </row>
    <row r="11" spans="1:20" ht="15.75" x14ac:dyDescent="0.25">
      <c r="A11" s="186"/>
      <c r="B11" s="187"/>
      <c r="C11" s="187"/>
      <c r="D11" s="188"/>
      <c r="E11" s="188"/>
      <c r="F11" s="84">
        <f>D11+E11</f>
        <v>0</v>
      </c>
      <c r="G11" s="667"/>
      <c r="H11" s="186"/>
      <c r="I11" s="187"/>
      <c r="J11" s="187"/>
      <c r="K11" s="188"/>
      <c r="L11" s="188"/>
      <c r="M11" s="84">
        <f>K11+L11</f>
        <v>0</v>
      </c>
      <c r="N11" s="85"/>
      <c r="O11" s="85"/>
    </row>
    <row r="12" spans="1:20" ht="15.75" x14ac:dyDescent="0.25">
      <c r="A12" s="186"/>
      <c r="B12" s="187"/>
      <c r="C12" s="187"/>
      <c r="D12" s="188"/>
      <c r="E12" s="188"/>
      <c r="F12" s="84">
        <f>D12+E12</f>
        <v>0</v>
      </c>
      <c r="G12" s="667"/>
      <c r="H12" s="186"/>
      <c r="I12" s="187"/>
      <c r="J12" s="187"/>
      <c r="K12" s="188"/>
      <c r="L12" s="188"/>
      <c r="M12" s="84">
        <f>K12+L12</f>
        <v>0</v>
      </c>
      <c r="N12" s="85"/>
      <c r="O12" s="85"/>
    </row>
    <row r="13" spans="1:20" ht="16.5" thickBot="1" x14ac:dyDescent="0.3">
      <c r="A13" s="86"/>
      <c r="B13" s="87"/>
      <c r="C13" s="88" t="s">
        <v>69</v>
      </c>
      <c r="D13" s="89">
        <f t="shared" ref="D13:F13" si="0">SUM(D8:D12)</f>
        <v>0</v>
      </c>
      <c r="E13" s="89">
        <f t="shared" si="0"/>
        <v>0</v>
      </c>
      <c r="F13" s="90">
        <f t="shared" si="0"/>
        <v>0</v>
      </c>
      <c r="G13" s="667"/>
      <c r="H13" s="86"/>
      <c r="I13" s="87"/>
      <c r="J13" s="88" t="s">
        <v>69</v>
      </c>
      <c r="K13" s="89">
        <f t="shared" ref="K13:M13" si="1">SUM(K8:K12)</f>
        <v>0</v>
      </c>
      <c r="L13" s="89">
        <f t="shared" si="1"/>
        <v>0</v>
      </c>
      <c r="M13" s="90">
        <f t="shared" si="1"/>
        <v>0</v>
      </c>
      <c r="N13" s="85"/>
      <c r="O13" s="85"/>
    </row>
    <row r="14" spans="1:20" ht="40.15" customHeight="1" thickBot="1" x14ac:dyDescent="0.3">
      <c r="A14" s="91" t="s">
        <v>70</v>
      </c>
      <c r="B14" s="92"/>
      <c r="C14" s="92"/>
      <c r="D14" s="92"/>
      <c r="E14" s="92"/>
      <c r="F14" s="93"/>
      <c r="G14" s="667"/>
      <c r="H14" s="91" t="s">
        <v>70</v>
      </c>
      <c r="I14" s="92"/>
      <c r="J14" s="92"/>
      <c r="K14" s="92"/>
      <c r="L14" s="92"/>
      <c r="M14" s="93"/>
      <c r="N14" s="74"/>
      <c r="O14" s="74"/>
      <c r="P14" s="74"/>
      <c r="Q14" s="74"/>
      <c r="R14" s="74"/>
      <c r="S14" s="94"/>
    </row>
    <row r="15" spans="1:20" ht="15.75" x14ac:dyDescent="0.25">
      <c r="A15" s="95" t="s">
        <v>62</v>
      </c>
      <c r="B15" s="96" t="s">
        <v>63</v>
      </c>
      <c r="C15" s="97" t="s">
        <v>175</v>
      </c>
      <c r="D15" s="80" t="s">
        <v>65</v>
      </c>
      <c r="E15" s="81" t="s">
        <v>66</v>
      </c>
      <c r="F15" s="82" t="s">
        <v>67</v>
      </c>
      <c r="G15" s="667"/>
      <c r="H15" s="95" t="s">
        <v>62</v>
      </c>
      <c r="I15" s="96" t="s">
        <v>63</v>
      </c>
      <c r="J15" s="97" t="s">
        <v>175</v>
      </c>
      <c r="K15" s="80" t="s">
        <v>65</v>
      </c>
      <c r="L15" s="81" t="s">
        <v>66</v>
      </c>
      <c r="M15" s="82" t="s">
        <v>68</v>
      </c>
      <c r="N15" s="64"/>
      <c r="O15" s="99"/>
    </row>
    <row r="16" spans="1:20" ht="15.75" x14ac:dyDescent="0.25">
      <c r="A16" s="189"/>
      <c r="B16" s="190"/>
      <c r="C16" s="100"/>
      <c r="D16" s="188"/>
      <c r="E16" s="188"/>
      <c r="F16" s="84">
        <f t="shared" ref="F16:F20" si="2">D16+E16</f>
        <v>0</v>
      </c>
      <c r="G16" s="667"/>
      <c r="H16" s="189"/>
      <c r="I16" s="190"/>
      <c r="J16" s="100"/>
      <c r="K16" s="188"/>
      <c r="L16" s="188"/>
      <c r="M16" s="84">
        <f t="shared" ref="M16:M20" si="3">K16+L16</f>
        <v>0</v>
      </c>
      <c r="N16" s="85"/>
      <c r="O16" s="85"/>
    </row>
    <row r="17" spans="1:19" ht="15.75" x14ac:dyDescent="0.25">
      <c r="A17" s="189"/>
      <c r="B17" s="190"/>
      <c r="C17" s="100"/>
      <c r="D17" s="188"/>
      <c r="E17" s="188"/>
      <c r="F17" s="84">
        <f t="shared" si="2"/>
        <v>0</v>
      </c>
      <c r="G17" s="667"/>
      <c r="H17" s="189"/>
      <c r="I17" s="190"/>
      <c r="J17" s="100"/>
      <c r="K17" s="188"/>
      <c r="L17" s="188"/>
      <c r="M17" s="84">
        <f t="shared" si="3"/>
        <v>0</v>
      </c>
      <c r="N17" s="85"/>
      <c r="O17" s="85"/>
    </row>
    <row r="18" spans="1:19" ht="15.75" x14ac:dyDescent="0.25">
      <c r="A18" s="189"/>
      <c r="B18" s="190"/>
      <c r="C18" s="100"/>
      <c r="D18" s="188"/>
      <c r="E18" s="188"/>
      <c r="F18" s="84">
        <f t="shared" si="2"/>
        <v>0</v>
      </c>
      <c r="G18" s="667"/>
      <c r="H18" s="189"/>
      <c r="I18" s="190"/>
      <c r="J18" s="100"/>
      <c r="K18" s="188"/>
      <c r="L18" s="188"/>
      <c r="M18" s="84">
        <f t="shared" si="3"/>
        <v>0</v>
      </c>
      <c r="N18" s="85"/>
      <c r="O18" s="85"/>
    </row>
    <row r="19" spans="1:19" ht="15.75" x14ac:dyDescent="0.25">
      <c r="A19" s="189"/>
      <c r="B19" s="190"/>
      <c r="C19" s="100"/>
      <c r="D19" s="188"/>
      <c r="E19" s="188"/>
      <c r="F19" s="84">
        <f t="shared" si="2"/>
        <v>0</v>
      </c>
      <c r="G19" s="667"/>
      <c r="H19" s="189"/>
      <c r="I19" s="190"/>
      <c r="J19" s="100"/>
      <c r="K19" s="188"/>
      <c r="L19" s="188"/>
      <c r="M19" s="84">
        <f t="shared" si="3"/>
        <v>0</v>
      </c>
      <c r="N19" s="85"/>
      <c r="O19" s="85"/>
    </row>
    <row r="20" spans="1:19" ht="15.75" x14ac:dyDescent="0.25">
      <c r="A20" s="189"/>
      <c r="B20" s="190"/>
      <c r="C20" s="100"/>
      <c r="D20" s="188"/>
      <c r="E20" s="188"/>
      <c r="F20" s="84">
        <f t="shared" si="2"/>
        <v>0</v>
      </c>
      <c r="G20" s="667"/>
      <c r="H20" s="189"/>
      <c r="I20" s="190"/>
      <c r="J20" s="100"/>
      <c r="K20" s="188"/>
      <c r="L20" s="188"/>
      <c r="M20" s="84">
        <f t="shared" si="3"/>
        <v>0</v>
      </c>
      <c r="N20" s="85"/>
      <c r="O20" s="85"/>
    </row>
    <row r="21" spans="1:19" ht="15.75" x14ac:dyDescent="0.25">
      <c r="A21" s="101"/>
      <c r="B21" s="102"/>
      <c r="C21" s="103" t="s">
        <v>72</v>
      </c>
      <c r="D21" s="104">
        <f t="shared" ref="D21:F21" si="4">SUM(D16:D20)</f>
        <v>0</v>
      </c>
      <c r="E21" s="104">
        <f t="shared" si="4"/>
        <v>0</v>
      </c>
      <c r="F21" s="84">
        <f t="shared" si="4"/>
        <v>0</v>
      </c>
      <c r="G21" s="667"/>
      <c r="H21" s="101"/>
      <c r="I21" s="102"/>
      <c r="J21" s="103" t="s">
        <v>72</v>
      </c>
      <c r="K21" s="104">
        <f t="shared" ref="K21:M21" si="5">SUM(K16:K20)</f>
        <v>0</v>
      </c>
      <c r="L21" s="104">
        <f t="shared" si="5"/>
        <v>0</v>
      </c>
      <c r="M21" s="84">
        <f t="shared" si="5"/>
        <v>0</v>
      </c>
      <c r="N21" s="85"/>
      <c r="O21" s="85"/>
    </row>
    <row r="22" spans="1:19" ht="16.5" thickBot="1" x14ac:dyDescent="0.3">
      <c r="A22" s="105"/>
      <c r="B22" s="106"/>
      <c r="C22" s="107"/>
      <c r="D22" s="107"/>
      <c r="E22" s="108" t="s">
        <v>73</v>
      </c>
      <c r="F22" s="109">
        <f>F13-F21</f>
        <v>0</v>
      </c>
      <c r="G22" s="667"/>
      <c r="H22" s="105"/>
      <c r="I22" s="106"/>
      <c r="J22" s="106"/>
      <c r="K22" s="111"/>
      <c r="L22" s="108" t="s">
        <v>74</v>
      </c>
      <c r="M22" s="109">
        <f>M13-M21</f>
        <v>0</v>
      </c>
      <c r="N22" s="94"/>
      <c r="O22" s="94"/>
      <c r="P22" s="94"/>
      <c r="Q22" s="94"/>
      <c r="R22" s="94"/>
      <c r="S22" s="94"/>
    </row>
    <row r="23" spans="1:19" ht="16.5" thickBot="1" x14ac:dyDescent="0.3">
      <c r="A23" s="668" t="s">
        <v>22</v>
      </c>
      <c r="B23" s="668"/>
      <c r="C23" s="668"/>
      <c r="D23" s="668"/>
      <c r="E23" s="668"/>
      <c r="F23" s="668"/>
      <c r="G23" s="667"/>
      <c r="H23" s="668" t="s">
        <v>22</v>
      </c>
      <c r="I23" s="668"/>
      <c r="J23" s="668"/>
      <c r="K23" s="668"/>
      <c r="L23" s="668"/>
      <c r="M23" s="668"/>
      <c r="N23" s="94"/>
      <c r="O23" s="94"/>
      <c r="P23" s="94"/>
      <c r="Q23" s="94"/>
      <c r="R23" s="94"/>
      <c r="S23" s="94"/>
    </row>
    <row r="24" spans="1:19" ht="15.75" x14ac:dyDescent="0.25">
      <c r="A24" s="112" t="s">
        <v>105</v>
      </c>
      <c r="B24" s="113"/>
      <c r="C24" s="113"/>
      <c r="D24" s="63"/>
      <c r="E24" s="120"/>
      <c r="F24" s="120"/>
      <c r="G24" s="667"/>
      <c r="H24" s="112" t="s">
        <v>105</v>
      </c>
      <c r="I24" s="113"/>
      <c r="J24" s="113"/>
      <c r="K24" s="63"/>
      <c r="L24" s="120"/>
      <c r="M24" s="120"/>
      <c r="N24" s="119"/>
      <c r="O24" s="119"/>
      <c r="P24" s="119"/>
      <c r="Q24" s="119"/>
    </row>
    <row r="25" spans="1:19" ht="15.75" x14ac:dyDescent="0.25">
      <c r="A25" s="121" t="s">
        <v>71</v>
      </c>
      <c r="B25" s="122" t="s">
        <v>77</v>
      </c>
      <c r="C25" s="123"/>
      <c r="D25" s="124"/>
      <c r="E25" s="123"/>
      <c r="F25" s="123"/>
      <c r="G25" s="667"/>
      <c r="H25" s="121" t="s">
        <v>71</v>
      </c>
      <c r="I25" s="122" t="s">
        <v>77</v>
      </c>
      <c r="J25" s="123"/>
      <c r="K25" s="124"/>
      <c r="L25" s="123"/>
      <c r="M25" s="123"/>
      <c r="N25" s="119"/>
      <c r="O25" s="119"/>
      <c r="P25" s="119"/>
      <c r="Q25" s="119"/>
    </row>
    <row r="26" spans="1:19" ht="15.75" x14ac:dyDescent="0.25">
      <c r="A26" s="125" t="str">
        <f>CONCATENATE("SFY ",'2. Getting Started'!B6+9," Projected Child Count")</f>
        <v>SFY 2030 Projected Child Count</v>
      </c>
      <c r="B26" s="126" t="str">
        <f>IF('32. Year 10 Amounts'!B1="","",'32. Year 10 Amounts'!B1)</f>
        <v/>
      </c>
      <c r="C26" s="123"/>
      <c r="D26" s="124"/>
      <c r="E26" s="123"/>
      <c r="F26" s="123"/>
      <c r="G26" s="667"/>
      <c r="H26" s="125" t="str">
        <f>CONCATENATE("SFY ",'2. Getting Started'!B6+9," Child Count")</f>
        <v>SFY 2030 Child Count</v>
      </c>
      <c r="I26" s="126" t="str">
        <f>IF('32. Year 10 Amounts'!I1="","",'32. Year 10 Amounts'!I1)</f>
        <v/>
      </c>
      <c r="J26" s="123"/>
      <c r="K26" s="124"/>
      <c r="L26" s="123"/>
      <c r="M26" s="123"/>
      <c r="N26" s="119"/>
      <c r="O26" s="119"/>
      <c r="P26" s="119"/>
      <c r="Q26" s="119"/>
    </row>
    <row r="27" spans="1:19" ht="15.75" x14ac:dyDescent="0.25">
      <c r="A27" s="125" t="str">
        <f>CONCATENATE("SFY ",'2. Getting Started'!B6+8," Projected Child Count")</f>
        <v>SFY 2029 Projected Child Count</v>
      </c>
      <c r="B27" s="126" t="str">
        <f>IF('29. Year 9 Amounts'!B1="","",'29. Year 9 Amounts'!B1)</f>
        <v/>
      </c>
      <c r="C27" s="119"/>
      <c r="D27" s="128"/>
      <c r="E27" s="119"/>
      <c r="F27" s="123"/>
      <c r="G27" s="667"/>
      <c r="H27" s="125" t="str">
        <f>CONCATENATE("SFY ",'2. Getting Started'!B6+8," Child Count")</f>
        <v>SFY 2029 Child Count</v>
      </c>
      <c r="I27" s="126" t="str">
        <f>IF('29. Year 9 Amounts'!I1="","",'29. Year 9 Amounts'!I1)</f>
        <v/>
      </c>
      <c r="J27" s="119"/>
      <c r="K27" s="128"/>
      <c r="L27" s="119"/>
      <c r="M27" s="123"/>
      <c r="N27" s="129"/>
      <c r="O27" s="129"/>
      <c r="P27" s="129"/>
      <c r="Q27" s="129"/>
    </row>
    <row r="28" spans="1:19" ht="15.75" x14ac:dyDescent="0.25">
      <c r="A28" s="127" t="s">
        <v>78</v>
      </c>
      <c r="B28" s="130" t="str">
        <f>IF(B26="","",B26-B27)</f>
        <v/>
      </c>
      <c r="C28" s="123" t="str">
        <f>IF(B28="","",IF(B28&gt;=0,"Not eligible for this exception",""))</f>
        <v/>
      </c>
      <c r="D28" s="124"/>
      <c r="E28" s="123"/>
      <c r="F28" s="123"/>
      <c r="G28" s="667"/>
      <c r="H28" s="127" t="s">
        <v>78</v>
      </c>
      <c r="I28" s="130" t="str">
        <f>IF(I26="","",I26-I27)</f>
        <v/>
      </c>
      <c r="J28" s="123" t="str">
        <f>IF(I28="","",IF(I28&gt;=0,"Not eligible for this exception",""))</f>
        <v/>
      </c>
      <c r="K28" s="124"/>
      <c r="L28" s="123"/>
      <c r="M28" s="123"/>
      <c r="N28" s="132"/>
      <c r="O28" s="132"/>
      <c r="P28" s="132"/>
      <c r="Q28" s="132"/>
    </row>
    <row r="29" spans="1:19" ht="15.75" x14ac:dyDescent="0.25">
      <c r="A29" s="133" t="s">
        <v>79</v>
      </c>
      <c r="B29" s="134" t="str">
        <f>IF(B26="","",IF(B28&lt;=0,ABS(B28/B27),""))</f>
        <v/>
      </c>
      <c r="C29" s="135"/>
      <c r="D29" s="136"/>
      <c r="E29" s="135"/>
      <c r="F29" s="10"/>
      <c r="G29" s="667"/>
      <c r="H29" s="133" t="s">
        <v>79</v>
      </c>
      <c r="I29" s="134" t="str">
        <f>IF(I26="","",IF(I28&lt;=0,ABS(I28/I27),""))</f>
        <v/>
      </c>
      <c r="J29" s="135"/>
      <c r="K29" s="136"/>
      <c r="L29" s="135"/>
      <c r="M29" s="10"/>
      <c r="N29" s="137"/>
      <c r="O29" s="137"/>
      <c r="P29" s="138"/>
      <c r="Q29" s="138"/>
    </row>
    <row r="30" spans="1:19" ht="31.5" x14ac:dyDescent="0.25">
      <c r="A30" s="115" t="s">
        <v>71</v>
      </c>
      <c r="B30" s="116" t="s">
        <v>0</v>
      </c>
      <c r="C30" s="116" t="s">
        <v>2</v>
      </c>
      <c r="D30" s="10"/>
      <c r="E30" s="72"/>
      <c r="F30" s="72"/>
      <c r="G30" s="667"/>
      <c r="H30" s="115" t="s">
        <v>71</v>
      </c>
      <c r="I30" s="116" t="s">
        <v>75</v>
      </c>
      <c r="J30" s="116" t="s">
        <v>76</v>
      </c>
      <c r="K30" s="10"/>
      <c r="L30" s="72"/>
      <c r="M30" s="72"/>
      <c r="N30" s="138"/>
      <c r="O30" s="138"/>
    </row>
    <row r="31" spans="1:19" ht="15.75" x14ac:dyDescent="0.25">
      <c r="A31" s="139" t="str">
        <f>CONCATENATE("SFY ",'2. Getting Started'!B6+8," Budget")</f>
        <v>SFY 2029 Budget</v>
      </c>
      <c r="B31" s="140" t="str">
        <f>IF('29. Year 9 Amounts'!D30="","",'29. Year 9 Amounts'!D30)</f>
        <v/>
      </c>
      <c r="C31" s="140" t="str">
        <f>IF('29. Year 9 Amounts'!F30="","",'29. Year 9 Amounts'!F30)</f>
        <v/>
      </c>
      <c r="D31" s="141"/>
      <c r="E31" s="74"/>
      <c r="F31" s="74"/>
      <c r="G31" s="667"/>
      <c r="H31" s="139" t="str">
        <f>CONCATENATE("SFY ",'2. Getting Started'!B6+8," Final Expenditures")</f>
        <v>SFY 2029 Final Expenditures</v>
      </c>
      <c r="I31" s="140" t="str">
        <f>IF('29. Year 9 Amounts'!K30="","",'29. Year 9 Amounts'!K30)</f>
        <v/>
      </c>
      <c r="J31" s="140" t="str">
        <f>IF('29. Year 9 Amounts'!M30="","",'29. Year 9 Amounts'!M30)</f>
        <v/>
      </c>
      <c r="K31" s="142"/>
      <c r="L31" s="74"/>
      <c r="M31" s="74"/>
    </row>
    <row r="32" spans="1:19" ht="15.75" x14ac:dyDescent="0.25">
      <c r="A32" s="117" t="s">
        <v>80</v>
      </c>
      <c r="B32" s="143" t="str">
        <f>IF(OR($B26="",B29="",B31=""),"",($B29*B31))</f>
        <v/>
      </c>
      <c r="C32" s="143" t="str">
        <f>IF(OR($B26="",B29="",C31=""),"",($B29*C31))</f>
        <v/>
      </c>
      <c r="D32" s="142"/>
      <c r="E32" s="118"/>
      <c r="F32" s="118"/>
      <c r="G32" s="667"/>
      <c r="H32" s="117" t="s">
        <v>81</v>
      </c>
      <c r="I32" s="143" t="str">
        <f>IF(OR($I26="",I29="",I31=""),"",($I29*I31))</f>
        <v/>
      </c>
      <c r="J32" s="143" t="str">
        <f>IF(OR($I26="",I29="",J31=""),"",($I29*J31))</f>
        <v/>
      </c>
      <c r="K32" s="142"/>
      <c r="L32" s="118"/>
      <c r="M32" s="118"/>
    </row>
    <row r="33" spans="1:28" ht="16.5" thickBot="1" x14ac:dyDescent="0.3">
      <c r="A33" s="663" t="s">
        <v>22</v>
      </c>
      <c r="B33" s="663"/>
      <c r="C33" s="663"/>
      <c r="D33" s="123"/>
      <c r="E33" s="123"/>
      <c r="F33" s="123"/>
      <c r="G33" s="667"/>
      <c r="H33" s="663" t="s">
        <v>22</v>
      </c>
      <c r="I33" s="663"/>
      <c r="J33" s="663"/>
      <c r="K33" s="123"/>
      <c r="L33" s="123"/>
      <c r="M33" s="123"/>
      <c r="P33" s="118"/>
      <c r="Q33" s="118"/>
      <c r="R33" s="118"/>
      <c r="S33" s="118"/>
      <c r="T33" s="118"/>
      <c r="U33" s="74"/>
      <c r="V33" s="118"/>
      <c r="W33" s="118"/>
      <c r="X33" s="118"/>
      <c r="Y33" s="118"/>
      <c r="Z33" s="118"/>
      <c r="AA33" s="118"/>
    </row>
    <row r="34" spans="1:28" ht="15.75" x14ac:dyDescent="0.25">
      <c r="A34" s="112" t="s">
        <v>82</v>
      </c>
      <c r="B34" s="145"/>
      <c r="C34" s="146"/>
      <c r="D34" s="147"/>
      <c r="E34" s="131"/>
      <c r="F34" s="131"/>
      <c r="G34" s="667"/>
      <c r="H34" s="112" t="s">
        <v>82</v>
      </c>
      <c r="I34" s="145"/>
      <c r="J34" s="146"/>
      <c r="K34" s="147"/>
      <c r="L34" s="131"/>
      <c r="M34" s="131"/>
      <c r="P34" s="118"/>
      <c r="Q34" s="118"/>
      <c r="R34" s="118"/>
      <c r="S34" s="118"/>
      <c r="T34" s="118"/>
      <c r="U34" s="118"/>
      <c r="V34" s="118"/>
      <c r="W34" s="118"/>
      <c r="X34" s="118"/>
      <c r="Y34" s="118"/>
      <c r="Z34" s="118"/>
      <c r="AA34" s="118"/>
    </row>
    <row r="35" spans="1:28" ht="15.75" x14ac:dyDescent="0.25">
      <c r="A35" s="148" t="s">
        <v>83</v>
      </c>
      <c r="B35" s="72"/>
      <c r="C35" s="149"/>
      <c r="D35" s="150"/>
      <c r="E35" s="10"/>
      <c r="F35" s="10"/>
      <c r="G35" s="667"/>
      <c r="H35" s="148" t="s">
        <v>83</v>
      </c>
      <c r="I35" s="72"/>
      <c r="J35" s="149"/>
      <c r="K35" s="150"/>
      <c r="L35" s="10"/>
      <c r="M35" s="10"/>
      <c r="P35" s="74"/>
      <c r="Q35" s="74"/>
      <c r="R35" s="74"/>
      <c r="S35" s="74"/>
      <c r="T35" s="74"/>
      <c r="U35" s="74"/>
      <c r="V35" s="74"/>
      <c r="W35" s="74"/>
      <c r="X35" s="74"/>
      <c r="Y35" s="74"/>
      <c r="Z35" s="74"/>
      <c r="AA35" s="74"/>
    </row>
    <row r="36" spans="1:28" ht="15.75" x14ac:dyDescent="0.25">
      <c r="A36" s="151" t="s">
        <v>84</v>
      </c>
      <c r="B36" s="72"/>
      <c r="C36" s="152"/>
      <c r="D36" s="150"/>
      <c r="E36" s="10"/>
      <c r="F36" s="10"/>
      <c r="G36" s="667"/>
      <c r="H36" s="151" t="s">
        <v>84</v>
      </c>
      <c r="I36" s="72"/>
      <c r="J36" s="152"/>
      <c r="K36" s="150"/>
      <c r="L36" s="10"/>
      <c r="M36" s="10"/>
      <c r="Q36" s="74"/>
      <c r="R36" s="74"/>
      <c r="S36" s="74"/>
      <c r="T36" s="74"/>
      <c r="U36" s="74"/>
      <c r="V36" s="74"/>
      <c r="W36" s="74"/>
      <c r="X36" s="74"/>
      <c r="Y36" s="74"/>
      <c r="Z36" s="74"/>
      <c r="AA36" s="74"/>
      <c r="AB36" s="74"/>
    </row>
    <row r="37" spans="1:28" ht="15.75" x14ac:dyDescent="0.25">
      <c r="A37" s="153" t="s">
        <v>85</v>
      </c>
      <c r="B37" s="154" t="s">
        <v>86</v>
      </c>
      <c r="C37" s="155" t="s">
        <v>87</v>
      </c>
      <c r="D37" s="118"/>
      <c r="E37" s="144"/>
      <c r="F37" s="144"/>
      <c r="G37" s="667"/>
      <c r="H37" s="153" t="s">
        <v>85</v>
      </c>
      <c r="I37" s="154" t="s">
        <v>86</v>
      </c>
      <c r="J37" s="155" t="s">
        <v>88</v>
      </c>
      <c r="K37" s="118"/>
      <c r="L37" s="144"/>
      <c r="M37" s="144"/>
      <c r="P37" s="94"/>
      <c r="Q37" s="94"/>
      <c r="R37" s="94"/>
      <c r="S37" s="94"/>
      <c r="T37" s="94"/>
      <c r="U37" s="94"/>
      <c r="V37" s="94"/>
      <c r="W37" s="94"/>
      <c r="X37" s="94"/>
      <c r="Y37" s="94"/>
      <c r="Z37" s="94"/>
      <c r="AA37" s="94"/>
    </row>
    <row r="38" spans="1:28" ht="15.75" x14ac:dyDescent="0.25">
      <c r="A38" s="191"/>
      <c r="B38" s="192"/>
      <c r="C38" s="193"/>
      <c r="D38" s="144"/>
      <c r="E38" s="144"/>
      <c r="F38" s="144"/>
      <c r="G38" s="667"/>
      <c r="H38" s="191"/>
      <c r="I38" s="192"/>
      <c r="J38" s="193"/>
      <c r="K38" s="144"/>
      <c r="L38" s="144"/>
      <c r="M38" s="144"/>
      <c r="P38" s="94"/>
      <c r="Q38" s="94"/>
      <c r="R38" s="94"/>
      <c r="S38" s="94"/>
      <c r="T38" s="94"/>
      <c r="U38" s="94"/>
      <c r="V38" s="94"/>
      <c r="W38" s="94"/>
      <c r="X38" s="94"/>
      <c r="Y38" s="94"/>
      <c r="Z38" s="94"/>
      <c r="AA38" s="94"/>
    </row>
    <row r="39" spans="1:28" ht="15.75" x14ac:dyDescent="0.25">
      <c r="A39" s="191"/>
      <c r="B39" s="192"/>
      <c r="C39" s="193"/>
      <c r="D39" s="144"/>
      <c r="E39" s="72"/>
      <c r="F39" s="72"/>
      <c r="G39" s="667"/>
      <c r="H39" s="191"/>
      <c r="I39" s="192"/>
      <c r="J39" s="193"/>
      <c r="K39" s="144"/>
      <c r="L39" s="72"/>
      <c r="M39" s="72"/>
      <c r="P39" s="94"/>
      <c r="Q39" s="94"/>
      <c r="R39" s="94"/>
      <c r="S39" s="94"/>
      <c r="T39" s="94"/>
      <c r="U39" s="94"/>
      <c r="V39" s="94"/>
      <c r="W39" s="94"/>
      <c r="X39" s="94"/>
      <c r="Y39" s="94"/>
      <c r="Z39" s="94"/>
      <c r="AA39" s="94"/>
    </row>
    <row r="40" spans="1:28" ht="15.75" x14ac:dyDescent="0.25">
      <c r="A40" s="191"/>
      <c r="B40" s="192"/>
      <c r="C40" s="193"/>
      <c r="D40" s="144"/>
      <c r="E40" s="72"/>
      <c r="F40" s="72"/>
      <c r="G40" s="667"/>
      <c r="H40" s="191"/>
      <c r="I40" s="192"/>
      <c r="J40" s="193"/>
      <c r="K40" s="144"/>
      <c r="L40" s="72"/>
      <c r="M40" s="72"/>
      <c r="P40" s="94"/>
      <c r="Q40" s="94"/>
      <c r="R40" s="94"/>
      <c r="S40" s="94"/>
      <c r="T40" s="94"/>
      <c r="U40" s="94"/>
      <c r="V40" s="94"/>
      <c r="W40" s="94"/>
      <c r="X40" s="94"/>
      <c r="Y40" s="94"/>
      <c r="Z40" s="94"/>
      <c r="AA40" s="94"/>
    </row>
    <row r="41" spans="1:28" ht="15.75" x14ac:dyDescent="0.25">
      <c r="A41" s="191"/>
      <c r="B41" s="192"/>
      <c r="C41" s="193"/>
      <c r="D41" s="144"/>
      <c r="E41" s="120"/>
      <c r="F41" s="120"/>
      <c r="G41" s="667"/>
      <c r="H41" s="191"/>
      <c r="I41" s="192"/>
      <c r="J41" s="193"/>
      <c r="K41" s="144"/>
      <c r="L41" s="120"/>
      <c r="M41" s="120"/>
      <c r="P41" s="94"/>
      <c r="Q41" s="94"/>
      <c r="R41" s="94"/>
      <c r="S41" s="94"/>
      <c r="T41" s="94"/>
      <c r="U41" s="94"/>
      <c r="V41" s="94"/>
      <c r="W41" s="94"/>
      <c r="X41" s="94"/>
      <c r="Y41" s="94"/>
      <c r="Z41" s="94"/>
      <c r="AA41" s="94"/>
    </row>
    <row r="42" spans="1:28" ht="15.75" x14ac:dyDescent="0.25">
      <c r="A42" s="191"/>
      <c r="B42" s="192"/>
      <c r="C42" s="193"/>
      <c r="D42" s="144"/>
      <c r="F42" s="10"/>
      <c r="G42" s="667"/>
      <c r="H42" s="191"/>
      <c r="I42" s="192"/>
      <c r="J42" s="193"/>
      <c r="K42" s="144"/>
      <c r="M42" s="10"/>
      <c r="P42" s="74"/>
      <c r="Q42" s="74"/>
      <c r="R42" s="74"/>
      <c r="S42" s="74"/>
      <c r="T42" s="74"/>
      <c r="U42" s="74"/>
      <c r="V42" s="74"/>
      <c r="W42" s="74"/>
      <c r="X42" s="74"/>
      <c r="Y42" s="74"/>
      <c r="Z42" s="74"/>
      <c r="AA42" s="74"/>
    </row>
    <row r="43" spans="1:28" ht="15.75" x14ac:dyDescent="0.25">
      <c r="A43" s="157" t="s">
        <v>89</v>
      </c>
      <c r="B43" s="158"/>
      <c r="C43" s="159">
        <f>SUM(C38:C42)</f>
        <v>0</v>
      </c>
      <c r="D43" s="144"/>
      <c r="E43" s="74"/>
      <c r="F43" s="72"/>
      <c r="G43" s="667"/>
      <c r="H43" s="157" t="s">
        <v>90</v>
      </c>
      <c r="I43" s="158"/>
      <c r="J43" s="159">
        <f>SUM(J38:J42)</f>
        <v>0</v>
      </c>
      <c r="K43" s="144"/>
      <c r="L43" s="74"/>
      <c r="M43" s="72"/>
      <c r="P43" s="74"/>
      <c r="Q43" s="74"/>
      <c r="R43" s="74"/>
      <c r="S43" s="74"/>
      <c r="T43" s="74"/>
      <c r="U43" s="74"/>
      <c r="V43" s="74"/>
      <c r="W43" s="74"/>
      <c r="X43" s="74"/>
      <c r="Y43" s="74"/>
      <c r="Z43" s="74"/>
      <c r="AA43" s="74"/>
    </row>
    <row r="44" spans="1:28" ht="16.5" thickBot="1" x14ac:dyDescent="0.3">
      <c r="A44" s="669" t="s">
        <v>22</v>
      </c>
      <c r="B44" s="669"/>
      <c r="C44" s="669"/>
      <c r="D44" s="72"/>
      <c r="E44" s="72"/>
      <c r="F44" s="72"/>
      <c r="G44" s="667"/>
      <c r="H44" s="669" t="s">
        <v>22</v>
      </c>
      <c r="I44" s="669"/>
      <c r="J44" s="669"/>
      <c r="K44" s="72"/>
      <c r="L44" s="72"/>
      <c r="M44" s="72"/>
      <c r="P44" s="94"/>
      <c r="Q44" s="94"/>
      <c r="R44" s="94"/>
      <c r="S44" s="94"/>
      <c r="T44" s="94"/>
      <c r="U44" s="94"/>
      <c r="V44" s="94"/>
      <c r="W44" s="94"/>
      <c r="X44" s="94"/>
      <c r="Y44" s="94"/>
      <c r="Z44" s="94"/>
      <c r="AA44" s="94"/>
    </row>
    <row r="45" spans="1:28" ht="15.75" x14ac:dyDescent="0.25">
      <c r="A45" s="112" t="s">
        <v>91</v>
      </c>
      <c r="B45" s="114"/>
      <c r="C45" s="120"/>
      <c r="D45" s="120"/>
      <c r="E45" s="120"/>
      <c r="F45" s="120"/>
      <c r="G45" s="667"/>
      <c r="H45" s="112" t="s">
        <v>91</v>
      </c>
      <c r="I45" s="114"/>
      <c r="J45" s="120"/>
      <c r="K45" s="120"/>
      <c r="L45" s="120"/>
      <c r="M45" s="120"/>
      <c r="O45" s="94"/>
      <c r="P45" s="94"/>
      <c r="Q45" s="94"/>
      <c r="R45" s="94"/>
      <c r="S45" s="94"/>
      <c r="T45" s="94"/>
      <c r="U45" s="94"/>
      <c r="V45" s="94"/>
      <c r="W45" s="94"/>
      <c r="X45" s="94"/>
      <c r="Y45" s="94"/>
      <c r="Z45" s="94"/>
    </row>
    <row r="46" spans="1:28" ht="26.65" customHeight="1" x14ac:dyDescent="0.25">
      <c r="A46" s="71" t="s">
        <v>92</v>
      </c>
      <c r="B46" s="152"/>
      <c r="C46" s="120"/>
      <c r="D46" s="72"/>
      <c r="E46" s="74"/>
      <c r="F46" s="74"/>
      <c r="G46" s="667"/>
      <c r="H46" s="71" t="s">
        <v>92</v>
      </c>
      <c r="I46" s="152"/>
      <c r="J46" s="120"/>
      <c r="K46" s="72"/>
      <c r="L46" s="74"/>
      <c r="M46" s="74"/>
      <c r="O46" s="94"/>
      <c r="P46" s="94"/>
      <c r="Q46" s="94"/>
      <c r="R46" s="94"/>
      <c r="S46" s="94"/>
      <c r="T46" s="94"/>
      <c r="U46" s="94"/>
      <c r="V46" s="94"/>
      <c r="W46" s="94"/>
      <c r="X46" s="94"/>
      <c r="Y46" s="94"/>
      <c r="Z46" s="94"/>
    </row>
    <row r="47" spans="1:28" ht="15.75" x14ac:dyDescent="0.25">
      <c r="A47" s="160" t="s">
        <v>93</v>
      </c>
      <c r="B47" s="161" t="s">
        <v>94</v>
      </c>
      <c r="C47" s="118"/>
      <c r="D47" s="118"/>
      <c r="E47" s="144"/>
      <c r="F47" s="110"/>
      <c r="G47" s="667"/>
      <c r="H47" s="160" t="s">
        <v>93</v>
      </c>
      <c r="I47" s="161" t="s">
        <v>95</v>
      </c>
      <c r="J47" s="118"/>
      <c r="K47" s="118"/>
      <c r="L47" s="144"/>
      <c r="M47" s="110"/>
      <c r="O47" s="94"/>
      <c r="P47" s="94"/>
      <c r="Q47" s="94"/>
      <c r="R47" s="94"/>
      <c r="S47" s="94"/>
      <c r="T47" s="94"/>
      <c r="U47" s="94"/>
      <c r="V47" s="94"/>
      <c r="W47" s="94"/>
      <c r="X47" s="94"/>
      <c r="Y47" s="94"/>
      <c r="Z47" s="94"/>
    </row>
    <row r="48" spans="1:28" ht="60" customHeight="1" x14ac:dyDescent="0.25">
      <c r="A48" s="194"/>
      <c r="B48" s="195"/>
      <c r="C48" s="144"/>
      <c r="D48" s="144"/>
      <c r="E48" s="144"/>
      <c r="F48" s="72"/>
      <c r="G48" s="667"/>
      <c r="H48" s="194"/>
      <c r="I48" s="195"/>
      <c r="J48" s="144"/>
      <c r="K48" s="144"/>
      <c r="L48" s="144"/>
      <c r="M48" s="72"/>
      <c r="O48" s="94"/>
      <c r="P48" s="94"/>
      <c r="Q48" s="94"/>
      <c r="R48" s="94"/>
      <c r="S48" s="94"/>
      <c r="T48" s="94"/>
      <c r="U48" s="94"/>
      <c r="V48" s="94"/>
      <c r="W48" s="94"/>
      <c r="X48" s="94"/>
      <c r="Y48" s="94"/>
      <c r="Z48" s="94"/>
    </row>
    <row r="49" spans="1:26" ht="60" customHeight="1" x14ac:dyDescent="0.25">
      <c r="A49" s="194"/>
      <c r="B49" s="195"/>
      <c r="C49" s="144"/>
      <c r="D49" s="144"/>
      <c r="E49" s="156"/>
      <c r="F49" s="156"/>
      <c r="G49" s="667"/>
      <c r="H49" s="194"/>
      <c r="I49" s="195"/>
      <c r="J49" s="144"/>
      <c r="K49" s="144"/>
      <c r="L49" s="156"/>
      <c r="M49" s="156"/>
      <c r="O49" s="94"/>
      <c r="P49" s="94"/>
      <c r="Q49" s="94"/>
      <c r="R49" s="94"/>
      <c r="S49" s="94"/>
      <c r="T49" s="94"/>
      <c r="U49" s="94"/>
      <c r="V49" s="94"/>
      <c r="W49" s="94"/>
      <c r="X49" s="94"/>
      <c r="Y49" s="94"/>
      <c r="Z49" s="94"/>
    </row>
    <row r="50" spans="1:26" ht="60" customHeight="1" x14ac:dyDescent="0.25">
      <c r="A50" s="194"/>
      <c r="B50" s="195"/>
      <c r="C50" s="144"/>
      <c r="D50" s="144"/>
      <c r="E50" s="72"/>
      <c r="F50" s="72"/>
      <c r="G50" s="667"/>
      <c r="H50" s="194"/>
      <c r="I50" s="195"/>
      <c r="J50" s="144"/>
      <c r="K50" s="144"/>
      <c r="L50" s="72"/>
      <c r="M50" s="72"/>
    </row>
    <row r="51" spans="1:26" ht="60" customHeight="1" x14ac:dyDescent="0.25">
      <c r="A51" s="194"/>
      <c r="B51" s="195"/>
      <c r="C51" s="144"/>
      <c r="D51" s="144"/>
      <c r="E51" s="162"/>
      <c r="F51" s="162"/>
      <c r="G51" s="667"/>
      <c r="H51" s="194"/>
      <c r="I51" s="195"/>
      <c r="J51" s="144"/>
      <c r="K51" s="144"/>
      <c r="L51" s="162"/>
      <c r="M51" s="162"/>
    </row>
    <row r="52" spans="1:26" ht="60" customHeight="1" x14ac:dyDescent="0.25">
      <c r="A52" s="194"/>
      <c r="B52" s="195"/>
      <c r="C52" s="144"/>
      <c r="D52" s="144"/>
      <c r="E52" s="163"/>
      <c r="F52" s="163"/>
      <c r="G52" s="667"/>
      <c r="H52" s="194"/>
      <c r="I52" s="195"/>
      <c r="J52" s="144"/>
      <c r="K52" s="144"/>
      <c r="L52" s="163"/>
      <c r="M52" s="163"/>
    </row>
    <row r="53" spans="1:26" ht="15.75" x14ac:dyDescent="0.25">
      <c r="A53" s="164" t="s">
        <v>89</v>
      </c>
      <c r="B53" s="165">
        <f>SUM(B48:B52)</f>
        <v>0</v>
      </c>
      <c r="C53" s="144"/>
      <c r="D53" s="144"/>
      <c r="E53" s="74"/>
      <c r="G53" s="667"/>
      <c r="H53" s="166" t="s">
        <v>90</v>
      </c>
      <c r="I53" s="165">
        <f>SUM(I48:I52)</f>
        <v>0</v>
      </c>
      <c r="J53" s="144"/>
      <c r="K53" s="144"/>
      <c r="L53" s="74"/>
    </row>
    <row r="54" spans="1:26" ht="16.5" thickBot="1" x14ac:dyDescent="0.3">
      <c r="A54" s="663" t="s">
        <v>22</v>
      </c>
      <c r="B54" s="663"/>
      <c r="C54" s="10"/>
      <c r="D54" s="72"/>
      <c r="E54" s="72"/>
      <c r="F54" s="72"/>
      <c r="G54" s="667"/>
      <c r="H54" s="663" t="s">
        <v>22</v>
      </c>
      <c r="I54" s="663"/>
      <c r="J54" s="10"/>
      <c r="K54" s="72"/>
      <c r="L54" s="72"/>
      <c r="M54" s="72"/>
    </row>
    <row r="55" spans="1:26" ht="15.75" x14ac:dyDescent="0.25">
      <c r="A55" s="167" t="str">
        <f>IF('3b. High Cost Fund'!$B12="No","This exception is not valid in your state.","Exception (e) The assumption of cost by the high cost fund operated by the")</f>
        <v>Exception (e) The assumption of cost by the high cost fund operated by the</v>
      </c>
      <c r="B55" s="146"/>
      <c r="C55" s="147"/>
      <c r="D55" s="131"/>
      <c r="E55" s="131"/>
      <c r="F55" s="144"/>
      <c r="G55" s="667"/>
      <c r="H55" s="167" t="str">
        <f>IF('3b. High Cost Fund'!$B12="No","This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x14ac:dyDescent="0.25">
      <c r="A56" s="71" t="str">
        <f>IF('3b. High Cost Fund'!$B12="No","","SEA under §300.704. MUST be explicitly permitted by the SEA.")</f>
        <v>SEA under §300.704. MUST be explicitly permitted by the SEA.</v>
      </c>
      <c r="B56" s="168"/>
      <c r="C56" s="169"/>
      <c r="D56" s="170"/>
      <c r="E56" s="163"/>
      <c r="F56" s="144"/>
      <c r="G56" s="667"/>
      <c r="H56" s="71" t="str">
        <f>IF('3b. High Cost Fund'!$B12="No","","SEA under §300.704. MUST be explicitly permitted by the SEA.")</f>
        <v>SEA under §300.704. MUST be explicitly permitted by the SEA.</v>
      </c>
      <c r="I56" s="168"/>
      <c r="J56" s="147"/>
      <c r="K56" s="170"/>
      <c r="L56" s="163"/>
      <c r="M56" s="144"/>
    </row>
    <row r="57" spans="1:26" ht="15.75" x14ac:dyDescent="0.25">
      <c r="A57" s="171" t="s">
        <v>85</v>
      </c>
      <c r="B57" s="172" t="s">
        <v>96</v>
      </c>
      <c r="C57" s="118"/>
      <c r="D57" s="144"/>
      <c r="E57" s="144"/>
      <c r="F57" s="10"/>
      <c r="G57" s="667"/>
      <c r="H57" s="171" t="s">
        <v>85</v>
      </c>
      <c r="I57" s="172" t="s">
        <v>97</v>
      </c>
      <c r="J57" s="118"/>
      <c r="K57" s="144"/>
      <c r="L57" s="144"/>
      <c r="M57" s="10"/>
    </row>
    <row r="58" spans="1:26" ht="15.4" customHeight="1" x14ac:dyDescent="0.25">
      <c r="A58" s="196"/>
      <c r="B58" s="197"/>
      <c r="C58" s="337" t="str">
        <f>IF(AND(B58&lt;&gt;"",'3b. High Cost Fund'!$B12="No"),"Invalid entry. This exception is valid only in states with high-cost funds. If your state has a high-cost fund, please indicate that on tab 3b.","")</f>
        <v/>
      </c>
      <c r="D58" s="144"/>
      <c r="E58" s="144"/>
      <c r="F58" s="10"/>
      <c r="G58" s="667"/>
      <c r="H58" s="196"/>
      <c r="I58" s="197"/>
      <c r="J58" s="337" t="str">
        <f>IF(AND(I58&lt;&gt;"",'3b. High Cost Fund'!$B12="No"),"Invalid entry. This exception is valid only in states with high-cost funds. If your state has a high-cost fund, please indicate that on tab 3b.","")</f>
        <v/>
      </c>
      <c r="K58" s="144"/>
      <c r="L58" s="144"/>
      <c r="M58" s="10"/>
    </row>
    <row r="59" spans="1:26" ht="15.75" x14ac:dyDescent="0.25">
      <c r="A59" s="196"/>
      <c r="B59" s="197"/>
      <c r="C59" s="144"/>
      <c r="D59" s="10"/>
      <c r="E59" s="10"/>
      <c r="F59" s="10"/>
      <c r="G59" s="667"/>
      <c r="H59" s="196"/>
      <c r="I59" s="197"/>
      <c r="J59" s="144"/>
      <c r="K59" s="10"/>
      <c r="L59" s="10"/>
      <c r="M59" s="10"/>
    </row>
    <row r="60" spans="1:26" ht="15.75" x14ac:dyDescent="0.25">
      <c r="A60" s="196"/>
      <c r="B60" s="197"/>
      <c r="C60" s="144"/>
      <c r="D60" s="10"/>
      <c r="E60" s="10"/>
      <c r="F60" s="10"/>
      <c r="G60" s="667"/>
      <c r="H60" s="196"/>
      <c r="I60" s="197"/>
      <c r="J60" s="144"/>
      <c r="K60" s="10"/>
      <c r="L60" s="10"/>
      <c r="M60" s="10"/>
    </row>
    <row r="61" spans="1:26" ht="15.75" x14ac:dyDescent="0.25">
      <c r="A61" s="196"/>
      <c r="B61" s="197"/>
      <c r="C61" s="144"/>
      <c r="D61" s="10"/>
      <c r="E61" s="10"/>
      <c r="F61" s="10"/>
      <c r="G61" s="667"/>
      <c r="H61" s="196"/>
      <c r="I61" s="197"/>
      <c r="J61" s="144"/>
      <c r="K61" s="10"/>
      <c r="L61" s="10"/>
      <c r="M61" s="10"/>
    </row>
    <row r="62" spans="1:26" ht="15.75" x14ac:dyDescent="0.25">
      <c r="A62" s="196"/>
      <c r="B62" s="197"/>
      <c r="C62" s="144"/>
      <c r="D62" s="10"/>
      <c r="E62" s="10"/>
      <c r="F62" s="10"/>
      <c r="G62" s="667"/>
      <c r="H62" s="196"/>
      <c r="I62" s="197"/>
      <c r="J62" s="144"/>
      <c r="K62" s="10"/>
      <c r="L62" s="10"/>
      <c r="M62" s="10"/>
    </row>
    <row r="63" spans="1:26" ht="15.75" x14ac:dyDescent="0.25">
      <c r="A63" s="173" t="s">
        <v>89</v>
      </c>
      <c r="B63" s="174">
        <f>IF('3b. High Cost Fund'!$B12="No",0,SUM(B58:B62))</f>
        <v>0</v>
      </c>
      <c r="C63" s="144"/>
      <c r="D63" s="10"/>
      <c r="E63" s="10"/>
      <c r="F63" s="10"/>
      <c r="G63" s="667"/>
      <c r="H63" s="175" t="s">
        <v>90</v>
      </c>
      <c r="I63" s="174">
        <f>IF('3b. High Cost Fund'!$B12="No",0,SUM(I58:I62))</f>
        <v>0</v>
      </c>
      <c r="J63" s="144"/>
      <c r="K63" s="10"/>
      <c r="L63" s="10"/>
      <c r="M63" s="10"/>
    </row>
    <row r="64" spans="1:26" ht="16.5" thickBot="1" x14ac:dyDescent="0.3">
      <c r="A64" s="663" t="s">
        <v>22</v>
      </c>
      <c r="B64" s="663"/>
      <c r="C64" s="144"/>
      <c r="D64" s="10"/>
      <c r="E64" s="10"/>
      <c r="F64" s="10"/>
      <c r="G64" s="667"/>
      <c r="H64" s="663" t="s">
        <v>22</v>
      </c>
      <c r="I64" s="663"/>
      <c r="J64" s="144"/>
      <c r="K64" s="10"/>
      <c r="L64" s="10"/>
      <c r="M64" s="10"/>
    </row>
    <row r="65" spans="1:13" ht="15.75" x14ac:dyDescent="0.25">
      <c r="A65" s="347" t="s">
        <v>107</v>
      </c>
      <c r="B65" s="348"/>
      <c r="C65" s="144"/>
      <c r="D65" s="10"/>
      <c r="E65" s="10"/>
      <c r="F65" s="10"/>
      <c r="G65" s="667"/>
      <c r="H65" s="347" t="s">
        <v>106</v>
      </c>
      <c r="I65" s="348"/>
      <c r="J65" s="144"/>
      <c r="K65" s="10"/>
      <c r="L65" s="10"/>
      <c r="M65" s="10"/>
    </row>
    <row r="66" spans="1:13" ht="15.75" x14ac:dyDescent="0.25">
      <c r="A66" s="242" t="s">
        <v>123</v>
      </c>
      <c r="B66" s="265" t="s">
        <v>124</v>
      </c>
      <c r="C66" s="144"/>
      <c r="D66" s="10"/>
      <c r="E66" s="10"/>
      <c r="F66" s="10"/>
      <c r="G66" s="667"/>
      <c r="H66" s="269" t="s">
        <v>123</v>
      </c>
      <c r="I66" s="270" t="s">
        <v>124</v>
      </c>
      <c r="J66" s="144"/>
      <c r="K66" s="10"/>
      <c r="L66" s="10"/>
      <c r="M66" s="10"/>
    </row>
    <row r="67" spans="1:13" ht="15.75" x14ac:dyDescent="0.25">
      <c r="A67" s="103" t="s">
        <v>0</v>
      </c>
      <c r="B67" s="240">
        <f>IF(B$28&gt;=0,(F$22+C$43+B$53+B$63),(F$22+C$43+B$53+B$63+B$32))</f>
        <v>0</v>
      </c>
      <c r="C67" s="144"/>
      <c r="D67" s="10"/>
      <c r="E67" s="10"/>
      <c r="F67" s="10"/>
      <c r="G67" s="667"/>
      <c r="H67" s="103" t="s">
        <v>0</v>
      </c>
      <c r="I67" s="240">
        <f>IF(I$28&gt;=0,(M$22+J$43+I$53+I$63),(M$22+J$43+I$53+I$63+I$32))</f>
        <v>0</v>
      </c>
      <c r="J67" s="144"/>
      <c r="K67" s="10"/>
      <c r="L67" s="10"/>
      <c r="M67" s="10"/>
    </row>
    <row r="68" spans="1:13" ht="15.75" x14ac:dyDescent="0.25">
      <c r="A68" s="241" t="s">
        <v>2</v>
      </c>
      <c r="B68" s="174">
        <f>IF(B$28&gt;=0,(F$22+C$43+B$53+B$63),(F$22+C$43+B$53+B$63+C$32))</f>
        <v>0</v>
      </c>
      <c r="C68" s="144"/>
      <c r="D68" s="10"/>
      <c r="E68" s="10"/>
      <c r="F68" s="10"/>
      <c r="G68" s="667"/>
      <c r="H68" s="241" t="s">
        <v>2</v>
      </c>
      <c r="I68" s="174">
        <f>IF(I$28&gt;=0,(M$22+J$43+I$53+I$63),(M$22+J$43+I$53+I$63+J$32))</f>
        <v>0</v>
      </c>
      <c r="J68" s="144"/>
      <c r="K68" s="10"/>
      <c r="L68" s="10"/>
      <c r="M68" s="10"/>
    </row>
    <row r="69" spans="1:13" ht="16.5" thickBot="1" x14ac:dyDescent="0.3">
      <c r="A69" s="664" t="s">
        <v>22</v>
      </c>
      <c r="B69" s="664"/>
      <c r="C69" s="10"/>
      <c r="D69" s="10"/>
      <c r="E69" s="10"/>
      <c r="F69" s="10"/>
      <c r="G69" s="667"/>
      <c r="H69" s="664" t="s">
        <v>22</v>
      </c>
      <c r="I69" s="664"/>
      <c r="J69" s="10"/>
      <c r="K69" s="10"/>
      <c r="L69" s="10"/>
      <c r="M69" s="10"/>
    </row>
    <row r="70" spans="1:13" ht="31.15" customHeight="1" x14ac:dyDescent="0.25">
      <c r="A70" s="336" t="s">
        <v>98</v>
      </c>
      <c r="B70" s="177"/>
      <c r="C70" s="11"/>
      <c r="D70" s="178"/>
      <c r="E70" s="10"/>
      <c r="F70" s="10"/>
      <c r="G70" s="667"/>
      <c r="H70" s="336" t="s">
        <v>98</v>
      </c>
      <c r="I70" s="177"/>
      <c r="J70" s="11"/>
      <c r="K70" s="178"/>
      <c r="L70" s="10"/>
      <c r="M70" s="10"/>
    </row>
    <row r="71" spans="1:13" ht="15.75" x14ac:dyDescent="0.25">
      <c r="A71" s="179" t="s">
        <v>71</v>
      </c>
      <c r="B71" s="180" t="s">
        <v>99</v>
      </c>
      <c r="C71" s="11" t="s">
        <v>100</v>
      </c>
      <c r="E71" s="10"/>
      <c r="F71" s="10"/>
      <c r="G71" s="667"/>
      <c r="H71" s="179" t="s">
        <v>71</v>
      </c>
      <c r="I71" s="180" t="s">
        <v>101</v>
      </c>
      <c r="J71" s="11" t="s">
        <v>100</v>
      </c>
      <c r="K71" s="10"/>
      <c r="L71" s="10"/>
      <c r="M71" s="10"/>
    </row>
    <row r="72" spans="1:13" ht="15.75" x14ac:dyDescent="0.25">
      <c r="A72" s="181" t="s">
        <v>102</v>
      </c>
      <c r="B72" s="198">
        <v>0</v>
      </c>
      <c r="C72" s="182" t="s">
        <v>103</v>
      </c>
      <c r="D72" s="10"/>
      <c r="E72" s="10"/>
      <c r="F72" s="10"/>
      <c r="G72" s="667"/>
      <c r="H72" s="181" t="s">
        <v>104</v>
      </c>
      <c r="I72" s="198">
        <f>IF(I$28&gt;=0,(M$22+J$43+I$53+I$63),(M$22+J$43+I$53+I$63+J$32))</f>
        <v>0</v>
      </c>
      <c r="J72" s="182" t="s">
        <v>103</v>
      </c>
      <c r="K72" s="10"/>
      <c r="L72" s="10"/>
      <c r="M72" s="10"/>
    </row>
    <row r="73" spans="1:13" ht="30" customHeight="1" x14ac:dyDescent="0.25">
      <c r="A73" s="345" t="s">
        <v>184</v>
      </c>
      <c r="B73" s="183"/>
      <c r="C73" s="183"/>
      <c r="D73" s="183"/>
      <c r="E73" s="183"/>
      <c r="F73" s="183"/>
      <c r="G73" s="667"/>
      <c r="H73" s="183"/>
      <c r="I73" s="183"/>
      <c r="J73" s="183"/>
      <c r="K73" s="183"/>
      <c r="L73" s="183"/>
      <c r="M73" s="183"/>
    </row>
    <row r="74" spans="1:13" s="185" customFormat="1" ht="15.75" x14ac:dyDescent="0.25">
      <c r="A74" s="358" t="s">
        <v>183</v>
      </c>
      <c r="B74" s="184"/>
      <c r="C74" s="184"/>
      <c r="D74" s="184"/>
      <c r="E74" s="184"/>
      <c r="F74" s="184"/>
      <c r="G74" s="667"/>
      <c r="H74" s="184"/>
      <c r="I74" s="184"/>
      <c r="J74" s="184"/>
      <c r="K74" s="184"/>
      <c r="L74" s="184"/>
      <c r="M74" s="184"/>
    </row>
    <row r="75" spans="1:13" ht="15.75" x14ac:dyDescent="0.25">
      <c r="A75" s="665" t="s">
        <v>24</v>
      </c>
      <c r="B75" s="665"/>
      <c r="C75" s="665"/>
      <c r="D75" s="665"/>
      <c r="E75" s="665"/>
      <c r="F75" s="665"/>
      <c r="G75" s="665"/>
      <c r="H75" s="665"/>
      <c r="I75" s="665"/>
      <c r="J75" s="665"/>
      <c r="K75" s="665"/>
      <c r="L75" s="665"/>
      <c r="M75" s="665"/>
    </row>
    <row r="76" spans="1:13" ht="15.75" hidden="1" x14ac:dyDescent="0.25"/>
    <row r="77" spans="1:13" ht="15.75" hidden="1" x14ac:dyDescent="0.25"/>
    <row r="78" spans="1:13" ht="15.75" hidden="1" x14ac:dyDescent="0.25"/>
    <row r="79" spans="1:13" ht="15.75" hidden="1" x14ac:dyDescent="0.25"/>
  </sheetData>
  <sheetProtection algorithmName="SHA-512" hashValue="sQQM3RPlbZXFyWt9RQlERg1TYlXUI7ajP4gdZIxiPv0T4Ns/XCaB/W8z5usgA1nXtYS2IeCQ99DqNMTdmVB/qg==" saltValue="FpkbCQX9QKaaYE6yIIf9KQ==" spinCount="100000" sheet="1" formatColumns="0" formatRows="0"/>
  <mergeCells count="14">
    <mergeCell ref="A75:M75"/>
    <mergeCell ref="A23:F23"/>
    <mergeCell ref="H23:M23"/>
    <mergeCell ref="A33:C33"/>
    <mergeCell ref="H33:J33"/>
    <mergeCell ref="A44:C44"/>
    <mergeCell ref="H44:J44"/>
    <mergeCell ref="G1:G74"/>
    <mergeCell ref="A64:B64"/>
    <mergeCell ref="H64:I64"/>
    <mergeCell ref="A54:B54"/>
    <mergeCell ref="H54:I54"/>
    <mergeCell ref="A69:B69"/>
    <mergeCell ref="H69:I69"/>
  </mergeCells>
  <conditionalFormatting sqref="A55">
    <cfRule type="containsText" dxfId="168" priority="2" operator="containsText" text="not valid">
      <formula>NOT(ISERROR(SEARCH("not valid",A55)))</formula>
    </cfRule>
  </conditionalFormatting>
  <conditionalFormatting sqref="H55">
    <cfRule type="containsText" dxfId="167" priority="1" operator="containsText" text="not valid">
      <formula>NOT(ISERROR(SEARCH("not valid",H55)))</formula>
    </cfRule>
  </conditionalFormatting>
  <dataValidations count="1">
    <dataValidation type="list" allowBlank="1" showInputMessage="1" showErrorMessage="1" sqref="B38:B42 I38:I42" xr:uid="{00000000-0002-0000-2200-000000000000}">
      <formula1>Exception_c</formula1>
    </dataValidation>
  </dataValidations>
  <hyperlinks>
    <hyperlink ref="C72" r:id="rId1" xr:uid="{00000000-0004-0000-2200-000000000000}"/>
    <hyperlink ref="J72" r:id="rId2" xr:uid="{00000000-0004-0000-2200-000001000000}"/>
    <hyperlink ref="A74" r:id="rId3" xr:uid="{00000000-0004-0000-22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rgb="FF0070C0"/>
  </sheetPr>
  <dimension ref="A1:F43"/>
  <sheetViews>
    <sheetView showGridLines="0" workbookViewId="0">
      <selection activeCell="A5" sqref="A5"/>
    </sheetView>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10: State Fiscal Year ",'2. Getting Started'!B6+9)</f>
        <v>Summary of Year 10: State Fiscal Year 2030</v>
      </c>
      <c r="B1" s="299"/>
      <c r="C1" s="299"/>
      <c r="D1" s="21" t="s">
        <v>14</v>
      </c>
      <c r="E1" s="20" t="str">
        <f>IF('2. Getting Started'!B2="","",'2. Getting Started'!B2)</f>
        <v/>
      </c>
    </row>
    <row r="2" spans="1:5" ht="18.75" x14ac:dyDescent="0.3">
      <c r="A2" s="2" t="str">
        <f>CONCATENATE("State fiscal year ",'2. Getting Started'!B6+9," covers the period ",'2. Getting Started'!B4,", ",'2. Getting Started'!B6+8," through ",'2. Getting Started'!B5,", ",'2. Getting Started'!B6+9)</f>
        <v>State fiscal year 2030 covers the period July 1, 2029 through June 30, 2030</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3" t="e">
        <f>IF('2. Getting Started'!B10="","",IF('38.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6" s="257" t="e">
        <f>IF('2. Getting Started'!B13="","",IF('41.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7" spans="1:5" x14ac:dyDescent="0.25">
      <c r="A7" s="243" t="s">
        <v>45</v>
      </c>
      <c r="B7" s="205" t="e">
        <f>IF(B6="","",IF(B6='2. Getting Started'!$B$6+7,'26. Year 8 Amounts'!K30,IF(B6='2. Getting Started'!$B$6+6,'23. Year 7 Amounts'!K30,IF(B6='2.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Started'!$B$6+7,'26. Year 8 Amounts'!M30,IF(C6='2. Getting Started'!$B$6+6,'23. Year 7 Amounts'!M30,IF(C6='2.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Started'!$B$6+7,'26. Year 8 Amounts'!K31,IF(D6='2. Getting Started'!$B$6+6,'23. Year 7 Amounts'!K31,IF(D6='2.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#DIV/0!</v>
      </c>
      <c r="E7" s="267" t="e">
        <f>IF(E6="","",IF(E6='2. Getting Started'!$B$6+7,'26. Year 8 Amounts'!M31,IF(E6='2. Getting Started'!$B$6+6,'23. Year 7 Amounts'!M31,IF(E6='2.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#DIV/0!</v>
      </c>
    </row>
    <row r="8" spans="1:5" x14ac:dyDescent="0.25">
      <c r="A8" s="243" t="s">
        <v>9</v>
      </c>
      <c r="B8" s="205" t="str">
        <f>'32. Year 10 Amounts'!D30</f>
        <v/>
      </c>
      <c r="C8" s="205" t="str">
        <f>'32. Year 10 Amounts'!F30</f>
        <v/>
      </c>
      <c r="D8" s="205" t="str">
        <f>'32. Year 10 Amounts'!D31</f>
        <v/>
      </c>
      <c r="E8" s="267" t="str">
        <f>'32. Year 10 Amounts'!F31</f>
        <v/>
      </c>
    </row>
    <row r="9" spans="1:5" x14ac:dyDescent="0.25">
      <c r="A9" s="243" t="s">
        <v>117</v>
      </c>
      <c r="B9" s="201" t="str">
        <f>IF(B8="","",IF(B8&gt;=B7,"Met",IF(AND(B8&lt;B7,'38. Total Local Funds'!$B86="Met"),"Met with Exceptions &amp; Adjustments","Did Not Meet")))</f>
        <v/>
      </c>
      <c r="C9" s="201" t="str">
        <f>IF(C8="","",IF(C8&gt;=C7,"Met",IF(AND(C8&lt;C7,'39. Total State &amp; Local Funds'!$B86="Met"),"Met with Exceptions &amp; Adjustments","Did Not Meet")))</f>
        <v/>
      </c>
      <c r="D9" s="201" t="str">
        <f>IF(D8="","",IF(D8&gt;=D7,"Met",IF(AND(D8&lt;D7,'40. Local Funds Per Capita'!$B87="Met"),"Met with Exceptions &amp; Adjustments","Did Not Meet")))</f>
        <v/>
      </c>
      <c r="E9" s="259" t="str">
        <f>IF(E8="","",IF(E8&gt;=E7,"Met",IF(AND(E8&lt;E7,'41. State &amp; Local Funds Per Cap'!$B87="Met"),"Met with Exceptions &amp; Adjustments","Did Not Meet")))</f>
        <v/>
      </c>
    </row>
    <row r="10" spans="1:5" x14ac:dyDescent="0.25">
      <c r="A10" s="246" t="s">
        <v>46</v>
      </c>
      <c r="B10" s="256" t="str">
        <f>IF(B9="","",IF(B9="Did Not Meet",'38. Total Local Funds'!$B84-'38. Total Local Funds'!$B85,0))</f>
        <v/>
      </c>
      <c r="C10" s="256" t="str">
        <f>IF(C9="","",IF(C9="Did Not Meet",'39. Total State &amp; Local Funds'!$B84-'39. Total State &amp; Local Funds'!$B85,0))</f>
        <v/>
      </c>
      <c r="D10" s="256" t="str">
        <f>IF(D9="","",IF(D9="Did Not Meet",(('40. Local Funds Per Capita'!$B85-'40. Local Funds Per Capita'!$B86)*'32. Year 10 Amounts'!B1),0))</f>
        <v/>
      </c>
      <c r="E10" s="261" t="str">
        <f>IF(E9="","",IF(E9="Did Not Meet",(('41. State &amp; Local Funds Per Cap'!$B85-'41. State &amp; Local Funds Per Cap'!$B86)*'32. Year 10 Amounts'!B1),0))</f>
        <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3" t="e">
        <f>IF('2. Getting Started'!B10="","",IF('38. Total Local Funds'!F78="Met",'2. Getting Started'!B6+8,IF('38.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Funds'!F78="Met",'2. Getting Started'!B6+8,IF('39.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Capita'!F79="Met",'2. Getting Started'!B6+8,IF('40.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14" s="257" t="e">
        <f>IF('2. Getting Started'!B13="","",IF('41. State &amp; Local Funds Per Cap'!F79="Met",'2. Getting Started'!B6+8,IF('41.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15" spans="1:5" x14ac:dyDescent="0.25">
      <c r="A15" s="243" t="s">
        <v>45</v>
      </c>
      <c r="B15" s="17" t="e">
        <f>IF(B14="","",IF(B14='2. Getting Started'!B6+8,'29. Year 9 Amounts'!K30,IF(B14='2. Getting Started'!B6+7,'26. Year 8 Amounts'!K30,IF(B14='2. Getting Started'!B6+6,'23. Year 7 Amounts'!K30,IF(B14='2.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Started'!B6+8,'29. Year 9 Amounts'!M30,IF(C14='2. Getting Started'!B6+7,'26. Year 8 Amounts'!M30,IF(C14='2. Getting Started'!B6+6,'23. Year 7 Amounts'!M30,IF(C14='2.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Started'!B6+8,'29. Year 9 Amounts'!K31,IF(D14='2. Getting Started'!B6+7,'26. Year 8 Amounts'!K31,IF(D14='2. Getting Started'!B6+6,'23. Year 7 Amounts'!K31,IF(D14='2.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#DIV/0!</v>
      </c>
      <c r="E15" s="258" t="e">
        <f>IF(E14="","",IF(E14='2. Getting Started'!B6+8,'29. Year 9 Amounts'!M31,IF(E14='2. Getting Started'!B6+7,'26. Year 8 Amounts'!M31,IF(E14='2. Getting Started'!B6+6,'23. Year 7 Amounts'!M31,IF(E14='2.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#DIV/0!</v>
      </c>
    </row>
    <row r="16" spans="1:5" x14ac:dyDescent="0.25">
      <c r="A16" s="243" t="s">
        <v>11</v>
      </c>
      <c r="B16" s="17" t="str">
        <f>'32. Year 10 Amounts'!K30</f>
        <v/>
      </c>
      <c r="C16" s="17" t="str">
        <f>'32. Year 10 Amounts'!M30</f>
        <v/>
      </c>
      <c r="D16" s="17" t="str">
        <f>'32. Year 10 Amounts'!K31</f>
        <v/>
      </c>
      <c r="E16" s="258" t="str">
        <f>'32. Year 10 Amounts'!M31</f>
        <v/>
      </c>
    </row>
    <row r="17" spans="1:5" x14ac:dyDescent="0.25">
      <c r="A17" s="243" t="s">
        <v>117</v>
      </c>
      <c r="B17" s="201" t="str">
        <f>IF(B16="","",IF(B16&gt;=B15,"Met",IF(AND(B16&lt;B15,'38. Total Local Funds'!F86="Met"),"Met with Exceptions &amp; Adjustments","Did Not Meet")))</f>
        <v/>
      </c>
      <c r="C17" s="201" t="str">
        <f>IF(C16="","",IF(C16&gt;=C15,"Met",IF(AND(C16&lt;C15,'39. Total State &amp; Local Funds'!F86="Met"),"Met with Exceptions &amp; Adjustments","Did Not Meet")))</f>
        <v/>
      </c>
      <c r="D17" s="201" t="str">
        <f>IF(D16="","",IF(D16&gt;=D15,"Met",IF(AND(D16&lt;D15,'40. Local Funds Per Capita'!F87="Met"),"Met with Exceptions &amp; Adjustments","Did Not Meet")))</f>
        <v/>
      </c>
      <c r="E17" s="259" t="str">
        <f>IF(E16="","",IF(E16&gt;=E15,"Met",IF(AND(E16&lt;E15,'41. State &amp; Local Funds Per Cap'!F87="Met"),"Met with Exceptions &amp; Adjustments","Did Not Meet")))</f>
        <v/>
      </c>
    </row>
    <row r="18" spans="1:5" x14ac:dyDescent="0.25">
      <c r="A18" s="246" t="s">
        <v>46</v>
      </c>
      <c r="B18" s="256" t="str">
        <f>IF(B17="","",IF(B17="Did Not Meet",'38. Total Local Funds'!F84-'38. Total Local Funds'!F85,0))</f>
        <v/>
      </c>
      <c r="C18" s="256" t="str">
        <f>IF(C17="","",IF(C17="Did Not Meet",'39. Total State &amp; Local Funds'!F84-'39. Total State &amp; Local Funds'!F85,0))</f>
        <v/>
      </c>
      <c r="D18" s="256" t="str">
        <f>IF(D17="","",IF(D17="Did Not Meet",(('40. Local Funds Per Capita'!F85-'40. Local Funds Per Capita'!F86)*'32. Year 10 Amounts'!I1),0))</f>
        <v/>
      </c>
      <c r="E18" s="261" t="str">
        <f>IF(E17="","",IF(E17="Did Not Meet",(('41. State &amp; Local Funds Per Cap'!F85-'41. State &amp; Local Funds Per Cap'!F86)*'32. Year 10 Amounts'!I1),0))</f>
        <v/>
      </c>
    </row>
    <row r="19" spans="1:5" x14ac:dyDescent="0.25">
      <c r="A19" s="657" t="s">
        <v>174</v>
      </c>
      <c r="B19" s="657"/>
      <c r="C19" s="657"/>
      <c r="D19" s="657"/>
      <c r="E19" s="657"/>
    </row>
    <row r="20" spans="1:5" ht="15.75" x14ac:dyDescent="0.2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x14ac:dyDescent="0.25">
      <c r="A21" s="260" t="s">
        <v>126</v>
      </c>
      <c r="B21" s="271" t="s">
        <v>157</v>
      </c>
    </row>
    <row r="22" spans="1:5" x14ac:dyDescent="0.25">
      <c r="A22" s="243" t="s">
        <v>110</v>
      </c>
      <c r="B22" s="272"/>
    </row>
    <row r="23" spans="1:5" x14ac:dyDescent="0.25">
      <c r="A23" s="243" t="s">
        <v>111</v>
      </c>
      <c r="B23" s="272"/>
    </row>
    <row r="24" spans="1:5" x14ac:dyDescent="0.25">
      <c r="A24" s="243" t="s">
        <v>112</v>
      </c>
      <c r="B24" s="258">
        <f>B22+B23</f>
        <v>0</v>
      </c>
    </row>
    <row r="25" spans="1:5" x14ac:dyDescent="0.25">
      <c r="A25" s="243" t="s">
        <v>113</v>
      </c>
      <c r="B25" s="258">
        <f>MIN(B24,B18,C18,D18,E18)</f>
        <v>0</v>
      </c>
    </row>
    <row r="26" spans="1:5" x14ac:dyDescent="0.25">
      <c r="A26" s="243" t="s">
        <v>114</v>
      </c>
      <c r="B26" s="263"/>
    </row>
    <row r="27" spans="1:5" x14ac:dyDescent="0.25">
      <c r="A27" s="246" t="s">
        <v>115</v>
      </c>
      <c r="B27" s="264"/>
    </row>
    <row r="28" spans="1:5" x14ac:dyDescent="0.25">
      <c r="A28" s="657" t="s">
        <v>174</v>
      </c>
      <c r="B28" s="657"/>
      <c r="C28" s="657"/>
      <c r="D28" s="657"/>
      <c r="E28" s="657"/>
    </row>
    <row r="29" spans="1:5" ht="15.75" x14ac:dyDescent="0.25">
      <c r="A29" s="321" t="s">
        <v>148</v>
      </c>
    </row>
    <row r="30" spans="1:5" x14ac:dyDescent="0.25">
      <c r="A30" s="657" t="s">
        <v>174</v>
      </c>
      <c r="B30" s="657"/>
      <c r="C30" s="657"/>
      <c r="D30" s="657"/>
      <c r="E30" s="657"/>
    </row>
    <row r="31" spans="1:5" x14ac:dyDescent="0.25">
      <c r="A31" s="2" t="str">
        <f>CONCATENATE("Exceptions and Adjustment Claimed for State Fiscal Year ",'2. Getting Started'!B6+9)</f>
        <v>Exceptions and Adjustment Claimed for State Fiscal Year 2030</v>
      </c>
    </row>
    <row r="32" spans="1:5" x14ac:dyDescent="0.25">
      <c r="A32" s="2"/>
      <c r="B32" s="322" t="s">
        <v>147</v>
      </c>
      <c r="C32" s="4"/>
      <c r="D32" s="322" t="s">
        <v>151</v>
      </c>
      <c r="E32" s="4"/>
    </row>
    <row r="33" spans="1:5" x14ac:dyDescent="0.25">
      <c r="A33" s="218" t="s">
        <v>150</v>
      </c>
      <c r="B33" s="323" t="s">
        <v>154</v>
      </c>
      <c r="C33" s="324" t="s">
        <v>155</v>
      </c>
      <c r="D33" s="325" t="s">
        <v>152</v>
      </c>
      <c r="E33" s="324" t="s">
        <v>153</v>
      </c>
    </row>
    <row r="34" spans="1:5" x14ac:dyDescent="0.25">
      <c r="A34" s="224" t="s">
        <v>139</v>
      </c>
      <c r="B34" s="17">
        <f>'33. Year 10 Exc &amp; Adj'!F22</f>
        <v>0</v>
      </c>
      <c r="C34" s="258">
        <f>'33. Year 10 Exc &amp; Adj'!F22</f>
        <v>0</v>
      </c>
      <c r="D34" s="326">
        <f>'33. Year 10 Exc &amp; Adj'!M22</f>
        <v>0</v>
      </c>
      <c r="E34" s="17">
        <f>'33. Year 10 Exc &amp; Adj'!M22</f>
        <v>0</v>
      </c>
    </row>
    <row r="35" spans="1:5" x14ac:dyDescent="0.25">
      <c r="A35" s="224" t="s">
        <v>140</v>
      </c>
      <c r="B35" s="17" t="str">
        <f>'33. Year 10 Exc &amp; Adj'!B32</f>
        <v/>
      </c>
      <c r="C35" s="258" t="str">
        <f>'33. Year 10 Exc &amp; Adj'!C32</f>
        <v/>
      </c>
      <c r="D35" s="326" t="str">
        <f>'33. Year 10 Exc &amp; Adj'!I32</f>
        <v/>
      </c>
      <c r="E35" s="258" t="str">
        <f>'33. Year 10 Exc &amp; Adj'!J32</f>
        <v/>
      </c>
    </row>
    <row r="36" spans="1:5" x14ac:dyDescent="0.25">
      <c r="A36" s="224" t="s">
        <v>141</v>
      </c>
      <c r="B36" s="17">
        <f>'33. Year 10 Exc &amp; Adj'!C43</f>
        <v>0</v>
      </c>
      <c r="C36" s="258">
        <f>'33. Year 10 Exc &amp; Adj'!C43</f>
        <v>0</v>
      </c>
      <c r="D36" s="326">
        <f>'33. Year 10 Exc &amp; Adj'!J43</f>
        <v>0</v>
      </c>
      <c r="E36" s="17">
        <f>'33. Year 10 Exc &amp; Adj'!J43</f>
        <v>0</v>
      </c>
    </row>
    <row r="37" spans="1:5" x14ac:dyDescent="0.25">
      <c r="A37" s="224" t="s">
        <v>142</v>
      </c>
      <c r="B37" s="17">
        <f>'33. Year 10 Exc &amp; Adj'!B53</f>
        <v>0</v>
      </c>
      <c r="C37" s="258">
        <f>'33. Year 10 Exc &amp; Adj'!B53</f>
        <v>0</v>
      </c>
      <c r="D37" s="326">
        <f>'33. Year 10 Exc &amp; Adj'!I53</f>
        <v>0</v>
      </c>
      <c r="E37" s="17">
        <f>'33. Year 10 Exc &amp; Adj'!I53</f>
        <v>0</v>
      </c>
    </row>
    <row r="38" spans="1:5" x14ac:dyDescent="0.25">
      <c r="A38" s="224" t="str">
        <f>IF('3b. High Cost Fund'!$B12="No","This exception is not valid for your state.","Exception (e)")</f>
        <v>Exception (e)</v>
      </c>
      <c r="B38" s="331">
        <f>IF('3b. High Cost Fund'!$B12="No","",'33. Year 10 Exc &amp; Adj'!B63)</f>
        <v>0</v>
      </c>
      <c r="C38" s="332">
        <f>IF('3b. High Cost Fund'!$B12="No","",'33. Year 10 Exc &amp; Adj'!B63)</f>
        <v>0</v>
      </c>
      <c r="D38" s="326">
        <f>IF('3b. High Cost Fund'!$B12="No","",'33. Year 10 Exc &amp; Adj'!I63)</f>
        <v>0</v>
      </c>
      <c r="E38" s="331">
        <f>IF('3b. High Cost Fund'!$B12="No","",'33. Year 10 Exc &amp; Adj'!I63)</f>
        <v>0</v>
      </c>
    </row>
    <row r="39" spans="1:5" x14ac:dyDescent="0.25">
      <c r="A39" s="224" t="s">
        <v>143</v>
      </c>
      <c r="B39" s="17">
        <f>AdjDataYear10Budget[Projected Adjustment]</f>
        <v>0</v>
      </c>
      <c r="C39" s="17">
        <f>AdjDataYear10Budget[Projected Adjustment]</f>
        <v>0</v>
      </c>
      <c r="D39" s="327">
        <f>AdjDataYear10Expenditures[[Adjustment ]]</f>
        <v>0</v>
      </c>
      <c r="E39" s="17">
        <f>AdjDataYear10Expenditures[[Adjustment ]]</f>
        <v>0</v>
      </c>
    </row>
    <row r="40" spans="1:5" x14ac:dyDescent="0.25">
      <c r="A40" s="246" t="s">
        <v>124</v>
      </c>
      <c r="B40" s="328">
        <f>SUM(B34:B39)</f>
        <v>0</v>
      </c>
      <c r="C40" s="329">
        <f>SUM(C34:C39)</f>
        <v>0</v>
      </c>
      <c r="D40" s="330">
        <f>SUM(D34:D39)</f>
        <v>0</v>
      </c>
      <c r="E40" s="329">
        <f>SUM(E34:E39)</f>
        <v>0</v>
      </c>
    </row>
    <row r="41" spans="1:5" ht="27" customHeight="1" x14ac:dyDescent="0.25">
      <c r="A41" s="345" t="s">
        <v>184</v>
      </c>
      <c r="B41" s="346"/>
      <c r="C41" s="346"/>
      <c r="D41" s="346"/>
      <c r="E41" s="346"/>
    </row>
    <row r="42" spans="1:5" ht="15.75" x14ac:dyDescent="0.25">
      <c r="A42" s="358" t="s">
        <v>183</v>
      </c>
    </row>
    <row r="43" spans="1:5" x14ac:dyDescent="0.25">
      <c r="A43" s="657" t="s">
        <v>24</v>
      </c>
      <c r="B43" s="657"/>
      <c r="C43" s="657"/>
      <c r="D43" s="657"/>
      <c r="E43" s="657"/>
    </row>
  </sheetData>
  <sheetProtection algorithmName="SHA-512" hashValue="2t4zG23eThjK9bnAW1pmkfAlfyXposaDa8gMkiCFwCrrmyIfy+8zNA32ivnAdRwJq5uTZoVAOQbieMjilSNmOQ==" saltValue="5tPll/tfHceoYNEg9A15oQ==" spinCount="100000" sheet="1" objects="1" scenarios="1" formatColumns="0" formatRows="0"/>
  <mergeCells count="5">
    <mergeCell ref="A11:E11"/>
    <mergeCell ref="A19:E19"/>
    <mergeCell ref="A28:E28"/>
    <mergeCell ref="A30:E30"/>
    <mergeCell ref="A43:E43"/>
  </mergeCells>
  <conditionalFormatting sqref="B9:E9">
    <cfRule type="containsText" dxfId="166" priority="3" operator="containsText" text="Did Not Meet">
      <formula>NOT(ISERROR(SEARCH("Did Not Meet",B9)))</formula>
    </cfRule>
    <cfRule type="containsText" dxfId="165" priority="4" operator="containsText" text="Met">
      <formula>NOT(ISERROR(SEARCH("Met",B9)))</formula>
    </cfRule>
  </conditionalFormatting>
  <conditionalFormatting sqref="B17:E17">
    <cfRule type="containsText" dxfId="164" priority="1" operator="containsText" text="Did Not Meet">
      <formula>NOT(ISERROR(SEARCH("Did Not Meet",B17)))</formula>
    </cfRule>
    <cfRule type="containsText" dxfId="163" priority="2" operator="containsText" text="Met">
      <formula>NOT(ISERROR(SEARCH("Met",B17)))</formula>
    </cfRule>
  </conditionalFormatting>
  <hyperlinks>
    <hyperlink ref="A29" location="'4. Multi-Year MOE Summary'!A13" display="Go to the Multi-Year MOE Summary" xr:uid="{00000000-0004-0000-2300-000000000000}"/>
    <hyperlink ref="A42" r:id="rId1" xr:uid="{00000000-0004-0000-23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x14ac:dyDescent="0.25"/>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x14ac:dyDescent="0.3">
      <c r="A1" s="19" t="s">
        <v>48</v>
      </c>
      <c r="B1" s="48"/>
      <c r="D1" s="21" t="s">
        <v>14</v>
      </c>
      <c r="E1" s="20" t="str">
        <f>IF('2. Getting Started'!B2="","",'2. Getting Started'!B2)</f>
        <v/>
      </c>
      <c r="G1" s="661" t="s">
        <v>22</v>
      </c>
      <c r="H1" s="19"/>
      <c r="I1" s="206"/>
      <c r="K1" s="21"/>
    </row>
    <row r="2" spans="1:13" s="25" customFormat="1" ht="37.9" customHeight="1" thickBot="1" x14ac:dyDescent="0.3">
      <c r="A2" s="22" t="str">
        <f>CONCATENATE("Eligibility Standard - State Fiscal Year ",'2. Getting Started'!B6+10," -  LEA Effort - Budgeted Amounts")</f>
        <v>Eligibility Standard - State Fiscal Year 2031 -  LEA Effort - Budgeted Amounts</v>
      </c>
      <c r="B2" s="23"/>
      <c r="C2" s="23"/>
      <c r="D2" s="23"/>
      <c r="E2" s="23"/>
      <c r="F2" s="24"/>
      <c r="G2" s="661"/>
      <c r="H2" s="207" t="str">
        <f>CONCATENATE("Compliance Standard - State Fiscal Year ",'2. Getting Started'!B6+10," - LEA Effort - Final Expenditures")</f>
        <v>Compliance Standard - State Fiscal Year 2031 - LEA Effort - Final Expenditures</v>
      </c>
      <c r="I2" s="208"/>
      <c r="J2" s="208"/>
      <c r="K2" s="208"/>
      <c r="L2" s="208"/>
      <c r="M2" s="32"/>
    </row>
    <row r="3" spans="1:13" s="25" customFormat="1" ht="24" customHeight="1" x14ac:dyDescent="0.25">
      <c r="A3" s="26"/>
      <c r="B3" s="27"/>
      <c r="D3" s="28" t="str">
        <f>CONCATENATE("SFY ",'2. Getting Started'!$B6+10," Budget")</f>
        <v>SFY 2031 Budget</v>
      </c>
      <c r="E3" s="29"/>
      <c r="F3" s="30"/>
      <c r="G3" s="661"/>
      <c r="H3" s="216" t="s">
        <v>47</v>
      </c>
      <c r="I3" s="210"/>
      <c r="J3" s="210"/>
      <c r="K3" s="209"/>
      <c r="L3" s="209"/>
      <c r="M3" s="211"/>
    </row>
    <row r="4" spans="1:13" s="37" customFormat="1" ht="19.5" thickBot="1" x14ac:dyDescent="0.35">
      <c r="A4" s="33" t="s">
        <v>50</v>
      </c>
      <c r="B4" s="34" t="s">
        <v>51</v>
      </c>
      <c r="C4" s="35" t="s">
        <v>52</v>
      </c>
      <c r="D4" s="36" t="s">
        <v>53</v>
      </c>
      <c r="E4" s="36" t="s">
        <v>54</v>
      </c>
      <c r="F4" s="36" t="s">
        <v>8</v>
      </c>
      <c r="G4" s="661"/>
      <c r="H4" s="212"/>
      <c r="I4" s="213"/>
      <c r="J4" s="213"/>
      <c r="K4" s="214"/>
      <c r="L4" s="214"/>
      <c r="M4" s="215"/>
    </row>
    <row r="5" spans="1:13" ht="15.75" x14ac:dyDescent="0.25">
      <c r="A5" s="49"/>
      <c r="B5" s="50"/>
      <c r="C5" s="51"/>
      <c r="D5" s="52"/>
      <c r="E5" s="52"/>
      <c r="F5" s="38" t="str">
        <f>IF(AND(D5="",E5=""),"",SUM(D5:E5))</f>
        <v/>
      </c>
      <c r="G5" s="661"/>
      <c r="H5" s="671" t="s">
        <v>174</v>
      </c>
      <c r="I5" s="671"/>
      <c r="J5" s="671"/>
      <c r="K5" s="671"/>
      <c r="L5" s="671"/>
      <c r="M5" s="671"/>
    </row>
    <row r="6" spans="1:13" ht="15.75" x14ac:dyDescent="0.25">
      <c r="A6" s="49"/>
      <c r="B6" s="50"/>
      <c r="C6" s="51"/>
      <c r="D6" s="52"/>
      <c r="E6" s="52"/>
      <c r="F6" s="38" t="str">
        <f t="shared" ref="F6:F29" si="0">IF(AND(D6="",E6=""),"",SUM(D6:E6))</f>
        <v/>
      </c>
      <c r="G6" s="661"/>
      <c r="H6" s="672"/>
      <c r="I6" s="672"/>
      <c r="J6" s="672"/>
      <c r="K6" s="672"/>
      <c r="L6" s="672"/>
      <c r="M6" s="672"/>
    </row>
    <row r="7" spans="1:13" ht="15.75" x14ac:dyDescent="0.25">
      <c r="A7" s="49"/>
      <c r="B7" s="50"/>
      <c r="C7" s="51"/>
      <c r="D7" s="52"/>
      <c r="E7" s="52"/>
      <c r="F7" s="38" t="str">
        <f t="shared" si="0"/>
        <v/>
      </c>
      <c r="G7" s="661"/>
      <c r="H7" s="672"/>
      <c r="I7" s="672"/>
      <c r="J7" s="672"/>
      <c r="K7" s="672"/>
      <c r="L7" s="672"/>
      <c r="M7" s="672"/>
    </row>
    <row r="8" spans="1:13" ht="15.75" x14ac:dyDescent="0.25">
      <c r="A8" s="49"/>
      <c r="B8" s="50"/>
      <c r="C8" s="51"/>
      <c r="D8" s="52"/>
      <c r="E8" s="52"/>
      <c r="F8" s="38" t="str">
        <f t="shared" si="0"/>
        <v/>
      </c>
      <c r="G8" s="661"/>
      <c r="H8" s="672"/>
      <c r="I8" s="672"/>
      <c r="J8" s="672"/>
      <c r="K8" s="672"/>
      <c r="L8" s="672"/>
      <c r="M8" s="672"/>
    </row>
    <row r="9" spans="1:13" ht="15.75" x14ac:dyDescent="0.25">
      <c r="A9" s="49"/>
      <c r="B9" s="50"/>
      <c r="C9" s="51"/>
      <c r="D9" s="52"/>
      <c r="E9" s="52"/>
      <c r="F9" s="38" t="str">
        <f t="shared" si="0"/>
        <v/>
      </c>
      <c r="G9" s="661"/>
      <c r="H9" s="672"/>
      <c r="I9" s="672"/>
      <c r="J9" s="672"/>
      <c r="K9" s="672"/>
      <c r="L9" s="672"/>
      <c r="M9" s="672"/>
    </row>
    <row r="10" spans="1:13" ht="15.75" x14ac:dyDescent="0.25">
      <c r="A10" s="49"/>
      <c r="B10" s="50"/>
      <c r="C10" s="51"/>
      <c r="D10" s="52"/>
      <c r="E10" s="52"/>
      <c r="F10" s="38" t="str">
        <f t="shared" si="0"/>
        <v/>
      </c>
      <c r="G10" s="661"/>
      <c r="H10" s="672"/>
      <c r="I10" s="672"/>
      <c r="J10" s="672"/>
      <c r="K10" s="672"/>
      <c r="L10" s="672"/>
      <c r="M10" s="672"/>
    </row>
    <row r="11" spans="1:13" ht="15.75" x14ac:dyDescent="0.25">
      <c r="A11" s="49"/>
      <c r="B11" s="50"/>
      <c r="C11" s="51"/>
      <c r="D11" s="52"/>
      <c r="E11" s="52"/>
      <c r="F11" s="38" t="str">
        <f t="shared" si="0"/>
        <v/>
      </c>
      <c r="G11" s="661"/>
      <c r="H11" s="672"/>
      <c r="I11" s="672"/>
      <c r="J11" s="672"/>
      <c r="K11" s="672"/>
      <c r="L11" s="672"/>
      <c r="M11" s="672"/>
    </row>
    <row r="12" spans="1:13" ht="15.75" x14ac:dyDescent="0.25">
      <c r="A12" s="49"/>
      <c r="B12" s="50"/>
      <c r="C12" s="51"/>
      <c r="D12" s="52"/>
      <c r="E12" s="52"/>
      <c r="F12" s="38" t="str">
        <f t="shared" si="0"/>
        <v/>
      </c>
      <c r="G12" s="661"/>
      <c r="H12" s="672"/>
      <c r="I12" s="672"/>
      <c r="J12" s="672"/>
      <c r="K12" s="672"/>
      <c r="L12" s="672"/>
      <c r="M12" s="672"/>
    </row>
    <row r="13" spans="1:13" ht="15.75" x14ac:dyDescent="0.25">
      <c r="A13" s="49"/>
      <c r="B13" s="50"/>
      <c r="C13" s="51"/>
      <c r="D13" s="52"/>
      <c r="E13" s="52"/>
      <c r="F13" s="38" t="str">
        <f t="shared" si="0"/>
        <v/>
      </c>
      <c r="G13" s="661"/>
      <c r="H13" s="672"/>
      <c r="I13" s="672"/>
      <c r="J13" s="672"/>
      <c r="K13" s="672"/>
      <c r="L13" s="672"/>
      <c r="M13" s="672"/>
    </row>
    <row r="14" spans="1:13" ht="15.75" x14ac:dyDescent="0.25">
      <c r="A14" s="49"/>
      <c r="B14" s="50"/>
      <c r="C14" s="51"/>
      <c r="D14" s="52"/>
      <c r="E14" s="52"/>
      <c r="F14" s="38" t="str">
        <f t="shared" si="0"/>
        <v/>
      </c>
      <c r="G14" s="661"/>
      <c r="H14" s="672"/>
      <c r="I14" s="672"/>
      <c r="J14" s="672"/>
      <c r="K14" s="672"/>
      <c r="L14" s="672"/>
      <c r="M14" s="672"/>
    </row>
    <row r="15" spans="1:13" ht="15.75" x14ac:dyDescent="0.25">
      <c r="A15" s="49"/>
      <c r="B15" s="50"/>
      <c r="C15" s="51"/>
      <c r="D15" s="52"/>
      <c r="E15" s="52"/>
      <c r="F15" s="38" t="str">
        <f t="shared" si="0"/>
        <v/>
      </c>
      <c r="G15" s="661"/>
      <c r="H15" s="672"/>
      <c r="I15" s="672"/>
      <c r="J15" s="672"/>
      <c r="K15" s="672"/>
      <c r="L15" s="672"/>
      <c r="M15" s="672"/>
    </row>
    <row r="16" spans="1:13" ht="15.75" x14ac:dyDescent="0.25">
      <c r="A16" s="49"/>
      <c r="B16" s="50"/>
      <c r="C16" s="51"/>
      <c r="D16" s="52"/>
      <c r="E16" s="52"/>
      <c r="F16" s="38" t="str">
        <f t="shared" si="0"/>
        <v/>
      </c>
      <c r="G16" s="661"/>
      <c r="H16" s="672"/>
      <c r="I16" s="672"/>
      <c r="J16" s="672"/>
      <c r="K16" s="672"/>
      <c r="L16" s="672"/>
      <c r="M16" s="672"/>
    </row>
    <row r="17" spans="1:13" ht="15.75" x14ac:dyDescent="0.25">
      <c r="A17" s="49"/>
      <c r="B17" s="50"/>
      <c r="C17" s="51"/>
      <c r="D17" s="52"/>
      <c r="E17" s="52"/>
      <c r="F17" s="38" t="str">
        <f t="shared" si="0"/>
        <v/>
      </c>
      <c r="G17" s="661"/>
      <c r="H17" s="672"/>
      <c r="I17" s="672"/>
      <c r="J17" s="672"/>
      <c r="K17" s="672"/>
      <c r="L17" s="672"/>
      <c r="M17" s="672"/>
    </row>
    <row r="18" spans="1:13" ht="15.75" x14ac:dyDescent="0.25">
      <c r="A18" s="49"/>
      <c r="B18" s="50"/>
      <c r="C18" s="51"/>
      <c r="D18" s="52"/>
      <c r="E18" s="52"/>
      <c r="F18" s="38" t="str">
        <f t="shared" si="0"/>
        <v/>
      </c>
      <c r="G18" s="661"/>
      <c r="H18" s="672"/>
      <c r="I18" s="672"/>
      <c r="J18" s="672"/>
      <c r="K18" s="672"/>
      <c r="L18" s="672"/>
      <c r="M18" s="672"/>
    </row>
    <row r="19" spans="1:13" ht="15.75" x14ac:dyDescent="0.25">
      <c r="A19" s="49"/>
      <c r="B19" s="50"/>
      <c r="C19" s="51"/>
      <c r="D19" s="52"/>
      <c r="E19" s="52"/>
      <c r="F19" s="38" t="str">
        <f t="shared" si="0"/>
        <v/>
      </c>
      <c r="G19" s="661"/>
      <c r="H19" s="672"/>
      <c r="I19" s="672"/>
      <c r="J19" s="672"/>
      <c r="K19" s="672"/>
      <c r="L19" s="672"/>
      <c r="M19" s="672"/>
    </row>
    <row r="20" spans="1:13" ht="15.75" x14ac:dyDescent="0.25">
      <c r="A20" s="49"/>
      <c r="B20" s="50"/>
      <c r="C20" s="51"/>
      <c r="D20" s="52"/>
      <c r="E20" s="52"/>
      <c r="F20" s="38" t="str">
        <f t="shared" si="0"/>
        <v/>
      </c>
      <c r="G20" s="661"/>
      <c r="H20" s="672"/>
      <c r="I20" s="672"/>
      <c r="J20" s="672"/>
      <c r="K20" s="672"/>
      <c r="L20" s="672"/>
      <c r="M20" s="672"/>
    </row>
    <row r="21" spans="1:13" ht="15.75" x14ac:dyDescent="0.25">
      <c r="A21" s="49"/>
      <c r="B21" s="50"/>
      <c r="C21" s="51"/>
      <c r="D21" s="52"/>
      <c r="E21" s="52"/>
      <c r="F21" s="38" t="str">
        <f t="shared" si="0"/>
        <v/>
      </c>
      <c r="G21" s="661"/>
      <c r="H21" s="672"/>
      <c r="I21" s="672"/>
      <c r="J21" s="672"/>
      <c r="K21" s="672"/>
      <c r="L21" s="672"/>
      <c r="M21" s="672"/>
    </row>
    <row r="22" spans="1:13" ht="15.75" x14ac:dyDescent="0.25">
      <c r="A22" s="49"/>
      <c r="B22" s="50"/>
      <c r="C22" s="51"/>
      <c r="D22" s="52"/>
      <c r="E22" s="52"/>
      <c r="F22" s="38" t="str">
        <f t="shared" si="0"/>
        <v/>
      </c>
      <c r="G22" s="661"/>
      <c r="H22" s="672"/>
      <c r="I22" s="672"/>
      <c r="J22" s="672"/>
      <c r="K22" s="672"/>
      <c r="L22" s="672"/>
      <c r="M22" s="672"/>
    </row>
    <row r="23" spans="1:13" ht="15.75" x14ac:dyDescent="0.25">
      <c r="A23" s="49"/>
      <c r="B23" s="50"/>
      <c r="C23" s="51"/>
      <c r="D23" s="52"/>
      <c r="E23" s="52"/>
      <c r="F23" s="38" t="str">
        <f t="shared" si="0"/>
        <v/>
      </c>
      <c r="G23" s="661"/>
      <c r="H23" s="672"/>
      <c r="I23" s="672"/>
      <c r="J23" s="672"/>
      <c r="K23" s="672"/>
      <c r="L23" s="672"/>
      <c r="M23" s="672"/>
    </row>
    <row r="24" spans="1:13" ht="15.75" x14ac:dyDescent="0.25">
      <c r="A24" s="49"/>
      <c r="B24" s="50"/>
      <c r="C24" s="51"/>
      <c r="D24" s="52"/>
      <c r="E24" s="52"/>
      <c r="F24" s="38" t="str">
        <f t="shared" si="0"/>
        <v/>
      </c>
      <c r="G24" s="661"/>
      <c r="H24" s="672"/>
      <c r="I24" s="672"/>
      <c r="J24" s="672"/>
      <c r="K24" s="672"/>
      <c r="L24" s="672"/>
      <c r="M24" s="672"/>
    </row>
    <row r="25" spans="1:13" ht="15.75" x14ac:dyDescent="0.25">
      <c r="A25" s="49"/>
      <c r="B25" s="50"/>
      <c r="C25" s="51"/>
      <c r="D25" s="52"/>
      <c r="E25" s="52"/>
      <c r="F25" s="38" t="str">
        <f t="shared" si="0"/>
        <v/>
      </c>
      <c r="G25" s="661"/>
      <c r="H25" s="672"/>
      <c r="I25" s="672"/>
      <c r="J25" s="672"/>
      <c r="K25" s="672"/>
      <c r="L25" s="672"/>
      <c r="M25" s="672"/>
    </row>
    <row r="26" spans="1:13" ht="15.75" x14ac:dyDescent="0.25">
      <c r="A26" s="49"/>
      <c r="B26" s="50"/>
      <c r="C26" s="51"/>
      <c r="D26" s="52"/>
      <c r="E26" s="52"/>
      <c r="F26" s="38" t="str">
        <f t="shared" si="0"/>
        <v/>
      </c>
      <c r="G26" s="661"/>
      <c r="H26" s="672"/>
      <c r="I26" s="672"/>
      <c r="J26" s="672"/>
      <c r="K26" s="672"/>
      <c r="L26" s="672"/>
      <c r="M26" s="672"/>
    </row>
    <row r="27" spans="1:13" ht="15.75" x14ac:dyDescent="0.25">
      <c r="A27" s="49"/>
      <c r="B27" s="50"/>
      <c r="C27" s="51"/>
      <c r="D27" s="52"/>
      <c r="E27" s="52"/>
      <c r="F27" s="38" t="str">
        <f t="shared" si="0"/>
        <v/>
      </c>
      <c r="G27" s="661"/>
      <c r="H27" s="672"/>
      <c r="I27" s="672"/>
      <c r="J27" s="672"/>
      <c r="K27" s="672"/>
      <c r="L27" s="672"/>
      <c r="M27" s="672"/>
    </row>
    <row r="28" spans="1:13" ht="15.75" x14ac:dyDescent="0.25">
      <c r="A28" s="49"/>
      <c r="B28" s="50"/>
      <c r="C28" s="51"/>
      <c r="D28" s="52"/>
      <c r="E28" s="52"/>
      <c r="F28" s="38" t="str">
        <f t="shared" si="0"/>
        <v/>
      </c>
      <c r="G28" s="661"/>
      <c r="H28" s="672"/>
      <c r="I28" s="672"/>
      <c r="J28" s="672"/>
      <c r="K28" s="672"/>
      <c r="L28" s="672"/>
      <c r="M28" s="672"/>
    </row>
    <row r="29" spans="1:13" ht="16.5" thickBot="1" x14ac:dyDescent="0.3">
      <c r="A29" s="53"/>
      <c r="B29" s="54"/>
      <c r="C29" s="55"/>
      <c r="D29" s="56"/>
      <c r="E29" s="56"/>
      <c r="F29" s="38" t="str">
        <f t="shared" si="0"/>
        <v/>
      </c>
      <c r="G29" s="661"/>
      <c r="H29" s="672"/>
      <c r="I29" s="672"/>
      <c r="J29" s="672"/>
      <c r="K29" s="672"/>
      <c r="L29" s="672"/>
      <c r="M29" s="672"/>
    </row>
    <row r="30" spans="1:13" ht="19.5" thickBot="1" x14ac:dyDescent="0.3">
      <c r="A30" s="39"/>
      <c r="B30" s="40"/>
      <c r="C30" s="41" t="s">
        <v>56</v>
      </c>
      <c r="D30" s="42" t="str">
        <f>IF(AND(D5="",D6="",D7="",D8="",D9="",D10="",D11="",D12="",D13="",D14="",D15="",D16="",D17="",D18="",D19="",D20="",D21="",D22="",D23="",D24="",D25="",D26="",D27="",D28="",D29=""),"",SUM(D5:D29))</f>
        <v/>
      </c>
      <c r="E30" s="43"/>
      <c r="F30" s="42" t="str">
        <f>IF(AND(F5="",F6="",F7="",F8="",F9="",F10="",F11="",F12="",F13="",F14="",F15="",F16="",F17="",F18="",F19="",F20="",F21="",F22="",F23="",F24="",F25="",F26="",F27="",F28="",F29=""),"",SUM(F5:F29))</f>
        <v/>
      </c>
      <c r="G30" s="661"/>
      <c r="H30" s="672"/>
      <c r="I30" s="672"/>
      <c r="J30" s="672"/>
      <c r="K30" s="672"/>
      <c r="L30" s="672"/>
      <c r="M30" s="672"/>
    </row>
    <row r="31" spans="1:13" ht="19.5" thickBot="1" x14ac:dyDescent="0.3">
      <c r="A31" s="39"/>
      <c r="B31" s="39"/>
      <c r="C31" s="44" t="s">
        <v>57</v>
      </c>
      <c r="D31" s="42" t="str">
        <f>IF(OR($B1="",D30=""),"",(D30/$B1))</f>
        <v/>
      </c>
      <c r="E31" s="39"/>
      <c r="F31" s="42" t="str">
        <f>IF(OR($B1="",F30=""),"",(F30/$B1))</f>
        <v/>
      </c>
      <c r="G31" s="661"/>
      <c r="H31" s="672"/>
      <c r="I31" s="672"/>
      <c r="J31" s="672"/>
      <c r="K31" s="672"/>
      <c r="L31" s="672"/>
      <c r="M31" s="672"/>
    </row>
    <row r="32" spans="1:13" s="25" customFormat="1" ht="18.75" x14ac:dyDescent="0.2">
      <c r="A32" s="345" t="s">
        <v>184</v>
      </c>
      <c r="B32" s="45"/>
      <c r="C32" s="45"/>
      <c r="D32" s="45"/>
      <c r="E32" s="45"/>
      <c r="F32" s="45"/>
      <c r="G32" s="45"/>
      <c r="H32" s="672"/>
      <c r="I32" s="672"/>
      <c r="J32" s="672"/>
      <c r="K32" s="672"/>
      <c r="L32" s="672"/>
      <c r="M32" s="672"/>
    </row>
    <row r="33" spans="1:13" s="47" customFormat="1" ht="15.75" x14ac:dyDescent="0.25">
      <c r="A33" s="358" t="s">
        <v>183</v>
      </c>
      <c r="B33" s="46"/>
      <c r="C33" s="46"/>
      <c r="D33" s="46"/>
      <c r="E33" s="46"/>
      <c r="F33" s="46"/>
      <c r="G33" s="46"/>
      <c r="H33" s="672"/>
      <c r="I33" s="672"/>
      <c r="J33" s="672"/>
      <c r="K33" s="672"/>
      <c r="L33" s="672"/>
      <c r="M33" s="672"/>
    </row>
    <row r="34" spans="1:13" s="25" customFormat="1" ht="18.75" x14ac:dyDescent="0.25">
      <c r="A34" s="662" t="s">
        <v>24</v>
      </c>
      <c r="B34" s="662"/>
      <c r="C34" s="662"/>
      <c r="D34" s="662"/>
      <c r="E34" s="662"/>
      <c r="F34" s="662"/>
      <c r="G34" s="662"/>
      <c r="H34" s="662"/>
      <c r="I34" s="662"/>
      <c r="J34" s="662"/>
      <c r="K34" s="662"/>
      <c r="L34" s="662"/>
      <c r="M34" s="662"/>
    </row>
    <row r="35" spans="1:13" ht="15.75" hidden="1" x14ac:dyDescent="0.25"/>
  </sheetData>
  <sheetProtection algorithmName="SHA-512" hashValue="3A0MFBIG1LRO5TvX0wgEjGHvbto+PvcIuTbAdpY+WLqhoeIXcegcazmBDciDcfnS5qQNzepMyvtR3ivp+hQCGw==" saltValue="nPfW3B3l1YLjKbsSi++2XQ==" spinCount="100000" sheet="1" formatColumns="0" formatRows="0"/>
  <mergeCells count="3">
    <mergeCell ref="G1:G31"/>
    <mergeCell ref="A34:M34"/>
    <mergeCell ref="H5:M33"/>
  </mergeCells>
  <dataValidations count="1">
    <dataValidation allowBlank="1" showInputMessage="1" showErrorMessage="1" prompt="Don't forget to enter Projected Child Count in Cell B1." sqref="A5" xr:uid="{00000000-0002-0000-2400-000000000000}"/>
  </dataValidations>
  <hyperlinks>
    <hyperlink ref="A33" r:id="rId1" xr:uid="{00000000-0004-0000-2400-000000000000}"/>
  </hyperlinks>
  <pageMargins left="0.75" right="0.75" top="1" bottom="1" header="0.5" footer="0.5"/>
  <pageSetup orientation="portrait" horizontalDpi="4294967292" verticalDpi="4294967292"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theme="5"/>
    <pageSetUpPr autoPageBreaks="0"/>
  </sheetPr>
  <dimension ref="A1:AB79"/>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0" customHeight="1" zeroHeight="1" x14ac:dyDescent="0.25"/>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12" width="12.28515625" style="58" hidden="1" customWidth="1"/>
    <col min="13" max="13" width="13.7109375" style="58" hidden="1" customWidth="1"/>
    <col min="14" max="28" width="0" style="58" hidden="1" customWidth="1"/>
    <col min="29" max="16384" width="12.28515625" style="58" hidden="1"/>
  </cols>
  <sheetData>
    <row r="1" spans="1:14" ht="25.9" customHeight="1" x14ac:dyDescent="0.25">
      <c r="A1" s="57" t="s">
        <v>58</v>
      </c>
      <c r="D1" s="59" t="s">
        <v>14</v>
      </c>
      <c r="E1" s="10" t="str">
        <f>IF('2. Getting Started'!$B2="","",'2. Getting Started'!$B2)</f>
        <v/>
      </c>
    </row>
    <row r="2" spans="1:14" ht="25.9" customHeight="1" thickBot="1" x14ac:dyDescent="0.3">
      <c r="A2" s="338" t="s">
        <v>170</v>
      </c>
      <c r="D2" s="59"/>
      <c r="E2" s="10"/>
    </row>
    <row r="3" spans="1:14" ht="25.9" customHeight="1" thickBot="1" x14ac:dyDescent="0.3">
      <c r="A3" s="60" t="str">
        <f>CONCATENATE("Eligibility Standard -- Exceptions to MOE as Permitted by 34 CFR §300.204 and Adjustment to MOE as Permitted by 34 CFR §300.205 -- Projections for State Fiscal Year ",'2. Getting Started'!B6+10," Budget")</f>
        <v>Eligibility Standard -- Exceptions to MOE as Permitted by 34 CFR §300.204 and Adjustment to MOE as Permitted by 34 CFR §300.205 -- Projections for State Fiscal Year 2031 Budget</v>
      </c>
      <c r="B3" s="61"/>
      <c r="C3" s="61"/>
      <c r="D3" s="61"/>
      <c r="E3" s="61"/>
      <c r="F3" s="62"/>
      <c r="G3" s="63"/>
      <c r="I3" s="64"/>
      <c r="J3" s="64"/>
      <c r="K3" s="64"/>
      <c r="L3" s="64"/>
      <c r="M3" s="64"/>
      <c r="N3" s="64"/>
    </row>
    <row r="4" spans="1:14" ht="15.75" x14ac:dyDescent="0.25">
      <c r="A4" s="65" t="s">
        <v>59</v>
      </c>
      <c r="B4" s="66"/>
      <c r="C4" s="67"/>
      <c r="D4" s="67"/>
      <c r="E4" s="67"/>
      <c r="F4" s="68"/>
      <c r="G4" s="69"/>
      <c r="H4" s="70"/>
      <c r="I4" s="70"/>
      <c r="J4" s="70"/>
      <c r="K4" s="70"/>
      <c r="L4" s="70"/>
      <c r="M4" s="70"/>
    </row>
    <row r="5" spans="1:14" ht="15.75" x14ac:dyDescent="0.25">
      <c r="A5" s="71" t="s">
        <v>60</v>
      </c>
      <c r="B5" s="72"/>
      <c r="C5" s="69"/>
      <c r="D5" s="69"/>
      <c r="E5" s="69"/>
      <c r="F5" s="73"/>
      <c r="G5" s="69"/>
      <c r="H5" s="74"/>
      <c r="I5" s="74"/>
      <c r="J5" s="74"/>
      <c r="K5" s="74"/>
      <c r="L5" s="74"/>
    </row>
    <row r="6" spans="1:14" ht="35.65" customHeight="1" thickBot="1" x14ac:dyDescent="0.3">
      <c r="A6" s="75" t="s">
        <v>61</v>
      </c>
      <c r="B6" s="76"/>
      <c r="C6" s="76"/>
      <c r="D6" s="76"/>
      <c r="E6" s="76"/>
      <c r="F6" s="77"/>
      <c r="G6" s="76"/>
      <c r="H6" s="74"/>
      <c r="I6" s="74"/>
      <c r="J6" s="74"/>
      <c r="K6" s="74"/>
      <c r="L6" s="74"/>
      <c r="M6" s="74"/>
    </row>
    <row r="7" spans="1:14" ht="15.75" x14ac:dyDescent="0.25">
      <c r="A7" s="78" t="s">
        <v>62</v>
      </c>
      <c r="B7" s="79" t="s">
        <v>63</v>
      </c>
      <c r="C7" s="80" t="s">
        <v>64</v>
      </c>
      <c r="D7" s="80" t="s">
        <v>65</v>
      </c>
      <c r="E7" s="81" t="s">
        <v>66</v>
      </c>
      <c r="F7" s="82" t="s">
        <v>67</v>
      </c>
      <c r="G7" s="83"/>
      <c r="H7" s="74"/>
      <c r="I7" s="74"/>
    </row>
    <row r="8" spans="1:14" ht="15.75" x14ac:dyDescent="0.25">
      <c r="A8" s="186"/>
      <c r="B8" s="187"/>
      <c r="C8" s="187"/>
      <c r="D8" s="188"/>
      <c r="E8" s="188"/>
      <c r="F8" s="84">
        <f>D8+E8</f>
        <v>0</v>
      </c>
      <c r="G8" s="85"/>
      <c r="H8" s="85"/>
      <c r="I8" s="85"/>
    </row>
    <row r="9" spans="1:14" ht="15.75" x14ac:dyDescent="0.25">
      <c r="A9" s="186"/>
      <c r="B9" s="187"/>
      <c r="C9" s="187"/>
      <c r="D9" s="188"/>
      <c r="E9" s="188"/>
      <c r="F9" s="84">
        <f>D9+E9</f>
        <v>0</v>
      </c>
      <c r="G9" s="85"/>
      <c r="H9" s="85"/>
      <c r="I9" s="85"/>
    </row>
    <row r="10" spans="1:14" ht="15.75" x14ac:dyDescent="0.25">
      <c r="A10" s="186"/>
      <c r="B10" s="187"/>
      <c r="C10" s="187"/>
      <c r="D10" s="188"/>
      <c r="E10" s="188"/>
      <c r="F10" s="84">
        <f>D10+E10</f>
        <v>0</v>
      </c>
      <c r="G10" s="85"/>
      <c r="H10" s="85"/>
      <c r="I10" s="85"/>
    </row>
    <row r="11" spans="1:14" ht="15.75" x14ac:dyDescent="0.25">
      <c r="A11" s="186"/>
      <c r="B11" s="187"/>
      <c r="C11" s="187"/>
      <c r="D11" s="188"/>
      <c r="E11" s="188"/>
      <c r="F11" s="84">
        <f>D11+E11</f>
        <v>0</v>
      </c>
      <c r="G11" s="85"/>
      <c r="H11" s="85"/>
      <c r="I11" s="85"/>
    </row>
    <row r="12" spans="1:14" ht="15.75" x14ac:dyDescent="0.25">
      <c r="A12" s="186"/>
      <c r="B12" s="187"/>
      <c r="C12" s="187"/>
      <c r="D12" s="188"/>
      <c r="E12" s="188"/>
      <c r="F12" s="84">
        <f>D12+E12</f>
        <v>0</v>
      </c>
      <c r="G12" s="85"/>
      <c r="H12" s="85"/>
      <c r="I12" s="85"/>
    </row>
    <row r="13" spans="1:14" ht="16.5" thickBot="1" x14ac:dyDescent="0.3">
      <c r="A13" s="86"/>
      <c r="B13" s="87"/>
      <c r="C13" s="88" t="s">
        <v>69</v>
      </c>
      <c r="D13" s="89">
        <f t="shared" ref="D13:F13" si="0">SUM(D8:D12)</f>
        <v>0</v>
      </c>
      <c r="E13" s="89">
        <f t="shared" si="0"/>
        <v>0</v>
      </c>
      <c r="F13" s="90">
        <f t="shared" si="0"/>
        <v>0</v>
      </c>
      <c r="G13" s="85"/>
      <c r="H13" s="85"/>
      <c r="I13" s="85"/>
    </row>
    <row r="14" spans="1:14" ht="40.15" customHeight="1" thickBot="1" x14ac:dyDescent="0.3">
      <c r="A14" s="91" t="s">
        <v>70</v>
      </c>
      <c r="B14" s="92"/>
      <c r="C14" s="92"/>
      <c r="D14" s="92"/>
      <c r="E14" s="92"/>
      <c r="F14" s="93"/>
      <c r="G14" s="76"/>
      <c r="H14" s="74"/>
      <c r="I14" s="74"/>
      <c r="J14" s="74"/>
      <c r="K14" s="74"/>
      <c r="L14" s="74"/>
      <c r="M14" s="94"/>
    </row>
    <row r="15" spans="1:14" ht="15.75" x14ac:dyDescent="0.25">
      <c r="A15" s="95" t="s">
        <v>62</v>
      </c>
      <c r="B15" s="96" t="s">
        <v>63</v>
      </c>
      <c r="C15" s="97" t="s">
        <v>175</v>
      </c>
      <c r="D15" s="80" t="s">
        <v>65</v>
      </c>
      <c r="E15" s="81" t="s">
        <v>66</v>
      </c>
      <c r="F15" s="82" t="s">
        <v>67</v>
      </c>
      <c r="G15" s="98"/>
      <c r="H15" s="64"/>
      <c r="I15" s="99"/>
    </row>
    <row r="16" spans="1:14" ht="15.75" x14ac:dyDescent="0.25">
      <c r="A16" s="189"/>
      <c r="B16" s="190"/>
      <c r="C16" s="100"/>
      <c r="D16" s="188"/>
      <c r="E16" s="188"/>
      <c r="F16" s="84">
        <f t="shared" ref="F16:F20" si="1">D16+E16</f>
        <v>0</v>
      </c>
      <c r="G16" s="85"/>
      <c r="H16" s="85"/>
      <c r="I16" s="85"/>
    </row>
    <row r="17" spans="1:13" ht="15.75" x14ac:dyDescent="0.25">
      <c r="A17" s="189"/>
      <c r="B17" s="190"/>
      <c r="C17" s="100"/>
      <c r="D17" s="188"/>
      <c r="E17" s="188"/>
      <c r="F17" s="84">
        <f t="shared" si="1"/>
        <v>0</v>
      </c>
      <c r="G17" s="85"/>
      <c r="H17" s="85"/>
      <c r="I17" s="85"/>
    </row>
    <row r="18" spans="1:13" ht="15.75" x14ac:dyDescent="0.25">
      <c r="A18" s="189"/>
      <c r="B18" s="190"/>
      <c r="C18" s="100"/>
      <c r="D18" s="188"/>
      <c r="E18" s="188"/>
      <c r="F18" s="84">
        <f t="shared" si="1"/>
        <v>0</v>
      </c>
      <c r="G18" s="85"/>
      <c r="H18" s="85"/>
      <c r="I18" s="85"/>
    </row>
    <row r="19" spans="1:13" ht="15.75" x14ac:dyDescent="0.25">
      <c r="A19" s="189"/>
      <c r="B19" s="190"/>
      <c r="C19" s="100"/>
      <c r="D19" s="188"/>
      <c r="E19" s="188"/>
      <c r="F19" s="84">
        <f t="shared" si="1"/>
        <v>0</v>
      </c>
      <c r="G19" s="85"/>
      <c r="H19" s="85"/>
      <c r="I19" s="85"/>
    </row>
    <row r="20" spans="1:13" ht="15.75" x14ac:dyDescent="0.25">
      <c r="A20" s="189"/>
      <c r="B20" s="190"/>
      <c r="C20" s="100"/>
      <c r="D20" s="188"/>
      <c r="E20" s="188"/>
      <c r="F20" s="84">
        <f t="shared" si="1"/>
        <v>0</v>
      </c>
      <c r="G20" s="85"/>
      <c r="H20" s="85"/>
      <c r="I20" s="85"/>
    </row>
    <row r="21" spans="1:13" ht="15.75" x14ac:dyDescent="0.25">
      <c r="A21" s="101"/>
      <c r="B21" s="102"/>
      <c r="C21" s="103" t="s">
        <v>72</v>
      </c>
      <c r="D21" s="104">
        <f t="shared" ref="D21:F21" si="2">SUM(D16:D20)</f>
        <v>0</v>
      </c>
      <c r="E21" s="104">
        <f t="shared" si="2"/>
        <v>0</v>
      </c>
      <c r="F21" s="84">
        <f t="shared" si="2"/>
        <v>0</v>
      </c>
      <c r="G21" s="85"/>
      <c r="H21" s="85"/>
      <c r="I21" s="85"/>
    </row>
    <row r="22" spans="1:13" ht="16.5" thickBot="1" x14ac:dyDescent="0.3">
      <c r="A22" s="105"/>
      <c r="B22" s="106"/>
      <c r="C22" s="107"/>
      <c r="D22" s="107"/>
      <c r="E22" s="108" t="s">
        <v>73</v>
      </c>
      <c r="F22" s="109">
        <f>F13-F21</f>
        <v>0</v>
      </c>
      <c r="G22" s="110"/>
      <c r="H22" s="94"/>
      <c r="I22" s="94"/>
      <c r="J22" s="94"/>
      <c r="K22" s="94"/>
      <c r="L22" s="94"/>
      <c r="M22" s="94"/>
    </row>
    <row r="23" spans="1:13" ht="16.5" thickBot="1" x14ac:dyDescent="0.3">
      <c r="A23" s="668" t="s">
        <v>22</v>
      </c>
      <c r="B23" s="668"/>
      <c r="C23" s="668"/>
      <c r="D23" s="668"/>
      <c r="E23" s="668"/>
      <c r="F23" s="668"/>
      <c r="G23" s="10"/>
      <c r="H23" s="94"/>
      <c r="I23" s="94"/>
      <c r="J23" s="94"/>
      <c r="K23" s="94"/>
      <c r="L23" s="94"/>
      <c r="M23" s="94"/>
    </row>
    <row r="24" spans="1:13" ht="15.75" x14ac:dyDescent="0.25">
      <c r="A24" s="112" t="s">
        <v>105</v>
      </c>
      <c r="B24" s="113"/>
      <c r="C24" s="113"/>
      <c r="D24" s="63"/>
      <c r="E24" s="120"/>
      <c r="F24" s="120"/>
      <c r="G24" s="10"/>
      <c r="H24" s="119"/>
      <c r="I24" s="119"/>
      <c r="J24" s="119"/>
      <c r="K24" s="119"/>
    </row>
    <row r="25" spans="1:13" ht="15.75" x14ac:dyDescent="0.25">
      <c r="A25" s="121" t="s">
        <v>71</v>
      </c>
      <c r="B25" s="122" t="s">
        <v>77</v>
      </c>
      <c r="C25" s="123"/>
      <c r="D25" s="124"/>
      <c r="E25" s="123"/>
      <c r="F25" s="123"/>
      <c r="G25" s="10"/>
      <c r="H25" s="119"/>
      <c r="I25" s="119"/>
      <c r="J25" s="119"/>
      <c r="K25" s="119"/>
    </row>
    <row r="26" spans="1:13" ht="15.75" x14ac:dyDescent="0.25">
      <c r="A26" s="125" t="str">
        <f>CONCATENATE("SFY ",'2. Getting Started'!B6+10," Projected Child Count")</f>
        <v>SFY 2031 Projected Child Count</v>
      </c>
      <c r="B26" s="126" t="str">
        <f>IF('35. Year 11 Amounts'!B1="","",'35. Year 11 Amounts'!B1)</f>
        <v/>
      </c>
      <c r="C26" s="123"/>
      <c r="D26" s="124"/>
      <c r="E26" s="123"/>
      <c r="F26" s="123"/>
      <c r="G26" s="10"/>
      <c r="H26" s="119"/>
      <c r="I26" s="119"/>
      <c r="J26" s="119"/>
      <c r="K26" s="119"/>
    </row>
    <row r="27" spans="1:13" ht="15.75" x14ac:dyDescent="0.25">
      <c r="A27" s="125" t="str">
        <f>CONCATENATE("SFY ",'2. Getting Started'!B6+9," Projected Child Count")</f>
        <v>SFY 2030 Projected Child Count</v>
      </c>
      <c r="B27" s="126" t="str">
        <f>IF('32. Year 10 Amounts'!B1="","",'32. Year 10 Amounts'!B1)</f>
        <v/>
      </c>
      <c r="C27" s="119"/>
      <c r="D27" s="128"/>
      <c r="E27" s="119"/>
      <c r="F27" s="123"/>
      <c r="G27" s="123"/>
      <c r="H27" s="129"/>
      <c r="I27" s="129"/>
      <c r="J27" s="129"/>
      <c r="K27" s="129"/>
    </row>
    <row r="28" spans="1:13" ht="15.75" x14ac:dyDescent="0.25">
      <c r="A28" s="127" t="s">
        <v>78</v>
      </c>
      <c r="B28" s="130" t="str">
        <f>IF(B26="","",B26-B27)</f>
        <v/>
      </c>
      <c r="C28" s="123" t="str">
        <f>IF(B28="","",IF(B28&gt;=0,"Not eligible for this exception",""))</f>
        <v/>
      </c>
      <c r="D28" s="124"/>
      <c r="E28" s="123"/>
      <c r="F28" s="123"/>
      <c r="G28" s="131"/>
      <c r="H28" s="132"/>
      <c r="I28" s="132"/>
      <c r="J28" s="132"/>
      <c r="K28" s="132"/>
    </row>
    <row r="29" spans="1:13" ht="15.75" x14ac:dyDescent="0.25">
      <c r="A29" s="133" t="s">
        <v>79</v>
      </c>
      <c r="B29" s="134" t="str">
        <f>IF(B26="","",IF(B28&lt;=0,ABS(B28/B27),""))</f>
        <v/>
      </c>
      <c r="C29" s="135"/>
      <c r="D29" s="136"/>
      <c r="E29" s="135"/>
      <c r="F29" s="10"/>
      <c r="G29" s="10"/>
      <c r="H29" s="137"/>
      <c r="I29" s="137"/>
      <c r="J29" s="138"/>
      <c r="K29" s="138"/>
    </row>
    <row r="30" spans="1:13" ht="31.5" x14ac:dyDescent="0.25">
      <c r="A30" s="115" t="s">
        <v>71</v>
      </c>
      <c r="B30" s="116" t="s">
        <v>0</v>
      </c>
      <c r="C30" s="116" t="s">
        <v>2</v>
      </c>
      <c r="D30" s="10"/>
      <c r="E30" s="72"/>
      <c r="F30" s="72"/>
      <c r="G30" s="10"/>
      <c r="H30" s="138"/>
      <c r="I30" s="138"/>
    </row>
    <row r="31" spans="1:13" ht="15.75" x14ac:dyDescent="0.25">
      <c r="A31" s="139" t="str">
        <f>CONCATENATE("SFY ",'2. Getting Started'!B6+9," Budget")</f>
        <v>SFY 2030 Budget</v>
      </c>
      <c r="B31" s="140" t="str">
        <f>IF('32. Year 10 Amounts'!D30="","",'32. Year 10 Amounts'!D30)</f>
        <v/>
      </c>
      <c r="C31" s="140" t="str">
        <f>IF('32. Year 10 Amounts'!F30="","",'32. Year 10 Amounts'!F30)</f>
        <v/>
      </c>
      <c r="D31" s="141"/>
      <c r="E31" s="74"/>
      <c r="F31" s="74"/>
      <c r="G31" s="72"/>
    </row>
    <row r="32" spans="1:13" ht="15.75" x14ac:dyDescent="0.25">
      <c r="A32" s="117" t="s">
        <v>80</v>
      </c>
      <c r="B32" s="143" t="str">
        <f>IF(OR($B26="",B29="",B31=""),"",($B29*B31))</f>
        <v/>
      </c>
      <c r="C32" s="143" t="str">
        <f>IF(OR($B26="",B29="",C31=""),"",($B29*C31))</f>
        <v/>
      </c>
      <c r="D32" s="142"/>
      <c r="E32" s="118"/>
      <c r="F32" s="118"/>
      <c r="G32" s="120"/>
    </row>
    <row r="33" spans="1:22" ht="16.5" thickBot="1" x14ac:dyDescent="0.3">
      <c r="A33" s="663" t="s">
        <v>22</v>
      </c>
      <c r="B33" s="663"/>
      <c r="C33" s="663"/>
      <c r="D33" s="123"/>
      <c r="E33" s="123"/>
      <c r="F33" s="123"/>
      <c r="G33" s="144"/>
      <c r="J33" s="118"/>
      <c r="K33" s="118"/>
      <c r="L33" s="118"/>
      <c r="M33" s="118"/>
      <c r="N33" s="118"/>
      <c r="O33" s="74"/>
      <c r="P33" s="118"/>
      <c r="Q33" s="118"/>
      <c r="R33" s="118"/>
      <c r="S33" s="118"/>
      <c r="T33" s="118"/>
      <c r="U33" s="118"/>
    </row>
    <row r="34" spans="1:22" ht="15.75" x14ac:dyDescent="0.25">
      <c r="A34" s="112" t="s">
        <v>82</v>
      </c>
      <c r="B34" s="145"/>
      <c r="C34" s="146"/>
      <c r="D34" s="147"/>
      <c r="E34" s="131"/>
      <c r="F34" s="131"/>
      <c r="G34" s="144"/>
      <c r="J34" s="118"/>
      <c r="K34" s="118"/>
      <c r="L34" s="118"/>
      <c r="M34" s="118"/>
      <c r="N34" s="118"/>
      <c r="O34" s="118"/>
      <c r="P34" s="118"/>
      <c r="Q34" s="118"/>
      <c r="R34" s="118"/>
      <c r="S34" s="118"/>
      <c r="T34" s="118"/>
      <c r="U34" s="118"/>
    </row>
    <row r="35" spans="1:22" ht="15.75" x14ac:dyDescent="0.25">
      <c r="A35" s="148" t="s">
        <v>83</v>
      </c>
      <c r="B35" s="72"/>
      <c r="C35" s="149"/>
      <c r="D35" s="150"/>
      <c r="E35" s="10"/>
      <c r="F35" s="10"/>
      <c r="G35" s="144"/>
      <c r="J35" s="74"/>
      <c r="K35" s="74"/>
      <c r="L35" s="74"/>
      <c r="M35" s="74"/>
      <c r="N35" s="74"/>
      <c r="O35" s="74"/>
      <c r="P35" s="74"/>
      <c r="Q35" s="74"/>
      <c r="R35" s="74"/>
      <c r="S35" s="74"/>
      <c r="T35" s="74"/>
      <c r="U35" s="74"/>
    </row>
    <row r="36" spans="1:22" ht="15.75" x14ac:dyDescent="0.25">
      <c r="A36" s="151" t="s">
        <v>84</v>
      </c>
      <c r="B36" s="72"/>
      <c r="C36" s="152"/>
      <c r="D36" s="150"/>
      <c r="E36" s="10"/>
      <c r="F36" s="10"/>
      <c r="G36" s="144"/>
      <c r="K36" s="74"/>
      <c r="L36" s="74"/>
      <c r="M36" s="74"/>
      <c r="N36" s="74"/>
      <c r="O36" s="74"/>
      <c r="P36" s="74"/>
      <c r="Q36" s="74"/>
      <c r="R36" s="74"/>
      <c r="S36" s="74"/>
      <c r="T36" s="74"/>
      <c r="U36" s="74"/>
      <c r="V36" s="74"/>
    </row>
    <row r="37" spans="1:22" ht="15.75" x14ac:dyDescent="0.25">
      <c r="A37" s="153" t="s">
        <v>85</v>
      </c>
      <c r="B37" s="154" t="s">
        <v>86</v>
      </c>
      <c r="C37" s="155" t="s">
        <v>87</v>
      </c>
      <c r="D37" s="118"/>
      <c r="E37" s="144"/>
      <c r="F37" s="144"/>
      <c r="G37" s="156"/>
      <c r="J37" s="94"/>
      <c r="K37" s="94"/>
      <c r="L37" s="94"/>
      <c r="M37" s="94"/>
      <c r="N37" s="94"/>
      <c r="O37" s="94"/>
      <c r="P37" s="94"/>
      <c r="Q37" s="94"/>
      <c r="R37" s="94"/>
      <c r="S37" s="94"/>
      <c r="T37" s="94"/>
      <c r="U37" s="94"/>
    </row>
    <row r="38" spans="1:22" ht="15.75" x14ac:dyDescent="0.25">
      <c r="A38" s="191"/>
      <c r="B38" s="192"/>
      <c r="C38" s="193"/>
      <c r="D38" s="144"/>
      <c r="E38" s="144"/>
      <c r="F38" s="144"/>
      <c r="G38" s="156"/>
      <c r="J38" s="94"/>
      <c r="K38" s="94"/>
      <c r="L38" s="94"/>
      <c r="M38" s="94"/>
      <c r="N38" s="94"/>
      <c r="O38" s="94"/>
      <c r="P38" s="94"/>
      <c r="Q38" s="94"/>
      <c r="R38" s="94"/>
      <c r="S38" s="94"/>
      <c r="T38" s="94"/>
      <c r="U38" s="94"/>
    </row>
    <row r="39" spans="1:22" ht="15.75" x14ac:dyDescent="0.25">
      <c r="A39" s="191"/>
      <c r="B39" s="192"/>
      <c r="C39" s="193"/>
      <c r="D39" s="144"/>
      <c r="E39" s="72"/>
      <c r="F39" s="72"/>
      <c r="G39" s="72"/>
      <c r="J39" s="94"/>
      <c r="K39" s="94"/>
      <c r="L39" s="94"/>
      <c r="M39" s="94"/>
      <c r="N39" s="94"/>
      <c r="O39" s="94"/>
      <c r="P39" s="94"/>
      <c r="Q39" s="94"/>
      <c r="R39" s="94"/>
      <c r="S39" s="94"/>
      <c r="T39" s="94"/>
      <c r="U39" s="94"/>
    </row>
    <row r="40" spans="1:22" ht="15.75" x14ac:dyDescent="0.25">
      <c r="A40" s="191"/>
      <c r="B40" s="192"/>
      <c r="C40" s="193"/>
      <c r="D40" s="144"/>
      <c r="E40" s="72"/>
      <c r="F40" s="72"/>
      <c r="G40" s="72"/>
      <c r="J40" s="94"/>
      <c r="K40" s="94"/>
      <c r="L40" s="94"/>
      <c r="M40" s="94"/>
      <c r="N40" s="94"/>
      <c r="O40" s="94"/>
      <c r="P40" s="94"/>
      <c r="Q40" s="94"/>
      <c r="R40" s="94"/>
      <c r="S40" s="94"/>
      <c r="T40" s="94"/>
      <c r="U40" s="94"/>
    </row>
    <row r="41" spans="1:22" ht="15.75" x14ac:dyDescent="0.25">
      <c r="A41" s="191"/>
      <c r="B41" s="192"/>
      <c r="C41" s="193"/>
      <c r="D41" s="144"/>
      <c r="E41" s="120"/>
      <c r="F41" s="120"/>
      <c r="G41" s="120"/>
      <c r="J41" s="94"/>
      <c r="K41" s="94"/>
      <c r="L41" s="94"/>
      <c r="M41" s="94"/>
      <c r="N41" s="94"/>
      <c r="O41" s="94"/>
      <c r="P41" s="94"/>
      <c r="Q41" s="94"/>
      <c r="R41" s="94"/>
      <c r="S41" s="94"/>
      <c r="T41" s="94"/>
      <c r="U41" s="94"/>
    </row>
    <row r="42" spans="1:22" ht="15.75" x14ac:dyDescent="0.25">
      <c r="A42" s="191"/>
      <c r="B42" s="192"/>
      <c r="C42" s="193"/>
      <c r="D42" s="144"/>
      <c r="F42" s="10"/>
      <c r="G42" s="10"/>
      <c r="J42" s="74"/>
      <c r="K42" s="74"/>
      <c r="L42" s="74"/>
      <c r="M42" s="74"/>
      <c r="N42" s="74"/>
      <c r="O42" s="74"/>
      <c r="P42" s="74"/>
      <c r="Q42" s="74"/>
      <c r="R42" s="74"/>
      <c r="S42" s="74"/>
      <c r="T42" s="74"/>
      <c r="U42" s="74"/>
    </row>
    <row r="43" spans="1:22" ht="15.75" x14ac:dyDescent="0.25">
      <c r="A43" s="157" t="s">
        <v>89</v>
      </c>
      <c r="B43" s="158"/>
      <c r="C43" s="159">
        <f>SUM(C38:C42)</f>
        <v>0</v>
      </c>
      <c r="D43" s="144"/>
      <c r="E43" s="74"/>
      <c r="F43" s="72"/>
      <c r="G43" s="10"/>
      <c r="J43" s="74"/>
      <c r="K43" s="74"/>
      <c r="L43" s="74"/>
      <c r="M43" s="74"/>
      <c r="N43" s="74"/>
      <c r="O43" s="74"/>
      <c r="P43" s="74"/>
      <c r="Q43" s="74"/>
      <c r="R43" s="74"/>
      <c r="S43" s="74"/>
      <c r="T43" s="74"/>
      <c r="U43" s="74"/>
    </row>
    <row r="44" spans="1:22" ht="16.5" thickBot="1" x14ac:dyDescent="0.3">
      <c r="A44" s="669" t="s">
        <v>22</v>
      </c>
      <c r="B44" s="669"/>
      <c r="C44" s="669"/>
      <c r="D44" s="72"/>
      <c r="E44" s="72"/>
      <c r="F44" s="72"/>
      <c r="G44" s="144"/>
      <c r="J44" s="94"/>
      <c r="K44" s="94"/>
      <c r="L44" s="94"/>
      <c r="M44" s="94"/>
      <c r="N44" s="94"/>
      <c r="O44" s="94"/>
      <c r="P44" s="94"/>
      <c r="Q44" s="94"/>
      <c r="R44" s="94"/>
      <c r="S44" s="94"/>
      <c r="T44" s="94"/>
      <c r="U44" s="94"/>
    </row>
    <row r="45" spans="1:22" ht="15.75" x14ac:dyDescent="0.25">
      <c r="A45" s="112" t="s">
        <v>91</v>
      </c>
      <c r="B45" s="114"/>
      <c r="C45" s="120"/>
      <c r="D45" s="120"/>
      <c r="E45" s="120"/>
      <c r="F45" s="120"/>
      <c r="G45" s="144"/>
      <c r="I45" s="94"/>
      <c r="J45" s="94"/>
      <c r="K45" s="94"/>
      <c r="L45" s="94"/>
      <c r="M45" s="94"/>
      <c r="N45" s="94"/>
      <c r="O45" s="94"/>
      <c r="P45" s="94"/>
      <c r="Q45" s="94"/>
      <c r="R45" s="94"/>
      <c r="S45" s="94"/>
      <c r="T45" s="94"/>
    </row>
    <row r="46" spans="1:22" ht="26.65" customHeight="1" x14ac:dyDescent="0.25">
      <c r="A46" s="71" t="s">
        <v>92</v>
      </c>
      <c r="B46" s="152"/>
      <c r="C46" s="120"/>
      <c r="D46" s="72"/>
      <c r="E46" s="74"/>
      <c r="F46" s="74"/>
      <c r="G46" s="144"/>
      <c r="I46" s="94"/>
      <c r="J46" s="94"/>
      <c r="K46" s="94"/>
      <c r="L46" s="94"/>
      <c r="M46" s="94"/>
      <c r="N46" s="94"/>
      <c r="O46" s="94"/>
      <c r="P46" s="94"/>
      <c r="Q46" s="94"/>
      <c r="R46" s="94"/>
      <c r="S46" s="94"/>
      <c r="T46" s="94"/>
    </row>
    <row r="47" spans="1:22" ht="15.75" x14ac:dyDescent="0.25">
      <c r="A47" s="160" t="s">
        <v>93</v>
      </c>
      <c r="B47" s="161" t="s">
        <v>94</v>
      </c>
      <c r="C47" s="118"/>
      <c r="D47" s="118"/>
      <c r="E47" s="144"/>
      <c r="F47" s="110"/>
      <c r="G47" s="10"/>
      <c r="I47" s="94"/>
      <c r="J47" s="94"/>
      <c r="K47" s="94"/>
      <c r="L47" s="94"/>
      <c r="M47" s="94"/>
      <c r="N47" s="94"/>
      <c r="O47" s="94"/>
      <c r="P47" s="94"/>
      <c r="Q47" s="94"/>
      <c r="R47" s="94"/>
      <c r="S47" s="94"/>
      <c r="T47" s="94"/>
    </row>
    <row r="48" spans="1:22" ht="60" customHeight="1" x14ac:dyDescent="0.25">
      <c r="A48" s="194"/>
      <c r="B48" s="195"/>
      <c r="C48" s="144"/>
      <c r="D48" s="144"/>
      <c r="E48" s="144"/>
      <c r="F48" s="72"/>
      <c r="G48" s="10"/>
      <c r="I48" s="94"/>
      <c r="J48" s="94"/>
      <c r="K48" s="94"/>
      <c r="L48" s="94"/>
      <c r="M48" s="94"/>
      <c r="N48" s="94"/>
      <c r="O48" s="94"/>
      <c r="P48" s="94"/>
      <c r="Q48" s="94"/>
      <c r="R48" s="94"/>
      <c r="S48" s="94"/>
      <c r="T48" s="94"/>
    </row>
    <row r="49" spans="1:20" ht="60" customHeight="1" x14ac:dyDescent="0.25">
      <c r="A49" s="194"/>
      <c r="B49" s="195"/>
      <c r="C49" s="144"/>
      <c r="D49" s="144"/>
      <c r="E49" s="156"/>
      <c r="F49" s="156"/>
      <c r="G49" s="156"/>
      <c r="I49" s="94"/>
      <c r="J49" s="94"/>
      <c r="K49" s="94"/>
      <c r="L49" s="94"/>
      <c r="M49" s="94"/>
      <c r="N49" s="94"/>
      <c r="O49" s="94"/>
      <c r="P49" s="94"/>
      <c r="Q49" s="94"/>
      <c r="R49" s="94"/>
      <c r="S49" s="94"/>
      <c r="T49" s="94"/>
    </row>
    <row r="50" spans="1:20" ht="60" customHeight="1" x14ac:dyDescent="0.25">
      <c r="A50" s="194"/>
      <c r="B50" s="195"/>
      <c r="C50" s="144"/>
      <c r="D50" s="144"/>
      <c r="E50" s="72"/>
      <c r="F50" s="72"/>
      <c r="G50" s="72"/>
    </row>
    <row r="51" spans="1:20" ht="60" customHeight="1" x14ac:dyDescent="0.25">
      <c r="A51" s="194"/>
      <c r="B51" s="195"/>
      <c r="C51" s="144"/>
      <c r="D51" s="144"/>
      <c r="E51" s="162"/>
      <c r="F51" s="162"/>
      <c r="G51" s="163"/>
    </row>
    <row r="52" spans="1:20" ht="60" customHeight="1" x14ac:dyDescent="0.25">
      <c r="A52" s="194"/>
      <c r="B52" s="195"/>
      <c r="C52" s="144"/>
      <c r="D52" s="144"/>
      <c r="E52" s="163"/>
      <c r="F52" s="163"/>
      <c r="G52" s="123"/>
    </row>
    <row r="53" spans="1:20" ht="15.75" x14ac:dyDescent="0.25">
      <c r="A53" s="164" t="s">
        <v>89</v>
      </c>
      <c r="B53" s="165">
        <f>SUM(B48:B52)</f>
        <v>0</v>
      </c>
      <c r="C53" s="144"/>
      <c r="D53" s="144"/>
      <c r="E53" s="74"/>
      <c r="G53" s="10"/>
    </row>
    <row r="54" spans="1:20" ht="16.5" thickBot="1" x14ac:dyDescent="0.3">
      <c r="A54" s="663" t="s">
        <v>22</v>
      </c>
      <c r="B54" s="663"/>
      <c r="C54" s="10"/>
      <c r="D54" s="72"/>
      <c r="E54" s="72"/>
      <c r="F54" s="72"/>
      <c r="G54" s="144"/>
    </row>
    <row r="55" spans="1:20" ht="15.75" x14ac:dyDescent="0.25">
      <c r="A55" s="167" t="str">
        <f>IF('3b. High Cost Fund'!$B13="No","This exception is not valid in your state.","Exception (e) The assumption of cost by the high cost fund operated by the")</f>
        <v>Exception (e) The assumption of cost by the high cost fund operated by the</v>
      </c>
      <c r="B55" s="146"/>
      <c r="C55" s="147"/>
      <c r="D55" s="131"/>
      <c r="E55" s="131"/>
      <c r="F55" s="144"/>
      <c r="G55" s="144"/>
    </row>
    <row r="56" spans="1:20" ht="28.15" customHeight="1" x14ac:dyDescent="0.25">
      <c r="A56" s="71" t="str">
        <f>IF('3b. High Cost Fund'!$B13="No","","SEA under §300.704. MUST be explicitly permitted by the SEA.")</f>
        <v>SEA under §300.704. MUST be explicitly permitted by the SEA.</v>
      </c>
      <c r="B56" s="168"/>
      <c r="C56" s="169"/>
      <c r="D56" s="170"/>
      <c r="E56" s="163"/>
      <c r="F56" s="144"/>
      <c r="G56" s="144"/>
    </row>
    <row r="57" spans="1:20" ht="15.75" x14ac:dyDescent="0.25">
      <c r="A57" s="171" t="s">
        <v>85</v>
      </c>
      <c r="B57" s="172" t="s">
        <v>96</v>
      </c>
      <c r="C57" s="118"/>
      <c r="D57" s="144"/>
      <c r="E57" s="144"/>
      <c r="F57" s="10"/>
      <c r="G57" s="10"/>
    </row>
    <row r="58" spans="1:20" ht="15.4" customHeight="1" x14ac:dyDescent="0.25">
      <c r="A58" s="196"/>
      <c r="B58" s="197"/>
      <c r="C58" s="337" t="str">
        <f>IF(AND(B58&lt;&gt;"",'3b. High Cost Fund'!$B13="No"),"Invalid entry. This exception is valid only in states with high-cost funds. If your state has a high-cost fund, please indicate that on tab 3b.","")</f>
        <v/>
      </c>
      <c r="D58" s="144"/>
      <c r="E58" s="144"/>
      <c r="F58" s="10"/>
      <c r="G58" s="10"/>
    </row>
    <row r="59" spans="1:20" ht="15.75" x14ac:dyDescent="0.25">
      <c r="A59" s="196"/>
      <c r="B59" s="197"/>
      <c r="C59" s="144"/>
      <c r="D59" s="10"/>
      <c r="E59" s="10"/>
      <c r="F59" s="10"/>
      <c r="G59" s="10"/>
    </row>
    <row r="60" spans="1:20" ht="15.75" x14ac:dyDescent="0.25">
      <c r="A60" s="196"/>
      <c r="B60" s="197"/>
      <c r="C60" s="144"/>
      <c r="D60" s="10"/>
      <c r="E60" s="10"/>
      <c r="F60" s="10"/>
      <c r="G60" s="10"/>
    </row>
    <row r="61" spans="1:20" ht="15.75" x14ac:dyDescent="0.25">
      <c r="A61" s="196"/>
      <c r="B61" s="197"/>
      <c r="C61" s="144"/>
      <c r="D61" s="10"/>
      <c r="E61" s="10"/>
      <c r="F61" s="10"/>
      <c r="G61" s="10"/>
    </row>
    <row r="62" spans="1:20" ht="15.75" x14ac:dyDescent="0.25">
      <c r="A62" s="196"/>
      <c r="B62" s="197"/>
      <c r="C62" s="144"/>
      <c r="D62" s="10"/>
      <c r="E62" s="10"/>
      <c r="F62" s="10"/>
      <c r="G62" s="10"/>
    </row>
    <row r="63" spans="1:20" ht="15.75" x14ac:dyDescent="0.25">
      <c r="A63" s="173" t="s">
        <v>89</v>
      </c>
      <c r="B63" s="174">
        <f>IF('3b. High Cost Fund'!$B13="No",0,SUM(B58:B62))</f>
        <v>0</v>
      </c>
      <c r="C63" s="144"/>
      <c r="D63" s="10"/>
      <c r="E63" s="10"/>
      <c r="F63" s="10"/>
      <c r="G63" s="10"/>
    </row>
    <row r="64" spans="1:20" ht="16.5" thickBot="1" x14ac:dyDescent="0.3">
      <c r="A64" s="663" t="s">
        <v>22</v>
      </c>
      <c r="B64" s="663"/>
      <c r="C64" s="144"/>
      <c r="D64" s="10"/>
      <c r="E64" s="10"/>
      <c r="F64" s="10"/>
      <c r="G64" s="10"/>
    </row>
    <row r="65" spans="1:7" ht="15.75" x14ac:dyDescent="0.25">
      <c r="A65" s="347" t="s">
        <v>107</v>
      </c>
      <c r="B65" s="348"/>
      <c r="C65" s="144"/>
      <c r="D65" s="10"/>
      <c r="E65" s="10"/>
      <c r="F65" s="10"/>
      <c r="G65" s="10"/>
    </row>
    <row r="66" spans="1:7" ht="15.75" x14ac:dyDescent="0.25">
      <c r="A66" s="242" t="s">
        <v>123</v>
      </c>
      <c r="B66" s="265" t="s">
        <v>124</v>
      </c>
      <c r="C66" s="144"/>
      <c r="D66" s="10"/>
      <c r="E66" s="10"/>
      <c r="F66" s="10"/>
      <c r="G66" s="10"/>
    </row>
    <row r="67" spans="1:7" ht="15.75" x14ac:dyDescent="0.25">
      <c r="A67" s="103" t="s">
        <v>0</v>
      </c>
      <c r="B67" s="240">
        <f>IF(B$28&gt;=0,(F$22+C$43+B$53+B$63),(F$22+C$43+B$53+B$63+B$32))</f>
        <v>0</v>
      </c>
      <c r="C67" s="144"/>
      <c r="D67" s="10"/>
      <c r="E67" s="10"/>
      <c r="F67" s="10"/>
      <c r="G67" s="10"/>
    </row>
    <row r="68" spans="1:7" ht="15.75" x14ac:dyDescent="0.25">
      <c r="A68" s="241" t="s">
        <v>2</v>
      </c>
      <c r="B68" s="174">
        <f>IF(B$28&gt;=0,(F$22+C$43+B$53+B$63),(F$22+C$43+B$53+B$63+C$32))</f>
        <v>0</v>
      </c>
      <c r="C68" s="144"/>
      <c r="D68" s="10"/>
      <c r="E68" s="10"/>
      <c r="F68" s="10"/>
      <c r="G68" s="10"/>
    </row>
    <row r="69" spans="1:7" ht="16.5" thickBot="1" x14ac:dyDescent="0.3">
      <c r="A69" s="664" t="s">
        <v>22</v>
      </c>
      <c r="B69" s="664"/>
      <c r="C69" s="10"/>
      <c r="D69" s="10"/>
      <c r="E69" s="10"/>
      <c r="F69" s="10"/>
      <c r="G69" s="10"/>
    </row>
    <row r="70" spans="1:7" ht="31.15" customHeight="1" x14ac:dyDescent="0.25">
      <c r="A70" s="336" t="s">
        <v>98</v>
      </c>
      <c r="B70" s="177"/>
      <c r="C70" s="11"/>
      <c r="D70" s="178"/>
      <c r="E70" s="10"/>
      <c r="F70" s="10"/>
      <c r="G70" s="10"/>
    </row>
    <row r="71" spans="1:7" ht="15.75" x14ac:dyDescent="0.25">
      <c r="A71" s="179" t="s">
        <v>71</v>
      </c>
      <c r="B71" s="180" t="s">
        <v>99</v>
      </c>
      <c r="C71" s="11" t="s">
        <v>100</v>
      </c>
      <c r="E71" s="10"/>
      <c r="F71" s="10"/>
      <c r="G71" s="10"/>
    </row>
    <row r="72" spans="1:7" ht="15.75" x14ac:dyDescent="0.25">
      <c r="A72" s="181" t="s">
        <v>102</v>
      </c>
      <c r="B72" s="198">
        <v>0</v>
      </c>
      <c r="C72" s="182" t="s">
        <v>103</v>
      </c>
      <c r="D72" s="10"/>
      <c r="E72" s="10"/>
      <c r="F72" s="10"/>
      <c r="G72" s="10"/>
    </row>
    <row r="73" spans="1:7" ht="30" customHeight="1" x14ac:dyDescent="0.25">
      <c r="A73" s="345" t="s">
        <v>184</v>
      </c>
      <c r="B73" s="183"/>
      <c r="C73" s="183"/>
      <c r="D73" s="183"/>
      <c r="E73" s="183"/>
      <c r="F73" s="183"/>
      <c r="G73" s="183"/>
    </row>
    <row r="74" spans="1:7" s="185" customFormat="1" ht="15.75" x14ac:dyDescent="0.25">
      <c r="A74" s="358" t="s">
        <v>183</v>
      </c>
      <c r="B74" s="184"/>
      <c r="C74" s="184"/>
      <c r="D74" s="184"/>
      <c r="E74" s="184"/>
      <c r="F74" s="184"/>
      <c r="G74" s="184"/>
    </row>
    <row r="75" spans="1:7" ht="15.75" x14ac:dyDescent="0.25">
      <c r="A75" s="665" t="s">
        <v>24</v>
      </c>
      <c r="B75" s="665"/>
      <c r="C75" s="665"/>
      <c r="D75" s="665"/>
      <c r="E75" s="665"/>
      <c r="F75" s="665"/>
      <c r="G75" s="665"/>
    </row>
    <row r="76" spans="1:7" ht="15.75" hidden="1" x14ac:dyDescent="0.25"/>
    <row r="77" spans="1:7" ht="15.75" hidden="1" x14ac:dyDescent="0.25"/>
    <row r="78" spans="1:7" ht="15.75" hidden="1" x14ac:dyDescent="0.25"/>
    <row r="79" spans="1:7" ht="15.75" hidden="1" x14ac:dyDescent="0.25"/>
  </sheetData>
  <sheetProtection algorithmName="SHA-512" hashValue="H5EgeBqTAF8zrmu41SFuhnF8toipbsfOxF3YmU5iAyATXRGK3+BnVx8CWz/NvrAV+GFvGwOHgiR6SCinNDqCBw==" saltValue="TujI25f7NDzC+wVPK/L/qA==" spinCount="100000" sheet="1" formatColumns="0" formatRows="0"/>
  <mergeCells count="7">
    <mergeCell ref="A54:B54"/>
    <mergeCell ref="A69:B69"/>
    <mergeCell ref="A75:G75"/>
    <mergeCell ref="A23:F23"/>
    <mergeCell ref="A33:C33"/>
    <mergeCell ref="A44:C44"/>
    <mergeCell ref="A64:B64"/>
  </mergeCells>
  <conditionalFormatting sqref="A55">
    <cfRule type="containsText" dxfId="162" priority="1" operator="containsText" text="not valid">
      <formula>NOT(ISERROR(SEARCH("not valid",A55)))</formula>
    </cfRule>
  </conditionalFormatting>
  <dataValidations count="1">
    <dataValidation type="list" allowBlank="1" showInputMessage="1" showErrorMessage="1" sqref="B38:B42" xr:uid="{00000000-0002-0000-2500-000000000000}">
      <formula1>Exception_c</formula1>
    </dataValidation>
  </dataValidations>
  <hyperlinks>
    <hyperlink ref="C72" r:id="rId1" xr:uid="{00000000-0004-0000-2500-000000000000}"/>
    <hyperlink ref="A74" r:id="rId2" xr:uid="{00000000-0004-0000-2500-000001000000}"/>
  </hyperlinks>
  <pageMargins left="0.75" right="0.75" top="1" bottom="1" header="0.5" footer="0.5"/>
  <pageSetup orientation="portrait" horizontalDpi="4294967292" verticalDpi="4294967292" r:id="rId3"/>
  <tableParts count="9">
    <tablePart r:id="rId4"/>
    <tablePart r:id="rId5"/>
    <tablePart r:id="rId6"/>
    <tablePart r:id="rId7"/>
    <tablePart r:id="rId8"/>
    <tablePart r:id="rId9"/>
    <tablePart r:id="rId10"/>
    <tablePart r:id="rId11"/>
    <tablePart r:id="rId1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0070C0"/>
  </sheetPr>
  <dimension ref="A1:F32"/>
  <sheetViews>
    <sheetView showGridLines="0" workbookViewId="0">
      <selection activeCell="A5" sqref="A5"/>
    </sheetView>
  </sheetViews>
  <sheetFormatPr defaultColWidth="0" defaultRowHeight="15" zeroHeight="1" x14ac:dyDescent="0.25"/>
  <cols>
    <col min="1" max="1" width="43.42578125" bestFit="1" customWidth="1"/>
    <col min="2" max="5" width="33.7109375" customWidth="1"/>
    <col min="6" max="6" width="0.85546875" customWidth="1"/>
    <col min="7" max="16384" width="9.140625" hidden="1"/>
  </cols>
  <sheetData>
    <row r="1" spans="1:5" ht="21" x14ac:dyDescent="0.35">
      <c r="A1" s="301" t="str">
        <f>CONCATENATE("Summary of Year 11: State Fiscal Year ",'2. Getting Started'!B6+10)</f>
        <v>Summary of Year 11: State Fiscal Year 2031</v>
      </c>
      <c r="B1" s="299"/>
      <c r="C1" s="299"/>
      <c r="D1" s="21" t="s">
        <v>14</v>
      </c>
      <c r="E1" s="20" t="str">
        <f>IF('2. Getting Started'!B2="","",'2. Getting Started'!B2)</f>
        <v/>
      </c>
    </row>
    <row r="2" spans="1:5" ht="18.75" x14ac:dyDescent="0.3">
      <c r="A2" s="2" t="str">
        <f>CONCATENATE("State fiscal year ",'2. Getting Started'!B6+10," covers the period ",'2. Getting Started'!B4,", ",'2. Getting Started'!B6+9," through ",'2. Getting Started'!B5,", ",'2. Getting Started'!B6+10)</f>
        <v>State fiscal year 2031 covers the period July 1, 2030 through June 30, 2031</v>
      </c>
      <c r="B2" s="299"/>
      <c r="C2" s="299"/>
      <c r="D2" s="300"/>
      <c r="E2" s="299"/>
    </row>
    <row r="3" spans="1:5" ht="18.75" x14ac:dyDescent="0.3">
      <c r="A3" s="8"/>
      <c r="B3" s="18"/>
      <c r="C3" s="18"/>
      <c r="D3" s="202"/>
      <c r="E3" s="18"/>
    </row>
    <row r="4" spans="1:5" ht="15.75" x14ac:dyDescent="0.25">
      <c r="A4" s="5" t="s">
        <v>7</v>
      </c>
      <c r="B4" s="4"/>
      <c r="C4" s="4"/>
      <c r="D4" s="4"/>
      <c r="E4" s="4"/>
    </row>
    <row r="5" spans="1:5" x14ac:dyDescent="0.25">
      <c r="A5" s="260" t="s">
        <v>125</v>
      </c>
      <c r="B5" s="244" t="s">
        <v>0</v>
      </c>
      <c r="C5" s="244" t="s">
        <v>2</v>
      </c>
      <c r="D5" s="244" t="s">
        <v>3</v>
      </c>
      <c r="E5" s="245" t="s">
        <v>4</v>
      </c>
    </row>
    <row r="6" spans="1:5" x14ac:dyDescent="0.25">
      <c r="A6" s="243" t="s">
        <v>44</v>
      </c>
      <c r="B6" s="3" t="e">
        <f>IF('2. Getting Started'!B10="","",IF('38. Total Local Funds'!F78="Met",'2. Getting Started'!$B$6+8,IF('38.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Funds'!F78="Met",'2. Getting Started'!$B$6+8,IF('39.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Capita'!F79="Met",'2. Getting Started'!$B$6+8,IF('40.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#DIV/0!</v>
      </c>
      <c r="E6" s="257" t="e">
        <f>IF('2. Getting Started'!B13="","",IF('41. State &amp; Local Funds Per Cap'!F79="Met",'2. Getting Started'!$B$6+8,IF('41.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#DIV/0!</v>
      </c>
    </row>
    <row r="7" spans="1:5" x14ac:dyDescent="0.25">
      <c r="A7" s="243" t="s">
        <v>45</v>
      </c>
      <c r="B7" s="205" t="e">
        <f>IF(B6="","",IF(B6='2. Getting Started'!$B$6+8,'29. Year 9 Amounts'!K30,IF(B6='2. Getting Started'!$B$6+7,'26. Year 8 Amounts'!K30,IF(B6='2. Getting Started'!$B$6+6,'23. Year 7 Amounts'!K30,IF(B6='2.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Started'!$B$6+8,'29. Year 9 Amounts'!M30,IF(C6='2. Getting Started'!$B$6+7,'26. Year 8 Amounts'!M30,IF(C6='2. Getting Started'!$B$6+6,'23. Year 7 Amounts'!M30,IF(C6='2.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Started'!$B$6+8,'29. Year 9 Amounts'!K31,IF(D6='2. Getting Started'!$B$6+7,'26. Year 8 Amounts'!K31,IF(D6='2. Getting Started'!$B$6+6,'23. Year 7 Amounts'!K31,IF(D6='2.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#DIV/0!</v>
      </c>
      <c r="E7" s="267" t="e">
        <f>IF(E6="","",IF(E6='2. Getting Started'!$B$6+8,'29. Year 9 Amounts'!M31,IF(E6='2. Getting Started'!$B$6+7,'26. Year 8 Amounts'!M31,IF(E6='2. Getting Started'!$B$6+6,'23. Year 7 Amounts'!M31,IF(E6='2.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#DIV/0!</v>
      </c>
    </row>
    <row r="8" spans="1:5" x14ac:dyDescent="0.25">
      <c r="A8" s="243" t="s">
        <v>9</v>
      </c>
      <c r="B8" s="205" t="str">
        <f>'35. Year 11 Amounts'!D30</f>
        <v/>
      </c>
      <c r="C8" s="205" t="str">
        <f>'35. Year 11 Amounts'!F30</f>
        <v/>
      </c>
      <c r="D8" s="205" t="str">
        <f>'35. Year 11 Amounts'!D31</f>
        <v/>
      </c>
      <c r="E8" s="267" t="str">
        <f>'35. Year 11 Amounts'!F31</f>
        <v/>
      </c>
    </row>
    <row r="9" spans="1:5" x14ac:dyDescent="0.25">
      <c r="A9" s="243" t="s">
        <v>117</v>
      </c>
      <c r="B9" s="201" t="str">
        <f>IF(B8="","",IF(B8&gt;=B7,"Met",IF(AND(B8&lt;B7,'38. Total Local Funds'!$B94="Met"),"Met with Exceptions &amp; Adjustments","Did Not Meet")))</f>
        <v/>
      </c>
      <c r="C9" s="201" t="str">
        <f>IF(C8="","",IF(C8&gt;=C7,"Met",IF(AND(C8&lt;C7,'39. Total State &amp; Local Funds'!$B94="Met"),"Met with Exceptions &amp; Adjustments","Did Not Meet")))</f>
        <v/>
      </c>
      <c r="D9" s="201" t="str">
        <f>IF(D8="","",IF(D8&gt;=D7,"Met",IF(AND(D8&lt;D7,'40. Local Funds Per Capita'!$B95="Met"),"Met with Exceptions &amp; Adjustments","Did Not Meet")))</f>
        <v/>
      </c>
      <c r="E9" s="259" t="str">
        <f>IF(E8="","",IF(E8&gt;=E7,"Met",IF(AND(E8&lt;E7,'41. State &amp; Local Funds Per Cap'!$B95="Met"),"Met with Exceptions &amp; Adjustments","Did Not Meet")))</f>
        <v/>
      </c>
    </row>
    <row r="10" spans="1:5" x14ac:dyDescent="0.25">
      <c r="A10" s="246" t="s">
        <v>46</v>
      </c>
      <c r="B10" s="256" t="str">
        <f>IF(B9="","",IF(B9="Did Not Meet",'38. Total Local Funds'!$B92-'38. Total Local Funds'!$B93,0))</f>
        <v/>
      </c>
      <c r="C10" s="256" t="str">
        <f>IF(C9="","",IF(C9="Did Not Meet",'39. Total State &amp; Local Funds'!$B92-'39. Total State &amp; Local Funds'!$B93,0))</f>
        <v/>
      </c>
      <c r="D10" s="256" t="str">
        <f>IF(D9="","",IF(D9="Did Not Meet",(('40. Local Funds Per Capita'!$B93-'40. Local Funds Per Capita'!$B94)*'35. Year 11 Amounts'!B1),0))</f>
        <v/>
      </c>
      <c r="E10" s="261" t="str">
        <f>IF(E9="","",IF(E9="Did Not Meet",(('41. State &amp; Local Funds Per Cap'!$B93-'41. State &amp; Local Funds Per Cap'!$B94)*'35. Year 11 Amounts'!B1),0))</f>
        <v/>
      </c>
    </row>
    <row r="11" spans="1:5" x14ac:dyDescent="0.25">
      <c r="A11" s="657" t="s">
        <v>174</v>
      </c>
      <c r="B11" s="657"/>
      <c r="C11" s="657"/>
      <c r="D11" s="657"/>
      <c r="E11" s="657"/>
    </row>
    <row r="12" spans="1:5" ht="15.75" x14ac:dyDescent="0.25">
      <c r="A12" s="5" t="s">
        <v>10</v>
      </c>
      <c r="B12" s="5"/>
      <c r="C12" s="5"/>
      <c r="D12" s="5"/>
      <c r="E12" s="5"/>
    </row>
    <row r="13" spans="1:5" x14ac:dyDescent="0.25">
      <c r="A13" s="260" t="s">
        <v>125</v>
      </c>
      <c r="B13" s="244" t="s">
        <v>0</v>
      </c>
      <c r="C13" s="244" t="s">
        <v>2</v>
      </c>
      <c r="D13" s="244" t="s">
        <v>3</v>
      </c>
      <c r="E13" s="245" t="s">
        <v>4</v>
      </c>
    </row>
    <row r="14" spans="1:5" x14ac:dyDescent="0.25">
      <c r="A14" s="243" t="s">
        <v>44</v>
      </c>
      <c r="B14" s="276"/>
      <c r="C14" s="277"/>
      <c r="D14" s="277"/>
      <c r="E14" s="278"/>
    </row>
    <row r="15" spans="1:5" x14ac:dyDescent="0.25">
      <c r="A15" s="243" t="s">
        <v>45</v>
      </c>
      <c r="B15" s="279"/>
      <c r="C15" s="280"/>
      <c r="D15" s="280"/>
      <c r="E15" s="281"/>
    </row>
    <row r="16" spans="1:5" x14ac:dyDescent="0.25">
      <c r="A16" s="243" t="s">
        <v>11</v>
      </c>
      <c r="B16" s="250" t="s">
        <v>119</v>
      </c>
      <c r="C16" s="251"/>
      <c r="D16" s="251"/>
      <c r="E16" s="252"/>
    </row>
    <row r="17" spans="1:5" x14ac:dyDescent="0.25">
      <c r="A17" s="243" t="s">
        <v>117</v>
      </c>
      <c r="B17" s="279"/>
      <c r="C17" s="280"/>
      <c r="D17" s="280"/>
      <c r="E17" s="281"/>
    </row>
    <row r="18" spans="1:5" x14ac:dyDescent="0.25">
      <c r="A18" s="246" t="s">
        <v>46</v>
      </c>
      <c r="B18" s="282"/>
      <c r="C18" s="283"/>
      <c r="D18" s="283"/>
      <c r="E18" s="284"/>
    </row>
    <row r="19" spans="1:5" x14ac:dyDescent="0.25">
      <c r="A19" s="657" t="s">
        <v>174</v>
      </c>
      <c r="B19" s="657"/>
      <c r="C19" s="657"/>
      <c r="D19" s="657"/>
      <c r="E19" s="657"/>
    </row>
    <row r="20" spans="1:5" x14ac:dyDescent="0.25">
      <c r="A20" s="2" t="str">
        <f>CONCATENATE("Exceptions and Adjustment Claimed for State Fiscal Year ",'2. Getting Started'!B6+10)</f>
        <v>Exceptions and Adjustment Claimed for State Fiscal Year 2031</v>
      </c>
    </row>
    <row r="21" spans="1:5" x14ac:dyDescent="0.25">
      <c r="A21" s="2"/>
      <c r="B21" s="322" t="s">
        <v>147</v>
      </c>
      <c r="C21" s="4"/>
    </row>
    <row r="22" spans="1:5" x14ac:dyDescent="0.25">
      <c r="A22" s="260" t="s">
        <v>150</v>
      </c>
      <c r="B22" s="244" t="s">
        <v>154</v>
      </c>
      <c r="C22" s="245" t="s">
        <v>155</v>
      </c>
    </row>
    <row r="23" spans="1:5" x14ac:dyDescent="0.25">
      <c r="A23" s="224" t="s">
        <v>139</v>
      </c>
      <c r="B23" s="17">
        <f>'36. Year 11 Exc &amp; Adj'!F12</f>
        <v>0</v>
      </c>
      <c r="C23" s="258">
        <f>'36. Year 11 Exc &amp; Adj'!F12</f>
        <v>0</v>
      </c>
    </row>
    <row r="24" spans="1:5" x14ac:dyDescent="0.25">
      <c r="A24" s="224" t="s">
        <v>140</v>
      </c>
      <c r="B24" s="17" t="str">
        <f>'36. Year 11 Exc &amp; Adj'!B32</f>
        <v/>
      </c>
      <c r="C24" s="258" t="str">
        <f>'36. Year 11 Exc &amp; Adj'!C32</f>
        <v/>
      </c>
    </row>
    <row r="25" spans="1:5" x14ac:dyDescent="0.25">
      <c r="A25" s="224" t="s">
        <v>141</v>
      </c>
      <c r="B25" s="17">
        <f>'36. Year 11 Exc &amp; Adj'!C33</f>
        <v>0</v>
      </c>
      <c r="C25" s="258">
        <f>'36. Year 11 Exc &amp; Adj'!C33</f>
        <v>0</v>
      </c>
    </row>
    <row r="26" spans="1:5" x14ac:dyDescent="0.25">
      <c r="A26" s="224" t="s">
        <v>142</v>
      </c>
      <c r="B26" s="17">
        <f>'36. Year 11 Exc &amp; Adj'!B43</f>
        <v>0</v>
      </c>
      <c r="C26" s="258">
        <f>'36. Year 11 Exc &amp; Adj'!B43</f>
        <v>0</v>
      </c>
    </row>
    <row r="27" spans="1:5" x14ac:dyDescent="0.25">
      <c r="A27" s="224" t="str">
        <f>IF('3b. High Cost Fund'!$B13="No","This exception is not valid for your state.","Exception (e)")</f>
        <v>Exception (e)</v>
      </c>
      <c r="B27" s="17">
        <f>IF('3b. High Cost Fund'!$B13="No","",'36. Year 11 Exc &amp; Adj'!B53)</f>
        <v>0</v>
      </c>
      <c r="C27" s="258">
        <f>IF('3b. High Cost Fund'!$B13="No","",'36. Year 11 Exc &amp; Adj'!B53)</f>
        <v>0</v>
      </c>
    </row>
    <row r="28" spans="1:5" x14ac:dyDescent="0.25">
      <c r="A28" s="224" t="s">
        <v>143</v>
      </c>
      <c r="B28" s="17">
        <f>AdjDataYear11Budget[Projected Adjustment]</f>
        <v>0</v>
      </c>
      <c r="C28" s="258">
        <f>AdjDataYear11Budget[Projected Adjustment]</f>
        <v>0</v>
      </c>
    </row>
    <row r="29" spans="1:5" x14ac:dyDescent="0.25">
      <c r="A29" s="246" t="s">
        <v>124</v>
      </c>
      <c r="B29" s="328">
        <f>SUM(B23:B28)</f>
        <v>0</v>
      </c>
      <c r="C29" s="329">
        <f>SUM(C23:C28)</f>
        <v>0</v>
      </c>
    </row>
    <row r="30" spans="1:5" ht="28.5" customHeight="1" x14ac:dyDescent="0.25">
      <c r="A30" s="345" t="s">
        <v>184</v>
      </c>
      <c r="B30" s="346"/>
      <c r="C30" s="346"/>
      <c r="D30" s="346"/>
      <c r="E30" s="346"/>
    </row>
    <row r="31" spans="1:5" ht="15.75" x14ac:dyDescent="0.25">
      <c r="A31" s="358" t="s">
        <v>183</v>
      </c>
    </row>
    <row r="32" spans="1:5" x14ac:dyDescent="0.25">
      <c r="A32" s="657" t="s">
        <v>24</v>
      </c>
      <c r="B32" s="657"/>
      <c r="C32" s="657"/>
      <c r="D32" s="657"/>
      <c r="E32" s="657"/>
    </row>
  </sheetData>
  <sheetProtection algorithmName="SHA-512" hashValue="UyBFBpEBkwnmTR36C/SW3Wsxr+BaxKS6jQF+BN63dA8Txv30OQ7B90Tnnedr9HFz0P7VkQNjJhkEY+Oev/9txg==" saltValue="xmbbrxjOOFqOMkfNSSb4oA==" spinCount="100000" sheet="1" objects="1" scenarios="1" formatColumns="0" formatRows="0"/>
  <mergeCells count="3">
    <mergeCell ref="A11:E11"/>
    <mergeCell ref="A19:E19"/>
    <mergeCell ref="A32:E32"/>
  </mergeCells>
  <conditionalFormatting sqref="B9:E9">
    <cfRule type="containsText" dxfId="161" priority="1" operator="containsText" text="Did Not Meet">
      <formula>NOT(ISERROR(SEARCH("Did Not Meet",B9)))</formula>
    </cfRule>
    <cfRule type="containsText" dxfId="160" priority="2" operator="containsText" text="Met">
      <formula>NOT(ISERROR(SEARCH("Met",B9)))</formula>
    </cfRule>
  </conditionalFormatting>
  <hyperlinks>
    <hyperlink ref="A31" r:id="rId1" xr:uid="{00000000-0004-0000-2600-000000000000}"/>
  </hyperlinks>
  <pageMargins left="0.7" right="0.7" top="0.75" bottom="0.75" header="0.3" footer="0.3"/>
  <pageSetup orientation="landscape" verticalDpi="300" r:id="rId2"/>
  <tableParts count="3">
    <tablePart r:id="rId3"/>
    <tablePart r:id="rId4"/>
    <tablePart r:id="rId5"/>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theme="7"/>
  </sheetPr>
  <dimension ref="A1:I97"/>
  <sheetViews>
    <sheetView showGridLines="0" topLeftCell="A31" zoomScaleNormal="100" workbookViewId="0">
      <selection activeCell="F1" sqref="F1"/>
    </sheetView>
  </sheetViews>
  <sheetFormatPr defaultColWidth="0" defaultRowHeight="15" zeroHeight="1" x14ac:dyDescent="0.25"/>
  <cols>
    <col min="1" max="1" width="43.5703125" customWidth="1"/>
    <col min="2" max="2" width="25.85546875" bestFit="1" customWidth="1"/>
    <col min="3" max="4" width="9.140625" customWidth="1"/>
    <col min="5" max="5" width="43.5703125" customWidth="1"/>
    <col min="6" max="6" width="26.140625" bestFit="1" customWidth="1"/>
    <col min="7" max="7" width="0.85546875" customWidth="1"/>
    <col min="8" max="8" width="27" hidden="1" customWidth="1"/>
    <col min="9" max="9" width="9.140625" hidden="1" customWidth="1"/>
    <col min="10" max="16384" width="9.140625" hidden="1"/>
  </cols>
  <sheetData>
    <row r="1" spans="1:9" ht="33.75" customHeight="1" x14ac:dyDescent="0.25">
      <c r="A1" s="302" t="s">
        <v>171</v>
      </c>
      <c r="B1" s="303"/>
      <c r="C1" s="674" t="s">
        <v>174</v>
      </c>
      <c r="D1" s="674"/>
      <c r="E1" s="21" t="s">
        <v>14</v>
      </c>
      <c r="F1" s="20" t="str">
        <f>IF('2. Getting Started'!B2="","",'2. Getting Started'!B2)</f>
        <v/>
      </c>
    </row>
    <row r="2" spans="1:9" ht="18.75" customHeight="1" x14ac:dyDescent="0.3">
      <c r="A2" s="18" t="s">
        <v>13</v>
      </c>
      <c r="B2" s="4"/>
      <c r="C2" s="674"/>
      <c r="D2" s="674"/>
      <c r="E2" s="18" t="s">
        <v>6</v>
      </c>
      <c r="F2" s="4"/>
      <c r="H2" s="2" t="s">
        <v>12</v>
      </c>
    </row>
    <row r="3" spans="1:9" ht="39" customHeight="1" x14ac:dyDescent="0.25">
      <c r="A3" s="16" t="str">
        <f>CONCATENATE("Prior to Year 1: SFY ",'2. Getting Started'!B6)</f>
        <v>Prior to Year 1: SFY 2021</v>
      </c>
      <c r="B3" s="16"/>
      <c r="C3" s="674"/>
      <c r="D3" s="674"/>
      <c r="E3" s="16" t="str">
        <f>CONCATENATE("Prior to Year 1: SFY ",'2. Getting Started'!B6)</f>
        <v>Prior to Year 1: SFY 2021</v>
      </c>
      <c r="F3" s="16"/>
      <c r="H3" s="2"/>
    </row>
    <row r="4" spans="1:9" ht="30" x14ac:dyDescent="0.25">
      <c r="A4" s="225" t="str">
        <f>CONCATENATE("Last year before SFY ",'2. Getting Started'!B6," that the compliance standard was met for total local funds")</f>
        <v>Last year before SFY 2021 that the compliance standard was met for total local funds</v>
      </c>
      <c r="B4" s="257">
        <f>IF('2. Getting Started'!B10="","",'2. Getting Started'!B10)</f>
        <v>2020</v>
      </c>
      <c r="C4" s="674"/>
      <c r="D4" s="674"/>
      <c r="E4" s="225" t="str">
        <f>CONCATENATE("Last year before SFY ",'2. Getting Started'!B6," that the compliance standard was met for total local funds")</f>
        <v>Last year before SFY 2021 that the compliance standard was met for total local funds</v>
      </c>
      <c r="F4" s="257">
        <f>IF('2. Getting Started'!B10="","",'2. Getting Started'!B10)</f>
        <v>2020</v>
      </c>
      <c r="H4" s="1" t="s">
        <v>21</v>
      </c>
      <c r="I4">
        <f>'2. Getting Started'!B6-'2. Getting Started'!B10</f>
        <v>1</v>
      </c>
    </row>
    <row r="5" spans="1:9" ht="15" customHeight="1" x14ac:dyDescent="0.25">
      <c r="A5" s="224" t="s">
        <v>1</v>
      </c>
      <c r="B5" s="258">
        <f>IF('2. Getting Started'!C10="","",'2. Getting Started'!C10)</f>
        <v>0</v>
      </c>
      <c r="C5" s="674"/>
      <c r="D5" s="674"/>
      <c r="E5" s="224" t="s">
        <v>1</v>
      </c>
      <c r="F5" s="258">
        <f>IF('2. Getting Started'!C10="","",'2. Getting Started'!C10)</f>
        <v>0</v>
      </c>
    </row>
    <row r="6" spans="1:9" ht="15" customHeight="1" x14ac:dyDescent="0.25">
      <c r="A6" s="229" t="s">
        <v>5</v>
      </c>
      <c r="B6" s="261">
        <f>IF(B5="","",IF(I4=1,0,IF(I4&gt;1,VLOOKUP(I4,'3a. Intervening Years'!I4:K22,2))))</f>
        <v>0</v>
      </c>
      <c r="C6" s="674"/>
      <c r="D6" s="674"/>
      <c r="E6" s="229" t="s">
        <v>5</v>
      </c>
      <c r="F6" s="261">
        <f>IF(F5="","",IF(I4=1,0,IF(I4&gt;1,VLOOKUP(I4,'3a. Intervening Years'!I4:K22,2))))</f>
        <v>0</v>
      </c>
    </row>
    <row r="7" spans="1:9" ht="15" customHeight="1" x14ac:dyDescent="0.25">
      <c r="A7" s="673" t="s">
        <v>174</v>
      </c>
      <c r="B7" s="673"/>
      <c r="C7" s="674"/>
      <c r="D7" s="674"/>
      <c r="E7" s="673" t="s">
        <v>174</v>
      </c>
      <c r="F7" s="673"/>
    </row>
    <row r="8" spans="1:9" ht="15.75" customHeight="1" x14ac:dyDescent="0.25">
      <c r="A8" s="5" t="str">
        <f>CONCATENATE("Year 1: SFY ",'2. Getting Started'!B$6)</f>
        <v>Year 1: SFY 2021</v>
      </c>
      <c r="B8" s="4"/>
      <c r="C8" s="674"/>
      <c r="D8" s="674"/>
      <c r="E8" s="5" t="str">
        <f>CONCATENATE("Year 1: SFY ",'2. Getting Started'!B$6)</f>
        <v>Year 1: SFY 2021</v>
      </c>
      <c r="F8" s="4"/>
    </row>
    <row r="9" spans="1:9" ht="15" customHeight="1" x14ac:dyDescent="0.25">
      <c r="A9" s="675" t="s">
        <v>180</v>
      </c>
      <c r="B9" s="676"/>
      <c r="C9" s="674"/>
      <c r="D9" s="674"/>
      <c r="E9" s="224" t="str">
        <f>CONCATENATE("Starting MOE Threshold for SFY ",'2. Getting Started'!B$6)</f>
        <v>Starting MOE Threshold for SFY 2021</v>
      </c>
      <c r="F9" s="258">
        <f>IF(F5="","",(F5-F6))</f>
        <v>0</v>
      </c>
    </row>
    <row r="10" spans="1:9" ht="15" customHeight="1" x14ac:dyDescent="0.25">
      <c r="A10" s="677"/>
      <c r="B10" s="678"/>
      <c r="C10" s="674"/>
      <c r="D10" s="674"/>
      <c r="E10" s="224" t="str">
        <f>CONCATENATE("SFY ",'2. Getting Started'!B$6," Exceptions")</f>
        <v>SFY 2021 Exceptions</v>
      </c>
      <c r="F10" s="258">
        <f>'6. Year 1 Exc &amp; Adj'!I67</f>
        <v>0</v>
      </c>
    </row>
    <row r="11" spans="1:9" ht="15" customHeight="1" x14ac:dyDescent="0.25">
      <c r="A11" s="677"/>
      <c r="B11" s="678"/>
      <c r="C11" s="674"/>
      <c r="D11" s="674"/>
      <c r="E11" s="224" t="str">
        <f>CONCATENATE("SFY ",'2. Getting Started'!B$6," Adjustment")</f>
        <v>SFY 2021 Adjustment</v>
      </c>
      <c r="F11" s="258">
        <f>AdjDataYear1Expenditures[[Adjustment ]]</f>
        <v>0</v>
      </c>
    </row>
    <row r="12" spans="1:9" ht="15" customHeight="1" x14ac:dyDescent="0.25">
      <c r="A12" s="677"/>
      <c r="B12" s="678"/>
      <c r="C12" s="674"/>
      <c r="D12" s="674"/>
      <c r="E12" s="224" t="str">
        <f>CONCATENATE("Adjusted MOE Threshold for SFY ",'2. Getting Started'!B$6)</f>
        <v>Adjusted MOE Threshold for SFY 2021</v>
      </c>
      <c r="F12" s="258">
        <f>IF(F9="","",(F9-F10-F11))</f>
        <v>0</v>
      </c>
    </row>
    <row r="13" spans="1:9" ht="15" customHeight="1" x14ac:dyDescent="0.25">
      <c r="A13" s="677"/>
      <c r="B13" s="678"/>
      <c r="C13" s="674"/>
      <c r="D13" s="674"/>
      <c r="E13" s="224" t="str">
        <f>CONCATENATE("Final Expenditures for SFY ",'2. Getting Started'!B$6)</f>
        <v>Final Expenditures for SFY 2021</v>
      </c>
      <c r="F13" s="258">
        <f>'5. Year 1 Amounts'!K30</f>
        <v>0</v>
      </c>
    </row>
    <row r="14" spans="1:9" ht="15" customHeight="1" x14ac:dyDescent="0.25">
      <c r="A14" s="679"/>
      <c r="B14" s="680"/>
      <c r="C14" s="674"/>
      <c r="D14" s="674"/>
      <c r="E14" s="275" t="str">
        <f>CONCATENATE("MOE Result for SFY ",'2. Getting Started'!B$6)</f>
        <v>MOE Result for SFY 2021</v>
      </c>
      <c r="F14" s="285" t="str">
        <f>IF(F13="","",IF(F13&gt;=F12,"Met","Did Not Meet"))</f>
        <v>Met</v>
      </c>
    </row>
    <row r="15" spans="1:9" ht="15" customHeight="1" x14ac:dyDescent="0.25">
      <c r="A15" s="673" t="s">
        <v>174</v>
      </c>
      <c r="B15" s="673"/>
      <c r="C15" s="674"/>
      <c r="D15" s="674"/>
      <c r="E15" s="673" t="s">
        <v>174</v>
      </c>
      <c r="F15" s="673"/>
    </row>
    <row r="16" spans="1:9" ht="15.75" customHeight="1" x14ac:dyDescent="0.25">
      <c r="A16" s="5" t="str">
        <f>CONCATENATE("Year 2: SFY ",'2. Getting Started'!B$6+1)</f>
        <v>Year 2: SFY 2022</v>
      </c>
      <c r="B16" s="4"/>
      <c r="C16" s="674"/>
      <c r="D16" s="674"/>
      <c r="E16" s="5" t="str">
        <f>CONCATENATE("Year 2: SFY ",'2. Getting Started'!B$6+1)</f>
        <v>Year 2: SFY 2022</v>
      </c>
      <c r="F16" s="4"/>
    </row>
    <row r="17" spans="1:6" ht="15" customHeight="1" x14ac:dyDescent="0.25">
      <c r="A17" s="224" t="str">
        <f>CONCATENATE("Starting MOE Threshold for SFY ",'2. Getting Started'!B$6+1)</f>
        <v>Starting MOE Threshold for SFY 2022</v>
      </c>
      <c r="B17" s="258">
        <f>IF(B5="","",(B5-B6))</f>
        <v>0</v>
      </c>
      <c r="C17" s="674"/>
      <c r="D17" s="674"/>
      <c r="E17" s="224" t="str">
        <f>CONCATENATE("Starting MOE Threshold for SFY ",'2. Getting Started'!B$6+1)</f>
        <v>Starting MOE Threshold for SFY 2022</v>
      </c>
      <c r="F17" s="258">
        <f>IF(F14="Met",F13,F12)</f>
        <v>0</v>
      </c>
    </row>
    <row r="18" spans="1:6" ht="15" customHeight="1" x14ac:dyDescent="0.25">
      <c r="A18" s="224" t="str">
        <f>CONCATENATE("SFY ",'2. Getting Started'!B$6," + ",'2. Getting Started'!B$6+1," Projected Exceptions")</f>
        <v>SFY 2021 + 2022 Projected Exceptions</v>
      </c>
      <c r="B18" s="258" t="e">
        <f>'6. Year 1 Exc &amp; Adj'!B67+'9. Year 2 Exc &amp; Adj'!B67</f>
        <v>#N/A</v>
      </c>
      <c r="C18" s="674"/>
      <c r="D18" s="674"/>
      <c r="E18" s="224" t="str">
        <f>CONCATENATE("SFY ",'2. Getting Started'!B$6+1," Exceptions")</f>
        <v>SFY 2022 Exceptions</v>
      </c>
      <c r="F18" s="258" t="e">
        <f>'9. Year 2 Exc &amp; Adj'!I67</f>
        <v>#N/A</v>
      </c>
    </row>
    <row r="19" spans="1:6" ht="15" customHeight="1" x14ac:dyDescent="0.25">
      <c r="A19" s="224" t="str">
        <f>CONCATENATE("SFY ",'2. Getting Started'!B$6," + ",'2. Getting Started'!B$6+1," Projected Adjustments")</f>
        <v>SFY 2021 + 2022 Projected Adjustments</v>
      </c>
      <c r="B19" s="258">
        <f>AdjDataYear1Budget[Projected Adjustment]+AdjDataYear2Budget[Projected Adjustment]</f>
        <v>0</v>
      </c>
      <c r="C19" s="674"/>
      <c r="D19" s="674"/>
      <c r="E19" s="224" t="str">
        <f>CONCATENATE("SFY ",'2. Getting Started'!B$6+1," Adjustment")</f>
        <v>SFY 2022 Adjustment</v>
      </c>
      <c r="F19" s="258">
        <f>AdjDataYear2Expenditures[[Adjustment ]]</f>
        <v>0</v>
      </c>
    </row>
    <row r="20" spans="1:6" ht="15" customHeight="1" x14ac:dyDescent="0.25">
      <c r="A20" s="224" t="str">
        <f>CONCATENATE("Adjusted MOE Threshold for SFY ",'2. Getting Started'!B$6+1)</f>
        <v>Adjusted MOE Threshold for SFY 2022</v>
      </c>
      <c r="B20" s="258" t="e">
        <f>IF(B17="","",(B17-B18-B19))</f>
        <v>#N/A</v>
      </c>
      <c r="C20" s="674"/>
      <c r="D20" s="674"/>
      <c r="E20" s="224" t="str">
        <f>CONCATENATE("Adjusted MOE Threshold for SFY ",'2. Getting Started'!B$6+1)</f>
        <v>Adjusted MOE Threshold for SFY 2022</v>
      </c>
      <c r="F20" s="258" t="e">
        <f>IF(F17="","",(F17-F18-F19))</f>
        <v>#N/A</v>
      </c>
    </row>
    <row r="21" spans="1:6" ht="15" customHeight="1" x14ac:dyDescent="0.25">
      <c r="A21" s="224" t="str">
        <f>CONCATENATE("Budgeted Amount for SFY ",'2. Getting Started'!B$6+1)</f>
        <v>Budgeted Amount for SFY 2022</v>
      </c>
      <c r="B21" s="258">
        <f>'8. Year 2 Amounts'!D30</f>
        <v>0</v>
      </c>
      <c r="C21" s="674"/>
      <c r="D21" s="674"/>
      <c r="E21" s="224" t="str">
        <f>CONCATENATE("Final Expenditures for SFY ",'2. Getting Started'!B$6+1)</f>
        <v>Final Expenditures for SFY 2022</v>
      </c>
      <c r="F21" s="258">
        <f>'8. Year 2 Amounts'!K30</f>
        <v>0</v>
      </c>
    </row>
    <row r="22" spans="1:6" ht="15" customHeight="1" x14ac:dyDescent="0.25">
      <c r="A22" s="275" t="str">
        <f>CONCATENATE("MOE Result for SFY ",'2. Getting Started'!B$6+1)</f>
        <v>MOE Result for SFY 2022</v>
      </c>
      <c r="B22" s="285" t="e">
        <f>IF(B21="","",IF(B21&gt;=B20,"Met","Did Not Meet"))</f>
        <v>#N/A</v>
      </c>
      <c r="C22" s="674"/>
      <c r="D22" s="674"/>
      <c r="E22" s="275" t="str">
        <f>CONCATENATE("MOE Result for SFY ",'2. Getting Started'!B$6+1)</f>
        <v>MOE Result for SFY 2022</v>
      </c>
      <c r="F22" s="285" t="e">
        <f>IF(F21="","",IF(F21&gt;=F20,"Met","Did Not Meet"))</f>
        <v>#N/A</v>
      </c>
    </row>
    <row r="23" spans="1:6" ht="15" customHeight="1" x14ac:dyDescent="0.25">
      <c r="A23" s="673" t="s">
        <v>174</v>
      </c>
      <c r="B23" s="673"/>
      <c r="C23" s="674"/>
      <c r="D23" s="674"/>
      <c r="E23" s="673" t="s">
        <v>174</v>
      </c>
      <c r="F23" s="673"/>
    </row>
    <row r="24" spans="1:6" ht="15.75" customHeight="1" x14ac:dyDescent="0.25">
      <c r="A24" s="5" t="str">
        <f>CONCATENATE("Year 3: SFY ",'2. Getting Started'!B$6+2)</f>
        <v>Year 3: SFY 2023</v>
      </c>
      <c r="B24" s="4"/>
      <c r="C24" s="674"/>
      <c r="D24" s="674"/>
      <c r="E24" s="5" t="str">
        <f>CONCATENATE("Year 3: SFY ",'2. Getting Started'!B$6+2)</f>
        <v>Year 3: SFY 2023</v>
      </c>
      <c r="F24" s="4"/>
    </row>
    <row r="25" spans="1:6" ht="15" customHeight="1" x14ac:dyDescent="0.25">
      <c r="A25" s="224" t="str">
        <f>CONCATENATE("Starting MOE Threshold for SFY ",'2. Getting Started'!B$6+2)</f>
        <v>Starting MOE Threshold for SFY 2023</v>
      </c>
      <c r="B25" s="258">
        <f>IF(F14="Met",F13,F12)</f>
        <v>0</v>
      </c>
      <c r="C25" s="674"/>
      <c r="D25" s="674"/>
      <c r="E25" s="224" t="str">
        <f>CONCATENATE("Starting MOE Threshold for SFY ",'2. Getting Started'!B$6+2)</f>
        <v>Starting MOE Threshold for SFY 2023</v>
      </c>
      <c r="F25" s="258" t="e">
        <f>IF(F22="Met",F21,F20)</f>
        <v>#N/A</v>
      </c>
    </row>
    <row r="26" spans="1:6" ht="15" customHeight="1" x14ac:dyDescent="0.25">
      <c r="A26" s="224" t="str">
        <f>CONCATENATE("SFY ",'2. Getting Started'!B$6+1," + ",'2. Getting Started'!B$6+2," Projected Exceptions")</f>
        <v>SFY 2022 + 2023 Projected Exceptions</v>
      </c>
      <c r="B26" s="258" t="e">
        <f>'9. Year 2 Exc &amp; Adj'!B67+'12. Year 3 Exc &amp; Adj'!B67</f>
        <v>#N/A</v>
      </c>
      <c r="C26" s="674"/>
      <c r="D26" s="674"/>
      <c r="E26" s="224" t="str">
        <f>CONCATENATE("SFY ",'2. Getting Started'!B$6+2," Exceptions")</f>
        <v>SFY 2023 Exceptions</v>
      </c>
      <c r="F26" s="258" t="e">
        <f>'12. Year 3 Exc &amp; Adj'!I67</f>
        <v>#N/A</v>
      </c>
    </row>
    <row r="27" spans="1:6" ht="15" customHeight="1" x14ac:dyDescent="0.25">
      <c r="A27" s="224" t="str">
        <f>CONCATENATE("SFY ",'2. Getting Started'!B$6+1," + ",'2. Getting Started'!B$6+2," Projected Adjustments")</f>
        <v>SFY 2022 + 2023 Projected Adjustments</v>
      </c>
      <c r="B27" s="258">
        <f>AdjDataYear3Budget[Projected Adjustment]+AdjDataYear2Budget[Projected Adjustment]</f>
        <v>0</v>
      </c>
      <c r="C27" s="674"/>
      <c r="D27" s="674"/>
      <c r="E27" s="224" t="str">
        <f>CONCATENATE("SFY ",'2. Getting Started'!B$6+2," Adjustment")</f>
        <v>SFY 2023 Adjustment</v>
      </c>
      <c r="F27" s="258" t="e">
        <f>AdjDataYear3Expenditures[[Adjustment ]]</f>
        <v>#N/A</v>
      </c>
    </row>
    <row r="28" spans="1:6" ht="15" customHeight="1" x14ac:dyDescent="0.25">
      <c r="A28" s="224" t="str">
        <f>CONCATENATE("Adjusted MOE Threshold for SFY ",'2. Getting Started'!B$6+2)</f>
        <v>Adjusted MOE Threshold for SFY 2023</v>
      </c>
      <c r="B28" s="258" t="e">
        <f>IF(B25="","",(B25-B26-B27))</f>
        <v>#N/A</v>
      </c>
      <c r="C28" s="674"/>
      <c r="D28" s="674"/>
      <c r="E28" s="224" t="str">
        <f>CONCATENATE("Adjusted MOE Threshold for SFY ",'2. Getting Started'!B$6+2)</f>
        <v>Adjusted MOE Threshold for SFY 2023</v>
      </c>
      <c r="F28" s="258" t="e">
        <f>IF(F25="","",(F25-F26-F27))</f>
        <v>#N/A</v>
      </c>
    </row>
    <row r="29" spans="1:6" ht="15" customHeight="1" x14ac:dyDescent="0.25">
      <c r="A29" s="224" t="str">
        <f>CONCATENATE("Budgeted Amount for SFY ",'2. Getting Started'!B$6+2)</f>
        <v>Budgeted Amount for SFY 2023</v>
      </c>
      <c r="B29" s="258" t="str">
        <f>'11. Year 3 Amounts'!D30</f>
        <v/>
      </c>
      <c r="C29" s="674"/>
      <c r="D29" s="674"/>
      <c r="E29" s="224" t="str">
        <f>CONCATENATE("Final Expenditures for SFY ",'2. Getting Started'!B$6+2)</f>
        <v>Final Expenditures for SFY 2023</v>
      </c>
      <c r="F29" s="258">
        <f>'11. Year 3 Amounts'!K30</f>
        <v>0</v>
      </c>
    </row>
    <row r="30" spans="1:6" ht="15" customHeight="1" x14ac:dyDescent="0.25">
      <c r="A30" s="275" t="str">
        <f>CONCATENATE("MOE Result for SFY ",'2. Getting Started'!B$6+2)</f>
        <v>MOE Result for SFY 2023</v>
      </c>
      <c r="B30" s="285" t="str">
        <f>IF(B29="","",IF(B29&gt;=B28,"Met","Did Not Meet"))</f>
        <v/>
      </c>
      <c r="C30" s="674"/>
      <c r="D30" s="674"/>
      <c r="E30" s="275" t="str">
        <f>CONCATENATE("MOE Result for SFY ",'2. Getting Started'!B$6+2)</f>
        <v>MOE Result for SFY 2023</v>
      </c>
      <c r="F30" s="285" t="e">
        <f>IF(F29="","",IF(F29&gt;=F28,"Met","Did Not Meet"))</f>
        <v>#N/A</v>
      </c>
    </row>
    <row r="31" spans="1:6" ht="15" customHeight="1" x14ac:dyDescent="0.25">
      <c r="A31" s="673" t="s">
        <v>174</v>
      </c>
      <c r="B31" s="673"/>
      <c r="C31" s="674"/>
      <c r="D31" s="674"/>
      <c r="E31" s="673" t="s">
        <v>174</v>
      </c>
      <c r="F31" s="673"/>
    </row>
    <row r="32" spans="1:6" ht="15.75" customHeight="1" x14ac:dyDescent="0.25">
      <c r="A32" s="5" t="str">
        <f>CONCATENATE("Year 4: SFY ",'2. Getting Started'!B$6+3)</f>
        <v>Year 4: SFY 2024</v>
      </c>
      <c r="B32" s="4"/>
      <c r="C32" s="674"/>
      <c r="D32" s="674"/>
      <c r="E32" s="5" t="str">
        <f>CONCATENATE("Year 4: SFY ",'2. Getting Started'!B$6+3)</f>
        <v>Year 4: SFY 2024</v>
      </c>
      <c r="F32" s="4"/>
    </row>
    <row r="33" spans="1:6" ht="15" customHeight="1" x14ac:dyDescent="0.25">
      <c r="A33" s="224" t="str">
        <f>CONCATENATE("Starting MOE Threshold for SFY ",'2. Getting Started'!B$6+3)</f>
        <v>Starting MOE Threshold for SFY 2024</v>
      </c>
      <c r="B33" s="258" t="e">
        <f>IF(F22="Met",F21,F20)</f>
        <v>#N/A</v>
      </c>
      <c r="C33" s="674"/>
      <c r="D33" s="674"/>
      <c r="E33" s="224" t="str">
        <f>CONCATENATE("Starting MOE Threshold for SFY ",'2. Getting Started'!B$6+3)</f>
        <v>Starting MOE Threshold for SFY 2024</v>
      </c>
      <c r="F33" s="258" t="e">
        <f>IF(F30="Met",F29,F28)</f>
        <v>#N/A</v>
      </c>
    </row>
    <row r="34" spans="1:6" ht="15" customHeight="1" x14ac:dyDescent="0.25">
      <c r="A34" s="224" t="str">
        <f>CONCATENATE("SFY ",'2. Getting Started'!B$6+2," + ",'2. Getting Started'!B$6+3," Projected Exceptions")</f>
        <v>SFY 2023 + 2024 Projected Exceptions</v>
      </c>
      <c r="B34" s="258" t="e">
        <f>'12. Year 3 Exc &amp; Adj'!B67+'15. Year 4 Exc &amp; Adj'!B67</f>
        <v>#N/A</v>
      </c>
      <c r="C34" s="674"/>
      <c r="D34" s="674"/>
      <c r="E34" s="224" t="str">
        <f>CONCATENATE("SFY ",'2. Getting Started'!B$6+3," Exceptions")</f>
        <v>SFY 2024 Exceptions</v>
      </c>
      <c r="F34" s="258">
        <f>'15. Year 4 Exc &amp; Adj'!I67</f>
        <v>0</v>
      </c>
    </row>
    <row r="35" spans="1:6" ht="15" customHeight="1" x14ac:dyDescent="0.25">
      <c r="A35" s="224" t="str">
        <f>CONCATENATE("SFY ",'2. Getting Started'!B$6+2," + ",'2. Getting Started'!B$6+3," Projected Adjustments")</f>
        <v>SFY 2023 + 2024 Projected Adjustments</v>
      </c>
      <c r="B35" s="258">
        <f>AdjDataYear3Budget[Projected Adjustment]+AdjDataYear4Budget[Projected Adjustment]</f>
        <v>0</v>
      </c>
      <c r="C35" s="674"/>
      <c r="D35" s="674"/>
      <c r="E35" s="224" t="str">
        <f>CONCATENATE("SFY ",'2. Getting Started'!B$6+3," Adjustment")</f>
        <v>SFY 2024 Adjustment</v>
      </c>
      <c r="F35" s="258">
        <f>AdjDataYear4Expenditures[[Adjustment ]]</f>
        <v>0</v>
      </c>
    </row>
    <row r="36" spans="1:6" ht="15" customHeight="1" x14ac:dyDescent="0.25">
      <c r="A36" s="224" t="str">
        <f>CONCATENATE("Adjusted MOE Threshold for SFY ",'2. Getting Started'!B$6+3)</f>
        <v>Adjusted MOE Threshold for SFY 2024</v>
      </c>
      <c r="B36" s="258" t="e">
        <f>IF(B33="","",(B33-B34-B35))</f>
        <v>#N/A</v>
      </c>
      <c r="C36" s="674"/>
      <c r="D36" s="674"/>
      <c r="E36" s="224" t="str">
        <f>CONCATENATE("Adjusted MOE Threshold for SFY ",'2. Getting Started'!B$6+3)</f>
        <v>Adjusted MOE Threshold for SFY 2024</v>
      </c>
      <c r="F36" s="258" t="e">
        <f>IF(F33="","",(F33-F34-F35))</f>
        <v>#N/A</v>
      </c>
    </row>
    <row r="37" spans="1:6" ht="15" customHeight="1" x14ac:dyDescent="0.25">
      <c r="A37" s="224" t="str">
        <f>CONCATENATE("Budgeted Amount for SFY ",'2. Getting Started'!B$6+3)</f>
        <v>Budgeted Amount for SFY 2024</v>
      </c>
      <c r="B37" s="258" t="str">
        <f>'14. Year 4 Amounts'!D30</f>
        <v/>
      </c>
      <c r="C37" s="674"/>
      <c r="D37" s="674"/>
      <c r="E37" s="224" t="str">
        <f>CONCATENATE("Final Expenditures for SFY ",'2. Getting Started'!B$6+3)</f>
        <v>Final Expenditures for SFY 2024</v>
      </c>
      <c r="F37" s="258">
        <f>'14. Year 4 Amounts'!K30</f>
        <v>0</v>
      </c>
    </row>
    <row r="38" spans="1:6" ht="15" customHeight="1" x14ac:dyDescent="0.25">
      <c r="A38" s="275" t="str">
        <f>CONCATENATE("MOE Result for SFY ",'2. Getting Started'!B$6+3)</f>
        <v>MOE Result for SFY 2024</v>
      </c>
      <c r="B38" s="285" t="str">
        <f>IF(B37="","",IF(B37&gt;=B36,"Met","Did Not Meet"))</f>
        <v/>
      </c>
      <c r="C38" s="674"/>
      <c r="D38" s="674"/>
      <c r="E38" s="275" t="str">
        <f>CONCATENATE("MOE Result for SFY ",'2. Getting Started'!B$6+3)</f>
        <v>MOE Result for SFY 2024</v>
      </c>
      <c r="F38" s="285" t="e">
        <f>IF(F37="","",IF(F37&gt;=F36,"Met","Did Not Meet"))</f>
        <v>#N/A</v>
      </c>
    </row>
    <row r="39" spans="1:6" ht="15" customHeight="1" x14ac:dyDescent="0.25">
      <c r="A39" s="673" t="s">
        <v>174</v>
      </c>
      <c r="B39" s="673"/>
      <c r="C39" s="674"/>
      <c r="D39" s="674"/>
      <c r="E39" s="673" t="s">
        <v>174</v>
      </c>
      <c r="F39" s="673"/>
    </row>
    <row r="40" spans="1:6" ht="15.75" customHeight="1" x14ac:dyDescent="0.25">
      <c r="A40" s="5" t="str">
        <f>CONCATENATE("Year 5: SFY ",'2. Getting Started'!B$6+4)</f>
        <v>Year 5: SFY 2025</v>
      </c>
      <c r="B40" s="4"/>
      <c r="C40" s="674"/>
      <c r="D40" s="674"/>
      <c r="E40" s="5" t="str">
        <f>CONCATENATE("Year 5: SFY ",'2. Getting Started'!B$6+4)</f>
        <v>Year 5: SFY 2025</v>
      </c>
      <c r="F40" s="4"/>
    </row>
    <row r="41" spans="1:6" ht="15" customHeight="1" x14ac:dyDescent="0.25">
      <c r="A41" s="224" t="str">
        <f>CONCATENATE("Starting MOE Threshold for SFY ",'2. Getting Started'!B$6+4)</f>
        <v>Starting MOE Threshold for SFY 2025</v>
      </c>
      <c r="B41" s="258" t="e">
        <f>IF(F30="Met",F29,F28)</f>
        <v>#N/A</v>
      </c>
      <c r="C41" s="674"/>
      <c r="D41" s="674"/>
      <c r="E41" s="224" t="str">
        <f>CONCATENATE("Starting MOE Threshold for SFY ",'2. Getting Started'!B$6+4)</f>
        <v>Starting MOE Threshold for SFY 2025</v>
      </c>
      <c r="F41" s="258" t="e">
        <f>IF(F38="Met",F37,F36)</f>
        <v>#N/A</v>
      </c>
    </row>
    <row r="42" spans="1:6" ht="15" customHeight="1" x14ac:dyDescent="0.25">
      <c r="A42" s="224" t="str">
        <f>CONCATENATE("SFY ",'2. Getting Started'!B$6+3," + ",'2. Getting Started'!B$6+4," Projected Exceptions")</f>
        <v>SFY 2024 + 2025 Projected Exceptions</v>
      </c>
      <c r="B42" s="258">
        <f>'15. Year 4 Exc &amp; Adj'!B67+'18. Year 5 Exc &amp; Adj'!B67</f>
        <v>0</v>
      </c>
      <c r="C42" s="674"/>
      <c r="D42" s="674"/>
      <c r="E42" s="224" t="str">
        <f>CONCATENATE("SFY ",'2. Getting Started'!B$6+4," Exceptions")</f>
        <v>SFY 2025 Exceptions</v>
      </c>
      <c r="F42" s="258">
        <f>'18. Year 5 Exc &amp; Adj'!I67</f>
        <v>0</v>
      </c>
    </row>
    <row r="43" spans="1:6" ht="15" customHeight="1" x14ac:dyDescent="0.25">
      <c r="A43" s="224" t="str">
        <f>CONCATENATE("SFY ",'2. Getting Started'!B$6+3," + ",'2. Getting Started'!B$6+4," Projected Adjustments")</f>
        <v>SFY 2024 + 2025 Projected Adjustments</v>
      </c>
      <c r="B43" s="258">
        <f>AdjDataYear4Budget[Projected Adjustment]+AdjDataYear5Budget[Projected Adjustment]</f>
        <v>0</v>
      </c>
      <c r="C43" s="674"/>
      <c r="D43" s="674"/>
      <c r="E43" s="224" t="str">
        <f>CONCATENATE("SFY ",'2. Getting Started'!B$6+4," Adjustment")</f>
        <v>SFY 2025 Adjustment</v>
      </c>
      <c r="F43" s="258">
        <f>AdjDataYear5Expenditures[[Adjustment ]]</f>
        <v>0</v>
      </c>
    </row>
    <row r="44" spans="1:6" ht="15" customHeight="1" x14ac:dyDescent="0.25">
      <c r="A44" s="224" t="str">
        <f>CONCATENATE("Adjusted MOE Threshold for SFY ",'2. Getting Started'!B$6+4)</f>
        <v>Adjusted MOE Threshold for SFY 2025</v>
      </c>
      <c r="B44" s="258" t="e">
        <f>IF(B41="","",(B41-B42-B43))</f>
        <v>#N/A</v>
      </c>
      <c r="C44" s="674"/>
      <c r="D44" s="674"/>
      <c r="E44" s="224" t="str">
        <f>CONCATENATE("Adjusted MOE Threshold for SFY ",'2. Getting Started'!B$6+4)</f>
        <v>Adjusted MOE Threshold for SFY 2025</v>
      </c>
      <c r="F44" s="258" t="e">
        <f>IF(F41="","",(F41-F42-F43))</f>
        <v>#N/A</v>
      </c>
    </row>
    <row r="45" spans="1:6" ht="15" customHeight="1" x14ac:dyDescent="0.25">
      <c r="A45" s="224" t="str">
        <f>CONCATENATE("Budgeted Amount for SFY ",'2. Getting Started'!B$6+4)</f>
        <v>Budgeted Amount for SFY 2025</v>
      </c>
      <c r="B45" s="258" t="str">
        <f>'17. Year 5 Amounts'!D30</f>
        <v/>
      </c>
      <c r="C45" s="674"/>
      <c r="D45" s="674"/>
      <c r="E45" s="224" t="str">
        <f>CONCATENATE("Final Expenditures for SFY ",'2. Getting Started'!B$6+4)</f>
        <v>Final Expenditures for SFY 2025</v>
      </c>
      <c r="F45" s="258" t="str">
        <f>'17. Year 5 Amounts'!K30</f>
        <v/>
      </c>
    </row>
    <row r="46" spans="1:6" ht="15" customHeight="1" x14ac:dyDescent="0.25">
      <c r="A46" s="275" t="str">
        <f>CONCATENATE("MOE Result for SFY ",'2. Getting Started'!B$6+4)</f>
        <v>MOE Result for SFY 2025</v>
      </c>
      <c r="B46" s="285" t="str">
        <f>IF(B45="","",IF(B45&gt;=B44,"Met","Did Not Meet"))</f>
        <v/>
      </c>
      <c r="C46" s="674"/>
      <c r="D46" s="674"/>
      <c r="E46" s="275" t="str">
        <f>CONCATENATE("MOE Result for SFY ",'2. Getting Started'!B$6+4)</f>
        <v>MOE Result for SFY 2025</v>
      </c>
      <c r="F46" s="285" t="str">
        <f>IF(F45="","",IF(F45&gt;=F44,"Met","Did Not Meet"))</f>
        <v/>
      </c>
    </row>
    <row r="47" spans="1:6" ht="15" customHeight="1" x14ac:dyDescent="0.25">
      <c r="A47" s="673" t="s">
        <v>174</v>
      </c>
      <c r="B47" s="673"/>
      <c r="C47" s="674"/>
      <c r="D47" s="674"/>
      <c r="E47" s="673" t="s">
        <v>174</v>
      </c>
      <c r="F47" s="673"/>
    </row>
    <row r="48" spans="1:6" ht="15.75" customHeight="1" x14ac:dyDescent="0.25">
      <c r="A48" s="5" t="str">
        <f>CONCATENATE("Year 6: SFY ",'2. Getting Started'!B$6+5)</f>
        <v>Year 6: SFY 2026</v>
      </c>
      <c r="B48" s="4"/>
      <c r="C48" s="674"/>
      <c r="D48" s="674"/>
      <c r="E48" s="5" t="str">
        <f>CONCATENATE("Year 6: SFY ",'2. Getting Started'!B$6+5)</f>
        <v>Year 6: SFY 2026</v>
      </c>
      <c r="F48" s="4"/>
    </row>
    <row r="49" spans="1:6" ht="15" customHeight="1" x14ac:dyDescent="0.25">
      <c r="A49" s="224" t="str">
        <f>CONCATENATE("Starting MOE Threshold for SFY ",'2. Getting Started'!B$6+5)</f>
        <v>Starting MOE Threshold for SFY 2026</v>
      </c>
      <c r="B49" s="258" t="e">
        <f>IF(F38="Met",F37,F36)</f>
        <v>#N/A</v>
      </c>
      <c r="C49" s="674"/>
      <c r="D49" s="674"/>
      <c r="E49" s="224" t="str">
        <f>CONCATENATE("Starting MOE Threshold for SFY ",'2. Getting Started'!B$6+5)</f>
        <v>Starting MOE Threshold for SFY 2026</v>
      </c>
      <c r="F49" s="258" t="e">
        <f>IF(F46="Met",F45,F44)</f>
        <v>#N/A</v>
      </c>
    </row>
    <row r="50" spans="1:6" ht="15" customHeight="1" x14ac:dyDescent="0.25">
      <c r="A50" s="224" t="str">
        <f>CONCATENATE("SFY ",'2. Getting Started'!B$6+4," + ",'2. Getting Started'!B$6+5," Projected Exceptions")</f>
        <v>SFY 2025 + 2026 Projected Exceptions</v>
      </c>
      <c r="B50" s="258">
        <f>'18. Year 5 Exc &amp; Adj'!B67+'21. Year 6 Exc &amp; Adj'!B67</f>
        <v>0</v>
      </c>
      <c r="C50" s="674"/>
      <c r="D50" s="674"/>
      <c r="E50" s="224" t="str">
        <f>CONCATENATE("SFY ",'2. Getting Started'!B$6+5," Exceptions")</f>
        <v>SFY 2026 Exceptions</v>
      </c>
      <c r="F50" s="258">
        <f>'21. Year 6 Exc &amp; Adj'!I67</f>
        <v>0</v>
      </c>
    </row>
    <row r="51" spans="1:6" ht="15" customHeight="1" x14ac:dyDescent="0.25">
      <c r="A51" s="224" t="str">
        <f>CONCATENATE("SFY ",'2. Getting Started'!B$6+4," + ",'2. Getting Started'!B$6+5," Projected Adjustments")</f>
        <v>SFY 2025 + 2026 Projected Adjustments</v>
      </c>
      <c r="B51" s="258">
        <f>AdjDataYear5Budget[Projected Adjustment]+AdjDataYear6Budget[Projected Adjustment]</f>
        <v>0</v>
      </c>
      <c r="C51" s="674"/>
      <c r="D51" s="674"/>
      <c r="E51" s="224" t="str">
        <f>CONCATENATE("SFY ",'2. Getting Started'!B$6+5," Adjustment")</f>
        <v>SFY 2026 Adjustment</v>
      </c>
      <c r="F51" s="258">
        <f>AdjDataYear6Expenditures[[Adjustment ]]</f>
        <v>0</v>
      </c>
    </row>
    <row r="52" spans="1:6" ht="15" customHeight="1" x14ac:dyDescent="0.25">
      <c r="A52" s="224" t="str">
        <f>CONCATENATE("Adjusted MOE Threshold for SFY ",'2. Getting Started'!B$6+5)</f>
        <v>Adjusted MOE Threshold for SFY 2026</v>
      </c>
      <c r="B52" s="258" t="e">
        <f>IF(B49="","",(B49-B50-B51))</f>
        <v>#N/A</v>
      </c>
      <c r="C52" s="674"/>
      <c r="D52" s="674"/>
      <c r="E52" s="224" t="str">
        <f>CONCATENATE("Adjusted MOE Threshold for SFY ",'2. Getting Started'!B$6+5)</f>
        <v>Adjusted MOE Threshold for SFY 2026</v>
      </c>
      <c r="F52" s="258" t="e">
        <f>IF(F49="","",(F49-F50-F51))</f>
        <v>#N/A</v>
      </c>
    </row>
    <row r="53" spans="1:6" ht="15" customHeight="1" x14ac:dyDescent="0.25">
      <c r="A53" s="224" t="str">
        <f>CONCATENATE("Budgeted Amount for SFY ",'2. Getting Started'!B$6+5)</f>
        <v>Budgeted Amount for SFY 2026</v>
      </c>
      <c r="B53" s="258" t="str">
        <f>'20. Year 6 Amounts'!D30</f>
        <v/>
      </c>
      <c r="C53" s="674"/>
      <c r="D53" s="674"/>
      <c r="E53" s="224" t="str">
        <f>CONCATENATE("Final Expenditures for SFY ",'2. Getting Started'!B$6+5)</f>
        <v>Final Expenditures for SFY 2026</v>
      </c>
      <c r="F53" s="258" t="str">
        <f>'20. Year 6 Amounts'!K30</f>
        <v/>
      </c>
    </row>
    <row r="54" spans="1:6" ht="15" customHeight="1" x14ac:dyDescent="0.25">
      <c r="A54" s="275" t="str">
        <f>CONCATENATE("MOE Result for SFY ",'2. Getting Started'!B$6+5)</f>
        <v>MOE Result for SFY 2026</v>
      </c>
      <c r="B54" s="285" t="str">
        <f>IF(B53="","",IF(B53&gt;=B52,"Met","Did Not Meet"))</f>
        <v/>
      </c>
      <c r="C54" s="674"/>
      <c r="D54" s="674"/>
      <c r="E54" s="275" t="str">
        <f>CONCATENATE("MOE Result for SFY ",'2. Getting Started'!B$6+5)</f>
        <v>MOE Result for SFY 2026</v>
      </c>
      <c r="F54" s="285" t="str">
        <f>IF(F53="","",IF(F53&gt;=F52,"Met","Did Not Meet"))</f>
        <v/>
      </c>
    </row>
    <row r="55" spans="1:6" ht="15" customHeight="1" x14ac:dyDescent="0.25">
      <c r="A55" s="673" t="s">
        <v>174</v>
      </c>
      <c r="B55" s="673"/>
      <c r="C55" s="674"/>
      <c r="D55" s="674"/>
      <c r="E55" s="673" t="s">
        <v>174</v>
      </c>
      <c r="F55" s="673"/>
    </row>
    <row r="56" spans="1:6" ht="15.75" customHeight="1" x14ac:dyDescent="0.25">
      <c r="A56" s="5" t="str">
        <f>CONCATENATE("Year 7: SFY ",'2. Getting Started'!B$6+6)</f>
        <v>Year 7: SFY 2027</v>
      </c>
      <c r="B56" s="4"/>
      <c r="C56" s="674"/>
      <c r="D56" s="674"/>
      <c r="E56" s="5" t="str">
        <f>CONCATENATE("Year 7: SFY ",'2. Getting Started'!B$6+6)</f>
        <v>Year 7: SFY 2027</v>
      </c>
      <c r="F56" s="4"/>
    </row>
    <row r="57" spans="1:6" ht="15" customHeight="1" x14ac:dyDescent="0.25">
      <c r="A57" s="224" t="str">
        <f>CONCATENATE("Starting MOE Threshold for SFY ",'2. Getting Started'!B$6+6)</f>
        <v>Starting MOE Threshold for SFY 2027</v>
      </c>
      <c r="B57" s="258" t="e">
        <f>IF(F46="Met",F45,F44)</f>
        <v>#N/A</v>
      </c>
      <c r="C57" s="674"/>
      <c r="D57" s="674"/>
      <c r="E57" s="224" t="str">
        <f>CONCATENATE("Starting MOE Threshold for SFY ",'2. Getting Started'!B$6+6)</f>
        <v>Starting MOE Threshold for SFY 2027</v>
      </c>
      <c r="F57" s="258" t="e">
        <f>IF(F54="Met",F53,F52)</f>
        <v>#N/A</v>
      </c>
    </row>
    <row r="58" spans="1:6" ht="15" customHeight="1" x14ac:dyDescent="0.25">
      <c r="A58" s="224" t="str">
        <f>CONCATENATE("SFY ",'2. Getting Started'!B$6+5," + ",'2. Getting Started'!B$6+6," Projected Exceptions")</f>
        <v>SFY 2026 + 2027 Projected Exceptions</v>
      </c>
      <c r="B58" s="258">
        <f>'21. Year 6 Exc &amp; Adj'!B67+'24. Year 7 Exc &amp; Adj'!B67</f>
        <v>0</v>
      </c>
      <c r="C58" s="674"/>
      <c r="D58" s="674"/>
      <c r="E58" s="224" t="str">
        <f>CONCATENATE("SFY ",'2. Getting Started'!B$6+6," Exceptions")</f>
        <v>SFY 2027 Exceptions</v>
      </c>
      <c r="F58" s="258">
        <f>'24. Year 7 Exc &amp; Adj'!I67</f>
        <v>0</v>
      </c>
    </row>
    <row r="59" spans="1:6" ht="15" customHeight="1" x14ac:dyDescent="0.25">
      <c r="A59" s="224" t="str">
        <f>CONCATENATE("SFY ",'2. Getting Started'!B$6+5," + ",'2. Getting Started'!B$6+6," Projected Adjustments")</f>
        <v>SFY 2026 + 2027 Projected Adjustments</v>
      </c>
      <c r="B59" s="258">
        <f>AdjDataYear6Budget[Projected Adjustment]+AdjDataYear7Budget[Projected Adjustment]</f>
        <v>0</v>
      </c>
      <c r="C59" s="674"/>
      <c r="D59" s="674"/>
      <c r="E59" s="224" t="str">
        <f>CONCATENATE("SFY ",'2. Getting Started'!B$6+6," Adjustment")</f>
        <v>SFY 2027 Adjustment</v>
      </c>
      <c r="F59" s="258">
        <f>AdjDataYear7Expenditures[[Adjustment ]]</f>
        <v>0</v>
      </c>
    </row>
    <row r="60" spans="1:6" ht="15" customHeight="1" x14ac:dyDescent="0.25">
      <c r="A60" s="224" t="str">
        <f>CONCATENATE("Adjusted MOE Threshold for SFY ",'2. Getting Started'!B$6+6)</f>
        <v>Adjusted MOE Threshold for SFY 2027</v>
      </c>
      <c r="B60" s="258" t="e">
        <f>IF(B57="","",(B57-B58-B59))</f>
        <v>#N/A</v>
      </c>
      <c r="C60" s="674"/>
      <c r="D60" s="674"/>
      <c r="E60" s="224" t="str">
        <f>CONCATENATE("Adjusted MOE Threshold for SFY ",'2. Getting Started'!B$6+6)</f>
        <v>Adjusted MOE Threshold for SFY 2027</v>
      </c>
      <c r="F60" s="258" t="e">
        <f>IF(F57="","",(F57-F58-F59))</f>
        <v>#N/A</v>
      </c>
    </row>
    <row r="61" spans="1:6" ht="15" customHeight="1" x14ac:dyDescent="0.25">
      <c r="A61" s="224" t="str">
        <f>CONCATENATE("Budgeted Amount for SFY ",'2. Getting Started'!B$6+6)</f>
        <v>Budgeted Amount for SFY 2027</v>
      </c>
      <c r="B61" s="258" t="str">
        <f>'23. Year 7 Amounts'!D30</f>
        <v/>
      </c>
      <c r="C61" s="674"/>
      <c r="D61" s="674"/>
      <c r="E61" s="224" t="str">
        <f>CONCATENATE("Final Expenditures for SFY ",'2. Getting Started'!B$6+6)</f>
        <v>Final Expenditures for SFY 2027</v>
      </c>
      <c r="F61" s="258" t="str">
        <f>'23. Year 7 Amounts'!K30</f>
        <v/>
      </c>
    </row>
    <row r="62" spans="1:6" ht="15" customHeight="1" x14ac:dyDescent="0.25">
      <c r="A62" s="275" t="str">
        <f>CONCATENATE("MOE Result for SFY ",'2. Getting Started'!B$6+6)</f>
        <v>MOE Result for SFY 2027</v>
      </c>
      <c r="B62" s="285" t="str">
        <f>IF(B61="","",IF(B61&gt;=B60,"Met","Did Not Meet"))</f>
        <v/>
      </c>
      <c r="C62" s="674"/>
      <c r="D62" s="674"/>
      <c r="E62" s="275" t="str">
        <f>CONCATENATE("MOE Result for SFY ",'2. Getting Started'!B$6+6)</f>
        <v>MOE Result for SFY 2027</v>
      </c>
      <c r="F62" s="285" t="str">
        <f>IF(F61="","",IF(F61&gt;=F60,"Met","Did Not Meet"))</f>
        <v/>
      </c>
    </row>
    <row r="63" spans="1:6" ht="15" customHeight="1" x14ac:dyDescent="0.25">
      <c r="A63" s="673" t="s">
        <v>174</v>
      </c>
      <c r="B63" s="673"/>
      <c r="C63" s="674"/>
      <c r="D63" s="674"/>
      <c r="E63" s="673" t="s">
        <v>174</v>
      </c>
      <c r="F63" s="673"/>
    </row>
    <row r="64" spans="1:6" ht="15.75" customHeight="1" x14ac:dyDescent="0.25">
      <c r="A64" s="5" t="str">
        <f>CONCATENATE("Year 8: SFY ",'2. Getting Started'!B$6+7)</f>
        <v>Year 8: SFY 2028</v>
      </c>
      <c r="B64" s="4"/>
      <c r="C64" s="674"/>
      <c r="D64" s="674"/>
      <c r="E64" s="5" t="str">
        <f>CONCATENATE("Year 8: SFY ",'2. Getting Started'!B$6+7)</f>
        <v>Year 8: SFY 2028</v>
      </c>
      <c r="F64" s="4"/>
    </row>
    <row r="65" spans="1:6" ht="15" customHeight="1" x14ac:dyDescent="0.25">
      <c r="A65" s="224" t="str">
        <f>CONCATENATE("Starting MOE Threshold for SFY ",'2. Getting Started'!B$6+7)</f>
        <v>Starting MOE Threshold for SFY 2028</v>
      </c>
      <c r="B65" s="258" t="e">
        <f>IF(F54="Met",F53,F52)</f>
        <v>#N/A</v>
      </c>
      <c r="C65" s="674"/>
      <c r="D65" s="674"/>
      <c r="E65" s="224" t="str">
        <f>CONCATENATE("Starting MOE Threshold for SFY ",'2. Getting Started'!B$6+7)</f>
        <v>Starting MOE Threshold for SFY 2028</v>
      </c>
      <c r="F65" s="258" t="e">
        <f>IF(F62="Met",F61,F60)</f>
        <v>#N/A</v>
      </c>
    </row>
    <row r="66" spans="1:6" ht="15" customHeight="1" x14ac:dyDescent="0.25">
      <c r="A66" s="224" t="str">
        <f>CONCATENATE("SFY ",'2. Getting Started'!B$6+6," + ",'2. Getting Started'!B$6+7," Projected Exceptions")</f>
        <v>SFY 2027 + 2028 Projected Exceptions</v>
      </c>
      <c r="B66" s="258">
        <f>'24. Year 7 Exc &amp; Adj'!B67+'27. Year 8 Exc &amp; Adj'!B67</f>
        <v>0</v>
      </c>
      <c r="C66" s="674"/>
      <c r="D66" s="674"/>
      <c r="E66" s="224" t="str">
        <f>CONCATENATE("SFY ",'2. Getting Started'!B$6+7," Exceptions")</f>
        <v>SFY 2028 Exceptions</v>
      </c>
      <c r="F66" s="258">
        <f>'27. Year 8 Exc &amp; Adj'!I67</f>
        <v>0</v>
      </c>
    </row>
    <row r="67" spans="1:6" ht="15" customHeight="1" x14ac:dyDescent="0.25">
      <c r="A67" s="224" t="str">
        <f>CONCATENATE("SFY ",'2. Getting Started'!B$6+6," + ",'2. Getting Started'!B$6+7," Projected Adjustments")</f>
        <v>SFY 2027 + 2028 Projected Adjustments</v>
      </c>
      <c r="B67" s="258">
        <f>AdjDataYear7Budget[Projected Adjustment]+AdjDataYear8Budget[Projected Adjustment]</f>
        <v>0</v>
      </c>
      <c r="C67" s="674"/>
      <c r="D67" s="674"/>
      <c r="E67" s="224" t="str">
        <f>CONCATENATE("SFY ",'2. Getting Started'!B$6+7," Adjustment")</f>
        <v>SFY 2028 Adjustment</v>
      </c>
      <c r="F67" s="258">
        <f>AdjDataYear8Expenditures[[Adjustment ]]</f>
        <v>0</v>
      </c>
    </row>
    <row r="68" spans="1:6" ht="15" customHeight="1" x14ac:dyDescent="0.25">
      <c r="A68" s="224" t="str">
        <f>CONCATENATE("Adjusted MOE Threshold for SFY ",'2. Getting Started'!B$6+7)</f>
        <v>Adjusted MOE Threshold for SFY 2028</v>
      </c>
      <c r="B68" s="258" t="e">
        <f>IF(B65="","",(B65-B66-B67))</f>
        <v>#N/A</v>
      </c>
      <c r="C68" s="674"/>
      <c r="D68" s="674"/>
      <c r="E68" s="224" t="str">
        <f>CONCATENATE("Adjusted MOE Threshold for SFY ",'2. Getting Started'!B$6+7)</f>
        <v>Adjusted MOE Threshold for SFY 2028</v>
      </c>
      <c r="F68" s="258" t="e">
        <f>IF(F65="","",(F65-F66-F67))</f>
        <v>#N/A</v>
      </c>
    </row>
    <row r="69" spans="1:6" ht="15" customHeight="1" x14ac:dyDescent="0.25">
      <c r="A69" s="224" t="str">
        <f>CONCATENATE("Budgeted Amount for SFY ",'2. Getting Started'!B$6+7)</f>
        <v>Budgeted Amount for SFY 2028</v>
      </c>
      <c r="B69" s="258" t="str">
        <f>'26. Year 8 Amounts'!D30</f>
        <v/>
      </c>
      <c r="C69" s="674"/>
      <c r="D69" s="674"/>
      <c r="E69" s="224" t="str">
        <f>CONCATENATE("Final Expenditures for SFY ",'2. Getting Started'!B$6+7)</f>
        <v>Final Expenditures for SFY 2028</v>
      </c>
      <c r="F69" s="258" t="str">
        <f>'26. Year 8 Amounts'!K30</f>
        <v/>
      </c>
    </row>
    <row r="70" spans="1:6" ht="15" customHeight="1" x14ac:dyDescent="0.25">
      <c r="A70" s="275" t="str">
        <f>CONCATENATE("MOE Result for SFY ",'2. Getting Started'!B$6+7)</f>
        <v>MOE Result for SFY 2028</v>
      </c>
      <c r="B70" s="285" t="str">
        <f>IF(B69="","",IF(B69&gt;=B68,"Met","Did Not Meet"))</f>
        <v/>
      </c>
      <c r="C70" s="674"/>
      <c r="D70" s="674"/>
      <c r="E70" s="275" t="str">
        <f>CONCATENATE("MOE Result for SFY ",'2. Getting Started'!B$6+7)</f>
        <v>MOE Result for SFY 2028</v>
      </c>
      <c r="F70" s="285" t="str">
        <f>IF(F69="","",IF(F69&gt;=F68,"Met","Did Not Meet"))</f>
        <v/>
      </c>
    </row>
    <row r="71" spans="1:6" ht="15" customHeight="1" x14ac:dyDescent="0.25">
      <c r="A71" s="673" t="s">
        <v>174</v>
      </c>
      <c r="B71" s="673"/>
      <c r="C71" s="674"/>
      <c r="D71" s="674"/>
      <c r="E71" s="673" t="s">
        <v>174</v>
      </c>
      <c r="F71" s="673"/>
    </row>
    <row r="72" spans="1:6" ht="15.75" customHeight="1" x14ac:dyDescent="0.25">
      <c r="A72" s="5" t="str">
        <f>CONCATENATE("Year 9: SFY ",'2. Getting Started'!B$6+8)</f>
        <v>Year 9: SFY 2029</v>
      </c>
      <c r="B72" s="4"/>
      <c r="C72" s="674"/>
      <c r="D72" s="674"/>
      <c r="E72" s="5" t="str">
        <f>CONCATENATE("Year 9: SFY ",'2. Getting Started'!B$6+8)</f>
        <v>Year 9: SFY 2029</v>
      </c>
      <c r="F72" s="4"/>
    </row>
    <row r="73" spans="1:6" ht="15" customHeight="1" x14ac:dyDescent="0.25">
      <c r="A73" s="224" t="str">
        <f>CONCATENATE("Starting MOE Threshold for SFY ",'2. Getting Started'!B$6+8)</f>
        <v>Starting MOE Threshold for SFY 2029</v>
      </c>
      <c r="B73" s="258" t="e">
        <f>IF(F62="Met",F61,F60)</f>
        <v>#N/A</v>
      </c>
      <c r="C73" s="674"/>
      <c r="D73" s="674"/>
      <c r="E73" s="224" t="str">
        <f>CONCATENATE("Starting MOE Threshold for SFY ",'2. Getting Started'!B$6+8)</f>
        <v>Starting MOE Threshold for SFY 2029</v>
      </c>
      <c r="F73" s="258" t="e">
        <f>IF(F70="Met",F69,F68)</f>
        <v>#N/A</v>
      </c>
    </row>
    <row r="74" spans="1:6" ht="15" customHeight="1" x14ac:dyDescent="0.25">
      <c r="A74" s="224" t="str">
        <f>CONCATENATE("SFY ",'2. Getting Started'!B$6+7," + ",'2. Getting Started'!B$6+8," Projected Exceptions")</f>
        <v>SFY 2028 + 2029 Projected Exceptions</v>
      </c>
      <c r="B74" s="258">
        <f>'27. Year 8 Exc &amp; Adj'!B67+'30. Year 9 Exc &amp; Adj'!B67</f>
        <v>0</v>
      </c>
      <c r="C74" s="674"/>
      <c r="D74" s="674"/>
      <c r="E74" s="224" t="str">
        <f>CONCATENATE("SFY ",'2. Getting Started'!B$6+8," Exceptions")</f>
        <v>SFY 2029 Exceptions</v>
      </c>
      <c r="F74" s="258">
        <f>'30. Year 9 Exc &amp; Adj'!I67</f>
        <v>0</v>
      </c>
    </row>
    <row r="75" spans="1:6" ht="15" customHeight="1" x14ac:dyDescent="0.25">
      <c r="A75" s="224" t="str">
        <f>CONCATENATE("SFY ",'2. Getting Started'!B$6+7," + ",'2. Getting Started'!B$6+8," Projected Adjustments")</f>
        <v>SFY 2028 + 2029 Projected Adjustments</v>
      </c>
      <c r="B75" s="258">
        <f>AdjDataYear8Budget[Projected Adjustment]+AdjDataYear9Budget[Projected Adjustment]</f>
        <v>0</v>
      </c>
      <c r="C75" s="674"/>
      <c r="D75" s="674"/>
      <c r="E75" s="224" t="str">
        <f>CONCATENATE("SFY ",'2. Getting Started'!B$6+8," Adjustment")</f>
        <v>SFY 2029 Adjustment</v>
      </c>
      <c r="F75" s="258">
        <f>AdjDataYear9Expenditures[[Adjustment ]]</f>
        <v>0</v>
      </c>
    </row>
    <row r="76" spans="1:6" ht="15" customHeight="1" x14ac:dyDescent="0.25">
      <c r="A76" s="224" t="str">
        <f>CONCATENATE("Adjusted MOE Threshold for SFY ",'2. Getting Started'!B$6+8)</f>
        <v>Adjusted MOE Threshold for SFY 2029</v>
      </c>
      <c r="B76" s="258" t="e">
        <f>IF(B73="","",(B73-B74-B75))</f>
        <v>#N/A</v>
      </c>
      <c r="C76" s="674"/>
      <c r="D76" s="674"/>
      <c r="E76" s="224" t="str">
        <f>CONCATENATE("Adjusted MOE Threshold for SFY ",'2. Getting Started'!B$6+8)</f>
        <v>Adjusted MOE Threshold for SFY 2029</v>
      </c>
      <c r="F76" s="258" t="e">
        <f>IF(F73="","",(F73-F74-F75))</f>
        <v>#N/A</v>
      </c>
    </row>
    <row r="77" spans="1:6" ht="15" customHeight="1" x14ac:dyDescent="0.25">
      <c r="A77" s="224" t="str">
        <f>CONCATENATE("Budgeted Amount for SFY ",'2. Getting Started'!B$6+8)</f>
        <v>Budgeted Amount for SFY 2029</v>
      </c>
      <c r="B77" s="258" t="str">
        <f>'29. Year 9 Amounts'!D30</f>
        <v/>
      </c>
      <c r="C77" s="674"/>
      <c r="D77" s="674"/>
      <c r="E77" s="224" t="str">
        <f>CONCATENATE("Final Expenditures for SFY ",'2. Getting Started'!B$6+8)</f>
        <v>Final Expenditures for SFY 2029</v>
      </c>
      <c r="F77" s="258" t="str">
        <f>'29. Year 9 Amounts'!K30</f>
        <v/>
      </c>
    </row>
    <row r="78" spans="1:6" ht="15" customHeight="1" x14ac:dyDescent="0.25">
      <c r="A78" s="275" t="str">
        <f>CONCATENATE("MOE Result for SFY ",'2. Getting Started'!B$6+8)</f>
        <v>MOE Result for SFY 2029</v>
      </c>
      <c r="B78" s="285" t="str">
        <f>IF(B77="","",IF(B77&gt;=B76,"Met","Did Not Meet"))</f>
        <v/>
      </c>
      <c r="C78" s="674"/>
      <c r="D78" s="674"/>
      <c r="E78" s="275" t="str">
        <f>CONCATENATE("MOE Result for SFY ",'2. Getting Started'!B$6+8)</f>
        <v>MOE Result for SFY 2029</v>
      </c>
      <c r="F78" s="285" t="str">
        <f>IF(F77="","",IF(F77&gt;=F76,"Met","Did Not Meet"))</f>
        <v/>
      </c>
    </row>
    <row r="79" spans="1:6" ht="15" customHeight="1" x14ac:dyDescent="0.25">
      <c r="A79" s="673" t="s">
        <v>174</v>
      </c>
      <c r="B79" s="673"/>
      <c r="C79" s="674"/>
      <c r="D79" s="674"/>
      <c r="E79" s="673" t="s">
        <v>174</v>
      </c>
      <c r="F79" s="673"/>
    </row>
    <row r="80" spans="1:6" ht="15.75" customHeight="1" x14ac:dyDescent="0.25">
      <c r="A80" s="5" t="str">
        <f>CONCATENATE("Year 10: SFY ",'2. Getting Started'!B$6+9)</f>
        <v>Year 10: SFY 2030</v>
      </c>
      <c r="B80" s="4"/>
      <c r="C80" s="674"/>
      <c r="D80" s="674"/>
      <c r="E80" s="5" t="str">
        <f>CONCATENATE("Year 10: SFY ",'2. Getting Started'!B$6+9)</f>
        <v>Year 10: SFY 2030</v>
      </c>
      <c r="F80" s="4"/>
    </row>
    <row r="81" spans="1:6" ht="15" customHeight="1" x14ac:dyDescent="0.25">
      <c r="A81" s="224" t="str">
        <f>CONCATENATE("Starting MOE Threshold for SFY ",'2. Getting Started'!B$6+9)</f>
        <v>Starting MOE Threshold for SFY 2030</v>
      </c>
      <c r="B81" s="258" t="e">
        <f>IF(F70="Met",F69,F68)</f>
        <v>#N/A</v>
      </c>
      <c r="C81" s="674"/>
      <c r="D81" s="674"/>
      <c r="E81" s="224" t="str">
        <f>CONCATENATE("Starting MOE Threshold for SFY ",'2. Getting Started'!B$6+9)</f>
        <v>Starting MOE Threshold for SFY 2030</v>
      </c>
      <c r="F81" s="258" t="e">
        <f>IF(F78="Met",F77,F76)</f>
        <v>#N/A</v>
      </c>
    </row>
    <row r="82" spans="1:6" ht="15" customHeight="1" x14ac:dyDescent="0.25">
      <c r="A82" s="224" t="str">
        <f>CONCATENATE("SFY ",'2. Getting Started'!B$6+8," + ",'2. Getting Started'!B$6+9," Projected Exceptions")</f>
        <v>SFY 2029 + 2030 Projected Exceptions</v>
      </c>
      <c r="B82" s="258">
        <f>'30. Year 9 Exc &amp; Adj'!B67+'33. Year 10 Exc &amp; Adj'!B67</f>
        <v>0</v>
      </c>
      <c r="C82" s="674"/>
      <c r="D82" s="674"/>
      <c r="E82" s="224" t="str">
        <f>CONCATENATE("SFY ",'2. Getting Started'!B$6+9," Exceptions")</f>
        <v>SFY 2030 Exceptions</v>
      </c>
      <c r="F82" s="258">
        <f>'33. Year 10 Exc &amp; Adj'!I67</f>
        <v>0</v>
      </c>
    </row>
    <row r="83" spans="1:6" ht="15" customHeight="1" x14ac:dyDescent="0.25">
      <c r="A83" s="224" t="str">
        <f>CONCATENATE("SFY ",'2. Getting Started'!B$6+8," + ",'2. Getting Started'!B$6+9," Projected Adjustments")</f>
        <v>SFY 2029 + 2030 Projected Adjustments</v>
      </c>
      <c r="B83" s="258">
        <f>AdjDataYear9Budget[Projected Adjustment]+AdjDataYear10Budget[Projected Adjustment]</f>
        <v>0</v>
      </c>
      <c r="C83" s="674"/>
      <c r="D83" s="674"/>
      <c r="E83" s="224" t="str">
        <f>CONCATENATE("SFY ",'2. Getting Started'!B$6+9," Adjustment")</f>
        <v>SFY 2030 Adjustment</v>
      </c>
      <c r="F83" s="258">
        <f>AdjDataYear10Expenditures[[Adjustment ]]</f>
        <v>0</v>
      </c>
    </row>
    <row r="84" spans="1:6" ht="15" customHeight="1" x14ac:dyDescent="0.25">
      <c r="A84" s="224" t="str">
        <f>CONCATENATE("Adjusted MOE Threshold for SFY ",'2. Getting Started'!B$6+9)</f>
        <v>Adjusted MOE Threshold for SFY 2030</v>
      </c>
      <c r="B84" s="258" t="e">
        <f>IF(B81="","",(B81-B82-B83))</f>
        <v>#N/A</v>
      </c>
      <c r="C84" s="674"/>
      <c r="D84" s="674"/>
      <c r="E84" s="224" t="str">
        <f>CONCATENATE("Adjusted MOE Threshold for SFY ",'2. Getting Started'!B$6+9)</f>
        <v>Adjusted MOE Threshold for SFY 2030</v>
      </c>
      <c r="F84" s="258" t="e">
        <f>IF(F81="","",(F81-F82-F83))</f>
        <v>#N/A</v>
      </c>
    </row>
    <row r="85" spans="1:6" ht="15" customHeight="1" x14ac:dyDescent="0.25">
      <c r="A85" s="224" t="str">
        <f>CONCATENATE("Budgeted Amount for SFY ",'2. Getting Started'!B$6+9)</f>
        <v>Budgeted Amount for SFY 2030</v>
      </c>
      <c r="B85" s="258" t="str">
        <f>'32. Year 10 Amounts'!D30</f>
        <v/>
      </c>
      <c r="C85" s="674"/>
      <c r="D85" s="674"/>
      <c r="E85" s="224" t="str">
        <f>CONCATENATE("Final Expenditures for SFY ",'2. Getting Started'!B$6+9)</f>
        <v>Final Expenditures for SFY 2030</v>
      </c>
      <c r="F85" s="258" t="str">
        <f>'32. Year 10 Amounts'!K30</f>
        <v/>
      </c>
    </row>
    <row r="86" spans="1:6" ht="15" customHeight="1" x14ac:dyDescent="0.25">
      <c r="A86" s="275" t="str">
        <f>CONCATENATE("MOE Result for SFY ",'2. Getting Started'!B$6+9)</f>
        <v>MOE Result for SFY 2030</v>
      </c>
      <c r="B86" s="285" t="str">
        <f>IF(B85="","",IF(B85&gt;=B84,"Met","Did Not Meet"))</f>
        <v/>
      </c>
      <c r="C86" s="674"/>
      <c r="D86" s="674"/>
      <c r="E86" s="275" t="str">
        <f>CONCATENATE("MOE Result for SFY ",'2. Getting Started'!B$6+9)</f>
        <v>MOE Result for SFY 2030</v>
      </c>
      <c r="F86" s="285" t="str">
        <f>IF(F85="","",IF(F85&gt;=F84,"Met","Did Not Meet"))</f>
        <v/>
      </c>
    </row>
    <row r="87" spans="1:6" ht="15" customHeight="1" x14ac:dyDescent="0.25">
      <c r="A87" s="673" t="s">
        <v>174</v>
      </c>
      <c r="B87" s="673"/>
      <c r="C87" s="674"/>
      <c r="D87" s="674"/>
      <c r="E87" s="673" t="s">
        <v>174</v>
      </c>
      <c r="F87" s="673"/>
    </row>
    <row r="88" spans="1:6" ht="15.75" customHeight="1" x14ac:dyDescent="0.25">
      <c r="A88" s="5" t="str">
        <f>CONCATENATE("Year 11: SFY ",'2. Getting Started'!B$6+10)</f>
        <v>Year 11: SFY 2031</v>
      </c>
      <c r="B88" s="4"/>
      <c r="C88" s="674"/>
      <c r="D88" s="674"/>
      <c r="E88" s="5" t="str">
        <f>CONCATENATE("Year 11: SFY ",'2. Getting Started'!B$6+10)</f>
        <v>Year 11: SFY 2031</v>
      </c>
      <c r="F88" s="4"/>
    </row>
    <row r="89" spans="1:6" ht="15" customHeight="1" x14ac:dyDescent="0.25">
      <c r="A89" s="224" t="str">
        <f>CONCATENATE("Starting MOE Threshold for SFY ",'2. Getting Started'!B$6+10)</f>
        <v>Starting MOE Threshold for SFY 2031</v>
      </c>
      <c r="B89" s="258" t="e">
        <f>IF(F78="Met",F77,F76)</f>
        <v>#N/A</v>
      </c>
      <c r="C89" s="674"/>
      <c r="D89" s="674"/>
      <c r="E89" s="675" t="s">
        <v>47</v>
      </c>
      <c r="F89" s="676"/>
    </row>
    <row r="90" spans="1:6" ht="15" customHeight="1" x14ac:dyDescent="0.25">
      <c r="A90" s="224" t="str">
        <f>CONCATENATE("SFY ",'2. Getting Started'!B$6+9," + ",'2. Getting Started'!B$6+10," Projected Exceptions")</f>
        <v>SFY 2030 + 2031 Projected Exceptions</v>
      </c>
      <c r="B90" s="258">
        <f>'33. Year 10 Exc &amp; Adj'!B67+'36. Year 11 Exc &amp; Adj'!B67</f>
        <v>0</v>
      </c>
      <c r="C90" s="674"/>
      <c r="D90" s="674"/>
      <c r="E90" s="677"/>
      <c r="F90" s="678"/>
    </row>
    <row r="91" spans="1:6" ht="15" customHeight="1" x14ac:dyDescent="0.25">
      <c r="A91" s="224" t="str">
        <f>CONCATENATE("SFY ",'2. Getting Started'!B$6+9," + ",'2. Getting Started'!B$6+10," Projected Adjustments")</f>
        <v>SFY 2030 + 2031 Projected Adjustments</v>
      </c>
      <c r="B91" s="258">
        <f>AdjDataYear10Budget[Projected Adjustment]+AdjDataYear11Budget[Projected Adjustment]</f>
        <v>0</v>
      </c>
      <c r="C91" s="674"/>
      <c r="D91" s="674"/>
      <c r="E91" s="677"/>
      <c r="F91" s="678"/>
    </row>
    <row r="92" spans="1:6" ht="15" customHeight="1" x14ac:dyDescent="0.25">
      <c r="A92" s="224" t="str">
        <f>CONCATENATE("Adjusted MOE Threshold for SFY ",'2. Getting Started'!B$6+10)</f>
        <v>Adjusted MOE Threshold for SFY 2031</v>
      </c>
      <c r="B92" s="258" t="e">
        <f>IF(B89="","",(B89-B90-B91))</f>
        <v>#N/A</v>
      </c>
      <c r="C92" s="674"/>
      <c r="D92" s="674"/>
      <c r="E92" s="677"/>
      <c r="F92" s="678"/>
    </row>
    <row r="93" spans="1:6" ht="15" customHeight="1" x14ac:dyDescent="0.25">
      <c r="A93" s="224" t="str">
        <f>CONCATENATE("Budgeted Amount for SFY ",'2. Getting Started'!B$6+10)</f>
        <v>Budgeted Amount for SFY 2031</v>
      </c>
      <c r="B93" s="258" t="str">
        <f>'35. Year 11 Amounts'!D30</f>
        <v/>
      </c>
      <c r="C93" s="674"/>
      <c r="D93" s="674"/>
      <c r="E93" s="677"/>
      <c r="F93" s="678"/>
    </row>
    <row r="94" spans="1:6" ht="15" customHeight="1" x14ac:dyDescent="0.25">
      <c r="A94" s="275" t="str">
        <f>CONCATENATE("MOE Result for SFY ",'2. Getting Started'!B$6+10)</f>
        <v>MOE Result for SFY 2031</v>
      </c>
      <c r="B94" s="285" t="str">
        <f>IF(B93="","",IF(B93&gt;=B92,"Met","Did Not Meet"))</f>
        <v/>
      </c>
      <c r="C94" s="674"/>
      <c r="D94" s="674"/>
      <c r="E94" s="679"/>
      <c r="F94" s="680"/>
    </row>
    <row r="95" spans="1:6" ht="27.75" customHeight="1" x14ac:dyDescent="0.25">
      <c r="A95" s="345" t="s">
        <v>184</v>
      </c>
      <c r="C95" s="355"/>
      <c r="D95" s="355"/>
    </row>
    <row r="96" spans="1:6" ht="15" customHeight="1" x14ac:dyDescent="0.25">
      <c r="A96" s="358" t="s">
        <v>183</v>
      </c>
    </row>
    <row r="97" spans="1:6" x14ac:dyDescent="0.25">
      <c r="A97" s="657" t="s">
        <v>24</v>
      </c>
      <c r="B97" s="657"/>
      <c r="C97" s="657"/>
      <c r="D97" s="657"/>
      <c r="E97" s="657"/>
      <c r="F97" s="657"/>
    </row>
  </sheetData>
  <sheetProtection algorithmName="SHA-512" hashValue="QRaLf7VwwfPJpjXIDNP0oCP8Ez0fbTW1XqfWeEDsYlSFaapTVXgmQcYo1JgAdhadxcjA6YLWQ0fZq8NFV9BeBw==" saltValue="57VZ+f96mcES6ue4XH3DZw==" spinCount="100000" sheet="1" objects="1" scenarios="1" formatColumns="0" formatRows="0"/>
  <mergeCells count="26">
    <mergeCell ref="A97:F97"/>
    <mergeCell ref="A87:B87"/>
    <mergeCell ref="E87:F87"/>
    <mergeCell ref="C1:D94"/>
    <mergeCell ref="A63:B63"/>
    <mergeCell ref="E63:F63"/>
    <mergeCell ref="A71:B71"/>
    <mergeCell ref="E71:F71"/>
    <mergeCell ref="A79:B79"/>
    <mergeCell ref="E79:F79"/>
    <mergeCell ref="A9:B14"/>
    <mergeCell ref="E89:F94"/>
    <mergeCell ref="A7:B7"/>
    <mergeCell ref="E7:F7"/>
    <mergeCell ref="A15:B15"/>
    <mergeCell ref="E15:F15"/>
    <mergeCell ref="A47:B47"/>
    <mergeCell ref="E47:F47"/>
    <mergeCell ref="A55:B55"/>
    <mergeCell ref="E55:F55"/>
    <mergeCell ref="A23:B23"/>
    <mergeCell ref="E23:F23"/>
    <mergeCell ref="A31:B31"/>
    <mergeCell ref="E31:F31"/>
    <mergeCell ref="A39:B39"/>
    <mergeCell ref="E39:F39"/>
  </mergeCells>
  <conditionalFormatting sqref="B22">
    <cfRule type="containsText" dxfId="159" priority="40" operator="containsText" text="Met">
      <formula>NOT(ISERROR(SEARCH("Met",B22)))</formula>
    </cfRule>
    <cfRule type="containsText" dxfId="158" priority="39" operator="containsText" text="Did Not Meet">
      <formula>NOT(ISERROR(SEARCH("Did Not Meet",B22)))</formula>
    </cfRule>
  </conditionalFormatting>
  <conditionalFormatting sqref="B30">
    <cfRule type="containsText" dxfId="157" priority="38" operator="containsText" text="Met">
      <formula>NOT(ISERROR(SEARCH("Met",B30)))</formula>
    </cfRule>
    <cfRule type="containsText" dxfId="156" priority="37" operator="containsText" text="Did Not Meet">
      <formula>NOT(ISERROR(SEARCH("Did Not Meet",B30)))</formula>
    </cfRule>
  </conditionalFormatting>
  <conditionalFormatting sqref="B38">
    <cfRule type="containsText" dxfId="155" priority="36" operator="containsText" text="Met">
      <formula>NOT(ISERROR(SEARCH("Met",B38)))</formula>
    </cfRule>
    <cfRule type="containsText" dxfId="154" priority="35" operator="containsText" text="Did Not Meet">
      <formula>NOT(ISERROR(SEARCH("Did Not Meet",B38)))</formula>
    </cfRule>
  </conditionalFormatting>
  <conditionalFormatting sqref="B46">
    <cfRule type="containsText" dxfId="153" priority="34" operator="containsText" text="Met">
      <formula>NOT(ISERROR(SEARCH("Met",B46)))</formula>
    </cfRule>
    <cfRule type="containsText" dxfId="152" priority="33" operator="containsText" text="Did Not Meet">
      <formula>NOT(ISERROR(SEARCH("Did Not Meet",B46)))</formula>
    </cfRule>
  </conditionalFormatting>
  <conditionalFormatting sqref="B54">
    <cfRule type="containsText" dxfId="151" priority="32" operator="containsText" text="Met">
      <formula>NOT(ISERROR(SEARCH("Met",B54)))</formula>
    </cfRule>
    <cfRule type="containsText" dxfId="150" priority="31" operator="containsText" text="Did Not Meet">
      <formula>NOT(ISERROR(SEARCH("Did Not Meet",B54)))</formula>
    </cfRule>
  </conditionalFormatting>
  <conditionalFormatting sqref="B62">
    <cfRule type="containsText" dxfId="149" priority="30" operator="containsText" text="Met">
      <formula>NOT(ISERROR(SEARCH("Met",B62)))</formula>
    </cfRule>
    <cfRule type="containsText" dxfId="148" priority="29" operator="containsText" text="Did Not Meet">
      <formula>NOT(ISERROR(SEARCH("Did Not Meet",B62)))</formula>
    </cfRule>
  </conditionalFormatting>
  <conditionalFormatting sqref="B70">
    <cfRule type="containsText" dxfId="147" priority="28" operator="containsText" text="Met">
      <formula>NOT(ISERROR(SEARCH("Met",B70)))</formula>
    </cfRule>
    <cfRule type="containsText" dxfId="146" priority="27" operator="containsText" text="Did Not Meet">
      <formula>NOT(ISERROR(SEARCH("Did Not Meet",B70)))</formula>
    </cfRule>
  </conditionalFormatting>
  <conditionalFormatting sqref="B78">
    <cfRule type="containsText" dxfId="145" priority="26" operator="containsText" text="Met">
      <formula>NOT(ISERROR(SEARCH("Met",B78)))</formula>
    </cfRule>
    <cfRule type="containsText" dxfId="144" priority="25" operator="containsText" text="Did Not Meet">
      <formula>NOT(ISERROR(SEARCH("Did Not Meet",B78)))</formula>
    </cfRule>
  </conditionalFormatting>
  <conditionalFormatting sqref="B86">
    <cfRule type="containsText" dxfId="143" priority="24" operator="containsText" text="Met">
      <formula>NOT(ISERROR(SEARCH("Met",B86)))</formula>
    </cfRule>
    <cfRule type="containsText" dxfId="142" priority="23" operator="containsText" text="Did Not Meet">
      <formula>NOT(ISERROR(SEARCH("Did Not Meet",B86)))</formula>
    </cfRule>
  </conditionalFormatting>
  <conditionalFormatting sqref="B94">
    <cfRule type="containsText" dxfId="141" priority="21" operator="containsText" text="Did Not Meet">
      <formula>NOT(ISERROR(SEARCH("Did Not Meet",B94)))</formula>
    </cfRule>
    <cfRule type="containsText" dxfId="140" priority="22" operator="containsText" text="Met">
      <formula>NOT(ISERROR(SEARCH("Met",B94)))</formula>
    </cfRule>
  </conditionalFormatting>
  <conditionalFormatting sqref="F14">
    <cfRule type="containsText" dxfId="139" priority="20" operator="containsText" text="Met">
      <formula>NOT(ISERROR(SEARCH("Met",F14)))</formula>
    </cfRule>
    <cfRule type="containsText" dxfId="138" priority="19" operator="containsText" text="Did Not Meet">
      <formula>NOT(ISERROR(SEARCH("Did Not Meet",F14)))</formula>
    </cfRule>
  </conditionalFormatting>
  <conditionalFormatting sqref="F22">
    <cfRule type="containsText" dxfId="137" priority="18" operator="containsText" text="Met">
      <formula>NOT(ISERROR(SEARCH("Met",F22)))</formula>
    </cfRule>
    <cfRule type="containsText" dxfId="136" priority="17" operator="containsText" text="Did Not Meet">
      <formula>NOT(ISERROR(SEARCH("Did Not Meet",F22)))</formula>
    </cfRule>
  </conditionalFormatting>
  <conditionalFormatting sqref="F30">
    <cfRule type="containsText" dxfId="135" priority="16" operator="containsText" text="Met">
      <formula>NOT(ISERROR(SEARCH("Met",F30)))</formula>
    </cfRule>
    <cfRule type="containsText" dxfId="134" priority="15" operator="containsText" text="Did Not Meet">
      <formula>NOT(ISERROR(SEARCH("Did Not Meet",F30)))</formula>
    </cfRule>
  </conditionalFormatting>
  <conditionalFormatting sqref="F38">
    <cfRule type="containsText" dxfId="133" priority="14" operator="containsText" text="Met">
      <formula>NOT(ISERROR(SEARCH("Met",F38)))</formula>
    </cfRule>
    <cfRule type="containsText" dxfId="132" priority="13" operator="containsText" text="Did Not Meet">
      <formula>NOT(ISERROR(SEARCH("Did Not Meet",F38)))</formula>
    </cfRule>
  </conditionalFormatting>
  <conditionalFormatting sqref="F46">
    <cfRule type="containsText" dxfId="131" priority="12" operator="containsText" text="Met">
      <formula>NOT(ISERROR(SEARCH("Met",F46)))</formula>
    </cfRule>
    <cfRule type="containsText" dxfId="130" priority="11" operator="containsText" text="Did Not Meet">
      <formula>NOT(ISERROR(SEARCH("Did Not Meet",F46)))</formula>
    </cfRule>
  </conditionalFormatting>
  <conditionalFormatting sqref="F54">
    <cfRule type="containsText" dxfId="129" priority="10" operator="containsText" text="Met">
      <formula>NOT(ISERROR(SEARCH("Met",F54)))</formula>
    </cfRule>
    <cfRule type="containsText" dxfId="128" priority="9" operator="containsText" text="Did Not Meet">
      <formula>NOT(ISERROR(SEARCH("Did Not Meet",F54)))</formula>
    </cfRule>
  </conditionalFormatting>
  <conditionalFormatting sqref="F62">
    <cfRule type="containsText" dxfId="127" priority="8" operator="containsText" text="Met">
      <formula>NOT(ISERROR(SEARCH("Met",F62)))</formula>
    </cfRule>
    <cfRule type="containsText" dxfId="126" priority="7" operator="containsText" text="Did Not Meet">
      <formula>NOT(ISERROR(SEARCH("Did Not Meet",F62)))</formula>
    </cfRule>
  </conditionalFormatting>
  <conditionalFormatting sqref="F70">
    <cfRule type="containsText" dxfId="125" priority="6" operator="containsText" text="Met">
      <formula>NOT(ISERROR(SEARCH("Met",F70)))</formula>
    </cfRule>
    <cfRule type="containsText" dxfId="124" priority="5" operator="containsText" text="Did Not Meet">
      <formula>NOT(ISERROR(SEARCH("Did Not Meet",F70)))</formula>
    </cfRule>
  </conditionalFormatting>
  <conditionalFormatting sqref="F78">
    <cfRule type="containsText" dxfId="123" priority="3" operator="containsText" text="Did Not Meet">
      <formula>NOT(ISERROR(SEARCH("Did Not Meet",F78)))</formula>
    </cfRule>
    <cfRule type="containsText" dxfId="122" priority="4" operator="containsText" text="Met">
      <formula>NOT(ISERROR(SEARCH("Met",F78)))</formula>
    </cfRule>
  </conditionalFormatting>
  <conditionalFormatting sqref="F86">
    <cfRule type="containsText" dxfId="121" priority="2" operator="containsText" text="Met">
      <formula>NOT(ISERROR(SEARCH("Met",F86)))</formula>
    </cfRule>
    <cfRule type="containsText" dxfId="120" priority="1" operator="containsText" text="Did Not Meet">
      <formula>NOT(ISERROR(SEARCH("Did Not Meet",F86)))</formula>
    </cfRule>
  </conditionalFormatting>
  <hyperlinks>
    <hyperlink ref="A96" r:id="rId1" xr:uid="{00000000-0004-0000-27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theme="7"/>
  </sheetPr>
  <dimension ref="A1:I97"/>
  <sheetViews>
    <sheetView showGridLines="0" topLeftCell="A6" zoomScaleNormal="100" workbookViewId="0">
      <selection activeCell="E14" sqref="E14"/>
    </sheetView>
  </sheetViews>
  <sheetFormatPr defaultColWidth="0" defaultRowHeight="15" zeroHeight="1" x14ac:dyDescent="0.25"/>
  <cols>
    <col min="1" max="1" width="40.7109375" customWidth="1"/>
    <col min="2" max="2" width="25.85546875" bestFit="1" customWidth="1"/>
    <col min="3" max="4" width="9.140625" customWidth="1"/>
    <col min="5" max="5" width="40.7109375" customWidth="1"/>
    <col min="6" max="6" width="26.140625" bestFit="1" customWidth="1"/>
    <col min="7" max="7" width="0.85546875" customWidth="1"/>
    <col min="8" max="8" width="27" hidden="1" customWidth="1"/>
    <col min="9" max="9" width="9.140625" hidden="1" customWidth="1"/>
    <col min="10" max="16384" width="9.140625" hidden="1"/>
  </cols>
  <sheetData>
    <row r="1" spans="1:9" ht="38.25" customHeight="1" x14ac:dyDescent="0.25">
      <c r="A1" s="302" t="s">
        <v>177</v>
      </c>
      <c r="B1" s="304"/>
      <c r="C1" s="674" t="s">
        <v>174</v>
      </c>
      <c r="D1" s="674"/>
      <c r="E1" s="21" t="s">
        <v>14</v>
      </c>
      <c r="F1" s="20" t="str">
        <f>IF('2. Getting Started'!B2="","",'2. Getting Started'!B2)</f>
        <v/>
      </c>
    </row>
    <row r="2" spans="1:9" ht="18.75" customHeight="1" x14ac:dyDescent="0.3">
      <c r="A2" s="18" t="s">
        <v>13</v>
      </c>
      <c r="B2" s="4"/>
      <c r="C2" s="674"/>
      <c r="D2" s="674"/>
      <c r="E2" s="18" t="s">
        <v>6</v>
      </c>
      <c r="F2" s="4"/>
      <c r="H2" s="2" t="s">
        <v>12</v>
      </c>
    </row>
    <row r="3" spans="1:9" ht="39" customHeight="1" x14ac:dyDescent="0.25">
      <c r="A3" s="16" t="str">
        <f>CONCATENATE("Prior to Year 1: SFY ",'2. Getting Started'!B6)</f>
        <v>Prior to Year 1: SFY 2021</v>
      </c>
      <c r="B3" s="16"/>
      <c r="C3" s="674"/>
      <c r="D3" s="674"/>
      <c r="E3" s="16" t="str">
        <f>CONCATENATE("Prior to Year 1: SFY ",'2. Getting Started'!B6)</f>
        <v>Prior to Year 1: SFY 2021</v>
      </c>
      <c r="F3" s="16"/>
      <c r="H3" s="2"/>
    </row>
    <row r="4" spans="1:9" ht="45" x14ac:dyDescent="0.25">
      <c r="A4" s="225" t="str">
        <f>CONCATENATE("Last year before SFY ",'2. Getting Started'!B6," that the compliance standard was met for total state and local funds")</f>
        <v>Last year before SFY 2021 that the compliance standard was met for total state and local funds</v>
      </c>
      <c r="B4" s="257">
        <f>IF('2. Getting Started'!B11="","",'2. Getting Started'!B11)</f>
        <v>2020</v>
      </c>
      <c r="C4" s="674"/>
      <c r="D4" s="674"/>
      <c r="E4" s="225" t="str">
        <f>CONCATENATE("Last year before SFY ",'2. Getting Started'!B6," that the compliance standard was met for total state and local funds")</f>
        <v>Last year before SFY 2021 that the compliance standard was met for total state and local funds</v>
      </c>
      <c r="F4" s="257">
        <f>IF('2. Getting Started'!B11="","",'2. Getting Started'!B11)</f>
        <v>2020</v>
      </c>
      <c r="H4" s="1" t="s">
        <v>21</v>
      </c>
      <c r="I4">
        <f>'2. Getting Started'!B6-'2. Getting Started'!B11</f>
        <v>1</v>
      </c>
    </row>
    <row r="5" spans="1:9" ht="15" customHeight="1" x14ac:dyDescent="0.25">
      <c r="A5" s="224" t="s">
        <v>1</v>
      </c>
      <c r="B5" s="258">
        <f>IF('2. Getting Started'!C11="","",'2. Getting Started'!C11)</f>
        <v>0</v>
      </c>
      <c r="C5" s="674"/>
      <c r="D5" s="674"/>
      <c r="E5" s="224" t="s">
        <v>1</v>
      </c>
      <c r="F5" s="258">
        <f>IF('2. Getting Started'!C11="","",'2. Getting Started'!C11)</f>
        <v>0</v>
      </c>
    </row>
    <row r="6" spans="1:9" ht="30" x14ac:dyDescent="0.25">
      <c r="A6" s="229" t="s">
        <v>5</v>
      </c>
      <c r="B6" s="261">
        <f>IF(B5="","",IF(I4=1,0,IF(I4&gt;1,VLOOKUP(I4,'3a. Intervening Years'!I4:K22,3))))</f>
        <v>0</v>
      </c>
      <c r="C6" s="674"/>
      <c r="D6" s="674"/>
      <c r="E6" s="229" t="s">
        <v>5</v>
      </c>
      <c r="F6" s="261">
        <f>IF(F5="","",IF(I4=1,0,IF(I4&gt;1,VLOOKUP(I4,'3a. Intervening Years'!I4:K22,3))))</f>
        <v>0</v>
      </c>
    </row>
    <row r="7" spans="1:9" ht="15" customHeight="1" x14ac:dyDescent="0.25">
      <c r="A7" s="673" t="s">
        <v>174</v>
      </c>
      <c r="B7" s="673"/>
      <c r="C7" s="674"/>
      <c r="D7" s="674"/>
      <c r="E7" s="673" t="s">
        <v>174</v>
      </c>
      <c r="F7" s="673"/>
    </row>
    <row r="8" spans="1:9" ht="15.75" customHeight="1" x14ac:dyDescent="0.25">
      <c r="A8" s="5" t="str">
        <f>CONCATENATE("Year 1: SFY ",'2. Getting Started'!B$6)</f>
        <v>Year 1: SFY 2021</v>
      </c>
      <c r="B8" s="4"/>
      <c r="C8" s="674"/>
      <c r="D8" s="674"/>
      <c r="E8" s="5" t="str">
        <f>CONCATENATE("Year 1: SFY ",'2. Getting Started'!B$6)</f>
        <v>Year 1: SFY 2021</v>
      </c>
      <c r="F8" s="4"/>
    </row>
    <row r="9" spans="1:9" ht="15" customHeight="1" x14ac:dyDescent="0.25">
      <c r="A9" s="675" t="s">
        <v>180</v>
      </c>
      <c r="B9" s="676"/>
      <c r="C9" s="674"/>
      <c r="D9" s="674"/>
      <c r="E9" s="224" t="str">
        <f>CONCATENATE("Starting MOE Threshold for SFY ",'2. Getting Started'!B$6)</f>
        <v>Starting MOE Threshold for SFY 2021</v>
      </c>
      <c r="F9" s="258">
        <f>IF(F5="","",(F5-F6))</f>
        <v>0</v>
      </c>
    </row>
    <row r="10" spans="1:9" ht="15" customHeight="1" x14ac:dyDescent="0.25">
      <c r="A10" s="677"/>
      <c r="B10" s="678"/>
      <c r="C10" s="674"/>
      <c r="D10" s="674"/>
      <c r="E10" s="224" t="str">
        <f>CONCATENATE("SFY ",'2. Getting Started'!B$6," Exceptions")</f>
        <v>SFY 2021 Exceptions</v>
      </c>
      <c r="F10" s="258">
        <f>'6. Year 1 Exc &amp; Adj'!I68</f>
        <v>0</v>
      </c>
    </row>
    <row r="11" spans="1:9" ht="15" customHeight="1" x14ac:dyDescent="0.25">
      <c r="A11" s="677"/>
      <c r="B11" s="678"/>
      <c r="C11" s="674"/>
      <c r="D11" s="674"/>
      <c r="E11" s="224" t="str">
        <f>CONCATENATE("SFY ",'2. Getting Started'!B$6," Adjustment")</f>
        <v>SFY 2021 Adjustment</v>
      </c>
      <c r="F11" s="258">
        <f>AdjDataYear1Expenditures[[Adjustment ]]</f>
        <v>0</v>
      </c>
    </row>
    <row r="12" spans="1:9" ht="15" customHeight="1" x14ac:dyDescent="0.25">
      <c r="A12" s="677"/>
      <c r="B12" s="678"/>
      <c r="C12" s="674"/>
      <c r="D12" s="674"/>
      <c r="E12" s="224" t="str">
        <f>CONCATENATE("Adjusted MOE Threshold for SFY ",'2. Getting Started'!B$6)</f>
        <v>Adjusted MOE Threshold for SFY 2021</v>
      </c>
      <c r="F12" s="258">
        <f>IF(F9="","",(F9-F10-F11))</f>
        <v>0</v>
      </c>
    </row>
    <row r="13" spans="1:9" ht="15" customHeight="1" x14ac:dyDescent="0.25">
      <c r="A13" s="677"/>
      <c r="B13" s="678"/>
      <c r="C13" s="674"/>
      <c r="D13" s="674"/>
      <c r="E13" s="224" t="str">
        <f>CONCATENATE("Final Expenditures for SFY ",'2. Getting Started'!B$6)</f>
        <v>Final Expenditures for SFY 2021</v>
      </c>
      <c r="F13" s="258">
        <f>IF('5. Year 1 Amounts'!M30="","",'5. Year 1 Amounts'!M30)</f>
        <v>0</v>
      </c>
    </row>
    <row r="14" spans="1:9" ht="15" customHeight="1" x14ac:dyDescent="0.25">
      <c r="A14" s="679"/>
      <c r="B14" s="680"/>
      <c r="C14" s="674"/>
      <c r="D14" s="674"/>
      <c r="E14" s="275" t="str">
        <f>CONCATENATE("MOE Result for SFY ",'2. Getting Started'!B$6)</f>
        <v>MOE Result for SFY 2021</v>
      </c>
      <c r="F14" s="285" t="str">
        <f>IF(F13="","",IF(F13&gt;=F12,"Met","Did Not Meet"))</f>
        <v>Met</v>
      </c>
    </row>
    <row r="15" spans="1:9" ht="15" customHeight="1" x14ac:dyDescent="0.25">
      <c r="A15" s="673" t="s">
        <v>174</v>
      </c>
      <c r="B15" s="673"/>
      <c r="C15" s="674"/>
      <c r="D15" s="674"/>
      <c r="E15" s="673" t="s">
        <v>174</v>
      </c>
      <c r="F15" s="673"/>
    </row>
    <row r="16" spans="1:9" ht="15.75" customHeight="1" x14ac:dyDescent="0.25">
      <c r="A16" s="5" t="str">
        <f>CONCATENATE("Year 2: SFY ",'2. Getting Started'!B$6+1)</f>
        <v>Year 2: SFY 2022</v>
      </c>
      <c r="B16" s="4"/>
      <c r="C16" s="674"/>
      <c r="D16" s="674"/>
      <c r="E16" s="5" t="str">
        <f>CONCATENATE("Year 2: SFY ",'2. Getting Started'!B$6+1)</f>
        <v>Year 2: SFY 2022</v>
      </c>
      <c r="F16" s="4"/>
    </row>
    <row r="17" spans="1:6" ht="15" customHeight="1" x14ac:dyDescent="0.25">
      <c r="A17" s="224" t="str">
        <f>CONCATENATE("Starting MOE Threshold for SFY ",'2. Getting Started'!B$6+1)</f>
        <v>Starting MOE Threshold for SFY 2022</v>
      </c>
      <c r="B17" s="258">
        <f>IF(B5="","",(B5-B6))</f>
        <v>0</v>
      </c>
      <c r="C17" s="674"/>
      <c r="D17" s="674"/>
      <c r="E17" s="224" t="str">
        <f>CONCATENATE("Starting MOE Threshold for SFY ",'2. Getting Started'!B$6+1)</f>
        <v>Starting MOE Threshold for SFY 2022</v>
      </c>
      <c r="F17" s="258">
        <f>IF(F14="Met",F13,F12)</f>
        <v>0</v>
      </c>
    </row>
    <row r="18" spans="1:6" ht="15" customHeight="1" x14ac:dyDescent="0.25">
      <c r="A18" s="224" t="str">
        <f>CONCATENATE("SFY ",'2. Getting Started'!B$6," + ",'2. Getting Started'!B$6+1," Projected Exceptions")</f>
        <v>SFY 2021 + 2022 Projected Exceptions</v>
      </c>
      <c r="B18" s="258" t="e">
        <f>'6. Year 1 Exc &amp; Adj'!B68+'9. Year 2 Exc &amp; Adj'!B68</f>
        <v>#N/A</v>
      </c>
      <c r="C18" s="674"/>
      <c r="D18" s="674"/>
      <c r="E18" s="224" t="str">
        <f>CONCATENATE("SFY ",'2. Getting Started'!B$6+1," Exceptions")</f>
        <v>SFY 2022 Exceptions</v>
      </c>
      <c r="F18" s="258" t="e">
        <f>'9. Year 2 Exc &amp; Adj'!I68</f>
        <v>#N/A</v>
      </c>
    </row>
    <row r="19" spans="1:6" ht="15" customHeight="1" x14ac:dyDescent="0.25">
      <c r="A19" s="224" t="str">
        <f>CONCATENATE("SFY ",'2. Getting Started'!B$6," + ",'2. Getting Started'!B$6+1," Projected Adjustments")</f>
        <v>SFY 2021 + 2022 Projected Adjustments</v>
      </c>
      <c r="B19" s="258">
        <f>AdjDataYear1Budget[Projected Adjustment]+AdjDataYear2Budget[Projected Adjustment]</f>
        <v>0</v>
      </c>
      <c r="C19" s="674"/>
      <c r="D19" s="674"/>
      <c r="E19" s="224" t="str">
        <f>CONCATENATE("SFY ",'2. Getting Started'!B$6+1," Adjustment")</f>
        <v>SFY 2022 Adjustment</v>
      </c>
      <c r="F19" s="258">
        <f>AdjDataYear2Expenditures[[Adjustment ]]</f>
        <v>0</v>
      </c>
    </row>
    <row r="20" spans="1:6" ht="15" customHeight="1" x14ac:dyDescent="0.25">
      <c r="A20" s="224" t="str">
        <f>CONCATENATE("Adjusted MOE Threshold for SFY ",'2. Getting Started'!B$6+1)</f>
        <v>Adjusted MOE Threshold for SFY 2022</v>
      </c>
      <c r="B20" s="258" t="e">
        <f>IF(B17="","",(B17-B18-B19))</f>
        <v>#N/A</v>
      </c>
      <c r="C20" s="674"/>
      <c r="D20" s="674"/>
      <c r="E20" s="224" t="str">
        <f>CONCATENATE("Adjusted MOE Threshold for SFY ",'2. Getting Started'!B$6+1)</f>
        <v>Adjusted MOE Threshold for SFY 2022</v>
      </c>
      <c r="F20" s="258" t="e">
        <f>IF(F17="","",(F17-F18-F19))</f>
        <v>#N/A</v>
      </c>
    </row>
    <row r="21" spans="1:6" ht="15" customHeight="1" x14ac:dyDescent="0.25">
      <c r="A21" s="224" t="str">
        <f>CONCATENATE("Budgeted Amount for SFY ",'2. Getting Started'!B$6+1)</f>
        <v>Budgeted Amount for SFY 2022</v>
      </c>
      <c r="B21" s="258">
        <f>'8. Year 2 Amounts'!F30</f>
        <v>0</v>
      </c>
      <c r="C21" s="674"/>
      <c r="D21" s="674"/>
      <c r="E21" s="224" t="str">
        <f>CONCATENATE("Final Expenditures for SFY ",'2. Getting Started'!B$6+1)</f>
        <v>Final Expenditures for SFY 2022</v>
      </c>
      <c r="F21" s="258">
        <f>'8. Year 2 Amounts'!M30</f>
        <v>0</v>
      </c>
    </row>
    <row r="22" spans="1:6" ht="15" customHeight="1" x14ac:dyDescent="0.25">
      <c r="A22" s="275" t="str">
        <f>CONCATENATE("MOE Result for SFY ",'2. Getting Started'!B$6+1)</f>
        <v>MOE Result for SFY 2022</v>
      </c>
      <c r="B22" s="285" t="e">
        <f>IF(B21="","",IF(B21&gt;=B20,"Met","Did Not Meet"))</f>
        <v>#N/A</v>
      </c>
      <c r="C22" s="674"/>
      <c r="D22" s="674"/>
      <c r="E22" s="275" t="str">
        <f>CONCATENATE("MOE Result for SFY ",'2. Getting Started'!B$6+1)</f>
        <v>MOE Result for SFY 2022</v>
      </c>
      <c r="F22" s="285" t="e">
        <f>IF(F21="","",IF(F21&gt;=F20,"Met","Did Not Meet"))</f>
        <v>#N/A</v>
      </c>
    </row>
    <row r="23" spans="1:6" ht="15" customHeight="1" x14ac:dyDescent="0.25">
      <c r="A23" s="673" t="s">
        <v>174</v>
      </c>
      <c r="B23" s="673"/>
      <c r="C23" s="674"/>
      <c r="D23" s="674"/>
      <c r="E23" s="673" t="s">
        <v>174</v>
      </c>
      <c r="F23" s="673"/>
    </row>
    <row r="24" spans="1:6" ht="15.75" customHeight="1" x14ac:dyDescent="0.25">
      <c r="A24" s="5" t="str">
        <f>CONCATENATE("Year 3: SFY ",'2. Getting Started'!B$6+2)</f>
        <v>Year 3: SFY 2023</v>
      </c>
      <c r="B24" s="4"/>
      <c r="C24" s="674"/>
      <c r="D24" s="674"/>
      <c r="E24" s="5" t="str">
        <f>CONCATENATE("Year 3: SFY ",'2. Getting Started'!B$6+2)</f>
        <v>Year 3: SFY 2023</v>
      </c>
      <c r="F24" s="4"/>
    </row>
    <row r="25" spans="1:6" ht="15" customHeight="1" x14ac:dyDescent="0.25">
      <c r="A25" s="224" t="str">
        <f>CONCATENATE("Starting MOE Threshold for SFY ",'2. Getting Started'!B$6+2)</f>
        <v>Starting MOE Threshold for SFY 2023</v>
      </c>
      <c r="B25" s="258">
        <f>IF(F14="Met",F13,F12)</f>
        <v>0</v>
      </c>
      <c r="C25" s="674"/>
      <c r="D25" s="674"/>
      <c r="E25" s="224" t="str">
        <f>CONCATENATE("Starting MOE Threshold for SFY ",'2. Getting Started'!B$6+2)</f>
        <v>Starting MOE Threshold for SFY 2023</v>
      </c>
      <c r="F25" s="258" t="e">
        <f>IF(F22="Met",F21,F20)</f>
        <v>#N/A</v>
      </c>
    </row>
    <row r="26" spans="1:6" ht="15" customHeight="1" x14ac:dyDescent="0.25">
      <c r="A26" s="224" t="str">
        <f>CONCATENATE("SFY ",'2. Getting Started'!B$6+1," + ",'2. Getting Started'!B$6+2," Projected Exceptions")</f>
        <v>SFY 2022 + 2023 Projected Exceptions</v>
      </c>
      <c r="B26" s="258" t="e">
        <f>'9. Year 2 Exc &amp; Adj'!B68+'12. Year 3 Exc &amp; Adj'!B68</f>
        <v>#N/A</v>
      </c>
      <c r="C26" s="674"/>
      <c r="D26" s="674"/>
      <c r="E26" s="224" t="str">
        <f>CONCATENATE("SFY ",'2. Getting Started'!B$6+2," Exceptions")</f>
        <v>SFY 2023 Exceptions</v>
      </c>
      <c r="F26" s="258" t="e">
        <f>'12. Year 3 Exc &amp; Adj'!I68</f>
        <v>#N/A</v>
      </c>
    </row>
    <row r="27" spans="1:6" ht="15" customHeight="1" x14ac:dyDescent="0.25">
      <c r="A27" s="224" t="str">
        <f>CONCATENATE("SFY ",'2. Getting Started'!B$6+1," + ",'2. Getting Started'!B$6+2," Projected Adjustments")</f>
        <v>SFY 2022 + 2023 Projected Adjustments</v>
      </c>
      <c r="B27" s="258">
        <f>AdjDataYear2Budget[Projected Adjustment]+AdjDataYear3Budget[Projected Adjustment]</f>
        <v>0</v>
      </c>
      <c r="C27" s="674"/>
      <c r="D27" s="674"/>
      <c r="E27" s="224" t="str">
        <f>CONCATENATE("SFY ",'2. Getting Started'!B$6+2," Adjustment")</f>
        <v>SFY 2023 Adjustment</v>
      </c>
      <c r="F27" s="258" t="e">
        <f>AdjDataYear3Expenditures[[Adjustment ]]</f>
        <v>#N/A</v>
      </c>
    </row>
    <row r="28" spans="1:6" ht="15" customHeight="1" x14ac:dyDescent="0.25">
      <c r="A28" s="224" t="str">
        <f>CONCATENATE("Adjusted MOE Threshold for SFY ",'2. Getting Started'!B$6+2)</f>
        <v>Adjusted MOE Threshold for SFY 2023</v>
      </c>
      <c r="B28" s="258" t="e">
        <f>IF(B25="","",(B25-B26-B27))</f>
        <v>#N/A</v>
      </c>
      <c r="C28" s="674"/>
      <c r="D28" s="674"/>
      <c r="E28" s="224" t="str">
        <f>CONCATENATE("Adjusted MOE Threshold for SFY ",'2. Getting Started'!B$6+2)</f>
        <v>Adjusted MOE Threshold for SFY 2023</v>
      </c>
      <c r="F28" s="258" t="e">
        <f>IF(F25="","",(F25-F26-F27))</f>
        <v>#N/A</v>
      </c>
    </row>
    <row r="29" spans="1:6" ht="15" customHeight="1" x14ac:dyDescent="0.25">
      <c r="A29" s="224" t="str">
        <f>CONCATENATE("Budgeted Amount for SFY ",'2. Getting Started'!B$6+2)</f>
        <v>Budgeted Amount for SFY 2023</v>
      </c>
      <c r="B29" s="258" t="str">
        <f>'11. Year 3 Amounts'!F30</f>
        <v/>
      </c>
      <c r="C29" s="674"/>
      <c r="D29" s="674"/>
      <c r="E29" s="224" t="str">
        <f>CONCATENATE("Final Expenditures for SFY ",'2. Getting Started'!B$6+2)</f>
        <v>Final Expenditures for SFY 2023</v>
      </c>
      <c r="F29" s="258">
        <f>'11. Year 3 Amounts'!M30</f>
        <v>0</v>
      </c>
    </row>
    <row r="30" spans="1:6" ht="15" customHeight="1" x14ac:dyDescent="0.25">
      <c r="A30" s="275" t="str">
        <f>CONCATENATE("MOE Result for SFY ",'2. Getting Started'!B$6+2)</f>
        <v>MOE Result for SFY 2023</v>
      </c>
      <c r="B30" s="285" t="str">
        <f>IF(B29="","",IF(B29&gt;=B28,"Met","Did Not Meet"))</f>
        <v/>
      </c>
      <c r="C30" s="674"/>
      <c r="D30" s="674"/>
      <c r="E30" s="275" t="str">
        <f>CONCATENATE("MOE Result for SFY ",'2. Getting Started'!B$6+2)</f>
        <v>MOE Result for SFY 2023</v>
      </c>
      <c r="F30" s="285" t="e">
        <f>IF(F29="","",IF(F29&gt;=F28,"Met","Did Not Meet"))</f>
        <v>#N/A</v>
      </c>
    </row>
    <row r="31" spans="1:6" ht="15" customHeight="1" x14ac:dyDescent="0.25">
      <c r="A31" s="673" t="s">
        <v>174</v>
      </c>
      <c r="B31" s="673"/>
      <c r="C31" s="674"/>
      <c r="D31" s="674"/>
      <c r="E31" s="673" t="s">
        <v>174</v>
      </c>
      <c r="F31" s="673"/>
    </row>
    <row r="32" spans="1:6" ht="15.75" customHeight="1" x14ac:dyDescent="0.25">
      <c r="A32" s="5" t="str">
        <f>CONCATENATE("Year 4: SFY ",'2. Getting Started'!B$6+3)</f>
        <v>Year 4: SFY 2024</v>
      </c>
      <c r="B32" s="4"/>
      <c r="C32" s="674"/>
      <c r="D32" s="674"/>
      <c r="E32" s="5" t="str">
        <f>CONCATENATE("Year 4: SFY ",'2. Getting Started'!B$6+3)</f>
        <v>Year 4: SFY 2024</v>
      </c>
      <c r="F32" s="4"/>
    </row>
    <row r="33" spans="1:6" ht="15" customHeight="1" x14ac:dyDescent="0.25">
      <c r="A33" s="224" t="str">
        <f>CONCATENATE("Starting MOE Threshold for SFY ",'2. Getting Started'!B$6+3)</f>
        <v>Starting MOE Threshold for SFY 2024</v>
      </c>
      <c r="B33" s="258" t="e">
        <f>IF(F22="Met",F21,F20)</f>
        <v>#N/A</v>
      </c>
      <c r="C33" s="674"/>
      <c r="D33" s="674"/>
      <c r="E33" s="224" t="str">
        <f>CONCATENATE("Starting MOE Threshold for SFY ",'2. Getting Started'!B$6+3)</f>
        <v>Starting MOE Threshold for SFY 2024</v>
      </c>
      <c r="F33" s="258" t="e">
        <f>IF(F30="Met",F29,F28)</f>
        <v>#N/A</v>
      </c>
    </row>
    <row r="34" spans="1:6" ht="15" customHeight="1" x14ac:dyDescent="0.25">
      <c r="A34" s="224" t="str">
        <f>CONCATENATE("SFY ",'2. Getting Started'!B$6+2," + ",'2. Getting Started'!B$6+3," Projected Exceptions")</f>
        <v>SFY 2023 + 2024 Projected Exceptions</v>
      </c>
      <c r="B34" s="258" t="e">
        <f>'12. Year 3 Exc &amp; Adj'!B68+'15. Year 4 Exc &amp; Adj'!B68</f>
        <v>#N/A</v>
      </c>
      <c r="C34" s="674"/>
      <c r="D34" s="674"/>
      <c r="E34" s="224" t="str">
        <f>CONCATENATE("SFY ",'2. Getting Started'!B$6+3," Exceptions")</f>
        <v>SFY 2024 Exceptions</v>
      </c>
      <c r="F34" s="258">
        <f>'15. Year 4 Exc &amp; Adj'!I68</f>
        <v>0</v>
      </c>
    </row>
    <row r="35" spans="1:6" ht="15" customHeight="1" x14ac:dyDescent="0.25">
      <c r="A35" s="224" t="str">
        <f>CONCATENATE("SFY ",'2. Getting Started'!B$6+2," + ",'2. Getting Started'!B$6+3," Projected Adjustments")</f>
        <v>SFY 2023 + 2024 Projected Adjustments</v>
      </c>
      <c r="B35" s="258">
        <f>AdjDataYear3Budget[Projected Adjustment]+AdjDataYear4Budget[Projected Adjustment]</f>
        <v>0</v>
      </c>
      <c r="C35" s="674"/>
      <c r="D35" s="674"/>
      <c r="E35" s="224" t="str">
        <f>CONCATENATE("SFY ",'2. Getting Started'!B$6+3," Adjustment")</f>
        <v>SFY 2024 Adjustment</v>
      </c>
      <c r="F35" s="258">
        <f>AdjDataYear4Expenditures[[Adjustment ]]</f>
        <v>0</v>
      </c>
    </row>
    <row r="36" spans="1:6" ht="15" customHeight="1" x14ac:dyDescent="0.25">
      <c r="A36" s="224" t="str">
        <f>CONCATENATE("Adjusted MOE Threshold for SFY ",'2. Getting Started'!B$6+3)</f>
        <v>Adjusted MOE Threshold for SFY 2024</v>
      </c>
      <c r="B36" s="258" t="e">
        <f>IF(B33="","",(B33-B34-B35))</f>
        <v>#N/A</v>
      </c>
      <c r="C36" s="674"/>
      <c r="D36" s="674"/>
      <c r="E36" s="224" t="str">
        <f>CONCATENATE("Adjusted MOE Threshold for SFY ",'2. Getting Started'!B$6+3)</f>
        <v>Adjusted MOE Threshold for SFY 2024</v>
      </c>
      <c r="F36" s="258" t="e">
        <f>IF(F33="","",(F33-F34-F35))</f>
        <v>#N/A</v>
      </c>
    </row>
    <row r="37" spans="1:6" ht="15" customHeight="1" x14ac:dyDescent="0.25">
      <c r="A37" s="224" t="str">
        <f>CONCATENATE("Budgeted Amount for SFY ",'2. Getting Started'!B$6+3)</f>
        <v>Budgeted Amount for SFY 2024</v>
      </c>
      <c r="B37" s="258" t="str">
        <f>'14. Year 4 Amounts'!F30</f>
        <v/>
      </c>
      <c r="C37" s="674"/>
      <c r="D37" s="674"/>
      <c r="E37" s="224" t="str">
        <f>CONCATENATE("Final Expenditures for SFY ",'2. Getting Started'!B$6+3)</f>
        <v>Final Expenditures for SFY 2024</v>
      </c>
      <c r="F37" s="258">
        <f>'14. Year 4 Amounts'!M30</f>
        <v>0</v>
      </c>
    </row>
    <row r="38" spans="1:6" ht="15" customHeight="1" x14ac:dyDescent="0.25">
      <c r="A38" s="275" t="str">
        <f>CONCATENATE("MOE Result for SFY ",'2. Getting Started'!B$6+3)</f>
        <v>MOE Result for SFY 2024</v>
      </c>
      <c r="B38" s="285" t="str">
        <f>IF(B37="","",IF(B37&gt;=B36,"Met","Did Not Meet"))</f>
        <v/>
      </c>
      <c r="C38" s="674"/>
      <c r="D38" s="674"/>
      <c r="E38" s="275" t="str">
        <f>CONCATENATE("MOE Result for SFY ",'2. Getting Started'!B$6+3)</f>
        <v>MOE Result for SFY 2024</v>
      </c>
      <c r="F38" s="285" t="e">
        <f>IF(F37="","",IF(F37&gt;=F36,"Met","Did Not Meet"))</f>
        <v>#N/A</v>
      </c>
    </row>
    <row r="39" spans="1:6" ht="15" customHeight="1" x14ac:dyDescent="0.25">
      <c r="A39" s="673" t="s">
        <v>174</v>
      </c>
      <c r="B39" s="673"/>
      <c r="C39" s="674"/>
      <c r="D39" s="674"/>
      <c r="E39" s="673" t="s">
        <v>174</v>
      </c>
      <c r="F39" s="673"/>
    </row>
    <row r="40" spans="1:6" ht="15.75" customHeight="1" x14ac:dyDescent="0.25">
      <c r="A40" s="5" t="str">
        <f>CONCATENATE("Year 5: SFY ",'2. Getting Started'!B$6+4)</f>
        <v>Year 5: SFY 2025</v>
      </c>
      <c r="B40" s="4"/>
      <c r="C40" s="674"/>
      <c r="D40" s="674"/>
      <c r="E40" s="5" t="str">
        <f>CONCATENATE("Year 5: SFY ",'2. Getting Started'!B$6+4)</f>
        <v>Year 5: SFY 2025</v>
      </c>
      <c r="F40" s="4"/>
    </row>
    <row r="41" spans="1:6" ht="15" customHeight="1" x14ac:dyDescent="0.25">
      <c r="A41" s="224" t="str">
        <f>CONCATENATE("Starting MOE Threshold for SFY ",'2. Getting Started'!B$6+4)</f>
        <v>Starting MOE Threshold for SFY 2025</v>
      </c>
      <c r="B41" s="258" t="e">
        <f>IF(F30="Met",F29,F28)</f>
        <v>#N/A</v>
      </c>
      <c r="C41" s="674"/>
      <c r="D41" s="674"/>
      <c r="E41" s="224" t="str">
        <f>CONCATENATE("Starting MOE Threshold for SFY ",'2. Getting Started'!B$6+4)</f>
        <v>Starting MOE Threshold for SFY 2025</v>
      </c>
      <c r="F41" s="258" t="e">
        <f>IF(F38="Met",F37,F36)</f>
        <v>#N/A</v>
      </c>
    </row>
    <row r="42" spans="1:6" ht="15" customHeight="1" x14ac:dyDescent="0.25">
      <c r="A42" s="224" t="str">
        <f>CONCATENATE("SFY ",'2. Getting Started'!B$6+3," + ",'2. Getting Started'!B$6+4," Projected Exceptions")</f>
        <v>SFY 2024 + 2025 Projected Exceptions</v>
      </c>
      <c r="B42" s="258">
        <f>'15. Year 4 Exc &amp; Adj'!B68+'18. Year 5 Exc &amp; Adj'!B68</f>
        <v>0</v>
      </c>
      <c r="C42" s="674"/>
      <c r="D42" s="674"/>
      <c r="E42" s="224" t="str">
        <f>CONCATENATE("SFY ",'2. Getting Started'!B$6+4," Exceptions")</f>
        <v>SFY 2025 Exceptions</v>
      </c>
      <c r="F42" s="258">
        <f>'18. Year 5 Exc &amp; Adj'!I68</f>
        <v>0</v>
      </c>
    </row>
    <row r="43" spans="1:6" ht="15" customHeight="1" x14ac:dyDescent="0.25">
      <c r="A43" s="224" t="str">
        <f>CONCATENATE("SFY ",'2. Getting Started'!B$6+3," + ",'2. Getting Started'!B$6+4," Projected Adjustments")</f>
        <v>SFY 2024 + 2025 Projected Adjustments</v>
      </c>
      <c r="B43" s="258">
        <f>AdjDataYear4Budget[Projected Adjustment]+AdjDataYear5Budget[Projected Adjustment]</f>
        <v>0</v>
      </c>
      <c r="C43" s="674"/>
      <c r="D43" s="674"/>
      <c r="E43" s="224" t="str">
        <f>CONCATENATE("SFY ",'2. Getting Started'!B$6+4," Adjustment")</f>
        <v>SFY 2025 Adjustment</v>
      </c>
      <c r="F43" s="258">
        <f>AdjDataYear5Expenditures[[Adjustment ]]</f>
        <v>0</v>
      </c>
    </row>
    <row r="44" spans="1:6" ht="15" customHeight="1" x14ac:dyDescent="0.25">
      <c r="A44" s="224" t="str">
        <f>CONCATENATE("Adjusted MOE Threshold for SFY ",'2. Getting Started'!B$6+4)</f>
        <v>Adjusted MOE Threshold for SFY 2025</v>
      </c>
      <c r="B44" s="258" t="e">
        <f>IF(B41="","",(B41-B42-B43))</f>
        <v>#N/A</v>
      </c>
      <c r="C44" s="674"/>
      <c r="D44" s="674"/>
      <c r="E44" s="224" t="str">
        <f>CONCATENATE("Adjusted MOE Threshold for SFY ",'2. Getting Started'!B$6+4)</f>
        <v>Adjusted MOE Threshold for SFY 2025</v>
      </c>
      <c r="F44" s="258" t="e">
        <f>IF(F41="","",(F41-F42-F43))</f>
        <v>#N/A</v>
      </c>
    </row>
    <row r="45" spans="1:6" ht="15" customHeight="1" x14ac:dyDescent="0.25">
      <c r="A45" s="224" t="str">
        <f>CONCATENATE("Budgeted Amount for SFY ",'2. Getting Started'!B$6+4)</f>
        <v>Budgeted Amount for SFY 2025</v>
      </c>
      <c r="B45" s="258" t="str">
        <f>'17. Year 5 Amounts'!F30</f>
        <v/>
      </c>
      <c r="C45" s="674"/>
      <c r="D45" s="674"/>
      <c r="E45" s="224" t="str">
        <f>CONCATENATE("Final Expenditures for SFY ",'2. Getting Started'!B$6+4)</f>
        <v>Final Expenditures for SFY 2025</v>
      </c>
      <c r="F45" s="258" t="str">
        <f>'17. Year 5 Amounts'!M30</f>
        <v/>
      </c>
    </row>
    <row r="46" spans="1:6" ht="15" customHeight="1" x14ac:dyDescent="0.25">
      <c r="A46" s="275" t="str">
        <f>CONCATENATE("MOE Result for SFY ",'2. Getting Started'!B$6+4)</f>
        <v>MOE Result for SFY 2025</v>
      </c>
      <c r="B46" s="285" t="str">
        <f>IF(B45="","",IF(B45&gt;=B44,"Met","Did Not Meet"))</f>
        <v/>
      </c>
      <c r="C46" s="674"/>
      <c r="D46" s="674"/>
      <c r="E46" s="275" t="str">
        <f>CONCATENATE("MOE Result for SFY ",'2. Getting Started'!B$6+4)</f>
        <v>MOE Result for SFY 2025</v>
      </c>
      <c r="F46" s="285" t="str">
        <f>IF(F45="","",IF(F45&gt;=F44,"Met","Did Not Meet"))</f>
        <v/>
      </c>
    </row>
    <row r="47" spans="1:6" ht="15" customHeight="1" x14ac:dyDescent="0.25">
      <c r="A47" s="673" t="s">
        <v>174</v>
      </c>
      <c r="B47" s="673"/>
      <c r="C47" s="674"/>
      <c r="D47" s="674"/>
      <c r="E47" s="673" t="s">
        <v>174</v>
      </c>
      <c r="F47" s="673"/>
    </row>
    <row r="48" spans="1:6" ht="15.75" customHeight="1" x14ac:dyDescent="0.25">
      <c r="A48" s="5" t="str">
        <f>CONCATENATE("Year 6: SFY ",'2. Getting Started'!B$6+5)</f>
        <v>Year 6: SFY 2026</v>
      </c>
      <c r="B48" s="4"/>
      <c r="C48" s="674"/>
      <c r="D48" s="674"/>
      <c r="E48" s="5" t="str">
        <f>CONCATENATE("Year 6: SFY ",'2. Getting Started'!B$6+5)</f>
        <v>Year 6: SFY 2026</v>
      </c>
      <c r="F48" s="4"/>
    </row>
    <row r="49" spans="1:6" ht="15" customHeight="1" x14ac:dyDescent="0.25">
      <c r="A49" s="224" t="str">
        <f>CONCATENATE("Starting MOE Threshold for SFY ",'2. Getting Started'!B$6+5)</f>
        <v>Starting MOE Threshold for SFY 2026</v>
      </c>
      <c r="B49" s="258" t="e">
        <f>IF(F38="Met",F37,F36)</f>
        <v>#N/A</v>
      </c>
      <c r="C49" s="674"/>
      <c r="D49" s="674"/>
      <c r="E49" s="224" t="str">
        <f>CONCATENATE("Starting MOE Threshold for SFY ",'2. Getting Started'!B$6+5)</f>
        <v>Starting MOE Threshold for SFY 2026</v>
      </c>
      <c r="F49" s="258" t="e">
        <f>IF(F46="Met",F45,F44)</f>
        <v>#N/A</v>
      </c>
    </row>
    <row r="50" spans="1:6" ht="15" customHeight="1" x14ac:dyDescent="0.25">
      <c r="A50" s="224" t="str">
        <f>CONCATENATE("SFY ",'2. Getting Started'!B$6+4," + ",'2. Getting Started'!B$6+5," Projected Exceptions")</f>
        <v>SFY 2025 + 2026 Projected Exceptions</v>
      </c>
      <c r="B50" s="258">
        <f>'18. Year 5 Exc &amp; Adj'!B68+'21. Year 6 Exc &amp; Adj'!B68</f>
        <v>0</v>
      </c>
      <c r="C50" s="674"/>
      <c r="D50" s="674"/>
      <c r="E50" s="224" t="str">
        <f>CONCATENATE("SFY ",'2. Getting Started'!B$6+5," Exceptions")</f>
        <v>SFY 2026 Exceptions</v>
      </c>
      <c r="F50" s="258">
        <f>'21. Year 6 Exc &amp; Adj'!I68</f>
        <v>0</v>
      </c>
    </row>
    <row r="51" spans="1:6" ht="15" customHeight="1" x14ac:dyDescent="0.25">
      <c r="A51" s="224" t="str">
        <f>CONCATENATE("SFY ",'2. Getting Started'!B$6+4," + ",'2. Getting Started'!B$6+5," Projected Adjustments")</f>
        <v>SFY 2025 + 2026 Projected Adjustments</v>
      </c>
      <c r="B51" s="258">
        <f>AdjDataYear5Budget[Projected Adjustment]+AdjDataYear6Budget[Projected Adjustment]</f>
        <v>0</v>
      </c>
      <c r="C51" s="674"/>
      <c r="D51" s="674"/>
      <c r="E51" s="224" t="str">
        <f>CONCATENATE("SFY ",'2. Getting Started'!B$6+5," Adjustment")</f>
        <v>SFY 2026 Adjustment</v>
      </c>
      <c r="F51" s="258">
        <f>AdjDataYear6Expenditures[[Adjustment ]]</f>
        <v>0</v>
      </c>
    </row>
    <row r="52" spans="1:6" ht="15" customHeight="1" x14ac:dyDescent="0.25">
      <c r="A52" s="224" t="str">
        <f>CONCATENATE("Adjusted MOE Threshold for SFY ",'2. Getting Started'!B$6+5)</f>
        <v>Adjusted MOE Threshold for SFY 2026</v>
      </c>
      <c r="B52" s="258" t="e">
        <f>IF(B49="","",(B49-B50-B51))</f>
        <v>#N/A</v>
      </c>
      <c r="C52" s="674"/>
      <c r="D52" s="674"/>
      <c r="E52" s="224" t="str">
        <f>CONCATENATE("Adjusted MOE Threshold for SFY ",'2. Getting Started'!B$6+5)</f>
        <v>Adjusted MOE Threshold for SFY 2026</v>
      </c>
      <c r="F52" s="258" t="e">
        <f>IF(F49="","",(F49-F50-F51))</f>
        <v>#N/A</v>
      </c>
    </row>
    <row r="53" spans="1:6" ht="15" customHeight="1" x14ac:dyDescent="0.25">
      <c r="A53" s="224" t="str">
        <f>CONCATENATE("Budgeted Amount for SFY ",'2. Getting Started'!B$6+5)</f>
        <v>Budgeted Amount for SFY 2026</v>
      </c>
      <c r="B53" s="258" t="str">
        <f>'20. Year 6 Amounts'!F30</f>
        <v/>
      </c>
      <c r="C53" s="674"/>
      <c r="D53" s="674"/>
      <c r="E53" s="224" t="str">
        <f>CONCATENATE("Final Expenditures for SFY ",'2. Getting Started'!B$6+5)</f>
        <v>Final Expenditures for SFY 2026</v>
      </c>
      <c r="F53" s="258" t="str">
        <f>'20. Year 6 Amounts'!M30</f>
        <v/>
      </c>
    </row>
    <row r="54" spans="1:6" ht="15" customHeight="1" x14ac:dyDescent="0.25">
      <c r="A54" s="275" t="str">
        <f>CONCATENATE("MOE Result for SFY ",'2. Getting Started'!B$6+5)</f>
        <v>MOE Result for SFY 2026</v>
      </c>
      <c r="B54" s="285" t="str">
        <f>IF(B53="","",IF(B53&gt;=B52,"Met","Did Not Meet"))</f>
        <v/>
      </c>
      <c r="C54" s="674"/>
      <c r="D54" s="674"/>
      <c r="E54" s="275" t="str">
        <f>CONCATENATE("MOE Result for SFY ",'2. Getting Started'!B$6+5)</f>
        <v>MOE Result for SFY 2026</v>
      </c>
      <c r="F54" s="285" t="str">
        <f>IF(F53="","",IF(F53&gt;=F52,"Met","Did Not Meet"))</f>
        <v/>
      </c>
    </row>
    <row r="55" spans="1:6" ht="15" customHeight="1" x14ac:dyDescent="0.25">
      <c r="A55" s="673" t="s">
        <v>174</v>
      </c>
      <c r="B55" s="673"/>
      <c r="C55" s="674"/>
      <c r="D55" s="674"/>
      <c r="E55" s="673" t="s">
        <v>174</v>
      </c>
      <c r="F55" s="673"/>
    </row>
    <row r="56" spans="1:6" ht="15.75" customHeight="1" x14ac:dyDescent="0.25">
      <c r="A56" s="5" t="str">
        <f>CONCATENATE("Year 7: SFY ",'2. Getting Started'!B$6+6)</f>
        <v>Year 7: SFY 2027</v>
      </c>
      <c r="B56" s="4"/>
      <c r="C56" s="674"/>
      <c r="D56" s="674"/>
      <c r="E56" s="5" t="str">
        <f>CONCATENATE("Year 7: SFY ",'2. Getting Started'!B$6+6)</f>
        <v>Year 7: SFY 2027</v>
      </c>
      <c r="F56" s="4"/>
    </row>
    <row r="57" spans="1:6" ht="15" customHeight="1" x14ac:dyDescent="0.25">
      <c r="A57" s="224" t="str">
        <f>CONCATENATE("Starting MOE Threshold for SFY ",'2. Getting Started'!B$6+6)</f>
        <v>Starting MOE Threshold for SFY 2027</v>
      </c>
      <c r="B57" s="258" t="e">
        <f>IF(F46="Met",F45,F44)</f>
        <v>#N/A</v>
      </c>
      <c r="C57" s="674"/>
      <c r="D57" s="674"/>
      <c r="E57" s="224" t="str">
        <f>CONCATENATE("Starting MOE Threshold for SFY ",'2. Getting Started'!B$6+6)</f>
        <v>Starting MOE Threshold for SFY 2027</v>
      </c>
      <c r="F57" s="258" t="e">
        <f>IF(F54="Met",F53,F52)</f>
        <v>#N/A</v>
      </c>
    </row>
    <row r="58" spans="1:6" ht="15" customHeight="1" x14ac:dyDescent="0.25">
      <c r="A58" s="224" t="str">
        <f>CONCATENATE("SFY ",'2. Getting Started'!B$6+5," + ",'2. Getting Started'!B$6+6," Projected Exceptions")</f>
        <v>SFY 2026 + 2027 Projected Exceptions</v>
      </c>
      <c r="B58" s="258">
        <f>'21. Year 6 Exc &amp; Adj'!B68+'24. Year 7 Exc &amp; Adj'!B68</f>
        <v>0</v>
      </c>
      <c r="C58" s="674"/>
      <c r="D58" s="674"/>
      <c r="E58" s="224" t="str">
        <f>CONCATENATE("SFY ",'2. Getting Started'!B$6+6," Exceptions")</f>
        <v>SFY 2027 Exceptions</v>
      </c>
      <c r="F58" s="258">
        <f>'24. Year 7 Exc &amp; Adj'!I68</f>
        <v>0</v>
      </c>
    </row>
    <row r="59" spans="1:6" ht="15" customHeight="1" x14ac:dyDescent="0.25">
      <c r="A59" s="224" t="str">
        <f>CONCATENATE("SFY ",'2. Getting Started'!B$6+5," + ",'2. Getting Started'!B$6+6," Projected Adjustments")</f>
        <v>SFY 2026 + 2027 Projected Adjustments</v>
      </c>
      <c r="B59" s="258">
        <f>AdjDataYear6Budget[Projected Adjustment]+AdjDataYear7Budget[Projected Adjustment]</f>
        <v>0</v>
      </c>
      <c r="C59" s="674"/>
      <c r="D59" s="674"/>
      <c r="E59" s="224" t="str">
        <f>CONCATENATE("SFY ",'2. Getting Started'!B$6+6," Adjustment")</f>
        <v>SFY 2027 Adjustment</v>
      </c>
      <c r="F59" s="258">
        <f>AdjDataYear7Expenditures[[Adjustment ]]</f>
        <v>0</v>
      </c>
    </row>
    <row r="60" spans="1:6" ht="15" customHeight="1" x14ac:dyDescent="0.25">
      <c r="A60" s="224" t="str">
        <f>CONCATENATE("Adjusted MOE Threshold for SFY ",'2. Getting Started'!B$6+6)</f>
        <v>Adjusted MOE Threshold for SFY 2027</v>
      </c>
      <c r="B60" s="258" t="e">
        <f>IF(B57="","",(B57-B58-B59))</f>
        <v>#N/A</v>
      </c>
      <c r="C60" s="674"/>
      <c r="D60" s="674"/>
      <c r="E60" s="224" t="str">
        <f>CONCATENATE("Adjusted MOE Threshold for SFY ",'2. Getting Started'!B$6+6)</f>
        <v>Adjusted MOE Threshold for SFY 2027</v>
      </c>
      <c r="F60" s="258" t="e">
        <f>IF(F57="","",(F57-F58-F59))</f>
        <v>#N/A</v>
      </c>
    </row>
    <row r="61" spans="1:6" ht="15" customHeight="1" x14ac:dyDescent="0.25">
      <c r="A61" s="224" t="str">
        <f>CONCATENATE("Budgeted Amount for SFY ",'2. Getting Started'!B$6+6)</f>
        <v>Budgeted Amount for SFY 2027</v>
      </c>
      <c r="B61" s="258" t="str">
        <f>'23. Year 7 Amounts'!F30</f>
        <v/>
      </c>
      <c r="C61" s="674"/>
      <c r="D61" s="674"/>
      <c r="E61" s="224" t="str">
        <f>CONCATENATE("Final Expenditures for SFY ",'2. Getting Started'!B$6+6)</f>
        <v>Final Expenditures for SFY 2027</v>
      </c>
      <c r="F61" s="258" t="str">
        <f>'23. Year 7 Amounts'!M30</f>
        <v/>
      </c>
    </row>
    <row r="62" spans="1:6" ht="15" customHeight="1" x14ac:dyDescent="0.25">
      <c r="A62" s="275" t="str">
        <f>CONCATENATE("MOE Result for SFY ",'2. Getting Started'!B$6+6)</f>
        <v>MOE Result for SFY 2027</v>
      </c>
      <c r="B62" s="285" t="str">
        <f>IF(B61="","",IF(B61&gt;=B60,"Met","Did Not Meet"))</f>
        <v/>
      </c>
      <c r="C62" s="674"/>
      <c r="D62" s="674"/>
      <c r="E62" s="275" t="str">
        <f>CONCATENATE("MOE Result for SFY ",'2. Getting Started'!B$6+6)</f>
        <v>MOE Result for SFY 2027</v>
      </c>
      <c r="F62" s="285" t="str">
        <f>IF(F61="","",IF(F61&gt;=F60,"Met","Did Not Meet"))</f>
        <v/>
      </c>
    </row>
    <row r="63" spans="1:6" ht="15" customHeight="1" x14ac:dyDescent="0.25">
      <c r="A63" s="673" t="s">
        <v>174</v>
      </c>
      <c r="B63" s="673"/>
      <c r="C63" s="674"/>
      <c r="D63" s="674"/>
      <c r="E63" s="673" t="s">
        <v>174</v>
      </c>
      <c r="F63" s="673"/>
    </row>
    <row r="64" spans="1:6" ht="15.75" customHeight="1" x14ac:dyDescent="0.25">
      <c r="A64" s="5" t="str">
        <f>CONCATENATE("Year 8: SFY ",'2. Getting Started'!B$6+7)</f>
        <v>Year 8: SFY 2028</v>
      </c>
      <c r="B64" s="4"/>
      <c r="C64" s="674"/>
      <c r="D64" s="674"/>
      <c r="E64" s="5" t="str">
        <f>CONCATENATE("Year 8: SFY ",'2. Getting Started'!B$6+7)</f>
        <v>Year 8: SFY 2028</v>
      </c>
      <c r="F64" s="4"/>
    </row>
    <row r="65" spans="1:6" ht="15" customHeight="1" x14ac:dyDescent="0.25">
      <c r="A65" s="224" t="str">
        <f>CONCATENATE("Starting MOE Threshold for SFY ",'2. Getting Started'!B$6+7)</f>
        <v>Starting MOE Threshold for SFY 2028</v>
      </c>
      <c r="B65" s="258" t="e">
        <f>IF(F54="Met",F53,F52)</f>
        <v>#N/A</v>
      </c>
      <c r="C65" s="674"/>
      <c r="D65" s="674"/>
      <c r="E65" s="224" t="str">
        <f>CONCATENATE("Starting MOE Threshold for SFY ",'2. Getting Started'!B$6+7)</f>
        <v>Starting MOE Threshold for SFY 2028</v>
      </c>
      <c r="F65" s="258" t="e">
        <f>IF(F62="Met",F61,F60)</f>
        <v>#N/A</v>
      </c>
    </row>
    <row r="66" spans="1:6" ht="15" customHeight="1" x14ac:dyDescent="0.25">
      <c r="A66" s="224" t="str">
        <f>CONCATENATE("SFY ",'2. Getting Started'!B$6+6," + ",'2. Getting Started'!B$6+7," Projected Exceptions")</f>
        <v>SFY 2027 + 2028 Projected Exceptions</v>
      </c>
      <c r="B66" s="258">
        <f>'24. Year 7 Exc &amp; Adj'!B68+'27. Year 8 Exc &amp; Adj'!B68</f>
        <v>0</v>
      </c>
      <c r="C66" s="674"/>
      <c r="D66" s="674"/>
      <c r="E66" s="224" t="str">
        <f>CONCATENATE("SFY ",'2. Getting Started'!B$6+7," Exceptions")</f>
        <v>SFY 2028 Exceptions</v>
      </c>
      <c r="F66" s="258">
        <f>'27. Year 8 Exc &amp; Adj'!I68</f>
        <v>0</v>
      </c>
    </row>
    <row r="67" spans="1:6" ht="15" customHeight="1" x14ac:dyDescent="0.25">
      <c r="A67" s="224" t="str">
        <f>CONCATENATE("SFY ",'2. Getting Started'!B$6+6," + ",'2. Getting Started'!B$6+7," Projected Adjustments")</f>
        <v>SFY 2027 + 2028 Projected Adjustments</v>
      </c>
      <c r="B67" s="258">
        <f>AdjDataYear7Budget[Projected Adjustment]+AdjDataYear8Budget[Projected Adjustment]</f>
        <v>0</v>
      </c>
      <c r="C67" s="674"/>
      <c r="D67" s="674"/>
      <c r="E67" s="224" t="str">
        <f>CONCATENATE("SFY ",'2. Getting Started'!B$6+7," Adjustment")</f>
        <v>SFY 2028 Adjustment</v>
      </c>
      <c r="F67" s="258">
        <f>AdjDataYear8Expenditures[[Adjustment ]]</f>
        <v>0</v>
      </c>
    </row>
    <row r="68" spans="1:6" ht="15" customHeight="1" x14ac:dyDescent="0.25">
      <c r="A68" s="224" t="str">
        <f>CONCATENATE("Adjusted MOE Threshold for SFY ",'2. Getting Started'!B$6+7)</f>
        <v>Adjusted MOE Threshold for SFY 2028</v>
      </c>
      <c r="B68" s="258" t="e">
        <f>IF(B65="","",(B65-B66-B67))</f>
        <v>#N/A</v>
      </c>
      <c r="C68" s="674"/>
      <c r="D68" s="674"/>
      <c r="E68" s="224" t="str">
        <f>CONCATENATE("Adjusted MOE Threshold for SFY ",'2. Getting Started'!B$6+7)</f>
        <v>Adjusted MOE Threshold for SFY 2028</v>
      </c>
      <c r="F68" s="258" t="e">
        <f>IF(F65="","",(F65-F66-F67))</f>
        <v>#N/A</v>
      </c>
    </row>
    <row r="69" spans="1:6" ht="15" customHeight="1" x14ac:dyDescent="0.25">
      <c r="A69" s="224" t="str">
        <f>CONCATENATE("Budgeted Amount for SFY ",'2. Getting Started'!B$6+7)</f>
        <v>Budgeted Amount for SFY 2028</v>
      </c>
      <c r="B69" s="258" t="str">
        <f>'26. Year 8 Amounts'!F30</f>
        <v/>
      </c>
      <c r="C69" s="674"/>
      <c r="D69" s="674"/>
      <c r="E69" s="224" t="str">
        <f>CONCATENATE("Final Expenditures for SFY ",'2. Getting Started'!B$6+7)</f>
        <v>Final Expenditures for SFY 2028</v>
      </c>
      <c r="F69" s="258" t="str">
        <f>'26. Year 8 Amounts'!M30</f>
        <v/>
      </c>
    </row>
    <row r="70" spans="1:6" ht="15" customHeight="1" x14ac:dyDescent="0.25">
      <c r="A70" s="275" t="str">
        <f>CONCATENATE("MOE Result for SFY ",'2. Getting Started'!B$6+7)</f>
        <v>MOE Result for SFY 2028</v>
      </c>
      <c r="B70" s="285" t="str">
        <f>IF(B69="","",IF(B69&gt;=B68,"Met","Did Not Meet"))</f>
        <v/>
      </c>
      <c r="C70" s="674"/>
      <c r="D70" s="674"/>
      <c r="E70" s="275" t="str">
        <f>CONCATENATE("MOE Result for SFY ",'2. Getting Started'!B$6+7)</f>
        <v>MOE Result for SFY 2028</v>
      </c>
      <c r="F70" s="285" t="str">
        <f>IF(F69="","",IF(F69&gt;=F68,"Met","Did Not Meet"))</f>
        <v/>
      </c>
    </row>
    <row r="71" spans="1:6" ht="15" customHeight="1" x14ac:dyDescent="0.25">
      <c r="A71" s="673" t="s">
        <v>174</v>
      </c>
      <c r="B71" s="673"/>
      <c r="C71" s="674"/>
      <c r="D71" s="674"/>
      <c r="E71" s="673" t="s">
        <v>174</v>
      </c>
      <c r="F71" s="673"/>
    </row>
    <row r="72" spans="1:6" ht="15.75" customHeight="1" x14ac:dyDescent="0.25">
      <c r="A72" s="5" t="str">
        <f>CONCATENATE("Year 9: SFY ",'2. Getting Started'!B$6+8)</f>
        <v>Year 9: SFY 2029</v>
      </c>
      <c r="B72" s="4"/>
      <c r="C72" s="674"/>
      <c r="D72" s="674"/>
      <c r="E72" s="5" t="str">
        <f>CONCATENATE("Year 9: SFY ",'2. Getting Started'!B$6+8)</f>
        <v>Year 9: SFY 2029</v>
      </c>
      <c r="F72" s="4"/>
    </row>
    <row r="73" spans="1:6" ht="15" customHeight="1" x14ac:dyDescent="0.25">
      <c r="A73" s="224" t="str">
        <f>CONCATENATE("Starting MOE Threshold for SFY ",'2. Getting Started'!B$6+8)</f>
        <v>Starting MOE Threshold for SFY 2029</v>
      </c>
      <c r="B73" s="258" t="e">
        <f>IF(F62="Met",F61,F60)</f>
        <v>#N/A</v>
      </c>
      <c r="C73" s="674"/>
      <c r="D73" s="674"/>
      <c r="E73" s="224" t="str">
        <f>CONCATENATE("Starting MOE Threshold for SFY ",'2. Getting Started'!B$6+8)</f>
        <v>Starting MOE Threshold for SFY 2029</v>
      </c>
      <c r="F73" s="258" t="e">
        <f>IF(F70="Met",F69,F68)</f>
        <v>#N/A</v>
      </c>
    </row>
    <row r="74" spans="1:6" ht="15" customHeight="1" x14ac:dyDescent="0.25">
      <c r="A74" s="224" t="str">
        <f>CONCATENATE("SFY ",'2. Getting Started'!B$6+7," + ",'2. Getting Started'!B$6+8," Projected Exceptions")</f>
        <v>SFY 2028 + 2029 Projected Exceptions</v>
      </c>
      <c r="B74" s="258">
        <f>'27. Year 8 Exc &amp; Adj'!B68+'30. Year 9 Exc &amp; Adj'!B68</f>
        <v>0</v>
      </c>
      <c r="C74" s="674"/>
      <c r="D74" s="674"/>
      <c r="E74" s="224" t="str">
        <f>CONCATENATE("SFY ",'2. Getting Started'!B$6+8," Exceptions")</f>
        <v>SFY 2029 Exceptions</v>
      </c>
      <c r="F74" s="258">
        <f>'30. Year 9 Exc &amp; Adj'!I68</f>
        <v>0</v>
      </c>
    </row>
    <row r="75" spans="1:6" ht="15" customHeight="1" x14ac:dyDescent="0.25">
      <c r="A75" s="224" t="str">
        <f>CONCATENATE("SFY ",'2. Getting Started'!B$6+7," + ",'2. Getting Started'!B$6+8," Projected Adjustments")</f>
        <v>SFY 2028 + 2029 Projected Adjustments</v>
      </c>
      <c r="B75" s="258">
        <f>AdjDataYear8Budget[Projected Adjustment]+AdjDataYear9Budget[Projected Adjustment]</f>
        <v>0</v>
      </c>
      <c r="C75" s="674"/>
      <c r="D75" s="674"/>
      <c r="E75" s="224" t="str">
        <f>CONCATENATE("SFY ",'2. Getting Started'!B$6+8," Adjustment")</f>
        <v>SFY 2029 Adjustment</v>
      </c>
      <c r="F75" s="258">
        <f>AdjDataYear9Expenditures[[Adjustment ]]</f>
        <v>0</v>
      </c>
    </row>
    <row r="76" spans="1:6" ht="15" customHeight="1" x14ac:dyDescent="0.25">
      <c r="A76" s="224" t="str">
        <f>CONCATENATE("Adjusted MOE Threshold for SFY ",'2. Getting Started'!B$6+8)</f>
        <v>Adjusted MOE Threshold for SFY 2029</v>
      </c>
      <c r="B76" s="258" t="e">
        <f>IF(B73="","",(B73-B74-B75))</f>
        <v>#N/A</v>
      </c>
      <c r="C76" s="674"/>
      <c r="D76" s="674"/>
      <c r="E76" s="224" t="str">
        <f>CONCATENATE("Adjusted MOE Threshold for SFY ",'2. Getting Started'!B$6+8)</f>
        <v>Adjusted MOE Threshold for SFY 2029</v>
      </c>
      <c r="F76" s="258" t="e">
        <f>IF(F73="","",(F73-F74-F75))</f>
        <v>#N/A</v>
      </c>
    </row>
    <row r="77" spans="1:6" ht="15" customHeight="1" x14ac:dyDescent="0.25">
      <c r="A77" s="224" t="str">
        <f>CONCATENATE("Budgeted Amount for SFY ",'2. Getting Started'!B$6+8)</f>
        <v>Budgeted Amount for SFY 2029</v>
      </c>
      <c r="B77" s="258" t="str">
        <f>'29. Year 9 Amounts'!F30</f>
        <v/>
      </c>
      <c r="C77" s="674"/>
      <c r="D77" s="674"/>
      <c r="E77" s="224" t="str">
        <f>CONCATENATE("Final Expenditures for SFY ",'2. Getting Started'!B$6+8)</f>
        <v>Final Expenditures for SFY 2029</v>
      </c>
      <c r="F77" s="258" t="str">
        <f>'29. Year 9 Amounts'!M30</f>
        <v/>
      </c>
    </row>
    <row r="78" spans="1:6" ht="15" customHeight="1" x14ac:dyDescent="0.25">
      <c r="A78" s="275" t="str">
        <f>CONCATENATE("MOE Result for SFY ",'2. Getting Started'!B$6+8)</f>
        <v>MOE Result for SFY 2029</v>
      </c>
      <c r="B78" s="285" t="str">
        <f>IF(B77="","",IF(B77&gt;=B76,"Met","Did Not Meet"))</f>
        <v/>
      </c>
      <c r="C78" s="674"/>
      <c r="D78" s="674"/>
      <c r="E78" s="275" t="str">
        <f>CONCATENATE("MOE Result for SFY ",'2. Getting Started'!B$6+8)</f>
        <v>MOE Result for SFY 2029</v>
      </c>
      <c r="F78" s="285" t="str">
        <f>IF(F77="","",IF(F77&gt;=F76,"Met","Did Not Meet"))</f>
        <v/>
      </c>
    </row>
    <row r="79" spans="1:6" ht="15" customHeight="1" x14ac:dyDescent="0.25">
      <c r="A79" s="673" t="s">
        <v>174</v>
      </c>
      <c r="B79" s="673"/>
      <c r="C79" s="674"/>
      <c r="D79" s="674"/>
      <c r="E79" s="673" t="s">
        <v>174</v>
      </c>
      <c r="F79" s="673"/>
    </row>
    <row r="80" spans="1:6" ht="15.75" customHeight="1" x14ac:dyDescent="0.25">
      <c r="A80" s="5" t="str">
        <f>CONCATENATE("Year 10: SFY ",'2. Getting Started'!B$6+9)</f>
        <v>Year 10: SFY 2030</v>
      </c>
      <c r="B80" s="4"/>
      <c r="C80" s="674"/>
      <c r="D80" s="674"/>
      <c r="E80" s="5" t="str">
        <f>CONCATENATE("Year 10: SFY ",'2. Getting Started'!B$6+9)</f>
        <v>Year 10: SFY 2030</v>
      </c>
      <c r="F80" s="4"/>
    </row>
    <row r="81" spans="1:6" ht="15" customHeight="1" x14ac:dyDescent="0.25">
      <c r="A81" s="224" t="str">
        <f>CONCATENATE("Starting MOE Threshold for SFY ",'2. Getting Started'!B$6+9)</f>
        <v>Starting MOE Threshold for SFY 2030</v>
      </c>
      <c r="B81" s="258" t="e">
        <f>IF(F70="Met",F69,F68)</f>
        <v>#N/A</v>
      </c>
      <c r="C81" s="674"/>
      <c r="D81" s="674"/>
      <c r="E81" s="224" t="str">
        <f>CONCATENATE("Starting MOE Threshold for SFY ",'2. Getting Started'!B$6+9)</f>
        <v>Starting MOE Threshold for SFY 2030</v>
      </c>
      <c r="F81" s="258" t="e">
        <f>IF(F78="Met",F77,F76)</f>
        <v>#N/A</v>
      </c>
    </row>
    <row r="82" spans="1:6" ht="15" customHeight="1" x14ac:dyDescent="0.25">
      <c r="A82" s="224" t="str">
        <f>CONCATENATE("SFY ",'2. Getting Started'!B$6+8," + ",'2. Getting Started'!B$6+9," Projected Exceptions")</f>
        <v>SFY 2029 + 2030 Projected Exceptions</v>
      </c>
      <c r="B82" s="258">
        <f>'30. Year 9 Exc &amp; Adj'!B68+'33. Year 10 Exc &amp; Adj'!B68</f>
        <v>0</v>
      </c>
      <c r="C82" s="674"/>
      <c r="D82" s="674"/>
      <c r="E82" s="224" t="str">
        <f>CONCATENATE("SFY ",'2. Getting Started'!B$6+9," Exceptions")</f>
        <v>SFY 2030 Exceptions</v>
      </c>
      <c r="F82" s="258">
        <f>'33. Year 10 Exc &amp; Adj'!I68</f>
        <v>0</v>
      </c>
    </row>
    <row r="83" spans="1:6" ht="15" customHeight="1" x14ac:dyDescent="0.25">
      <c r="A83" s="224" t="str">
        <f>CONCATENATE("SFY ",'2. Getting Started'!B$6+8," + ",'2. Getting Started'!B$6+9," Projected Adjustments")</f>
        <v>SFY 2029 + 2030 Projected Adjustments</v>
      </c>
      <c r="B83" s="258">
        <f>AdjDataYear9Budget[Projected Adjustment]+AdjDataYear10Budget[Projected Adjustment]</f>
        <v>0</v>
      </c>
      <c r="C83" s="674"/>
      <c r="D83" s="674"/>
      <c r="E83" s="224" t="str">
        <f>CONCATENATE("SFY ",'2. Getting Started'!B$6+9," Adjustment")</f>
        <v>SFY 2030 Adjustment</v>
      </c>
      <c r="F83" s="258">
        <f>AdjDataYear10Expenditures[[Adjustment ]]</f>
        <v>0</v>
      </c>
    </row>
    <row r="84" spans="1:6" ht="15" customHeight="1" x14ac:dyDescent="0.25">
      <c r="A84" s="224" t="str">
        <f>CONCATENATE("Adjusted MOE Threshold for SFY ",'2. Getting Started'!B$6+9)</f>
        <v>Adjusted MOE Threshold for SFY 2030</v>
      </c>
      <c r="B84" s="258" t="e">
        <f>IF(B81="","",(B81-B82-B83))</f>
        <v>#N/A</v>
      </c>
      <c r="C84" s="674"/>
      <c r="D84" s="674"/>
      <c r="E84" s="224" t="str">
        <f>CONCATENATE("Adjusted MOE Threshold for SFY ",'2. Getting Started'!B$6+9)</f>
        <v>Adjusted MOE Threshold for SFY 2030</v>
      </c>
      <c r="F84" s="258" t="e">
        <f>IF(F81="","",(F81-F82-F83))</f>
        <v>#N/A</v>
      </c>
    </row>
    <row r="85" spans="1:6" ht="15" customHeight="1" x14ac:dyDescent="0.25">
      <c r="A85" s="224" t="str">
        <f>CONCATENATE("Budgeted Amount for SFY ",'2. Getting Started'!B$6+9)</f>
        <v>Budgeted Amount for SFY 2030</v>
      </c>
      <c r="B85" s="258" t="str">
        <f>'32. Year 10 Amounts'!F30</f>
        <v/>
      </c>
      <c r="C85" s="674"/>
      <c r="D85" s="674"/>
      <c r="E85" s="224" t="str">
        <f>CONCATENATE("Final Expenditures for SFY ",'2. Getting Started'!B$6+9)</f>
        <v>Final Expenditures for SFY 2030</v>
      </c>
      <c r="F85" s="258" t="str">
        <f>'32. Year 10 Amounts'!M30</f>
        <v/>
      </c>
    </row>
    <row r="86" spans="1:6" ht="15" customHeight="1" x14ac:dyDescent="0.25">
      <c r="A86" s="275" t="str">
        <f>CONCATENATE("MOE Result for SFY ",'2. Getting Started'!B$6+9)</f>
        <v>MOE Result for SFY 2030</v>
      </c>
      <c r="B86" s="285" t="str">
        <f>IF(B85="","",IF(B85&gt;=B84,"Met","Did Not Meet"))</f>
        <v/>
      </c>
      <c r="C86" s="674"/>
      <c r="D86" s="674"/>
      <c r="E86" s="275" t="str">
        <f>CONCATENATE("MOE Result for SFY ",'2. Getting Started'!B$6+9)</f>
        <v>MOE Result for SFY 2030</v>
      </c>
      <c r="F86" s="285" t="str">
        <f>IF(F85="","",IF(F85&gt;=F84,"Met","Did Not Meet"))</f>
        <v/>
      </c>
    </row>
    <row r="87" spans="1:6" ht="15" customHeight="1" x14ac:dyDescent="0.25">
      <c r="A87" s="673" t="s">
        <v>174</v>
      </c>
      <c r="B87" s="673"/>
      <c r="C87" s="674"/>
      <c r="D87" s="674"/>
      <c r="E87" s="673" t="s">
        <v>174</v>
      </c>
      <c r="F87" s="673"/>
    </row>
    <row r="88" spans="1:6" ht="15.75" customHeight="1" x14ac:dyDescent="0.25">
      <c r="A88" s="5" t="str">
        <f>CONCATENATE("Year 11: SFY ",'2. Getting Started'!B$6+10)</f>
        <v>Year 11: SFY 2031</v>
      </c>
      <c r="B88" s="4"/>
      <c r="C88" s="674"/>
      <c r="D88" s="674"/>
      <c r="E88" s="5" t="str">
        <f>CONCATENATE("Year 11: SFY ",'2. Getting Started'!B$6+10)</f>
        <v>Year 11: SFY 2031</v>
      </c>
      <c r="F88" s="4"/>
    </row>
    <row r="89" spans="1:6" ht="15" customHeight="1" x14ac:dyDescent="0.25">
      <c r="A89" s="224" t="str">
        <f>CONCATENATE("Starting MOE Threshold for SFY ",'2. Getting Started'!B$6+10)</f>
        <v>Starting MOE Threshold for SFY 2031</v>
      </c>
      <c r="B89" s="258" t="e">
        <f>IF(F78="Met",F77,F76)</f>
        <v>#N/A</v>
      </c>
      <c r="C89" s="674"/>
      <c r="D89" s="674"/>
      <c r="E89" s="675" t="s">
        <v>47</v>
      </c>
      <c r="F89" s="676"/>
    </row>
    <row r="90" spans="1:6" ht="15" customHeight="1" x14ac:dyDescent="0.25">
      <c r="A90" s="224" t="str">
        <f>CONCATENATE("SFY ",'2. Getting Started'!B$6+9," + ",'2. Getting Started'!B$6+10," Projected Exceptions")</f>
        <v>SFY 2030 + 2031 Projected Exceptions</v>
      </c>
      <c r="B90" s="258">
        <f>'33. Year 10 Exc &amp; Adj'!B68+'36. Year 11 Exc &amp; Adj'!B68</f>
        <v>0</v>
      </c>
      <c r="C90" s="674"/>
      <c r="D90" s="674"/>
      <c r="E90" s="677"/>
      <c r="F90" s="678"/>
    </row>
    <row r="91" spans="1:6" ht="15" customHeight="1" x14ac:dyDescent="0.25">
      <c r="A91" s="224" t="str">
        <f>CONCATENATE("SFY ",'2. Getting Started'!B$6+9," + ",'2. Getting Started'!B$6+10," Projected Adjustments")</f>
        <v>SFY 2030 + 2031 Projected Adjustments</v>
      </c>
      <c r="B91" s="258">
        <f>AdjDataYear10Budget[Projected Adjustment]+AdjDataYear11Budget[Projected Adjustment]</f>
        <v>0</v>
      </c>
      <c r="C91" s="674"/>
      <c r="D91" s="674"/>
      <c r="E91" s="677"/>
      <c r="F91" s="678"/>
    </row>
    <row r="92" spans="1:6" ht="15" customHeight="1" x14ac:dyDescent="0.25">
      <c r="A92" s="224" t="str">
        <f>CONCATENATE("Adjusted MOE Threshold for SFY ",'2. Getting Started'!B$6+10)</f>
        <v>Adjusted MOE Threshold for SFY 2031</v>
      </c>
      <c r="B92" s="258" t="e">
        <f>IF(B89="","",(B89-B90-B91))</f>
        <v>#N/A</v>
      </c>
      <c r="C92" s="674"/>
      <c r="D92" s="674"/>
      <c r="E92" s="677"/>
      <c r="F92" s="678"/>
    </row>
    <row r="93" spans="1:6" ht="15" customHeight="1" x14ac:dyDescent="0.25">
      <c r="A93" s="224" t="str">
        <f>CONCATENATE("Budgeted Amount for SFY ",'2. Getting Started'!B$6+10)</f>
        <v>Budgeted Amount for SFY 2031</v>
      </c>
      <c r="B93" s="258" t="str">
        <f>'35. Year 11 Amounts'!F30</f>
        <v/>
      </c>
      <c r="C93" s="674"/>
      <c r="D93" s="674"/>
      <c r="E93" s="677"/>
      <c r="F93" s="678"/>
    </row>
    <row r="94" spans="1:6" ht="15" customHeight="1" x14ac:dyDescent="0.25">
      <c r="A94" s="275" t="str">
        <f>CONCATENATE("MOE Result for SFY ",'2. Getting Started'!B$6+10)</f>
        <v>MOE Result for SFY 2031</v>
      </c>
      <c r="B94" s="285" t="str">
        <f>IF(B93="","",IF(B93&gt;=B92,"Met","Did Not Meet"))</f>
        <v/>
      </c>
      <c r="C94" s="674"/>
      <c r="D94" s="674"/>
      <c r="E94" s="679"/>
      <c r="F94" s="680"/>
    </row>
    <row r="95" spans="1:6" ht="28.5" customHeight="1" x14ac:dyDescent="0.25">
      <c r="A95" s="345" t="s">
        <v>184</v>
      </c>
      <c r="C95" s="355"/>
      <c r="D95" s="355"/>
    </row>
    <row r="96" spans="1:6" ht="15" customHeight="1" x14ac:dyDescent="0.25">
      <c r="A96" s="358" t="s">
        <v>183</v>
      </c>
    </row>
    <row r="97" spans="1:6" x14ac:dyDescent="0.25">
      <c r="A97" s="657" t="s">
        <v>24</v>
      </c>
      <c r="B97" s="657"/>
      <c r="C97" s="657"/>
      <c r="D97" s="657"/>
      <c r="E97" s="657"/>
      <c r="F97" s="657"/>
    </row>
  </sheetData>
  <sheetProtection algorithmName="SHA-512" hashValue="wNRzADkgiar8WAJDTMmYUIwErbsJXQx8+1IwYgQuqHyiNENP9ZZ7Wy1gaRZ1B2yjkYo2k10EfKoMEVhEq4MY2Q==" saltValue="G1r+dEZ5CfE4XS7Y2dnWwA==" spinCount="100000" sheet="1" objects="1" scenarios="1" formatColumns="0" formatRows="0"/>
  <mergeCells count="26">
    <mergeCell ref="A97:F97"/>
    <mergeCell ref="A87:B87"/>
    <mergeCell ref="E87:F87"/>
    <mergeCell ref="C1:D94"/>
    <mergeCell ref="A63:B63"/>
    <mergeCell ref="E63:F63"/>
    <mergeCell ref="A71:B71"/>
    <mergeCell ref="E71:F71"/>
    <mergeCell ref="A79:B79"/>
    <mergeCell ref="E79:F79"/>
    <mergeCell ref="A9:B14"/>
    <mergeCell ref="E89:F94"/>
    <mergeCell ref="A7:B7"/>
    <mergeCell ref="E7:F7"/>
    <mergeCell ref="A15:B15"/>
    <mergeCell ref="E15:F15"/>
    <mergeCell ref="A47:B47"/>
    <mergeCell ref="E47:F47"/>
    <mergeCell ref="A55:B55"/>
    <mergeCell ref="E55:F55"/>
    <mergeCell ref="A23:B23"/>
    <mergeCell ref="E23:F23"/>
    <mergeCell ref="A31:B31"/>
    <mergeCell ref="E31:F31"/>
    <mergeCell ref="A39:B39"/>
    <mergeCell ref="E39:F39"/>
  </mergeCells>
  <conditionalFormatting sqref="B22">
    <cfRule type="containsText" dxfId="119" priority="40" operator="containsText" text="Met">
      <formula>NOT(ISERROR(SEARCH("Met",B22)))</formula>
    </cfRule>
    <cfRule type="containsText" dxfId="118" priority="39" operator="containsText" text="Did Not Meet">
      <formula>NOT(ISERROR(SEARCH("Did Not Meet",B22)))</formula>
    </cfRule>
  </conditionalFormatting>
  <conditionalFormatting sqref="B30">
    <cfRule type="containsText" dxfId="117" priority="38" operator="containsText" text="Met">
      <formula>NOT(ISERROR(SEARCH("Met",B30)))</formula>
    </cfRule>
    <cfRule type="containsText" dxfId="116" priority="37" operator="containsText" text="Did Not Meet">
      <formula>NOT(ISERROR(SEARCH("Did Not Meet",B30)))</formula>
    </cfRule>
  </conditionalFormatting>
  <conditionalFormatting sqref="B38">
    <cfRule type="containsText" dxfId="115" priority="36" operator="containsText" text="Met">
      <formula>NOT(ISERROR(SEARCH("Met",B38)))</formula>
    </cfRule>
    <cfRule type="containsText" dxfId="114" priority="35" operator="containsText" text="Did Not Meet">
      <formula>NOT(ISERROR(SEARCH("Did Not Meet",B38)))</formula>
    </cfRule>
  </conditionalFormatting>
  <conditionalFormatting sqref="B46">
    <cfRule type="containsText" dxfId="113" priority="34" operator="containsText" text="Met">
      <formula>NOT(ISERROR(SEARCH("Met",B46)))</formula>
    </cfRule>
    <cfRule type="containsText" dxfId="112" priority="33" operator="containsText" text="Did Not Meet">
      <formula>NOT(ISERROR(SEARCH("Did Not Meet",B46)))</formula>
    </cfRule>
  </conditionalFormatting>
  <conditionalFormatting sqref="B54">
    <cfRule type="containsText" dxfId="111" priority="32" operator="containsText" text="Met">
      <formula>NOT(ISERROR(SEARCH("Met",B54)))</formula>
    </cfRule>
    <cfRule type="containsText" dxfId="110" priority="31" operator="containsText" text="Did Not Meet">
      <formula>NOT(ISERROR(SEARCH("Did Not Meet",B54)))</formula>
    </cfRule>
  </conditionalFormatting>
  <conditionalFormatting sqref="B62">
    <cfRule type="containsText" dxfId="109" priority="30" operator="containsText" text="Met">
      <formula>NOT(ISERROR(SEARCH("Met",B62)))</formula>
    </cfRule>
    <cfRule type="containsText" dxfId="108" priority="29" operator="containsText" text="Did Not Meet">
      <formula>NOT(ISERROR(SEARCH("Did Not Meet",B62)))</formula>
    </cfRule>
  </conditionalFormatting>
  <conditionalFormatting sqref="B70">
    <cfRule type="containsText" dxfId="107" priority="28" operator="containsText" text="Met">
      <formula>NOT(ISERROR(SEARCH("Met",B70)))</formula>
    </cfRule>
    <cfRule type="containsText" dxfId="106" priority="27" operator="containsText" text="Did Not Meet">
      <formula>NOT(ISERROR(SEARCH("Did Not Meet",B70)))</formula>
    </cfRule>
  </conditionalFormatting>
  <conditionalFormatting sqref="B78">
    <cfRule type="containsText" dxfId="105" priority="26" operator="containsText" text="Met">
      <formula>NOT(ISERROR(SEARCH("Met",B78)))</formula>
    </cfRule>
    <cfRule type="containsText" dxfId="104" priority="25" operator="containsText" text="Did Not Meet">
      <formula>NOT(ISERROR(SEARCH("Did Not Meet",B78)))</formula>
    </cfRule>
  </conditionalFormatting>
  <conditionalFormatting sqref="B86">
    <cfRule type="containsText" dxfId="103" priority="24" operator="containsText" text="Met">
      <formula>NOT(ISERROR(SEARCH("Met",B86)))</formula>
    </cfRule>
    <cfRule type="containsText" dxfId="102" priority="23" operator="containsText" text="Did Not Meet">
      <formula>NOT(ISERROR(SEARCH("Did Not Meet",B86)))</formula>
    </cfRule>
  </conditionalFormatting>
  <conditionalFormatting sqref="B94">
    <cfRule type="containsText" dxfId="101" priority="21" operator="containsText" text="Did Not Meet">
      <formula>NOT(ISERROR(SEARCH("Did Not Meet",B94)))</formula>
    </cfRule>
    <cfRule type="containsText" dxfId="100" priority="22" operator="containsText" text="Met">
      <formula>NOT(ISERROR(SEARCH("Met",B94)))</formula>
    </cfRule>
  </conditionalFormatting>
  <conditionalFormatting sqref="F14">
    <cfRule type="containsText" dxfId="99" priority="20" operator="containsText" text="Met">
      <formula>NOT(ISERROR(SEARCH("Met",F14)))</formula>
    </cfRule>
    <cfRule type="containsText" dxfId="98" priority="19" operator="containsText" text="Did Not Meet">
      <formula>NOT(ISERROR(SEARCH("Did Not Meet",F14)))</formula>
    </cfRule>
  </conditionalFormatting>
  <conditionalFormatting sqref="F22">
    <cfRule type="containsText" dxfId="97" priority="18" operator="containsText" text="Met">
      <formula>NOT(ISERROR(SEARCH("Met",F22)))</formula>
    </cfRule>
    <cfRule type="containsText" dxfId="96" priority="17" operator="containsText" text="Did Not Meet">
      <formula>NOT(ISERROR(SEARCH("Did Not Meet",F22)))</formula>
    </cfRule>
  </conditionalFormatting>
  <conditionalFormatting sqref="F30">
    <cfRule type="containsText" dxfId="95" priority="16" operator="containsText" text="Met">
      <formula>NOT(ISERROR(SEARCH("Met",F30)))</formula>
    </cfRule>
    <cfRule type="containsText" dxfId="94" priority="15" operator="containsText" text="Did Not Meet">
      <formula>NOT(ISERROR(SEARCH("Did Not Meet",F30)))</formula>
    </cfRule>
  </conditionalFormatting>
  <conditionalFormatting sqref="F38">
    <cfRule type="containsText" dxfId="93" priority="14" operator="containsText" text="Met">
      <formula>NOT(ISERROR(SEARCH("Met",F38)))</formula>
    </cfRule>
    <cfRule type="containsText" dxfId="92" priority="13" operator="containsText" text="Did Not Meet">
      <formula>NOT(ISERROR(SEARCH("Did Not Meet",F38)))</formula>
    </cfRule>
  </conditionalFormatting>
  <conditionalFormatting sqref="F46">
    <cfRule type="containsText" dxfId="91" priority="12" operator="containsText" text="Met">
      <formula>NOT(ISERROR(SEARCH("Met",F46)))</formula>
    </cfRule>
    <cfRule type="containsText" dxfId="90" priority="11" operator="containsText" text="Did Not Meet">
      <formula>NOT(ISERROR(SEARCH("Did Not Meet",F46)))</formula>
    </cfRule>
  </conditionalFormatting>
  <conditionalFormatting sqref="F54">
    <cfRule type="containsText" dxfId="89" priority="10" operator="containsText" text="Met">
      <formula>NOT(ISERROR(SEARCH("Met",F54)))</formula>
    </cfRule>
    <cfRule type="containsText" dxfId="88" priority="9" operator="containsText" text="Did Not Meet">
      <formula>NOT(ISERROR(SEARCH("Did Not Meet",F54)))</formula>
    </cfRule>
  </conditionalFormatting>
  <conditionalFormatting sqref="F62">
    <cfRule type="containsText" dxfId="87" priority="8" operator="containsText" text="Met">
      <formula>NOT(ISERROR(SEARCH("Met",F62)))</formula>
    </cfRule>
    <cfRule type="containsText" dxfId="86" priority="7" operator="containsText" text="Did Not Meet">
      <formula>NOT(ISERROR(SEARCH("Did Not Meet",F62)))</formula>
    </cfRule>
  </conditionalFormatting>
  <conditionalFormatting sqref="F70">
    <cfRule type="containsText" dxfId="85" priority="6" operator="containsText" text="Met">
      <formula>NOT(ISERROR(SEARCH("Met",F70)))</formula>
    </cfRule>
    <cfRule type="containsText" dxfId="84" priority="5" operator="containsText" text="Did Not Meet">
      <formula>NOT(ISERROR(SEARCH("Did Not Meet",F70)))</formula>
    </cfRule>
  </conditionalFormatting>
  <conditionalFormatting sqref="F78">
    <cfRule type="containsText" dxfId="83" priority="3" operator="containsText" text="Did Not Meet">
      <formula>NOT(ISERROR(SEARCH("Did Not Meet",F78)))</formula>
    </cfRule>
    <cfRule type="containsText" dxfId="82" priority="4" operator="containsText" text="Met">
      <formula>NOT(ISERROR(SEARCH("Met",F78)))</formula>
    </cfRule>
  </conditionalFormatting>
  <conditionalFormatting sqref="F86">
    <cfRule type="containsText" dxfId="81" priority="2" operator="containsText" text="Met">
      <formula>NOT(ISERROR(SEARCH("Met",F86)))</formula>
    </cfRule>
    <cfRule type="containsText" dxfId="80" priority="1" operator="containsText" text="Did Not Meet">
      <formula>NOT(ISERROR(SEARCH("Did Not Meet",F86)))</formula>
    </cfRule>
  </conditionalFormatting>
  <hyperlinks>
    <hyperlink ref="A96" r:id="rId1" xr:uid="{00000000-0004-0000-28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theme="7"/>
  </sheetPr>
  <dimension ref="A1:I98"/>
  <sheetViews>
    <sheetView showGridLines="0" zoomScaleNormal="100" workbookViewId="0">
      <selection activeCell="F1" sqref="F1"/>
    </sheetView>
  </sheetViews>
  <sheetFormatPr defaultColWidth="0" defaultRowHeight="15" zeroHeight="1" x14ac:dyDescent="0.25"/>
  <cols>
    <col min="1" max="1" width="45.140625" customWidth="1"/>
    <col min="2" max="2" width="25.85546875" bestFit="1" customWidth="1"/>
    <col min="3" max="4" width="9.140625" customWidth="1"/>
    <col min="5" max="5" width="46.28515625" customWidth="1"/>
    <col min="6" max="6" width="26.140625" bestFit="1" customWidth="1"/>
    <col min="7" max="7" width="0.85546875" customWidth="1"/>
    <col min="8" max="8" width="27" hidden="1" customWidth="1"/>
    <col min="9" max="9" width="9.140625" hidden="1" customWidth="1"/>
    <col min="10" max="16384" width="9.140625" hidden="1"/>
  </cols>
  <sheetData>
    <row r="1" spans="1:9" ht="45" customHeight="1" x14ac:dyDescent="0.25">
      <c r="A1" s="302" t="s">
        <v>178</v>
      </c>
      <c r="B1" s="304"/>
      <c r="C1" s="681" t="s">
        <v>174</v>
      </c>
      <c r="D1" s="681"/>
      <c r="E1" s="21" t="s">
        <v>14</v>
      </c>
      <c r="F1" s="20" t="str">
        <f>IF('2. Getting Started'!B2="","",'2. Getting Started'!B2)</f>
        <v/>
      </c>
    </row>
    <row r="2" spans="1:9" ht="18.75" customHeight="1" x14ac:dyDescent="0.3">
      <c r="A2" s="18" t="s">
        <v>13</v>
      </c>
      <c r="B2" s="4"/>
      <c r="C2" s="681"/>
      <c r="D2" s="681"/>
      <c r="E2" s="18" t="s">
        <v>6</v>
      </c>
      <c r="F2" s="4"/>
      <c r="H2" s="2" t="s">
        <v>12</v>
      </c>
    </row>
    <row r="3" spans="1:9" ht="39" customHeight="1" x14ac:dyDescent="0.25">
      <c r="A3" s="16" t="str">
        <f>CONCATENATE("Prior to Year 1: SFY ",'2. Getting Started'!B6)</f>
        <v>Prior to Year 1: SFY 2021</v>
      </c>
      <c r="B3" s="16"/>
      <c r="C3" s="681"/>
      <c r="D3" s="681"/>
      <c r="E3" s="16" t="str">
        <f>CONCATENATE("Prior to Year 1: SFY ",'2. Getting Started'!B6)</f>
        <v>Prior to Year 1: SFY 2021</v>
      </c>
      <c r="F3" s="16"/>
      <c r="H3" s="2"/>
    </row>
    <row r="4" spans="1:9" ht="30" x14ac:dyDescent="0.25">
      <c r="A4" s="225" t="str">
        <f>CONCATENATE("Last year before SFY ",'2. Getting Started'!B6," that the compliance standard was met for local funds per capita")</f>
        <v>Last year before SFY 2021 that the compliance standard was met for local funds per capita</v>
      </c>
      <c r="B4" s="257">
        <f>IF('2. Getting Started'!B12="","",'2. Getting Started'!B12)</f>
        <v>2020</v>
      </c>
      <c r="C4" s="681"/>
      <c r="D4" s="681"/>
      <c r="E4" s="225" t="str">
        <f>CONCATENATE("Last year before SFY ",'2. Getting Started'!B6," that the compliance standard was met for local funds per capita")</f>
        <v>Last year before SFY 2021 that the compliance standard was met for local funds per capita</v>
      </c>
      <c r="F4" s="257">
        <f>IF('2. Getting Started'!B12="","",'2. Getting Started'!B12)</f>
        <v>2020</v>
      </c>
      <c r="H4" s="1" t="s">
        <v>21</v>
      </c>
      <c r="I4">
        <f>'2. Getting Started'!B6-'2. Getting Started'!B12</f>
        <v>1</v>
      </c>
    </row>
    <row r="5" spans="1:9" ht="15" customHeight="1" x14ac:dyDescent="0.25">
      <c r="A5" s="224" t="s">
        <v>1</v>
      </c>
      <c r="B5" s="258" t="e">
        <f>IF('2. Getting Started'!C12="","",'2. Getting Started'!C12)</f>
        <v>#DIV/0!</v>
      </c>
      <c r="C5" s="681"/>
      <c r="D5" s="681"/>
      <c r="E5" s="224" t="s">
        <v>1</v>
      </c>
      <c r="F5" s="258" t="e">
        <f>IF('2. Getting Started'!C12="","",'2. Getting Started'!C12)</f>
        <v>#DIV/0!</v>
      </c>
    </row>
    <row r="6" spans="1:9" ht="15" customHeight="1" x14ac:dyDescent="0.25">
      <c r="A6" s="224" t="s">
        <v>116</v>
      </c>
      <c r="B6" s="286">
        <f>IF('2. Getting Started'!D12="","",'2. Getting Started'!D12)</f>
        <v>0</v>
      </c>
      <c r="C6" s="681"/>
      <c r="D6" s="681"/>
      <c r="E6" s="224" t="s">
        <v>116</v>
      </c>
      <c r="F6" s="286">
        <f>IF('2. Getting Started'!D12="","",'2. Getting Started'!D12)</f>
        <v>0</v>
      </c>
    </row>
    <row r="7" spans="1:9" ht="15" customHeight="1" x14ac:dyDescent="0.25">
      <c r="A7" s="229" t="s">
        <v>5</v>
      </c>
      <c r="B7" s="261">
        <f>IF(B6="","",IF(I4=1,0,IF(I4&gt;1,(VLOOKUP(I4,'3a. Intervening Years'!I4:K22,2)/B6))))</f>
        <v>0</v>
      </c>
      <c r="C7" s="681"/>
      <c r="D7" s="681"/>
      <c r="E7" s="229" t="s">
        <v>5</v>
      </c>
      <c r="F7" s="261">
        <f>IF(F6="","",IF(I4=1,0,IF(I4&gt;1,(VLOOKUP(I4,'3a. Intervening Years'!I4:K22,2)/F6))))</f>
        <v>0</v>
      </c>
    </row>
    <row r="8" spans="1:9" ht="15" customHeight="1" x14ac:dyDescent="0.25">
      <c r="A8" s="673" t="s">
        <v>174</v>
      </c>
      <c r="B8" s="673"/>
      <c r="C8" s="681"/>
      <c r="D8" s="681"/>
      <c r="E8" s="673" t="s">
        <v>174</v>
      </c>
      <c r="F8" s="673"/>
    </row>
    <row r="9" spans="1:9" ht="15.75" customHeight="1" x14ac:dyDescent="0.25">
      <c r="A9" s="5" t="str">
        <f>CONCATENATE("Year 1: SFY ",'2. Getting Started'!B$6)</f>
        <v>Year 1: SFY 2021</v>
      </c>
      <c r="B9" s="4"/>
      <c r="C9" s="681"/>
      <c r="D9" s="681"/>
      <c r="E9" s="5" t="str">
        <f>CONCATENATE("Year 1: SFY ",'2. Getting Started'!B$6)</f>
        <v>Year 1: SFY 2021</v>
      </c>
      <c r="F9" s="4"/>
    </row>
    <row r="10" spans="1:9" ht="15" customHeight="1" x14ac:dyDescent="0.25">
      <c r="A10" s="675" t="s">
        <v>180</v>
      </c>
      <c r="B10" s="676"/>
      <c r="C10" s="681"/>
      <c r="D10" s="681"/>
      <c r="E10" s="224" t="str">
        <f>CONCATENATE("Starting MOE Threshold for SFY ",'2. Getting Started'!B$6)</f>
        <v>Starting MOE Threshold for SFY 2021</v>
      </c>
      <c r="F10" s="258" t="e">
        <f>IF(F5="","",(F5-F7))</f>
        <v>#DIV/0!</v>
      </c>
    </row>
    <row r="11" spans="1:9" ht="15" customHeight="1" x14ac:dyDescent="0.25">
      <c r="A11" s="677"/>
      <c r="B11" s="678"/>
      <c r="C11" s="681"/>
      <c r="D11" s="681"/>
      <c r="E11" s="224" t="str">
        <f>CONCATENATE("SFY ",'2. Getting Started'!B$6," Exceptions")</f>
        <v>SFY 2021 Exceptions</v>
      </c>
      <c r="F11" s="258" t="e">
        <f>IF(F6="","",('6. Year 1 Exc &amp; Adj'!I67/F6))</f>
        <v>#DIV/0!</v>
      </c>
    </row>
    <row r="12" spans="1:9" ht="15" customHeight="1" x14ac:dyDescent="0.25">
      <c r="A12" s="677"/>
      <c r="B12" s="678"/>
      <c r="C12" s="681"/>
      <c r="D12" s="681"/>
      <c r="E12" s="224" t="str">
        <f>CONCATENATE("SFY ",'2. Getting Started'!B$6," Adjustment")</f>
        <v>SFY 2021 Adjustment</v>
      </c>
      <c r="F12" s="258" t="e">
        <f>IF(F6="","",(AdjDataYear1Expenditures[[Adjustment ]]/F6))</f>
        <v>#DIV/0!</v>
      </c>
    </row>
    <row r="13" spans="1:9" ht="15" customHeight="1" x14ac:dyDescent="0.25">
      <c r="A13" s="677"/>
      <c r="B13" s="678"/>
      <c r="C13" s="681"/>
      <c r="D13" s="681"/>
      <c r="E13" s="224" t="str">
        <f>CONCATENATE("Adjusted MOE Threshold for SFY ",'2. Getting Started'!B$6)</f>
        <v>Adjusted MOE Threshold for SFY 2021</v>
      </c>
      <c r="F13" s="258" t="e">
        <f>IF(F10="","",(F10-F11-F12))</f>
        <v>#DIV/0!</v>
      </c>
    </row>
    <row r="14" spans="1:9" ht="15" customHeight="1" x14ac:dyDescent="0.25">
      <c r="A14" s="677"/>
      <c r="B14" s="678"/>
      <c r="C14" s="681"/>
      <c r="D14" s="681"/>
      <c r="E14" s="224" t="str">
        <f>CONCATENATE("Final Expenditures for SFY ",'2. Getting Started'!B$6)</f>
        <v>Final Expenditures for SFY 2021</v>
      </c>
      <c r="F14" s="258" t="e">
        <f>IF('5. Year 1 Amounts'!K30="","",'5. Year 1 Amounts'!K31)</f>
        <v>#DIV/0!</v>
      </c>
    </row>
    <row r="15" spans="1:9" ht="15" customHeight="1" x14ac:dyDescent="0.25">
      <c r="A15" s="679"/>
      <c r="B15" s="680"/>
      <c r="C15" s="681"/>
      <c r="D15" s="681"/>
      <c r="E15" s="275" t="str">
        <f>CONCATENATE("MOE Result for SFY ",'2. Getting Started'!B$6)</f>
        <v>MOE Result for SFY 2021</v>
      </c>
      <c r="F15" s="285" t="e">
        <f>IF(F14="","",IF(F14&gt;=F13,"Met","Did Not Meet"))</f>
        <v>#DIV/0!</v>
      </c>
    </row>
    <row r="16" spans="1:9" ht="15" customHeight="1" x14ac:dyDescent="0.25">
      <c r="A16" s="673" t="s">
        <v>174</v>
      </c>
      <c r="B16" s="673"/>
      <c r="C16" s="681"/>
      <c r="D16" s="681"/>
      <c r="E16" s="673" t="s">
        <v>174</v>
      </c>
      <c r="F16" s="673"/>
    </row>
    <row r="17" spans="1:9" ht="15.75" customHeight="1" x14ac:dyDescent="0.25">
      <c r="A17" s="5" t="str">
        <f>CONCATENATE("Year 2: SFY ",'2. Getting Started'!B$6+1)</f>
        <v>Year 2: SFY 2022</v>
      </c>
      <c r="B17" s="4"/>
      <c r="C17" s="681"/>
      <c r="D17" s="681"/>
      <c r="E17" s="5" t="str">
        <f>CONCATENATE("Year 2: SFY ",'2. Getting Started'!B$6+1)</f>
        <v>Year 2: SFY 2022</v>
      </c>
      <c r="F17" s="4"/>
    </row>
    <row r="18" spans="1:9" ht="15" customHeight="1" x14ac:dyDescent="0.25">
      <c r="A18" s="224" t="str">
        <f>CONCATENATE("Starting MOE Threshold for SFY ",'2. Getting Started'!B$6+1)</f>
        <v>Starting MOE Threshold for SFY 2022</v>
      </c>
      <c r="B18" s="258" t="e">
        <f>IF(B5="","",(B5-B7))</f>
        <v>#DIV/0!</v>
      </c>
      <c r="C18" s="681"/>
      <c r="D18" s="681"/>
      <c r="E18" s="224" t="str">
        <f>CONCATENATE("Starting MOE Threshold for SFY ",'2. Getting Started'!B$6+1)</f>
        <v>Starting MOE Threshold for SFY 2022</v>
      </c>
      <c r="F18" s="258" t="e">
        <f>IF(F15="Met",F14,F13)</f>
        <v>#DIV/0!</v>
      </c>
    </row>
    <row r="19" spans="1:9" ht="15" customHeight="1" x14ac:dyDescent="0.25">
      <c r="A19" s="224" t="str">
        <f>CONCATENATE("SFY ",'2. Getting Started'!B$6," + ",'2. Getting Started'!B$6+1," Projected Exceptions")</f>
        <v>SFY 2021 + 2022 Projected Exceptions</v>
      </c>
      <c r="B19" s="258" t="e">
        <f>IF(B6="","",(('6. Year 1 Exc &amp; Adj'!B67+'9. Year 2 Exc &amp; Adj'!B67)/B6))</f>
        <v>#N/A</v>
      </c>
      <c r="C19" s="681"/>
      <c r="D19" s="681"/>
      <c r="E19" s="224" t="str">
        <f>CONCATENATE("SFY ",'2. Getting Started'!B$6+1," Exceptions")</f>
        <v>SFY 2022 Exceptions</v>
      </c>
      <c r="F19" s="258" t="e">
        <f>IF(F6="","",('9. Year 2 Exc &amp; Adj'!I67/I19))</f>
        <v>#N/A</v>
      </c>
      <c r="H19" t="s">
        <v>118</v>
      </c>
      <c r="I19" t="e">
        <f>IF(F15="Met",'5. Year 1 Amounts'!I1,F6)</f>
        <v>#DIV/0!</v>
      </c>
    </row>
    <row r="20" spans="1:9" ht="15" customHeight="1" x14ac:dyDescent="0.25">
      <c r="A20" s="224" t="str">
        <f>CONCATENATE("SFY ",'2. Getting Started'!B$6," + ",'2. Getting Started'!B$6+1," Projected Adjustments")</f>
        <v>SFY 2021 + 2022 Projected Adjustments</v>
      </c>
      <c r="B20" s="258" t="e">
        <f>IF(B6="","",((AdjDataYear1Budget[Projected Adjustment]+AdjDataYear2Budget[Projected Adjustment])/B6))</f>
        <v>#DIV/0!</v>
      </c>
      <c r="C20" s="681"/>
      <c r="D20" s="681"/>
      <c r="E20" s="224" t="str">
        <f>CONCATENATE("SFY ",'2. Getting Started'!B$6+1," Adjustment")</f>
        <v>SFY 2022 Adjustment</v>
      </c>
      <c r="F20" s="258" t="e">
        <f>IF(F6="","",(AdjDataYear2Expenditures[[Adjustment ]]/I19))</f>
        <v>#DIV/0!</v>
      </c>
    </row>
    <row r="21" spans="1:9" ht="15" customHeight="1" x14ac:dyDescent="0.25">
      <c r="A21" s="224" t="str">
        <f>CONCATENATE("Adjusted MOE Threshold for SFY ",'2. Getting Started'!B$6+1)</f>
        <v>Adjusted MOE Threshold for SFY 2022</v>
      </c>
      <c r="B21" s="258" t="e">
        <f>IF(B18="","",(B18-B19-B20))</f>
        <v>#DIV/0!</v>
      </c>
      <c r="C21" s="681"/>
      <c r="D21" s="681"/>
      <c r="E21" s="224" t="str">
        <f>CONCATENATE("Adjusted MOE Threshold for SFY ",'2. Getting Started'!B$6+1)</f>
        <v>Adjusted MOE Threshold for SFY 2022</v>
      </c>
      <c r="F21" s="258" t="e">
        <f>IF(F18="","",(F18-F19-F20))</f>
        <v>#DIV/0!</v>
      </c>
    </row>
    <row r="22" spans="1:9" ht="15" customHeight="1" x14ac:dyDescent="0.25">
      <c r="A22" s="224" t="str">
        <f>CONCATENATE("Budgeted Amount for SFY ",'2. Getting Started'!B$6+1)</f>
        <v>Budgeted Amount for SFY 2022</v>
      </c>
      <c r="B22" s="258" t="e">
        <f>'8. Year 2 Amounts'!D31</f>
        <v>#N/A</v>
      </c>
      <c r="C22" s="681"/>
      <c r="D22" s="681"/>
      <c r="E22" s="224" t="str">
        <f>CONCATENATE("Final Expenditures for SFY ",'2. Getting Started'!B$6+1)</f>
        <v>Final Expenditures for SFY 2022</v>
      </c>
      <c r="F22" s="258" t="e">
        <f>'8. Year 2 Amounts'!K31</f>
        <v>#N/A</v>
      </c>
    </row>
    <row r="23" spans="1:9" ht="15" customHeight="1" x14ac:dyDescent="0.25">
      <c r="A23" s="275" t="str">
        <f>CONCATENATE("MOE Result for SFY ",'2. Getting Started'!B$6+1)</f>
        <v>MOE Result for SFY 2022</v>
      </c>
      <c r="B23" s="285" t="e">
        <f>IF(B22="","",IF(B22&gt;=B21,"Met","Did Not Meet"))</f>
        <v>#N/A</v>
      </c>
      <c r="C23" s="681"/>
      <c r="D23" s="681"/>
      <c r="E23" s="275" t="str">
        <f>CONCATENATE("MOE Result for SFY ",'2. Getting Started'!B$6+1)</f>
        <v>MOE Result for SFY 2022</v>
      </c>
      <c r="F23" s="285" t="e">
        <f>IF(F22="","",IF(F22&gt;=F21,"Met","Did Not Meet"))</f>
        <v>#N/A</v>
      </c>
    </row>
    <row r="24" spans="1:9" ht="15" customHeight="1" x14ac:dyDescent="0.25">
      <c r="A24" s="673" t="s">
        <v>174</v>
      </c>
      <c r="B24" s="673"/>
      <c r="C24" s="681"/>
      <c r="D24" s="681"/>
      <c r="E24" s="673" t="s">
        <v>174</v>
      </c>
      <c r="F24" s="673"/>
    </row>
    <row r="25" spans="1:9" ht="15.75" customHeight="1" x14ac:dyDescent="0.25">
      <c r="A25" s="5" t="str">
        <f>CONCATENATE("Year 3: SFY ",'2. Getting Started'!B$6+2)</f>
        <v>Year 3: SFY 2023</v>
      </c>
      <c r="B25" s="4"/>
      <c r="C25" s="681"/>
      <c r="D25" s="681"/>
      <c r="E25" s="5" t="str">
        <f>CONCATENATE("Year 3: SFY ",'2. Getting Started'!B$6+2)</f>
        <v>Year 3: SFY 2023</v>
      </c>
      <c r="F25" s="4"/>
    </row>
    <row r="26" spans="1:9" ht="15" customHeight="1" x14ac:dyDescent="0.25">
      <c r="A26" s="224" t="str">
        <f>CONCATENATE("Starting MOE Threshold for SFY ",'2. Getting Started'!B$6+2)</f>
        <v>Starting MOE Threshold for SFY 2023</v>
      </c>
      <c r="B26" s="258" t="e">
        <f>IF(F15="Met",F14,F13)</f>
        <v>#DIV/0!</v>
      </c>
      <c r="C26" s="681"/>
      <c r="D26" s="681"/>
      <c r="E26" s="224" t="str">
        <f>CONCATENATE("Starting MOE Threshold for SFY ",'2. Getting Started'!B$6+2)</f>
        <v>Starting MOE Threshold for SFY 2023</v>
      </c>
      <c r="F26" s="258" t="e">
        <f>IF(F23="Met",F22,F21)</f>
        <v>#N/A</v>
      </c>
    </row>
    <row r="27" spans="1:9" ht="15" customHeight="1" x14ac:dyDescent="0.25">
      <c r="A27" s="224" t="str">
        <f>CONCATENATE("SFY ",'2. Getting Started'!B$6+1," + ",'2. Getting Started'!B$6+2," Projected Exceptions")</f>
        <v>SFY 2022 + 2023 Projected Exceptions</v>
      </c>
      <c r="B27" s="258" t="e">
        <f>IF(B6="","",(('9. Year 2 Exc &amp; Adj'!B67+'12. Year 3 Exc &amp; Adj'!B67)/I19))</f>
        <v>#N/A</v>
      </c>
      <c r="C27" s="681"/>
      <c r="D27" s="681"/>
      <c r="E27" s="224" t="str">
        <f>CONCATENATE("SFY ",'2. Getting Started'!B$6+2," Exceptions")</f>
        <v>SFY 2023 Exceptions</v>
      </c>
      <c r="F27" s="258" t="e">
        <f>IF(F6="","",('12. Year 3 Exc &amp; Adj'!I67/I27))</f>
        <v>#N/A</v>
      </c>
      <c r="H27" t="s">
        <v>118</v>
      </c>
      <c r="I27" t="e">
        <f>IF(F23="Met",'8. Year 2 Amounts'!I1,IF(F15="Met",'5. Year 1 Amounts'!I1,F6))</f>
        <v>#N/A</v>
      </c>
    </row>
    <row r="28" spans="1:9" ht="15" customHeight="1" x14ac:dyDescent="0.25">
      <c r="A28" s="224" t="str">
        <f>CONCATENATE("SFY ",'2. Getting Started'!B$6+1," + ",'2. Getting Started'!B$6+2," Projected Adjustments")</f>
        <v>SFY 2022 + 2023 Projected Adjustments</v>
      </c>
      <c r="B28" s="258" t="e">
        <f>IF(B6="","",((AdjDataYear2Budget[Projected Adjustment]+AdjDataYear3Budget[Projected Adjustment])/I19))</f>
        <v>#DIV/0!</v>
      </c>
      <c r="C28" s="681"/>
      <c r="D28" s="681"/>
      <c r="E28" s="224" t="str">
        <f>CONCATENATE("SFY ",'2. Getting Started'!B$6+2," Adjustment")</f>
        <v>SFY 2023 Adjustment</v>
      </c>
      <c r="F28" s="258" t="e">
        <f>IF(F6="","",(AdjDataYear3Expenditures[[Adjustment ]]/I19))</f>
        <v>#N/A</v>
      </c>
    </row>
    <row r="29" spans="1:9" ht="15" customHeight="1" x14ac:dyDescent="0.25">
      <c r="A29" s="224" t="str">
        <f>CONCATENATE("Adjusted MOE Threshold for SFY ",'2. Getting Started'!B$6+2)</f>
        <v>Adjusted MOE Threshold for SFY 2023</v>
      </c>
      <c r="B29" s="258" t="e">
        <f>IF(B26="","",(B26-B27-B28))</f>
        <v>#DIV/0!</v>
      </c>
      <c r="C29" s="681"/>
      <c r="D29" s="681"/>
      <c r="E29" s="224" t="str">
        <f>CONCATENATE("Adjusted MOE Threshold for SFY ",'2. Getting Started'!B$6+2)</f>
        <v>Adjusted MOE Threshold for SFY 2023</v>
      </c>
      <c r="F29" s="258" t="e">
        <f>IF(F26="","",(F26-F27-F28))</f>
        <v>#N/A</v>
      </c>
    </row>
    <row r="30" spans="1:9" ht="15" customHeight="1" x14ac:dyDescent="0.25">
      <c r="A30" s="224" t="str">
        <f>CONCATENATE("Budgeted Amount for SFY ",'2. Getting Started'!B$6+2)</f>
        <v>Budgeted Amount for SFY 2023</v>
      </c>
      <c r="B30" s="258" t="str">
        <f>'11. Year 3 Amounts'!D31</f>
        <v/>
      </c>
      <c r="C30" s="681"/>
      <c r="D30" s="681"/>
      <c r="E30" s="224" t="str">
        <f>CONCATENATE("Final Expenditures for SFY ",'2. Getting Started'!B$6+2)</f>
        <v>Final Expenditures for SFY 2023</v>
      </c>
      <c r="F30" s="258" t="e">
        <f>'11. Year 3 Amounts'!K31</f>
        <v>#DIV/0!</v>
      </c>
    </row>
    <row r="31" spans="1:9" ht="15" customHeight="1" x14ac:dyDescent="0.25">
      <c r="A31" s="275" t="str">
        <f>CONCATENATE("MOE Result for SFY ",'2. Getting Started'!B$6+2)</f>
        <v>MOE Result for SFY 2023</v>
      </c>
      <c r="B31" s="285" t="str">
        <f>IF(B30="","",IF(B30&gt;=B29,"Met","Did Not Meet"))</f>
        <v/>
      </c>
      <c r="C31" s="681"/>
      <c r="D31" s="681"/>
      <c r="E31" s="275" t="str">
        <f>CONCATENATE("MOE Result for SFY ",'2. Getting Started'!B$6+2)</f>
        <v>MOE Result for SFY 2023</v>
      </c>
      <c r="F31" s="285" t="e">
        <f>IF(F30="","",IF(F30&gt;=F29,"Met","Did Not Meet"))</f>
        <v>#DIV/0!</v>
      </c>
    </row>
    <row r="32" spans="1:9" ht="15" customHeight="1" x14ac:dyDescent="0.25">
      <c r="A32" s="673" t="s">
        <v>174</v>
      </c>
      <c r="B32" s="673"/>
      <c r="C32" s="681"/>
      <c r="D32" s="681"/>
      <c r="E32" s="673" t="s">
        <v>174</v>
      </c>
      <c r="F32" s="673"/>
    </row>
    <row r="33" spans="1:9" ht="15.75" customHeight="1" x14ac:dyDescent="0.25">
      <c r="A33" s="5" t="str">
        <f>CONCATENATE("Year 4: SFY ",'2. Getting Started'!B$6+3)</f>
        <v>Year 4: SFY 2024</v>
      </c>
      <c r="B33" s="4"/>
      <c r="C33" s="681"/>
      <c r="D33" s="681"/>
      <c r="E33" s="5" t="str">
        <f>CONCATENATE("Year 4: SFY ",'2. Getting Started'!B$6+3)</f>
        <v>Year 4: SFY 2024</v>
      </c>
      <c r="F33" s="4"/>
    </row>
    <row r="34" spans="1:9" ht="15" customHeight="1" x14ac:dyDescent="0.25">
      <c r="A34" s="224" t="str">
        <f>CONCATENATE("Starting MOE Threshold for SFY ",'2. Getting Started'!B$6+3)</f>
        <v>Starting MOE Threshold for SFY 2024</v>
      </c>
      <c r="B34" s="258" t="e">
        <f>IF(F23="Met",F22,F21)</f>
        <v>#N/A</v>
      </c>
      <c r="C34" s="681"/>
      <c r="D34" s="681"/>
      <c r="E34" s="224" t="str">
        <f>CONCATENATE("Starting MOE Threshold for SFY ",'2. Getting Started'!B$6+3)</f>
        <v>Starting MOE Threshold for SFY 2024</v>
      </c>
      <c r="F34" s="258" t="e">
        <f>IF(F31="Met",F30,F29)</f>
        <v>#DIV/0!</v>
      </c>
    </row>
    <row r="35" spans="1:9" ht="15" customHeight="1" x14ac:dyDescent="0.25">
      <c r="A35" s="224" t="str">
        <f>CONCATENATE("SFY ",'2. Getting Started'!B$6+2," + ",'2. Getting Started'!B$6+3," Projected Exceptions")</f>
        <v>SFY 2023 + 2024 Projected Exceptions</v>
      </c>
      <c r="B35" s="258" t="e">
        <f>IF(B6="","",(('12. Year 3 Exc &amp; Adj'!B67+'15. Year 4 Exc &amp; Adj'!B67)/I27))</f>
        <v>#N/A</v>
      </c>
      <c r="C35" s="681"/>
      <c r="D35" s="681"/>
      <c r="E35" s="224" t="str">
        <f>CONCATENATE("SFY ",'2. Getting Started'!B$6+3," Exceptions")</f>
        <v>SFY 2024 Exceptions</v>
      </c>
      <c r="F35" s="258" t="e">
        <f>IF(F6="","",('15. Year 4 Exc &amp; Adj'!I67/I35))</f>
        <v>#DIV/0!</v>
      </c>
      <c r="H35" t="s">
        <v>118</v>
      </c>
      <c r="I35" t="e">
        <f>IF(F31="Met",'11. Year 3 Amounts'!I1,IF(F23="Met",'8. Year 2 Amounts'!I1,IF(F15="Met",'5. Year 1 Amounts'!I1,F6)))</f>
        <v>#DIV/0!</v>
      </c>
    </row>
    <row r="36" spans="1:9" ht="15" customHeight="1" x14ac:dyDescent="0.25">
      <c r="A36" s="224" t="str">
        <f>CONCATENATE("SFY ",'2. Getting Started'!B$6+2," + ",'2. Getting Started'!B$6+3," Projected Adjustments")</f>
        <v>SFY 2023 + 2024 Projected Adjustments</v>
      </c>
      <c r="B36" s="258" t="e">
        <f>IF(B6="","",((AdjDataYear3Budget[Projected Adjustment]+AdjDataYear4Budget[Projected Adjustment])/I27))</f>
        <v>#N/A</v>
      </c>
      <c r="C36" s="681"/>
      <c r="D36" s="681"/>
      <c r="E36" s="224" t="str">
        <f>CONCATENATE("SFY ",'2. Getting Started'!B$6+3," Adjustment")</f>
        <v>SFY 2024 Adjustment</v>
      </c>
      <c r="F36" s="258" t="e">
        <f>IF(F6="","",(AdjDataYear4Expenditures[[Adjustment ]]/I35))</f>
        <v>#DIV/0!</v>
      </c>
    </row>
    <row r="37" spans="1:9" ht="15" customHeight="1" x14ac:dyDescent="0.25">
      <c r="A37" s="224" t="str">
        <f>CONCATENATE("Adjusted MOE Threshold for SFY ",'2. Getting Started'!B$6+3)</f>
        <v>Adjusted MOE Threshold for SFY 2024</v>
      </c>
      <c r="B37" s="258" t="e">
        <f>IF(B34="","",(B34-B35-B36))</f>
        <v>#N/A</v>
      </c>
      <c r="C37" s="681"/>
      <c r="D37" s="681"/>
      <c r="E37" s="224" t="str">
        <f>CONCATENATE("Adjusted MOE Threshold for SFY ",'2. Getting Started'!B$6+3)</f>
        <v>Adjusted MOE Threshold for SFY 2024</v>
      </c>
      <c r="F37" s="258" t="e">
        <f>IF(F34="","",(F34-F35-F36))</f>
        <v>#DIV/0!</v>
      </c>
    </row>
    <row r="38" spans="1:9" ht="15" customHeight="1" x14ac:dyDescent="0.25">
      <c r="A38" s="224" t="str">
        <f>CONCATENATE("Budgeted Amount for SFY ",'2. Getting Started'!B$6+3)</f>
        <v>Budgeted Amount for SFY 2024</v>
      </c>
      <c r="B38" s="258" t="str">
        <f>'14. Year 4 Amounts'!D31</f>
        <v/>
      </c>
      <c r="C38" s="681"/>
      <c r="D38" s="681"/>
      <c r="E38" s="224" t="str">
        <f>CONCATENATE("Final Expenditures for SFY ",'2. Getting Started'!B$6+3)</f>
        <v>Final Expenditures for SFY 2024</v>
      </c>
      <c r="F38" s="258" t="e">
        <f>'14. Year 4 Amounts'!K31</f>
        <v>#DIV/0!</v>
      </c>
    </row>
    <row r="39" spans="1:9" ht="15" customHeight="1" x14ac:dyDescent="0.25">
      <c r="A39" s="275" t="str">
        <f>CONCATENATE("MOE Result for SFY ",'2. Getting Started'!B$6+3)</f>
        <v>MOE Result for SFY 2024</v>
      </c>
      <c r="B39" s="285" t="str">
        <f>IF(B38="","",IF(B38&gt;=B37,"Met","Did Not Meet"))</f>
        <v/>
      </c>
      <c r="C39" s="681"/>
      <c r="D39" s="681"/>
      <c r="E39" s="275" t="str">
        <f>CONCATENATE("MOE Result for SFY ",'2. Getting Started'!B$6+3)</f>
        <v>MOE Result for SFY 2024</v>
      </c>
      <c r="F39" s="285" t="e">
        <f>IF(F38="","",IF(F38&gt;=F37,"Met","Did Not Meet"))</f>
        <v>#DIV/0!</v>
      </c>
    </row>
    <row r="40" spans="1:9" ht="15" customHeight="1" x14ac:dyDescent="0.25">
      <c r="A40" s="673" t="s">
        <v>174</v>
      </c>
      <c r="B40" s="673"/>
      <c r="C40" s="681"/>
      <c r="D40" s="681"/>
      <c r="E40" s="673" t="s">
        <v>174</v>
      </c>
      <c r="F40" s="673"/>
    </row>
    <row r="41" spans="1:9" ht="15.75" customHeight="1" x14ac:dyDescent="0.25">
      <c r="A41" s="5" t="str">
        <f>CONCATENATE("Year 5: SFY ",'2. Getting Started'!B$6+4)</f>
        <v>Year 5: SFY 2025</v>
      </c>
      <c r="B41" s="4"/>
      <c r="C41" s="681"/>
      <c r="D41" s="681"/>
      <c r="E41" s="5" t="str">
        <f>CONCATENATE("Year 5: SFY ",'2. Getting Started'!B$6+4)</f>
        <v>Year 5: SFY 2025</v>
      </c>
      <c r="F41" s="4"/>
    </row>
    <row r="42" spans="1:9" ht="15" customHeight="1" x14ac:dyDescent="0.25">
      <c r="A42" s="224" t="str">
        <f>CONCATENATE("Starting MOE Threshold for SFY ",'2. Getting Started'!B$6+4)</f>
        <v>Starting MOE Threshold for SFY 2025</v>
      </c>
      <c r="B42" s="258" t="e">
        <f>IF(F31="Met",F30,F29)</f>
        <v>#DIV/0!</v>
      </c>
      <c r="C42" s="681"/>
      <c r="D42" s="681"/>
      <c r="E42" s="224" t="str">
        <f>CONCATENATE("Starting MOE Threshold for SFY ",'2. Getting Started'!B$6+4)</f>
        <v>Starting MOE Threshold for SFY 2025</v>
      </c>
      <c r="F42" s="258" t="e">
        <f>IF(F39="Met",F38,F37)</f>
        <v>#DIV/0!</v>
      </c>
    </row>
    <row r="43" spans="1:9" ht="15" customHeight="1" x14ac:dyDescent="0.25">
      <c r="A43" s="224" t="str">
        <f>CONCATENATE("SFY ",'2. Getting Started'!B$6+3," + ",'2. Getting Started'!B$6+4," Projected Exceptions")</f>
        <v>SFY 2024 + 2025 Projected Exceptions</v>
      </c>
      <c r="B43" s="258" t="e">
        <f>IF(B6="","",(('15. Year 4 Exc &amp; Adj'!B67+'18. Year 5 Exc &amp; Adj'!B67)/I35))</f>
        <v>#DIV/0!</v>
      </c>
      <c r="C43" s="681"/>
      <c r="D43" s="681"/>
      <c r="E43" s="224" t="str">
        <f>CONCATENATE("SFY ",'2. Getting Started'!B$6+4," Exceptions")</f>
        <v>SFY 2025 Exceptions</v>
      </c>
      <c r="F43" s="258" t="e">
        <f>IF(F6="","",('18. Year 5 Exc &amp; Adj'!I67/I43))</f>
        <v>#DIV/0!</v>
      </c>
      <c r="H43" t="s">
        <v>118</v>
      </c>
      <c r="I43" t="e">
        <f>IF(F39="Met",'14. Year 4 Amounts'!I1,IF(F31="Met",'11. Year 3 Amounts'!I1,IF(F23="Met",'8. Year 2 Amounts'!I1,IF(F15="Met",'5. Year 1 Amounts'!I1,F6))))</f>
        <v>#DIV/0!</v>
      </c>
    </row>
    <row r="44" spans="1:9" ht="15" customHeight="1" x14ac:dyDescent="0.25">
      <c r="A44" s="224" t="str">
        <f>CONCATENATE("SFY ",'2. Getting Started'!B$6+3," + ",'2. Getting Started'!B$6+4," Projected Adjustments")</f>
        <v>SFY 2024 + 2025 Projected Adjustments</v>
      </c>
      <c r="B44" s="258" t="e">
        <f>IF(B6="","",((AdjDataYear4Budget[Projected Adjustment]+AdjDataYear5Budget[Projected Adjustment])/I35))</f>
        <v>#DIV/0!</v>
      </c>
      <c r="C44" s="681"/>
      <c r="D44" s="681"/>
      <c r="E44" s="224" t="str">
        <f>CONCATENATE("SFY ",'2. Getting Started'!B$6+4," Adjustment")</f>
        <v>SFY 2025 Adjustment</v>
      </c>
      <c r="F44" s="258" t="e">
        <f>IF(F6="","",(AdjDataYear5Expenditures[[Adjustment ]]/I43))</f>
        <v>#DIV/0!</v>
      </c>
    </row>
    <row r="45" spans="1:9" ht="15" customHeight="1" x14ac:dyDescent="0.25">
      <c r="A45" s="224" t="str">
        <f>CONCATENATE("Adjusted MOE Threshold for SFY ",'2. Getting Started'!B$6+4)</f>
        <v>Adjusted MOE Threshold for SFY 2025</v>
      </c>
      <c r="B45" s="258" t="e">
        <f>IF(B42="","",(B42-B43-B44))</f>
        <v>#DIV/0!</v>
      </c>
      <c r="C45" s="681"/>
      <c r="D45" s="681"/>
      <c r="E45" s="224" t="str">
        <f>CONCATENATE("Adjusted MOE Threshold for SFY ",'2. Getting Started'!B$6+4)</f>
        <v>Adjusted MOE Threshold for SFY 2025</v>
      </c>
      <c r="F45" s="258" t="e">
        <f>IF(F42="","",(F42-F43-F44))</f>
        <v>#DIV/0!</v>
      </c>
    </row>
    <row r="46" spans="1:9" ht="15" customHeight="1" x14ac:dyDescent="0.25">
      <c r="A46" s="224" t="str">
        <f>CONCATENATE("Budgeted Amount for SFY ",'2. Getting Started'!B$6+4)</f>
        <v>Budgeted Amount for SFY 2025</v>
      </c>
      <c r="B46" s="258" t="str">
        <f>'17. Year 5 Amounts'!D31</f>
        <v/>
      </c>
      <c r="C46" s="681"/>
      <c r="D46" s="681"/>
      <c r="E46" s="224" t="str">
        <f>CONCATENATE("Final Expenditures for SFY ",'2. Getting Started'!B$6+4)</f>
        <v>Final Expenditures for SFY 2025</v>
      </c>
      <c r="F46" s="258" t="str">
        <f>'17. Year 5 Amounts'!K31</f>
        <v/>
      </c>
    </row>
    <row r="47" spans="1:9" ht="15" customHeight="1" x14ac:dyDescent="0.25">
      <c r="A47" s="275" t="str">
        <f>CONCATENATE("MOE Result for SFY ",'2. Getting Started'!B$6+4)</f>
        <v>MOE Result for SFY 2025</v>
      </c>
      <c r="B47" s="285" t="str">
        <f>IF(B46="","",IF(B46&gt;=B45,"Met","Did Not Meet"))</f>
        <v/>
      </c>
      <c r="C47" s="681"/>
      <c r="D47" s="681"/>
      <c r="E47" s="275" t="str">
        <f>CONCATENATE("MOE Result for SFY ",'2. Getting Started'!B$6+4)</f>
        <v>MOE Result for SFY 2025</v>
      </c>
      <c r="F47" s="285" t="str">
        <f>IF(F46="","",IF(F46&gt;=F45,"Met","Did Not Meet"))</f>
        <v/>
      </c>
    </row>
    <row r="48" spans="1:9" ht="15" customHeight="1" x14ac:dyDescent="0.25">
      <c r="A48" s="673" t="s">
        <v>174</v>
      </c>
      <c r="B48" s="673"/>
      <c r="C48" s="681"/>
      <c r="D48" s="681"/>
      <c r="E48" s="673" t="s">
        <v>174</v>
      </c>
      <c r="F48" s="673"/>
    </row>
    <row r="49" spans="1:9" ht="15.75" customHeight="1" x14ac:dyDescent="0.25">
      <c r="A49" s="5" t="str">
        <f>CONCATENATE("Year 6: SFY ",'2. Getting Started'!B$6+5)</f>
        <v>Year 6: SFY 2026</v>
      </c>
      <c r="B49" s="4"/>
      <c r="C49" s="681"/>
      <c r="D49" s="681"/>
      <c r="E49" s="5" t="str">
        <f>CONCATENATE("Year 6: SFY ",'2. Getting Started'!B$6+5)</f>
        <v>Year 6: SFY 2026</v>
      </c>
      <c r="F49" s="4"/>
    </row>
    <row r="50" spans="1:9" ht="15" customHeight="1" x14ac:dyDescent="0.25">
      <c r="A50" s="224" t="str">
        <f>CONCATENATE("Starting MOE Threshold for SFY ",'2. Getting Started'!B$6+5)</f>
        <v>Starting MOE Threshold for SFY 2026</v>
      </c>
      <c r="B50" s="258" t="e">
        <f>IF(F39="Met",F38,F37)</f>
        <v>#DIV/0!</v>
      </c>
      <c r="C50" s="681"/>
      <c r="D50" s="681"/>
      <c r="E50" s="224" t="str">
        <f>CONCATENATE("Starting MOE Threshold for SFY ",'2. Getting Started'!B$6+5)</f>
        <v>Starting MOE Threshold for SFY 2026</v>
      </c>
      <c r="F50" s="258" t="e">
        <f>IF(F47="Met",F46,F45)</f>
        <v>#DIV/0!</v>
      </c>
    </row>
    <row r="51" spans="1:9" ht="15" customHeight="1" x14ac:dyDescent="0.25">
      <c r="A51" s="224" t="str">
        <f>CONCATENATE("SFY ",'2. Getting Started'!B$6+4," + ",'2. Getting Started'!B$6+5," Projected Exceptions")</f>
        <v>SFY 2025 + 2026 Projected Exceptions</v>
      </c>
      <c r="B51" s="258" t="e">
        <f>IF(B6="","",(('18. Year 5 Exc &amp; Adj'!B67+'21. Year 6 Exc &amp; Adj'!B67)/I43))</f>
        <v>#DIV/0!</v>
      </c>
      <c r="C51" s="681"/>
      <c r="D51" s="681"/>
      <c r="E51" s="224" t="str">
        <f>CONCATENATE("SFY ",'2. Getting Started'!B$6+5," Exceptions")</f>
        <v>SFY 2026 Exceptions</v>
      </c>
      <c r="F51" s="258" t="e">
        <f>IF(F6="","",('21. Year 6 Exc &amp; Adj'!I67/I51))</f>
        <v>#DIV/0!</v>
      </c>
      <c r="H51" t="s">
        <v>118</v>
      </c>
      <c r="I51" t="e">
        <f>IF(F47="Met",'17. Year 5 Amounts'!I1,IF(F39="Met",'14. Year 4 Amounts'!I1,IF(F31="Met",'11. Year 3 Amounts'!I1,IF(F23="Met",'8. Year 2 Amounts'!I1,IF(F15="Met",'5. Year 1 Amounts'!I1,F6)))))</f>
        <v>#DIV/0!</v>
      </c>
    </row>
    <row r="52" spans="1:9" ht="15" customHeight="1" x14ac:dyDescent="0.25">
      <c r="A52" s="224" t="str">
        <f>CONCATENATE("SFY ",'2. Getting Started'!B$6+4," + ",'2. Getting Started'!B$6+5," Projected Adjustments")</f>
        <v>SFY 2025 + 2026 Projected Adjustments</v>
      </c>
      <c r="B52" s="258" t="e">
        <f>IF(B6="","",((AdjDataYear5Budget[Projected Adjustment]+AdjDataYear6Budget[Projected Adjustment])/I43))</f>
        <v>#DIV/0!</v>
      </c>
      <c r="C52" s="681"/>
      <c r="D52" s="681"/>
      <c r="E52" s="224" t="str">
        <f>CONCATENATE("SFY ",'2. Getting Started'!B$6+5," Adjustment")</f>
        <v>SFY 2026 Adjustment</v>
      </c>
      <c r="F52" s="258" t="e">
        <f>IF(F6="","",(AdjDataYear6Expenditures[[Adjustment ]]/I51))</f>
        <v>#DIV/0!</v>
      </c>
    </row>
    <row r="53" spans="1:9" ht="15" customHeight="1" x14ac:dyDescent="0.25">
      <c r="A53" s="224" t="str">
        <f>CONCATENATE("Adjusted MOE Threshold for SFY ",'2. Getting Started'!B$6+5)</f>
        <v>Adjusted MOE Threshold for SFY 2026</v>
      </c>
      <c r="B53" s="258" t="e">
        <f>IF(B50="","",(B50-B51-B52))</f>
        <v>#DIV/0!</v>
      </c>
      <c r="C53" s="681"/>
      <c r="D53" s="681"/>
      <c r="E53" s="224" t="str">
        <f>CONCATENATE("Adjusted MOE Threshold for SFY ",'2. Getting Started'!B$6+5)</f>
        <v>Adjusted MOE Threshold for SFY 2026</v>
      </c>
      <c r="F53" s="258" t="e">
        <f>IF(F50="","",(F50-F51-F52))</f>
        <v>#DIV/0!</v>
      </c>
    </row>
    <row r="54" spans="1:9" ht="15" customHeight="1" x14ac:dyDescent="0.25">
      <c r="A54" s="224" t="str">
        <f>CONCATENATE("Budgeted Amount for SFY ",'2. Getting Started'!B$6+5)</f>
        <v>Budgeted Amount for SFY 2026</v>
      </c>
      <c r="B54" s="258" t="str">
        <f>'20. Year 6 Amounts'!D31</f>
        <v/>
      </c>
      <c r="C54" s="681"/>
      <c r="D54" s="681"/>
      <c r="E54" s="224" t="str">
        <f>CONCATENATE("Final Expenditures for SFY ",'2. Getting Started'!B$6+5)</f>
        <v>Final Expenditures for SFY 2026</v>
      </c>
      <c r="F54" s="258" t="str">
        <f>'20. Year 6 Amounts'!K31</f>
        <v/>
      </c>
    </row>
    <row r="55" spans="1:9" ht="15" customHeight="1" x14ac:dyDescent="0.25">
      <c r="A55" s="275" t="str">
        <f>CONCATENATE("MOE Result for SFY ",'2. Getting Started'!B$6+5)</f>
        <v>MOE Result for SFY 2026</v>
      </c>
      <c r="B55" s="285" t="str">
        <f>IF(B54="","",IF(B54&gt;=B53,"Met","Did Not Meet"))</f>
        <v/>
      </c>
      <c r="C55" s="681"/>
      <c r="D55" s="681"/>
      <c r="E55" s="275" t="str">
        <f>CONCATENATE("MOE Result for SFY ",'2. Getting Started'!B$6+5)</f>
        <v>MOE Result for SFY 2026</v>
      </c>
      <c r="F55" s="285" t="str">
        <f>IF(F54="","",IF(F54&gt;=F53,"Met","Did Not Meet"))</f>
        <v/>
      </c>
    </row>
    <row r="56" spans="1:9" ht="15" customHeight="1" x14ac:dyDescent="0.25">
      <c r="A56" s="673" t="s">
        <v>174</v>
      </c>
      <c r="B56" s="673"/>
      <c r="C56" s="681"/>
      <c r="D56" s="681"/>
      <c r="E56" s="673" t="s">
        <v>174</v>
      </c>
      <c r="F56" s="673"/>
    </row>
    <row r="57" spans="1:9" ht="15.75" customHeight="1" x14ac:dyDescent="0.25">
      <c r="A57" s="5" t="str">
        <f>CONCATENATE("Year 7: SFY ",'2. Getting Started'!B$6+6)</f>
        <v>Year 7: SFY 2027</v>
      </c>
      <c r="B57" s="4"/>
      <c r="C57" s="681"/>
      <c r="D57" s="681"/>
      <c r="E57" s="5" t="str">
        <f>CONCATENATE("Year 7: SFY ",'2. Getting Started'!B$6+6)</f>
        <v>Year 7: SFY 2027</v>
      </c>
      <c r="F57" s="4"/>
    </row>
    <row r="58" spans="1:9" ht="15" customHeight="1" x14ac:dyDescent="0.25">
      <c r="A58" s="224" t="str">
        <f>CONCATENATE("Starting MOE Threshold for SFY ",'2. Getting Started'!B$6+6)</f>
        <v>Starting MOE Threshold for SFY 2027</v>
      </c>
      <c r="B58" s="258" t="e">
        <f>IF(F47="Met",F46,F45)</f>
        <v>#DIV/0!</v>
      </c>
      <c r="C58" s="681"/>
      <c r="D58" s="681"/>
      <c r="E58" s="224" t="str">
        <f>CONCATENATE("Starting MOE Threshold for SFY ",'2. Getting Started'!B$6+6)</f>
        <v>Starting MOE Threshold for SFY 2027</v>
      </c>
      <c r="F58" s="258" t="e">
        <f>IF(F55="Met",F54,F53)</f>
        <v>#DIV/0!</v>
      </c>
    </row>
    <row r="59" spans="1:9" ht="15" customHeight="1" x14ac:dyDescent="0.25">
      <c r="A59" s="224" t="str">
        <f>CONCATENATE("SFY ",'2. Getting Started'!B$6+5," + ",'2. Getting Started'!B$6+6," Projected Exceptions")</f>
        <v>SFY 2026 + 2027 Projected Exceptions</v>
      </c>
      <c r="B59" s="258" t="e">
        <f>IF(B6="","",(('21. Year 6 Exc &amp; Adj'!B67+'24. Year 7 Exc &amp; Adj'!B67)/I51))</f>
        <v>#DIV/0!</v>
      </c>
      <c r="C59" s="681"/>
      <c r="D59" s="681"/>
      <c r="E59" s="224" t="str">
        <f>CONCATENATE("SFY ",'2. Getting Started'!B$6+6," Exceptions")</f>
        <v>SFY 2027 Exceptions</v>
      </c>
      <c r="F59" s="258" t="e">
        <f>IF(F6="","",('24. Year 7 Exc &amp; Adj'!I67/I59))</f>
        <v>#DIV/0!</v>
      </c>
      <c r="H59" t="s">
        <v>118</v>
      </c>
      <c r="I59" t="e">
        <f>IF(F55="Met",'20. Year 6 Amounts'!I1,IF(F47="Met",'17. Year 5 Amounts'!I1,IF(F39="Met",'14. Year 4 Amounts'!I1,IF(F31="Met",'11. Year 3 Amounts'!I1,IF(F23="Met",'8. Year 2 Amounts'!I1,IF(F15="Met",'5. Year 1 Amounts'!I1,F6))))))</f>
        <v>#DIV/0!</v>
      </c>
    </row>
    <row r="60" spans="1:9" ht="15" customHeight="1" x14ac:dyDescent="0.25">
      <c r="A60" s="224" t="str">
        <f>CONCATENATE("SFY ",'2. Getting Started'!B$6+5," + ",'2. Getting Started'!B$6+6," Projected Adjustments")</f>
        <v>SFY 2026 + 2027 Projected Adjustments</v>
      </c>
      <c r="B60" s="258" t="e">
        <f>IF(B6="","",((AdjDataYear6Budget[Projected Adjustment]+AdjDataYear7Budget[Projected Adjustment])/I51))</f>
        <v>#DIV/0!</v>
      </c>
      <c r="C60" s="681"/>
      <c r="D60" s="681"/>
      <c r="E60" s="224" t="str">
        <f>CONCATENATE("SFY ",'2. Getting Started'!B$6+6," Adjustment")</f>
        <v>SFY 2027 Adjustment</v>
      </c>
      <c r="F60" s="258" t="e">
        <f>IF(F6="","",(AdjDataYear7Expenditures[[Adjustment ]]/I59))</f>
        <v>#DIV/0!</v>
      </c>
    </row>
    <row r="61" spans="1:9" ht="15" customHeight="1" x14ac:dyDescent="0.25">
      <c r="A61" s="224" t="str">
        <f>CONCATENATE("Adjusted MOE Threshold for SFY ",'2. Getting Started'!B$6+6)</f>
        <v>Adjusted MOE Threshold for SFY 2027</v>
      </c>
      <c r="B61" s="258" t="e">
        <f>IF(B58="","",(B58-B59-B60))</f>
        <v>#DIV/0!</v>
      </c>
      <c r="C61" s="681"/>
      <c r="D61" s="681"/>
      <c r="E61" s="224" t="str">
        <f>CONCATENATE("Adjusted MOE Threshold for SFY ",'2. Getting Started'!B$6+6)</f>
        <v>Adjusted MOE Threshold for SFY 2027</v>
      </c>
      <c r="F61" s="258" t="e">
        <f>IF(F58="","",(F58-F59-F60))</f>
        <v>#DIV/0!</v>
      </c>
    </row>
    <row r="62" spans="1:9" ht="15" customHeight="1" x14ac:dyDescent="0.25">
      <c r="A62" s="224" t="str">
        <f>CONCATENATE("Budgeted Amount for SFY ",'2. Getting Started'!B$6+6)</f>
        <v>Budgeted Amount for SFY 2027</v>
      </c>
      <c r="B62" s="258" t="str">
        <f>'23. Year 7 Amounts'!D31</f>
        <v/>
      </c>
      <c r="C62" s="681"/>
      <c r="D62" s="681"/>
      <c r="E62" s="224" t="str">
        <f>CONCATENATE("Final Expenditures for SFY ",'2. Getting Started'!B$6+6)</f>
        <v>Final Expenditures for SFY 2027</v>
      </c>
      <c r="F62" s="258" t="str">
        <f>'23. Year 7 Amounts'!K31</f>
        <v/>
      </c>
    </row>
    <row r="63" spans="1:9" ht="15" customHeight="1" x14ac:dyDescent="0.25">
      <c r="A63" s="275" t="str">
        <f>CONCATENATE("MOE Result for SFY ",'2. Getting Started'!B$6+6)</f>
        <v>MOE Result for SFY 2027</v>
      </c>
      <c r="B63" s="285" t="str">
        <f>IF(B62="","",IF(B62&gt;=B61,"Met","Did Not Meet"))</f>
        <v/>
      </c>
      <c r="C63" s="681"/>
      <c r="D63" s="681"/>
      <c r="E63" s="275" t="str">
        <f>CONCATENATE("MOE Result for SFY ",'2. Getting Started'!B$6+6)</f>
        <v>MOE Result for SFY 2027</v>
      </c>
      <c r="F63" s="285" t="str">
        <f>IF(F62="","",IF(F62&gt;=F61,"Met","Did Not Meet"))</f>
        <v/>
      </c>
    </row>
    <row r="64" spans="1:9" ht="15" customHeight="1" x14ac:dyDescent="0.25">
      <c r="A64" s="673" t="s">
        <v>174</v>
      </c>
      <c r="B64" s="673"/>
      <c r="C64" s="681"/>
      <c r="D64" s="681"/>
      <c r="E64" s="673" t="s">
        <v>174</v>
      </c>
      <c r="F64" s="673"/>
    </row>
    <row r="65" spans="1:9" ht="15.75" customHeight="1" x14ac:dyDescent="0.25">
      <c r="A65" s="5" t="str">
        <f>CONCATENATE("Year 8: SFY ",'2. Getting Started'!B$6+7)</f>
        <v>Year 8: SFY 2028</v>
      </c>
      <c r="B65" s="4"/>
      <c r="C65" s="681"/>
      <c r="D65" s="681"/>
      <c r="E65" s="5" t="str">
        <f>CONCATENATE("Year 8: SFY ",'2. Getting Started'!B$6+7)</f>
        <v>Year 8: SFY 2028</v>
      </c>
      <c r="F65" s="4"/>
    </row>
    <row r="66" spans="1:9" ht="15" customHeight="1" x14ac:dyDescent="0.25">
      <c r="A66" s="224" t="str">
        <f>CONCATENATE("Starting MOE Threshold for SFY ",'2. Getting Started'!B$6+7)</f>
        <v>Starting MOE Threshold for SFY 2028</v>
      </c>
      <c r="B66" s="258" t="e">
        <f>IF(F55="Met",F54,F53)</f>
        <v>#DIV/0!</v>
      </c>
      <c r="C66" s="681"/>
      <c r="D66" s="681"/>
      <c r="E66" s="224" t="str">
        <f>CONCATENATE("Starting MOE Threshold for SFY ",'2. Getting Started'!B$6+7)</f>
        <v>Starting MOE Threshold for SFY 2028</v>
      </c>
      <c r="F66" s="258" t="e">
        <f>IF(F63="Met",F62,F61)</f>
        <v>#DIV/0!</v>
      </c>
    </row>
    <row r="67" spans="1:9" ht="15" customHeight="1" x14ac:dyDescent="0.25">
      <c r="A67" s="224" t="str">
        <f>CONCATENATE("SFY ",'2. Getting Started'!B$6+6," + ",'2. Getting Started'!B$6+7," Projected Exceptions")</f>
        <v>SFY 2027 + 2028 Projected Exceptions</v>
      </c>
      <c r="B67" s="258" t="e">
        <f>IF(B6="","",(('24. Year 7 Exc &amp; Adj'!B67+'27. Year 8 Exc &amp; Adj'!B67)/I59))</f>
        <v>#DIV/0!</v>
      </c>
      <c r="C67" s="681"/>
      <c r="D67" s="681"/>
      <c r="E67" s="224" t="str">
        <f>CONCATENATE("SFY ",'2. Getting Started'!B$6+7," Exceptions")</f>
        <v>SFY 2028 Exceptions</v>
      </c>
      <c r="F67" s="258" t="e">
        <f>IF(F6="","",('27. Year 8 Exc &amp; Adj'!I67/I67))</f>
        <v>#DIV/0!</v>
      </c>
      <c r="H67" t="s">
        <v>118</v>
      </c>
      <c r="I67" t="e">
        <f>IF(F63="Met",'23. Year 7 Amounts'!I1,IF(F55="Met",'20. Year 6 Amounts'!I1,IF(F47="Met",'17. Year 5 Amounts'!I1,IF(F39="Met",'14. Year 4 Amounts'!I1,IF(F31="Met",'11. Year 3 Amounts'!I1,IF(F23="Met",'8. Year 2 Amounts'!I1,IF(F15="Met",'5. Year 1 Amounts'!I1,F6)))))))</f>
        <v>#DIV/0!</v>
      </c>
    </row>
    <row r="68" spans="1:9" ht="15" customHeight="1" x14ac:dyDescent="0.25">
      <c r="A68" s="224" t="str">
        <f>CONCATENATE("SFY ",'2. Getting Started'!B$6+6," + ",'2. Getting Started'!B$6+7," Projected Adjustments")</f>
        <v>SFY 2027 + 2028 Projected Adjustments</v>
      </c>
      <c r="B68" s="258" t="e">
        <f>IF(B6="","",((AdjDataYear7Budget[Projected Adjustment]+AdjDataYear8Budget[Projected Adjustment])/I59))</f>
        <v>#DIV/0!</v>
      </c>
      <c r="C68" s="681"/>
      <c r="D68" s="681"/>
      <c r="E68" s="224" t="str">
        <f>CONCATENATE("SFY ",'2. Getting Started'!B$6+7," Adjustment")</f>
        <v>SFY 2028 Adjustment</v>
      </c>
      <c r="F68" s="258" t="e">
        <f>IF(F6="","",(AdjDataYear8Expenditures[[Adjustment ]]/I67))</f>
        <v>#DIV/0!</v>
      </c>
    </row>
    <row r="69" spans="1:9" ht="15" customHeight="1" x14ac:dyDescent="0.25">
      <c r="A69" s="224" t="str">
        <f>CONCATENATE("Adjusted MOE Threshold for SFY ",'2. Getting Started'!B$6+7)</f>
        <v>Adjusted MOE Threshold for SFY 2028</v>
      </c>
      <c r="B69" s="258" t="e">
        <f>IF(B66="","",(B66-B67-B68))</f>
        <v>#DIV/0!</v>
      </c>
      <c r="C69" s="681"/>
      <c r="D69" s="681"/>
      <c r="E69" s="224" t="str">
        <f>CONCATENATE("Adjusted MOE Threshold for SFY ",'2. Getting Started'!B$6+7)</f>
        <v>Adjusted MOE Threshold for SFY 2028</v>
      </c>
      <c r="F69" s="258" t="e">
        <f>IF(F66="","",(F66-F67-F68))</f>
        <v>#DIV/0!</v>
      </c>
    </row>
    <row r="70" spans="1:9" ht="15" customHeight="1" x14ac:dyDescent="0.25">
      <c r="A70" s="224" t="str">
        <f>CONCATENATE("Budgeted Amount for SFY ",'2. Getting Started'!B$6+7)</f>
        <v>Budgeted Amount for SFY 2028</v>
      </c>
      <c r="B70" s="258" t="str">
        <f>'26. Year 8 Amounts'!D31</f>
        <v/>
      </c>
      <c r="C70" s="681"/>
      <c r="D70" s="681"/>
      <c r="E70" s="224" t="str">
        <f>CONCATENATE("Final Expenditures for SFY ",'2. Getting Started'!B$6+7)</f>
        <v>Final Expenditures for SFY 2028</v>
      </c>
      <c r="F70" s="258" t="str">
        <f>'26. Year 8 Amounts'!K31</f>
        <v/>
      </c>
    </row>
    <row r="71" spans="1:9" ht="15" customHeight="1" x14ac:dyDescent="0.25">
      <c r="A71" s="275" t="str">
        <f>CONCATENATE("MOE Result for SFY ",'2. Getting Started'!B$6+7)</f>
        <v>MOE Result for SFY 2028</v>
      </c>
      <c r="B71" s="285" t="str">
        <f>IF(B70="","",IF(B70&gt;=B69,"Met","Did Not Meet"))</f>
        <v/>
      </c>
      <c r="C71" s="681"/>
      <c r="D71" s="681"/>
      <c r="E71" s="275" t="str">
        <f>CONCATENATE("MOE Result for SFY ",'2. Getting Started'!B$6+7)</f>
        <v>MOE Result for SFY 2028</v>
      </c>
      <c r="F71" s="285" t="str">
        <f>IF(F70="","",IF(F70&gt;=F69,"Met","Did Not Meet"))</f>
        <v/>
      </c>
    </row>
    <row r="72" spans="1:9" ht="15" customHeight="1" x14ac:dyDescent="0.25">
      <c r="A72" s="673" t="s">
        <v>174</v>
      </c>
      <c r="B72" s="673"/>
      <c r="C72" s="681"/>
      <c r="D72" s="681"/>
      <c r="E72" s="673" t="s">
        <v>174</v>
      </c>
      <c r="F72" s="673"/>
    </row>
    <row r="73" spans="1:9" ht="15.75" customHeight="1" x14ac:dyDescent="0.25">
      <c r="A73" s="5" t="str">
        <f>CONCATENATE("Year 9: SFY ",'2. Getting Started'!B$6+8)</f>
        <v>Year 9: SFY 2029</v>
      </c>
      <c r="B73" s="4"/>
      <c r="C73" s="681"/>
      <c r="D73" s="681"/>
      <c r="E73" s="5" t="str">
        <f>CONCATENATE("Year 9: SFY ",'2. Getting Started'!B$6+8)</f>
        <v>Year 9: SFY 2029</v>
      </c>
      <c r="F73" s="4"/>
    </row>
    <row r="74" spans="1:9" ht="15" customHeight="1" x14ac:dyDescent="0.25">
      <c r="A74" s="224" t="str">
        <f>CONCATENATE("Starting MOE Threshold for SFY ",'2. Getting Started'!B$6+8)</f>
        <v>Starting MOE Threshold for SFY 2029</v>
      </c>
      <c r="B74" s="258" t="e">
        <f>IF(F63="Met",F62,F61)</f>
        <v>#DIV/0!</v>
      </c>
      <c r="C74" s="681"/>
      <c r="D74" s="681"/>
      <c r="E74" s="224" t="str">
        <f>CONCATENATE("Starting MOE Threshold for SFY ",'2. Getting Started'!B$6+8)</f>
        <v>Starting MOE Threshold for SFY 2029</v>
      </c>
      <c r="F74" s="258" t="e">
        <f>IF(F71="Met",F70,F69)</f>
        <v>#DIV/0!</v>
      </c>
    </row>
    <row r="75" spans="1:9" ht="15" customHeight="1" x14ac:dyDescent="0.25">
      <c r="A75" s="224" t="str">
        <f>CONCATENATE("SFY ",'2. Getting Started'!B$6+7," + ",'2. Getting Started'!B$6+8," Projected Exceptions")</f>
        <v>SFY 2028 + 2029 Projected Exceptions</v>
      </c>
      <c r="B75" s="258" t="e">
        <f>IF(B6="","",(('27. Year 8 Exc &amp; Adj'!B67+'30. Year 9 Exc &amp; Adj'!B67)/I67))</f>
        <v>#DIV/0!</v>
      </c>
      <c r="C75" s="681"/>
      <c r="D75" s="681"/>
      <c r="E75" s="224" t="str">
        <f>CONCATENATE("SFY ",'2. Getting Started'!B$6+8," Exceptions")</f>
        <v>SFY 2029 Exceptions</v>
      </c>
      <c r="F75" s="258" t="e">
        <f>IF(F6="","",('30. Year 9 Exc &amp; Adj'!I67/I75))</f>
        <v>#DIV/0!</v>
      </c>
      <c r="H75" t="s">
        <v>118</v>
      </c>
      <c r="I75" t="e">
        <f>IF(F71="Met",'26. Year 8 Amounts'!I1,IF(F63="Met",'23. Year 7 Amounts'!I1,IF(F55="Met",'20. Year 6 Amounts'!I1,IF(F47="Met",'17. Year 5 Amounts'!I1,IF(F39="Met",'14. Year 4 Amounts'!I1,IF(F31="Met",'11. Year 3 Amounts'!I1,IF(F23="Met",'8. Year 2 Amounts'!I1,IF(F15="Met",'5. Year 1 Amounts'!I1,F6))))))))</f>
        <v>#DIV/0!</v>
      </c>
    </row>
    <row r="76" spans="1:9" ht="15" customHeight="1" x14ac:dyDescent="0.25">
      <c r="A76" s="224" t="str">
        <f>CONCATENATE("SFY ",'2. Getting Started'!B$6+7," + ",'2. Getting Started'!B$6+8," Projected Adjustments")</f>
        <v>SFY 2028 + 2029 Projected Adjustments</v>
      </c>
      <c r="B76" s="258" t="e">
        <f>IF(B6="","",((AdjDataYear8Budget[Projected Adjustment]+AdjDataYear9Budget[Projected Adjustment])/I67))</f>
        <v>#DIV/0!</v>
      </c>
      <c r="C76" s="681"/>
      <c r="D76" s="681"/>
      <c r="E76" s="224" t="str">
        <f>CONCATENATE("SFY ",'2. Getting Started'!B$6+8," Adjustment")</f>
        <v>SFY 2029 Adjustment</v>
      </c>
      <c r="F76" s="258" t="e">
        <f>IF(F6="","",(AdjDataYear9Expenditures[[Adjustment ]]/I75))</f>
        <v>#DIV/0!</v>
      </c>
    </row>
    <row r="77" spans="1:9" ht="15" customHeight="1" x14ac:dyDescent="0.25">
      <c r="A77" s="224" t="str">
        <f>CONCATENATE("Adjusted MOE Threshold for SFY ",'2. Getting Started'!B$6+8)</f>
        <v>Adjusted MOE Threshold for SFY 2029</v>
      </c>
      <c r="B77" s="258" t="e">
        <f>IF(B74="","",(B74-B75-B76))</f>
        <v>#DIV/0!</v>
      </c>
      <c r="C77" s="681"/>
      <c r="D77" s="681"/>
      <c r="E77" s="224" t="str">
        <f>CONCATENATE("Adjusted MOE Threshold for SFY ",'2. Getting Started'!B$6+8)</f>
        <v>Adjusted MOE Threshold for SFY 2029</v>
      </c>
      <c r="F77" s="258" t="e">
        <f>IF(F74="","",(F74-F75-F76))</f>
        <v>#DIV/0!</v>
      </c>
    </row>
    <row r="78" spans="1:9" ht="15" customHeight="1" x14ac:dyDescent="0.25">
      <c r="A78" s="224" t="str">
        <f>CONCATENATE("Budgeted Amount for SFY ",'2. Getting Started'!B$6+8)</f>
        <v>Budgeted Amount for SFY 2029</v>
      </c>
      <c r="B78" s="258" t="str">
        <f>'29. Year 9 Amounts'!D31</f>
        <v/>
      </c>
      <c r="C78" s="681"/>
      <c r="D78" s="681"/>
      <c r="E78" s="224" t="str">
        <f>CONCATENATE("Final Expenditures for SFY ",'2. Getting Started'!B$6+8)</f>
        <v>Final Expenditures for SFY 2029</v>
      </c>
      <c r="F78" s="258" t="str">
        <f>'29. Year 9 Amounts'!K31</f>
        <v/>
      </c>
    </row>
    <row r="79" spans="1:9" ht="15" customHeight="1" x14ac:dyDescent="0.25">
      <c r="A79" s="275" t="str">
        <f>CONCATENATE("MOE Result for SFY ",'2. Getting Started'!B$6+8)</f>
        <v>MOE Result for SFY 2029</v>
      </c>
      <c r="B79" s="285" t="str">
        <f>IF(B78="","",IF(B78&gt;=B77,"Met","Did Not Meet"))</f>
        <v/>
      </c>
      <c r="C79" s="681"/>
      <c r="D79" s="681"/>
      <c r="E79" s="275" t="str">
        <f>CONCATENATE("MOE Result for SFY ",'2. Getting Started'!B$6+8)</f>
        <v>MOE Result for SFY 2029</v>
      </c>
      <c r="F79" s="285" t="str">
        <f>IF(F78="","",IF(F78&gt;=F77,"Met","Did Not Meet"))</f>
        <v/>
      </c>
    </row>
    <row r="80" spans="1:9" ht="15" customHeight="1" x14ac:dyDescent="0.25">
      <c r="A80" s="673" t="s">
        <v>174</v>
      </c>
      <c r="B80" s="673"/>
      <c r="C80" s="681"/>
      <c r="D80" s="681"/>
      <c r="E80" s="673" t="s">
        <v>174</v>
      </c>
      <c r="F80" s="673"/>
    </row>
    <row r="81" spans="1:9" ht="15.75" customHeight="1" x14ac:dyDescent="0.25">
      <c r="A81" s="5" t="str">
        <f>CONCATENATE("Year 10: SFY ",'2. Getting Started'!B$6+9)</f>
        <v>Year 10: SFY 2030</v>
      </c>
      <c r="B81" s="4"/>
      <c r="C81" s="681"/>
      <c r="D81" s="681"/>
      <c r="E81" s="5" t="str">
        <f>CONCATENATE("Year 10: SFY ",'2. Getting Started'!B$6+9)</f>
        <v>Year 10: SFY 2030</v>
      </c>
      <c r="F81" s="4"/>
    </row>
    <row r="82" spans="1:9" ht="15" customHeight="1" x14ac:dyDescent="0.25">
      <c r="A82" s="224" t="str">
        <f>CONCATENATE("Starting MOE Threshold for SFY ",'2. Getting Started'!B$6+9)</f>
        <v>Starting MOE Threshold for SFY 2030</v>
      </c>
      <c r="B82" s="258" t="e">
        <f>IF(F71="Met",F70,F69)</f>
        <v>#DIV/0!</v>
      </c>
      <c r="C82" s="681"/>
      <c r="D82" s="681"/>
      <c r="E82" s="224" t="str">
        <f>CONCATENATE("Starting MOE Threshold for SFY ",'2. Getting Started'!B$6+9)</f>
        <v>Starting MOE Threshold for SFY 2030</v>
      </c>
      <c r="F82" s="258" t="e">
        <f>IF(F79="Met",F78,F77)</f>
        <v>#DIV/0!</v>
      </c>
    </row>
    <row r="83" spans="1:9" ht="15" customHeight="1" x14ac:dyDescent="0.25">
      <c r="A83" s="224" t="str">
        <f>CONCATENATE("SFY ",'2. Getting Started'!B$6+8," + ",'2. Getting Started'!B$6+9," Projected Exceptions")</f>
        <v>SFY 2029 + 2030 Projected Exceptions</v>
      </c>
      <c r="B83" s="258" t="e">
        <f>IF(B6="","",(('30. Year 9 Exc &amp; Adj'!B67+'33. Year 10 Exc &amp; Adj'!B67)/I75))</f>
        <v>#DIV/0!</v>
      </c>
      <c r="C83" s="681"/>
      <c r="D83" s="681"/>
      <c r="E83" s="224" t="str">
        <f>CONCATENATE("SFY ",'2. Getting Started'!B$6+9," Exceptions")</f>
        <v>SFY 2030 Exceptions</v>
      </c>
      <c r="F83" s="258" t="e">
        <f>IF(F6="","",('33. Year 10 Exc &amp; Adj'!I67/I83))</f>
        <v>#DIV/0!</v>
      </c>
      <c r="H83" t="s">
        <v>118</v>
      </c>
      <c r="I83" t="e">
        <f>IF(F79="Met",'29. Year 9 Amounts'!I1,IF(F71="Met",'26. Year 8 Amounts'!I1,IF(F63="Met",'23. Year 7 Amounts'!I1,IF(F55="Met",'20. Year 6 Amounts'!I1,IF(F47="Met",'17. Year 5 Amounts'!I1,IF(F39="Met",'14. Year 4 Amounts'!I1,IF(F31="Met",'11. Year 3 Amounts'!I1,IF(F23="Met",'8. Year 2 Amounts'!I1,IF(F15="Met",'5. Year 1 Amounts'!I1,F6)))))))))</f>
        <v>#DIV/0!</v>
      </c>
    </row>
    <row r="84" spans="1:9" ht="15" customHeight="1" x14ac:dyDescent="0.25">
      <c r="A84" s="224" t="str">
        <f>CONCATENATE("SFY ",'2. Getting Started'!B$6+8," + ",'2. Getting Started'!B$6+9," Projected Adjustments")</f>
        <v>SFY 2029 + 2030 Projected Adjustments</v>
      </c>
      <c r="B84" s="258" t="e">
        <f>IF(B6="","",((AdjDataYear9Budget[Projected Adjustment]+AdjDataYear10Budget[Projected Adjustment])/I75))</f>
        <v>#DIV/0!</v>
      </c>
      <c r="C84" s="681"/>
      <c r="D84" s="681"/>
      <c r="E84" s="224" t="str">
        <f>CONCATENATE("SFY ",'2. Getting Started'!B$6+9," Adjustment")</f>
        <v>SFY 2030 Adjustment</v>
      </c>
      <c r="F84" s="258" t="e">
        <f>IF(F6="","",(AdjDataYear10Expenditures[[Adjustment ]]/I83))</f>
        <v>#DIV/0!</v>
      </c>
    </row>
    <row r="85" spans="1:9" ht="15" customHeight="1" x14ac:dyDescent="0.25">
      <c r="A85" s="224" t="str">
        <f>CONCATENATE("Adjusted MOE Threshold for SFY ",'2. Getting Started'!B$6+9)</f>
        <v>Adjusted MOE Threshold for SFY 2030</v>
      </c>
      <c r="B85" s="258" t="e">
        <f>IF(B82="","",(B82-B83-B84))</f>
        <v>#DIV/0!</v>
      </c>
      <c r="C85" s="681"/>
      <c r="D85" s="681"/>
      <c r="E85" s="224" t="str">
        <f>CONCATENATE("Adjusted MOE Threshold for SFY ",'2. Getting Started'!B$6+9)</f>
        <v>Adjusted MOE Threshold for SFY 2030</v>
      </c>
      <c r="F85" s="258" t="e">
        <f>IF(F82="","",(F82-F83-F84))</f>
        <v>#DIV/0!</v>
      </c>
    </row>
    <row r="86" spans="1:9" ht="15" customHeight="1" x14ac:dyDescent="0.25">
      <c r="A86" s="224" t="str">
        <f>CONCATENATE("Budgeted Amount for SFY ",'2. Getting Started'!B$6+9)</f>
        <v>Budgeted Amount for SFY 2030</v>
      </c>
      <c r="B86" s="258" t="str">
        <f>'32. Year 10 Amounts'!D30</f>
        <v/>
      </c>
      <c r="C86" s="681"/>
      <c r="D86" s="681"/>
      <c r="E86" s="224" t="str">
        <f>CONCATENATE("Final Expenditures for SFY ",'2. Getting Started'!B$6+9)</f>
        <v>Final Expenditures for SFY 2030</v>
      </c>
      <c r="F86" s="258" t="str">
        <f>'32. Year 10 Amounts'!K31</f>
        <v/>
      </c>
    </row>
    <row r="87" spans="1:9" ht="15" customHeight="1" x14ac:dyDescent="0.25">
      <c r="A87" s="275" t="str">
        <f>CONCATENATE("MOE Result for SFY ",'2. Getting Started'!B$6+9)</f>
        <v>MOE Result for SFY 2030</v>
      </c>
      <c r="B87" s="285" t="str">
        <f>IF(B86="","",IF(B86&gt;=B85,"Met","Did Not Meet"))</f>
        <v/>
      </c>
      <c r="C87" s="681"/>
      <c r="D87" s="681"/>
      <c r="E87" s="275" t="str">
        <f>CONCATENATE("MOE Result for SFY ",'2. Getting Started'!B$6+9)</f>
        <v>MOE Result for SFY 2030</v>
      </c>
      <c r="F87" s="285" t="str">
        <f>IF(F86="","",IF(F86&gt;=F85,"Met","Did Not Meet"))</f>
        <v/>
      </c>
    </row>
    <row r="88" spans="1:9" ht="15" customHeight="1" x14ac:dyDescent="0.25">
      <c r="A88" s="673" t="s">
        <v>174</v>
      </c>
      <c r="B88" s="673"/>
      <c r="C88" s="681"/>
      <c r="D88" s="681"/>
      <c r="E88" s="673" t="s">
        <v>174</v>
      </c>
      <c r="F88" s="673"/>
    </row>
    <row r="89" spans="1:9" ht="15.75" customHeight="1" x14ac:dyDescent="0.25">
      <c r="A89" s="5" t="str">
        <f>CONCATENATE("Year 11: SFY ",'2. Getting Started'!B$6+10)</f>
        <v>Year 11: SFY 2031</v>
      </c>
      <c r="B89" s="4"/>
      <c r="C89" s="681"/>
      <c r="D89" s="681"/>
      <c r="E89" s="5" t="str">
        <f>CONCATENATE("Year 11: SFY ",'2. Getting Started'!B$6+10)</f>
        <v>Year 11: SFY 2031</v>
      </c>
      <c r="F89" s="4"/>
    </row>
    <row r="90" spans="1:9" ht="15" customHeight="1" x14ac:dyDescent="0.25">
      <c r="A90" s="224" t="str">
        <f>CONCATENATE("Starting MOE Threshold for SFY ",'2. Getting Started'!B$6+10)</f>
        <v>Starting MOE Threshold for SFY 2031</v>
      </c>
      <c r="B90" s="258" t="e">
        <f>IF(F79="Met",F78,F77)</f>
        <v>#DIV/0!</v>
      </c>
      <c r="C90" s="681"/>
      <c r="D90" s="681"/>
      <c r="E90" s="675" t="s">
        <v>47</v>
      </c>
      <c r="F90" s="676"/>
    </row>
    <row r="91" spans="1:9" ht="15" customHeight="1" x14ac:dyDescent="0.25">
      <c r="A91" s="224" t="str">
        <f>CONCATENATE("SFY ",'2. Getting Started'!B$6+9," + ",'2. Getting Started'!B$6+10," Projected Exceptions")</f>
        <v>SFY 2030 + 2031 Projected Exceptions</v>
      </c>
      <c r="B91" s="258" t="e">
        <f>IF(B6="","",(('33. Year 10 Exc &amp; Adj'!B67+'36. Year 11 Exc &amp; Adj'!B67)/I83))</f>
        <v>#DIV/0!</v>
      </c>
      <c r="C91" s="681"/>
      <c r="D91" s="681"/>
      <c r="E91" s="677"/>
      <c r="F91" s="678"/>
    </row>
    <row r="92" spans="1:9" ht="15" customHeight="1" x14ac:dyDescent="0.25">
      <c r="A92" s="224" t="str">
        <f>CONCATENATE("SFY ",'2. Getting Started'!B$6+9," + ",'2. Getting Started'!B$6+10," Projected Adjustments")</f>
        <v>SFY 2030 + 2031 Projected Adjustments</v>
      </c>
      <c r="B92" s="258" t="e">
        <f>IF(B6="","",((AdjDataYear10Budget[Projected Adjustment]+AdjDataYear11Budget[Projected Adjustment])/I83))</f>
        <v>#DIV/0!</v>
      </c>
      <c r="C92" s="681"/>
      <c r="D92" s="681"/>
      <c r="E92" s="677"/>
      <c r="F92" s="678"/>
    </row>
    <row r="93" spans="1:9" ht="15" customHeight="1" x14ac:dyDescent="0.25">
      <c r="A93" s="224" t="str">
        <f>CONCATENATE("Adjusted MOE Threshold for SFY ",'2. Getting Started'!B$6+10)</f>
        <v>Adjusted MOE Threshold for SFY 2031</v>
      </c>
      <c r="B93" s="258" t="e">
        <f>IF(B90="","",(B90-B91-B92))</f>
        <v>#DIV/0!</v>
      </c>
      <c r="C93" s="681"/>
      <c r="D93" s="681"/>
      <c r="E93" s="677"/>
      <c r="F93" s="678"/>
    </row>
    <row r="94" spans="1:9" ht="15" customHeight="1" x14ac:dyDescent="0.25">
      <c r="A94" s="224" t="str">
        <f>CONCATENATE("Budgeted Amount for SFY ",'2. Getting Started'!B$6+10)</f>
        <v>Budgeted Amount for SFY 2031</v>
      </c>
      <c r="B94" s="258" t="str">
        <f>'35. Year 11 Amounts'!D31</f>
        <v/>
      </c>
      <c r="C94" s="681"/>
      <c r="D94" s="681"/>
      <c r="E94" s="677"/>
      <c r="F94" s="678"/>
    </row>
    <row r="95" spans="1:9" ht="15" customHeight="1" x14ac:dyDescent="0.25">
      <c r="A95" s="275" t="str">
        <f>CONCATENATE("MOE Result for SFY ",'2. Getting Started'!B$6+10)</f>
        <v>MOE Result for SFY 2031</v>
      </c>
      <c r="B95" s="285" t="str">
        <f>IF(B94="","",IF(B94&gt;=B93,"Met","Did Not Meet"))</f>
        <v/>
      </c>
      <c r="C95" s="681"/>
      <c r="D95" s="681"/>
      <c r="E95" s="679"/>
      <c r="F95" s="680"/>
    </row>
    <row r="96" spans="1:9" ht="24.75" customHeight="1" x14ac:dyDescent="0.25">
      <c r="A96" s="345" t="s">
        <v>184</v>
      </c>
      <c r="C96" s="355"/>
      <c r="D96" s="355"/>
    </row>
    <row r="97" spans="1:6" ht="15.75" x14ac:dyDescent="0.25">
      <c r="A97" s="358" t="s">
        <v>183</v>
      </c>
    </row>
    <row r="98" spans="1:6" x14ac:dyDescent="0.25">
      <c r="A98" s="657" t="s">
        <v>24</v>
      </c>
      <c r="B98" s="657"/>
      <c r="C98" s="657"/>
      <c r="D98" s="657"/>
      <c r="E98" s="657"/>
      <c r="F98" s="657"/>
    </row>
  </sheetData>
  <sheetProtection algorithmName="SHA-512" hashValue="DoGtFAAZUggJ9Jz0Vib4Z+NyV8IYI+tluTbcFPPcH+1covZYjeUEvMUaVx9ezFcXFKRkWg4Op6sgvhvNygcOpA==" saltValue="mcQpnn5ihKtAJOt12HV+Dg==" spinCount="100000" sheet="1" objects="1" scenarios="1" formatColumns="0" formatRows="0"/>
  <mergeCells count="26">
    <mergeCell ref="A88:B88"/>
    <mergeCell ref="E88:F88"/>
    <mergeCell ref="C1:D95"/>
    <mergeCell ref="A98:F98"/>
    <mergeCell ref="A64:B64"/>
    <mergeCell ref="E64:F64"/>
    <mergeCell ref="A72:B72"/>
    <mergeCell ref="E72:F72"/>
    <mergeCell ref="A80:B80"/>
    <mergeCell ref="E80:F80"/>
    <mergeCell ref="A10:B15"/>
    <mergeCell ref="E90:F95"/>
    <mergeCell ref="A8:B8"/>
    <mergeCell ref="E8:F8"/>
    <mergeCell ref="A16:B16"/>
    <mergeCell ref="E16:F16"/>
    <mergeCell ref="A48:B48"/>
    <mergeCell ref="E48:F48"/>
    <mergeCell ref="A56:B56"/>
    <mergeCell ref="E56:F56"/>
    <mergeCell ref="A24:B24"/>
    <mergeCell ref="E24:F24"/>
    <mergeCell ref="A32:B32"/>
    <mergeCell ref="E32:F32"/>
    <mergeCell ref="A40:B40"/>
    <mergeCell ref="E40:F40"/>
  </mergeCells>
  <conditionalFormatting sqref="B23">
    <cfRule type="containsText" dxfId="79" priority="36" operator="containsText" text="Met">
      <formula>NOT(ISERROR(SEARCH("Met",B23)))</formula>
    </cfRule>
    <cfRule type="containsText" dxfId="78" priority="35" operator="containsText" text="Did Not Meet">
      <formula>NOT(ISERROR(SEARCH("Did Not Meet",B23)))</formula>
    </cfRule>
  </conditionalFormatting>
  <conditionalFormatting sqref="B31">
    <cfRule type="containsText" dxfId="77" priority="34" operator="containsText" text="Met">
      <formula>NOT(ISERROR(SEARCH("Met",B31)))</formula>
    </cfRule>
    <cfRule type="containsText" dxfId="76" priority="33" operator="containsText" text="Did Not Meet">
      <formula>NOT(ISERROR(SEARCH("Did Not Meet",B31)))</formula>
    </cfRule>
  </conditionalFormatting>
  <conditionalFormatting sqref="B39">
    <cfRule type="containsText" dxfId="75" priority="30" operator="containsText" text="Met">
      <formula>NOT(ISERROR(SEARCH("Met",B39)))</formula>
    </cfRule>
    <cfRule type="containsText" dxfId="74" priority="29" operator="containsText" text="Did Not Meet">
      <formula>NOT(ISERROR(SEARCH("Did Not Meet",B39)))</formula>
    </cfRule>
  </conditionalFormatting>
  <conditionalFormatting sqref="B47">
    <cfRule type="containsText" dxfId="73" priority="25" operator="containsText" text="Did Not Meet">
      <formula>NOT(ISERROR(SEARCH("Did Not Meet",B47)))</formula>
    </cfRule>
    <cfRule type="containsText" dxfId="72" priority="26" operator="containsText" text="Met">
      <formula>NOT(ISERROR(SEARCH("Met",B47)))</formula>
    </cfRule>
  </conditionalFormatting>
  <conditionalFormatting sqref="B55">
    <cfRule type="containsText" dxfId="71" priority="21" operator="containsText" text="Did Not Meet">
      <formula>NOT(ISERROR(SEARCH("Did Not Meet",B55)))</formula>
    </cfRule>
    <cfRule type="containsText" dxfId="70" priority="22" operator="containsText" text="Met">
      <formula>NOT(ISERROR(SEARCH("Met",B55)))</formula>
    </cfRule>
  </conditionalFormatting>
  <conditionalFormatting sqref="B63">
    <cfRule type="containsText" dxfId="69" priority="15" operator="containsText" text="Did Not Meet">
      <formula>NOT(ISERROR(SEARCH("Did Not Meet",B63)))</formula>
    </cfRule>
    <cfRule type="containsText" dxfId="68" priority="16" operator="containsText" text="Met">
      <formula>NOT(ISERROR(SEARCH("Met",B63)))</formula>
    </cfRule>
  </conditionalFormatting>
  <conditionalFormatting sqref="B71">
    <cfRule type="containsText" dxfId="67" priority="13" operator="containsText" text="Did Not Meet">
      <formula>NOT(ISERROR(SEARCH("Did Not Meet",B71)))</formula>
    </cfRule>
    <cfRule type="containsText" dxfId="66" priority="14" operator="containsText" text="Met">
      <formula>NOT(ISERROR(SEARCH("Met",B71)))</formula>
    </cfRule>
  </conditionalFormatting>
  <conditionalFormatting sqref="B79">
    <cfRule type="containsText" dxfId="65" priority="7" operator="containsText" text="Did Not Meet">
      <formula>NOT(ISERROR(SEARCH("Did Not Meet",B79)))</formula>
    </cfRule>
    <cfRule type="containsText" dxfId="64" priority="8" operator="containsText" text="Met">
      <formula>NOT(ISERROR(SEARCH("Met",B79)))</formula>
    </cfRule>
  </conditionalFormatting>
  <conditionalFormatting sqref="B87">
    <cfRule type="containsText" dxfId="63" priority="5" operator="containsText" text="Did Not Meet">
      <formula>NOT(ISERROR(SEARCH("Did Not Meet",B87)))</formula>
    </cfRule>
    <cfRule type="containsText" dxfId="62" priority="6" operator="containsText" text="Met">
      <formula>NOT(ISERROR(SEARCH("Met",B87)))</formula>
    </cfRule>
  </conditionalFormatting>
  <conditionalFormatting sqref="B95">
    <cfRule type="containsText" dxfId="61" priority="2" operator="containsText" text="Met">
      <formula>NOT(ISERROR(SEARCH("Met",B95)))</formula>
    </cfRule>
    <cfRule type="containsText" dxfId="60" priority="1" operator="containsText" text="Did Not Meet">
      <formula>NOT(ISERROR(SEARCH("Did Not Meet",B95)))</formula>
    </cfRule>
  </conditionalFormatting>
  <conditionalFormatting sqref="F15">
    <cfRule type="containsText" dxfId="59" priority="39" operator="containsText" text="Did Not Meet">
      <formula>NOT(ISERROR(SEARCH("Did Not Meet",F15)))</formula>
    </cfRule>
    <cfRule type="containsText" dxfId="58" priority="40" operator="containsText" text="Met">
      <formula>NOT(ISERROR(SEARCH("Met",F15)))</formula>
    </cfRule>
  </conditionalFormatting>
  <conditionalFormatting sqref="F23">
    <cfRule type="containsText" dxfId="57" priority="37" operator="containsText" text="Did Not Meet">
      <formula>NOT(ISERROR(SEARCH("Did Not Meet",F23)))</formula>
    </cfRule>
    <cfRule type="containsText" dxfId="56" priority="38" operator="containsText" text="Met">
      <formula>NOT(ISERROR(SEARCH("Met",F23)))</formula>
    </cfRule>
  </conditionalFormatting>
  <conditionalFormatting sqref="F31">
    <cfRule type="containsText" dxfId="55" priority="31" operator="containsText" text="Did Not Meet">
      <formula>NOT(ISERROR(SEARCH("Did Not Meet",F31)))</formula>
    </cfRule>
    <cfRule type="containsText" dxfId="54" priority="32" operator="containsText" text="Met">
      <formula>NOT(ISERROR(SEARCH("Met",F31)))</formula>
    </cfRule>
  </conditionalFormatting>
  <conditionalFormatting sqref="F39">
    <cfRule type="containsText" dxfId="53" priority="27" operator="containsText" text="Did Not Meet">
      <formula>NOT(ISERROR(SEARCH("Did Not Meet",F39)))</formula>
    </cfRule>
    <cfRule type="containsText" dxfId="52" priority="28" operator="containsText" text="Met">
      <formula>NOT(ISERROR(SEARCH("Met",F39)))</formula>
    </cfRule>
  </conditionalFormatting>
  <conditionalFormatting sqref="F47">
    <cfRule type="containsText" dxfId="51" priority="23" operator="containsText" text="Did Not Meet">
      <formula>NOT(ISERROR(SEARCH("Did Not Meet",F47)))</formula>
    </cfRule>
    <cfRule type="containsText" dxfId="50" priority="24" operator="containsText" text="Met">
      <formula>NOT(ISERROR(SEARCH("Met",F47)))</formula>
    </cfRule>
  </conditionalFormatting>
  <conditionalFormatting sqref="F55">
    <cfRule type="containsText" dxfId="49" priority="20" operator="containsText" text="Met">
      <formula>NOT(ISERROR(SEARCH("Met",F55)))</formula>
    </cfRule>
    <cfRule type="containsText" dxfId="48" priority="19" operator="containsText" text="Did Not Meet">
      <formula>NOT(ISERROR(SEARCH("Did Not Meet",F55)))</formula>
    </cfRule>
  </conditionalFormatting>
  <conditionalFormatting sqref="F63">
    <cfRule type="containsText" dxfId="47" priority="18" operator="containsText" text="Met">
      <formula>NOT(ISERROR(SEARCH("Met",F63)))</formula>
    </cfRule>
    <cfRule type="containsText" dxfId="46" priority="17" operator="containsText" text="Did Not Meet">
      <formula>NOT(ISERROR(SEARCH("Did Not Meet",F63)))</formula>
    </cfRule>
  </conditionalFormatting>
  <conditionalFormatting sqref="F71">
    <cfRule type="containsText" dxfId="45" priority="12" operator="containsText" text="Met">
      <formula>NOT(ISERROR(SEARCH("Met",F71)))</formula>
    </cfRule>
    <cfRule type="containsText" dxfId="44" priority="11" operator="containsText" text="Did Not Meet">
      <formula>NOT(ISERROR(SEARCH("Did Not Meet",F71)))</formula>
    </cfRule>
  </conditionalFormatting>
  <conditionalFormatting sqref="F79">
    <cfRule type="containsText" dxfId="43" priority="10" operator="containsText" text="Met">
      <formula>NOT(ISERROR(SEARCH("Met",F79)))</formula>
    </cfRule>
    <cfRule type="containsText" dxfId="42" priority="9" operator="containsText" text="Did Not Meet">
      <formula>NOT(ISERROR(SEARCH("Did Not Meet",F79)))</formula>
    </cfRule>
  </conditionalFormatting>
  <conditionalFormatting sqref="F87">
    <cfRule type="containsText" dxfId="41" priority="3" operator="containsText" text="Did Not Meet">
      <formula>NOT(ISERROR(SEARCH("Did Not Meet",F87)))</formula>
    </cfRule>
    <cfRule type="containsText" dxfId="40" priority="4" operator="containsText" text="Met">
      <formula>NOT(ISERROR(SEARCH("Met",F87)))</formula>
    </cfRule>
  </conditionalFormatting>
  <hyperlinks>
    <hyperlink ref="A97" r:id="rId1" xr:uid="{00000000-0004-0000-29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7030A0"/>
  </sheetPr>
  <dimension ref="A1:K26"/>
  <sheetViews>
    <sheetView showGridLines="0" workbookViewId="0">
      <selection activeCell="B6" sqref="B6"/>
    </sheetView>
  </sheetViews>
  <sheetFormatPr defaultColWidth="0" defaultRowHeight="15" zeroHeight="1" x14ac:dyDescent="0.25"/>
  <cols>
    <col min="1" max="4" width="22.7109375" customWidth="1"/>
    <col min="5" max="7" width="22.7109375" hidden="1" customWidth="1"/>
    <col min="8" max="8" width="25.85546875" hidden="1" customWidth="1"/>
    <col min="9" max="9" width="18.140625" hidden="1" customWidth="1"/>
    <col min="10" max="10" width="15.140625" hidden="1" customWidth="1"/>
    <col min="11" max="11" width="12.5703125" hidden="1" customWidth="1"/>
    <col min="12" max="16384" width="9.140625" hidden="1"/>
  </cols>
  <sheetData>
    <row r="1" spans="1:11" x14ac:dyDescent="0.25">
      <c r="A1" s="2" t="s">
        <v>161</v>
      </c>
      <c r="H1" s="2" t="s">
        <v>108</v>
      </c>
    </row>
    <row r="2" spans="1:11" x14ac:dyDescent="0.25">
      <c r="A2" s="2" t="s">
        <v>160</v>
      </c>
      <c r="H2" s="2"/>
    </row>
    <row r="3" spans="1:11" ht="45" x14ac:dyDescent="0.25">
      <c r="A3" s="2" t="s">
        <v>122</v>
      </c>
      <c r="B3" s="6" t="s">
        <v>158</v>
      </c>
      <c r="C3" s="6" t="s">
        <v>159</v>
      </c>
      <c r="I3" t="s">
        <v>43</v>
      </c>
      <c r="J3" t="s">
        <v>137</v>
      </c>
      <c r="K3" t="s">
        <v>8</v>
      </c>
    </row>
    <row r="4" spans="1:11" x14ac:dyDescent="0.25">
      <c r="A4" s="3" t="str">
        <f>IF(MIN('2. Getting Started'!B$10:B$13)&lt;=('2. Getting Started'!B$6-2),'2. Getting Started'!B$6-1,"")</f>
        <v/>
      </c>
      <c r="B4" s="234"/>
      <c r="C4" s="234"/>
      <c r="I4">
        <v>2</v>
      </c>
      <c r="J4" s="9">
        <f>B4</f>
        <v>0</v>
      </c>
      <c r="K4" s="9">
        <f>C4</f>
        <v>0</v>
      </c>
    </row>
    <row r="5" spans="1:11" x14ac:dyDescent="0.25">
      <c r="A5" s="3" t="str">
        <f>IF(MIN('2. Getting Started'!B$10:B$13)&lt;=('2. Getting Started'!B$6-3),'2. Getting Started'!B$6-2,"")</f>
        <v/>
      </c>
      <c r="B5" s="234"/>
      <c r="C5" s="234"/>
      <c r="I5">
        <v>3</v>
      </c>
      <c r="J5" s="9">
        <f>SUM(B$4:B5)</f>
        <v>0</v>
      </c>
      <c r="K5" s="9">
        <f>SUM(C$4:C5)</f>
        <v>0</v>
      </c>
    </row>
    <row r="6" spans="1:11" x14ac:dyDescent="0.25">
      <c r="A6" s="3" t="str">
        <f>IF(MIN('2. Getting Started'!B$10:B$13)&lt;=('2. Getting Started'!B$6-4),'2. Getting Started'!B$6-3,"")</f>
        <v/>
      </c>
      <c r="B6" s="234"/>
      <c r="C6" s="234"/>
      <c r="I6">
        <v>4</v>
      </c>
      <c r="J6" s="9">
        <f>SUM(B$4:B6)</f>
        <v>0</v>
      </c>
      <c r="K6" s="9">
        <f>SUM(C$4:C6)</f>
        <v>0</v>
      </c>
    </row>
    <row r="7" spans="1:11" x14ac:dyDescent="0.25">
      <c r="A7" s="3" t="str">
        <f>IF(MIN('2. Getting Started'!B$10:B$13)&lt;=('2. Getting Started'!B$6-5),'2. Getting Started'!B$6-4,"")</f>
        <v/>
      </c>
      <c r="B7" s="234"/>
      <c r="C7" s="234"/>
      <c r="I7">
        <v>5</v>
      </c>
      <c r="J7" s="9">
        <f>SUM(B$4:B7)</f>
        <v>0</v>
      </c>
      <c r="K7" s="9">
        <f>SUM(C$4:C7)</f>
        <v>0</v>
      </c>
    </row>
    <row r="8" spans="1:11" x14ac:dyDescent="0.25">
      <c r="A8" s="3" t="str">
        <f>IF(MIN('2. Getting Started'!B$10:B$13)&lt;=('2. Getting Started'!B$6-6),'2. Getting Started'!B$6-5,"")</f>
        <v/>
      </c>
      <c r="B8" s="234"/>
      <c r="C8" s="234"/>
      <c r="I8">
        <v>6</v>
      </c>
      <c r="J8" s="9">
        <f>SUM(B$4:B8)</f>
        <v>0</v>
      </c>
      <c r="K8" s="9">
        <f>SUM(C$4:C8)</f>
        <v>0</v>
      </c>
    </row>
    <row r="9" spans="1:11" x14ac:dyDescent="0.25">
      <c r="A9" s="3" t="str">
        <f>IF(MIN('2. Getting Started'!B$10:B$13)&lt;=('2. Getting Started'!B$6-7),'2. Getting Started'!B$6-6,"")</f>
        <v/>
      </c>
      <c r="B9" s="234"/>
      <c r="C9" s="234"/>
      <c r="I9">
        <v>7</v>
      </c>
      <c r="J9" s="9">
        <f>SUM(B$4:B9)</f>
        <v>0</v>
      </c>
      <c r="K9" s="9">
        <f>SUM(C$4:C9)</f>
        <v>0</v>
      </c>
    </row>
    <row r="10" spans="1:11" x14ac:dyDescent="0.25">
      <c r="A10" s="3" t="str">
        <f>IF(MIN('2. Getting Started'!B$10:B$13)&lt;=('2. Getting Started'!B$6-8),'2. Getting Started'!B$6-7,"")</f>
        <v/>
      </c>
      <c r="B10" s="234"/>
      <c r="C10" s="234"/>
      <c r="I10">
        <v>8</v>
      </c>
      <c r="J10" s="9">
        <f>SUM(B$4:B10)</f>
        <v>0</v>
      </c>
      <c r="K10" s="9">
        <f>SUM(C$4:C10)</f>
        <v>0</v>
      </c>
    </row>
    <row r="11" spans="1:11" x14ac:dyDescent="0.25">
      <c r="A11" s="3" t="str">
        <f>IF(MIN('2. Getting Started'!B$10:B$13)&lt;=('2. Getting Started'!B$6-9),'2. Getting Started'!B$6-8,"")</f>
        <v/>
      </c>
      <c r="B11" s="234"/>
      <c r="C11" s="234"/>
      <c r="I11">
        <v>9</v>
      </c>
      <c r="J11" s="9">
        <f>SUM(B$4:B11)</f>
        <v>0</v>
      </c>
      <c r="K11" s="9">
        <f>SUM(C$4:C11)</f>
        <v>0</v>
      </c>
    </row>
    <row r="12" spans="1:11" x14ac:dyDescent="0.25">
      <c r="A12" s="3" t="str">
        <f>IF(MIN('2. Getting Started'!B$10:B$13)&lt;=('2. Getting Started'!B$6-10),'2. Getting Started'!B$6-9,"")</f>
        <v/>
      </c>
      <c r="B12" s="234"/>
      <c r="C12" s="234"/>
      <c r="I12">
        <v>10</v>
      </c>
      <c r="J12" s="9">
        <f>SUM(B$4:B12)</f>
        <v>0</v>
      </c>
      <c r="K12" s="9">
        <f>SUM(C$4:C12)</f>
        <v>0</v>
      </c>
    </row>
    <row r="13" spans="1:11" x14ac:dyDescent="0.25">
      <c r="A13" s="3" t="str">
        <f>IF(MIN('2. Getting Started'!B$10:B$13)&lt;=('2. Getting Started'!B$6-11),'2. Getting Started'!B$6-10,"")</f>
        <v/>
      </c>
      <c r="B13" s="234"/>
      <c r="C13" s="234"/>
      <c r="I13">
        <v>11</v>
      </c>
      <c r="J13" s="9">
        <f>SUM(B$4:B13)</f>
        <v>0</v>
      </c>
      <c r="K13" s="9">
        <f>SUM(C$4:C13)</f>
        <v>0</v>
      </c>
    </row>
    <row r="14" spans="1:11" x14ac:dyDescent="0.25">
      <c r="A14" s="3" t="str">
        <f>IF(MIN('2. Getting Started'!B$10:B$13)&lt;=('2. Getting Started'!B$6-12),'2. Getting Started'!B$6-11,"")</f>
        <v/>
      </c>
      <c r="B14" s="234"/>
      <c r="C14" s="234"/>
      <c r="I14">
        <v>12</v>
      </c>
      <c r="J14" s="9">
        <f>SUM(B$4:B14)</f>
        <v>0</v>
      </c>
      <c r="K14" s="9">
        <f>SUM(C$4:C14)</f>
        <v>0</v>
      </c>
    </row>
    <row r="15" spans="1:11" x14ac:dyDescent="0.25">
      <c r="A15" s="3" t="str">
        <f>IF(MIN('2. Getting Started'!B$10:B$13)&lt;=('2. Getting Started'!B$6-13),'2. Getting Started'!B$6-12,"")</f>
        <v/>
      </c>
      <c r="B15" s="234"/>
      <c r="C15" s="234"/>
      <c r="I15">
        <v>13</v>
      </c>
      <c r="J15" s="9">
        <f>SUM(B$4:B15)</f>
        <v>0</v>
      </c>
      <c r="K15" s="9">
        <f>SUM(C$4:C15)</f>
        <v>0</v>
      </c>
    </row>
    <row r="16" spans="1:11" x14ac:dyDescent="0.25">
      <c r="A16" s="3" t="str">
        <f>IF(MIN('2. Getting Started'!B$10:B$13)&lt;=('2. Getting Started'!B$6-14),'2. Getting Started'!B$6-13,"")</f>
        <v/>
      </c>
      <c r="B16" s="234"/>
      <c r="C16" s="234"/>
      <c r="I16">
        <v>14</v>
      </c>
      <c r="J16" s="9">
        <f>SUM(B$4:B16)</f>
        <v>0</v>
      </c>
      <c r="K16" s="9">
        <f>SUM(C$4:C16)</f>
        <v>0</v>
      </c>
    </row>
    <row r="17" spans="1:11" x14ac:dyDescent="0.25">
      <c r="A17" s="3" t="str">
        <f>IF(MIN('2. Getting Started'!B$10:B$13)&lt;=('2. Getting Started'!B$6-15),'2. Getting Started'!B$6-14,"")</f>
        <v/>
      </c>
      <c r="B17" s="234"/>
      <c r="C17" s="234"/>
      <c r="I17">
        <v>15</v>
      </c>
      <c r="J17" s="9">
        <f>SUM(B$4:B17)</f>
        <v>0</v>
      </c>
      <c r="K17" s="9">
        <f>SUM(C$4:C17)</f>
        <v>0</v>
      </c>
    </row>
    <row r="18" spans="1:11" x14ac:dyDescent="0.25">
      <c r="A18" s="3" t="str">
        <f>IF(MIN('2. Getting Started'!B$10:B$13)&lt;=('2. Getting Started'!B$6-16),'2. Getting Started'!B$6-15,"")</f>
        <v/>
      </c>
      <c r="B18" s="234"/>
      <c r="C18" s="234"/>
      <c r="I18">
        <v>16</v>
      </c>
      <c r="J18" s="9">
        <f>SUM(B$4:B18)</f>
        <v>0</v>
      </c>
      <c r="K18" s="9">
        <f>SUM(C$4:C18)</f>
        <v>0</v>
      </c>
    </row>
    <row r="19" spans="1:11" x14ac:dyDescent="0.25">
      <c r="A19" s="3" t="str">
        <f>IF(MIN('2. Getting Started'!B$10:B$13)&lt;=('2. Getting Started'!B$6-17),'2. Getting Started'!B$6-16,"")</f>
        <v/>
      </c>
      <c r="B19" s="234"/>
      <c r="C19" s="234"/>
      <c r="I19">
        <v>17</v>
      </c>
      <c r="J19" s="9">
        <f>SUM(B$4:B19)</f>
        <v>0</v>
      </c>
      <c r="K19" s="9">
        <f>SUM(C$4:C19)</f>
        <v>0</v>
      </c>
    </row>
    <row r="20" spans="1:11" x14ac:dyDescent="0.25">
      <c r="A20" s="3" t="str">
        <f>IF(MIN('2. Getting Started'!B$10:B$13)&lt;=('2. Getting Started'!B$6-18),'2. Getting Started'!B$6-17,"")</f>
        <v/>
      </c>
      <c r="B20" s="234"/>
      <c r="C20" s="234"/>
      <c r="I20">
        <v>18</v>
      </c>
      <c r="J20" s="9">
        <f>SUM(B$4:B20)</f>
        <v>0</v>
      </c>
      <c r="K20" s="9">
        <f>SUM(C$4:C20)</f>
        <v>0</v>
      </c>
    </row>
    <row r="21" spans="1:11" x14ac:dyDescent="0.25">
      <c r="A21" s="3" t="str">
        <f>IF(MIN('2. Getting Started'!B$10:B$13)&lt;=('2. Getting Started'!B$6-19),'2. Getting Started'!B$6-18,"")</f>
        <v/>
      </c>
      <c r="B21" s="234"/>
      <c r="C21" s="234"/>
      <c r="I21">
        <v>19</v>
      </c>
      <c r="J21" s="9">
        <f>SUM(B$4:B21)</f>
        <v>0</v>
      </c>
      <c r="K21" s="9">
        <f>SUM(C$4:C21)</f>
        <v>0</v>
      </c>
    </row>
    <row r="22" spans="1:11" x14ac:dyDescent="0.25">
      <c r="A22" s="3" t="str">
        <f>IF(MIN('2. Getting Started'!B$10:B$13)&lt;=('2. Getting Started'!B$6-20),'2. Getting Started'!B$6-19,"")</f>
        <v/>
      </c>
      <c r="B22" s="234"/>
      <c r="C22" s="234"/>
      <c r="I22">
        <v>20</v>
      </c>
      <c r="J22" s="9">
        <f>SUM(B$4:B22)</f>
        <v>0</v>
      </c>
      <c r="K22" s="9">
        <f>SUM(C$4:C22)</f>
        <v>0</v>
      </c>
    </row>
    <row r="23" spans="1:11" x14ac:dyDescent="0.25">
      <c r="A23" s="237" t="str">
        <f>IF(MIN('2. Getting Started'!B$10:B$13)&lt;=('2. Getting Started'!B$6-21),'2. Getting Started'!B$6-20,"")</f>
        <v/>
      </c>
      <c r="B23" s="238"/>
      <c r="C23" s="238"/>
      <c r="I23">
        <v>21</v>
      </c>
      <c r="J23" s="9">
        <f>SUM(B$4:B23)</f>
        <v>0</v>
      </c>
      <c r="K23" s="9">
        <f>SUM(C$4:C23)</f>
        <v>0</v>
      </c>
    </row>
    <row r="24" spans="1:11" ht="24.75" customHeight="1" x14ac:dyDescent="0.25">
      <c r="A24" s="341" t="s">
        <v>184</v>
      </c>
      <c r="B24" s="343"/>
      <c r="C24" s="343"/>
      <c r="D24" s="343"/>
    </row>
    <row r="25" spans="1:11" ht="15.75" x14ac:dyDescent="0.25">
      <c r="A25" s="358" t="s">
        <v>183</v>
      </c>
    </row>
    <row r="26" spans="1:11" x14ac:dyDescent="0.25">
      <c r="A26" s="657" t="s">
        <v>24</v>
      </c>
      <c r="B26" s="657"/>
      <c r="C26" s="657"/>
      <c r="D26" s="657"/>
    </row>
  </sheetData>
  <sheetProtection algorithmName="SHA-512" hashValue="pep2608bpdvpYWDANJKV9TIxSTnzv+4ovuHrEIyf1HV9Wr6iyz4xmFjawBo5tixFcFHcVJJo5N6N+s0R0eTS6A==" saltValue="yvhKz7982A/851k+FTZmzw==" spinCount="100000" sheet="1" objects="1" scenarios="1" formatColumns="0" formatRows="0"/>
  <mergeCells count="1">
    <mergeCell ref="A26:D26"/>
  </mergeCells>
  <phoneticPr fontId="30" type="noConversion"/>
  <hyperlinks>
    <hyperlink ref="A25" r:id="rId1" xr:uid="{00000000-0004-0000-0300-000000000000}"/>
  </hyperlinks>
  <pageMargins left="0.7" right="0.7" top="0.75" bottom="0.75" header="0.3" footer="0.3"/>
  <pageSetup orientation="portrait" verticalDpi="300"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tabColor theme="7"/>
  </sheetPr>
  <dimension ref="A1:I98"/>
  <sheetViews>
    <sheetView showGridLines="0" zoomScaleNormal="100" workbookViewId="0">
      <selection activeCell="F1" sqref="F1"/>
    </sheetView>
  </sheetViews>
  <sheetFormatPr defaultColWidth="0" defaultRowHeight="15" zeroHeight="1" x14ac:dyDescent="0.25"/>
  <cols>
    <col min="1" max="1" width="40.7109375" customWidth="1"/>
    <col min="2" max="2" width="25.85546875" bestFit="1" customWidth="1"/>
    <col min="3" max="4" width="9.140625" customWidth="1"/>
    <col min="5" max="5" width="40.7109375" customWidth="1"/>
    <col min="6" max="6" width="26.140625" bestFit="1" customWidth="1"/>
    <col min="7" max="7" width="0.85546875" customWidth="1"/>
    <col min="8" max="8" width="27" hidden="1" customWidth="1"/>
    <col min="9" max="9" width="9.140625" hidden="1" customWidth="1"/>
    <col min="10" max="16384" width="9.140625" hidden="1"/>
  </cols>
  <sheetData>
    <row r="1" spans="1:9" ht="37.5" customHeight="1" x14ac:dyDescent="0.25">
      <c r="A1" s="302" t="s">
        <v>179</v>
      </c>
      <c r="B1" s="303"/>
      <c r="C1" s="681" t="s">
        <v>174</v>
      </c>
      <c r="D1" s="681"/>
      <c r="E1" s="21" t="s">
        <v>14</v>
      </c>
      <c r="F1" s="20" t="str">
        <f>IF('2. Getting Started'!B2="","",'2. Getting Started'!B2)</f>
        <v/>
      </c>
    </row>
    <row r="2" spans="1:9" ht="18.75" customHeight="1" x14ac:dyDescent="0.3">
      <c r="A2" s="18" t="s">
        <v>13</v>
      </c>
      <c r="B2" s="4"/>
      <c r="C2" s="681"/>
      <c r="D2" s="681"/>
      <c r="E2" s="18" t="s">
        <v>6</v>
      </c>
      <c r="F2" s="4"/>
      <c r="H2" s="2" t="s">
        <v>12</v>
      </c>
    </row>
    <row r="3" spans="1:9" ht="39" customHeight="1" x14ac:dyDescent="0.25">
      <c r="A3" s="16" t="str">
        <f>CONCATENATE("Prior to Year 1: SFY ",'2. Getting Started'!B6)</f>
        <v>Prior to Year 1: SFY 2021</v>
      </c>
      <c r="B3" s="16"/>
      <c r="C3" s="681"/>
      <c r="D3" s="681"/>
      <c r="E3" s="16" t="str">
        <f>CONCATENATE("Prior to Year 1: SFY ",'2. Getting Started'!B6)</f>
        <v>Prior to Year 1: SFY 2021</v>
      </c>
      <c r="F3" s="16"/>
      <c r="H3" s="2"/>
    </row>
    <row r="4" spans="1:9" ht="45" x14ac:dyDescent="0.25">
      <c r="A4" s="225" t="str">
        <f>CONCATENATE("Last year before SFY ",'2. Getting Started'!B6," that the compliance standard was met for state and local funds per capita")</f>
        <v>Last year before SFY 2021 that the compliance standard was met for state and local funds per capita</v>
      </c>
      <c r="B4" s="257">
        <f>IF('2. Getting Started'!B13="","",'2. Getting Started'!B13)</f>
        <v>2020</v>
      </c>
      <c r="C4" s="681"/>
      <c r="D4" s="681"/>
      <c r="E4" s="225" t="str">
        <f>CONCATENATE("Last year before SFY ",'2. Getting Started'!B6," that the compliance standard was met for state and local funds per capita")</f>
        <v>Last year before SFY 2021 that the compliance standard was met for state and local funds per capita</v>
      </c>
      <c r="F4" s="257">
        <f>IF('2. Getting Started'!B13="","",'2. Getting Started'!B13)</f>
        <v>2020</v>
      </c>
      <c r="H4" s="1" t="s">
        <v>21</v>
      </c>
      <c r="I4">
        <f>'2. Getting Started'!B6-'2. Getting Started'!B13</f>
        <v>1</v>
      </c>
    </row>
    <row r="5" spans="1:9" ht="15" customHeight="1" x14ac:dyDescent="0.25">
      <c r="A5" s="224" t="s">
        <v>1</v>
      </c>
      <c r="B5" s="258" t="e">
        <f>IF('2. Getting Started'!C13="","",'2. Getting Started'!C13)</f>
        <v>#DIV/0!</v>
      </c>
      <c r="C5" s="681"/>
      <c r="D5" s="681"/>
      <c r="E5" s="224" t="s">
        <v>1</v>
      </c>
      <c r="F5" s="258" t="e">
        <f>IF('2. Getting Started'!C13="","",'2. Getting Started'!C13)</f>
        <v>#DIV/0!</v>
      </c>
    </row>
    <row r="6" spans="1:9" ht="15" customHeight="1" x14ac:dyDescent="0.25">
      <c r="A6" s="224" t="s">
        <v>116</v>
      </c>
      <c r="B6" s="286">
        <f>IF('2. Getting Started'!D13="","",'2. Getting Started'!D13)</f>
        <v>0</v>
      </c>
      <c r="C6" s="681"/>
      <c r="D6" s="681"/>
      <c r="E6" s="224" t="s">
        <v>116</v>
      </c>
      <c r="F6" s="286">
        <f>IF('2. Getting Started'!D13="","",'2. Getting Started'!D13)</f>
        <v>0</v>
      </c>
    </row>
    <row r="7" spans="1:9" ht="30" x14ac:dyDescent="0.25">
      <c r="A7" s="229" t="s">
        <v>5</v>
      </c>
      <c r="B7" s="261">
        <f>IF(B6="","",IF(I4=1,0,IF(I4&gt;1,(VLOOKUP(I4,'3a. Intervening Years'!I4:K22,3)/B6))))</f>
        <v>0</v>
      </c>
      <c r="C7" s="681"/>
      <c r="D7" s="681"/>
      <c r="E7" s="229" t="s">
        <v>5</v>
      </c>
      <c r="F7" s="261">
        <f>IF(F6="","",IF(I4=1,0,IF(I4&gt;1,(VLOOKUP(I4,'3a. Intervening Years'!I4:K22,3)/F6))))</f>
        <v>0</v>
      </c>
    </row>
    <row r="8" spans="1:9" ht="15" customHeight="1" x14ac:dyDescent="0.25">
      <c r="A8" s="673" t="s">
        <v>174</v>
      </c>
      <c r="B8" s="673"/>
      <c r="C8" s="681"/>
      <c r="D8" s="681"/>
      <c r="E8" s="673" t="s">
        <v>174</v>
      </c>
      <c r="F8" s="673"/>
    </row>
    <row r="9" spans="1:9" ht="15.75" customHeight="1" x14ac:dyDescent="0.25">
      <c r="A9" s="5" t="str">
        <f>CONCATENATE("Year 1: SFY ",'2. Getting Started'!B$6)</f>
        <v>Year 1: SFY 2021</v>
      </c>
      <c r="B9" s="4"/>
      <c r="C9" s="681"/>
      <c r="D9" s="681"/>
      <c r="E9" s="5" t="str">
        <f>CONCATENATE("Year 1: SFY ",'2. Getting Started'!B$6)</f>
        <v>Year 1: SFY 2021</v>
      </c>
      <c r="F9" s="4"/>
    </row>
    <row r="10" spans="1:9" ht="15" customHeight="1" x14ac:dyDescent="0.25">
      <c r="A10" s="675" t="s">
        <v>180</v>
      </c>
      <c r="B10" s="676"/>
      <c r="C10" s="681"/>
      <c r="D10" s="681"/>
      <c r="E10" s="224" t="str">
        <f>CONCATENATE("Starting MOE Threshold for SFY ",'2. Getting Started'!B$6)</f>
        <v>Starting MOE Threshold for SFY 2021</v>
      </c>
      <c r="F10" s="258" t="e">
        <f>IF(F5="","",(F5-F7))</f>
        <v>#DIV/0!</v>
      </c>
    </row>
    <row r="11" spans="1:9" ht="15" customHeight="1" x14ac:dyDescent="0.25">
      <c r="A11" s="677"/>
      <c r="B11" s="678"/>
      <c r="C11" s="681"/>
      <c r="D11" s="681"/>
      <c r="E11" s="224" t="str">
        <f>CONCATENATE("SFY ",'2. Getting Started'!B$6," Exceptions")</f>
        <v>SFY 2021 Exceptions</v>
      </c>
      <c r="F11" s="258" t="e">
        <f>IF(F6="","",('6. Year 1 Exc &amp; Adj'!I68/F6))</f>
        <v>#DIV/0!</v>
      </c>
    </row>
    <row r="12" spans="1:9" ht="15" customHeight="1" x14ac:dyDescent="0.25">
      <c r="A12" s="677"/>
      <c r="B12" s="678"/>
      <c r="C12" s="681"/>
      <c r="D12" s="681"/>
      <c r="E12" s="224" t="str">
        <f>CONCATENATE("SFY ",'2. Getting Started'!B$6," Adjustment")</f>
        <v>SFY 2021 Adjustment</v>
      </c>
      <c r="F12" s="258" t="e">
        <f>IF(F6="","",(AdjDataYear1Expenditures[[Adjustment ]]/F6))</f>
        <v>#DIV/0!</v>
      </c>
    </row>
    <row r="13" spans="1:9" ht="15" customHeight="1" x14ac:dyDescent="0.25">
      <c r="A13" s="677"/>
      <c r="B13" s="678"/>
      <c r="C13" s="681"/>
      <c r="D13" s="681"/>
      <c r="E13" s="224" t="str">
        <f>CONCATENATE("Adjusted MOE Threshold for SFY ",'2. Getting Started'!B$6)</f>
        <v>Adjusted MOE Threshold for SFY 2021</v>
      </c>
      <c r="F13" s="258" t="e">
        <f>IF(F10="","",(F10-F11-F12))</f>
        <v>#DIV/0!</v>
      </c>
    </row>
    <row r="14" spans="1:9" ht="15" customHeight="1" x14ac:dyDescent="0.25">
      <c r="A14" s="677"/>
      <c r="B14" s="678"/>
      <c r="C14" s="681"/>
      <c r="D14" s="681"/>
      <c r="E14" s="224" t="str">
        <f>CONCATENATE("Final Expenditures for SFY ",'2. Getting Started'!B$6)</f>
        <v>Final Expenditures for SFY 2021</v>
      </c>
      <c r="F14" s="258" t="e">
        <f>IF('5. Year 1 Amounts'!M30="","",'5. Year 1 Amounts'!M31)</f>
        <v>#DIV/0!</v>
      </c>
    </row>
    <row r="15" spans="1:9" ht="15" customHeight="1" x14ac:dyDescent="0.25">
      <c r="A15" s="679"/>
      <c r="B15" s="680"/>
      <c r="C15" s="681"/>
      <c r="D15" s="681"/>
      <c r="E15" s="275" t="str">
        <f>CONCATENATE("MOE Result for SFY ",'2. Getting Started'!B$6)</f>
        <v>MOE Result for SFY 2021</v>
      </c>
      <c r="F15" s="285" t="e">
        <f>IF(F14="","",IF(F14&gt;=F13,"Met","Did Not Meet"))</f>
        <v>#DIV/0!</v>
      </c>
    </row>
    <row r="16" spans="1:9" ht="15" customHeight="1" x14ac:dyDescent="0.25">
      <c r="A16" s="673" t="s">
        <v>174</v>
      </c>
      <c r="B16" s="673"/>
      <c r="C16" s="681"/>
      <c r="D16" s="681"/>
      <c r="E16" s="673" t="s">
        <v>174</v>
      </c>
      <c r="F16" s="673"/>
    </row>
    <row r="17" spans="1:9" ht="15.75" customHeight="1" x14ac:dyDescent="0.25">
      <c r="A17" s="5" t="str">
        <f>CONCATENATE("Year 2: SFY ",'2. Getting Started'!B$6+1)</f>
        <v>Year 2: SFY 2022</v>
      </c>
      <c r="B17" s="4"/>
      <c r="C17" s="681"/>
      <c r="D17" s="681"/>
      <c r="E17" s="5" t="str">
        <f>CONCATENATE("Year 2: SFY ",'2. Getting Started'!B$6+1)</f>
        <v>Year 2: SFY 2022</v>
      </c>
      <c r="F17" s="4"/>
    </row>
    <row r="18" spans="1:9" ht="15" customHeight="1" x14ac:dyDescent="0.25">
      <c r="A18" s="224" t="str">
        <f>CONCATENATE("Starting MOE Threshold for SFY ",'2. Getting Started'!B$6+1)</f>
        <v>Starting MOE Threshold for SFY 2022</v>
      </c>
      <c r="B18" s="258" t="e">
        <f>IF(B5="","",(B5-B7))</f>
        <v>#DIV/0!</v>
      </c>
      <c r="C18" s="681"/>
      <c r="D18" s="681"/>
      <c r="E18" s="224" t="str">
        <f>CONCATENATE("Starting MOE Threshold for SFY ",'2. Getting Started'!B$6+1)</f>
        <v>Starting MOE Threshold for SFY 2022</v>
      </c>
      <c r="F18" s="258" t="e">
        <f>IF(F15="Met",F14,F13)</f>
        <v>#DIV/0!</v>
      </c>
    </row>
    <row r="19" spans="1:9" ht="15" customHeight="1" x14ac:dyDescent="0.25">
      <c r="A19" s="224" t="str">
        <f>CONCATENATE("SFY ",'2. Getting Started'!B$6," + ",'2. Getting Started'!B$6+1," Projected Exceptions")</f>
        <v>SFY 2021 + 2022 Projected Exceptions</v>
      </c>
      <c r="B19" s="258" t="e">
        <f>IF(B6="","",(('6. Year 1 Exc &amp; Adj'!B68+'9. Year 2 Exc &amp; Adj'!B68)/B6))</f>
        <v>#N/A</v>
      </c>
      <c r="C19" s="681"/>
      <c r="D19" s="681"/>
      <c r="E19" s="224" t="str">
        <f>CONCATENATE("SFY ",'2. Getting Started'!B$6+1," Exceptions")</f>
        <v>SFY 2022 Exceptions</v>
      </c>
      <c r="F19" s="258" t="e">
        <f>IF(F6="","",('9. Year 2 Exc &amp; Adj'!I68/I19))</f>
        <v>#N/A</v>
      </c>
      <c r="H19" t="s">
        <v>118</v>
      </c>
      <c r="I19" t="e">
        <f>IF(F15="Met",'5. Year 1 Amounts'!I1,F6)</f>
        <v>#DIV/0!</v>
      </c>
    </row>
    <row r="20" spans="1:9" ht="15" customHeight="1" x14ac:dyDescent="0.25">
      <c r="A20" s="224" t="str">
        <f>CONCATENATE("SFY ",'2. Getting Started'!B$6," + ",'2. Getting Started'!B$6+1," Projected Adjustments")</f>
        <v>SFY 2021 + 2022 Projected Adjustments</v>
      </c>
      <c r="B20" s="258" t="e">
        <f>IF(B6="","",((AdjDataYear1Budget[Projected Adjustment]+AdjDataYear2Budget[Projected Adjustment])/B6))</f>
        <v>#DIV/0!</v>
      </c>
      <c r="C20" s="681"/>
      <c r="D20" s="681"/>
      <c r="E20" s="224" t="str">
        <f>CONCATENATE("SFY ",'2. Getting Started'!B$6+1," Adjustment")</f>
        <v>SFY 2022 Adjustment</v>
      </c>
      <c r="F20" s="258" t="e">
        <f>IF(F6="","",(AdjDataYear2Expenditures[[Adjustment ]]/I19))</f>
        <v>#DIV/0!</v>
      </c>
    </row>
    <row r="21" spans="1:9" ht="15" customHeight="1" x14ac:dyDescent="0.25">
      <c r="A21" s="224" t="str">
        <f>CONCATENATE("Adjusted MOE Threshold for SFY ",'2. Getting Started'!B$6+1)</f>
        <v>Adjusted MOE Threshold for SFY 2022</v>
      </c>
      <c r="B21" s="258" t="e">
        <f>IF(B18="","",(B18-B19-B20))</f>
        <v>#DIV/0!</v>
      </c>
      <c r="C21" s="681"/>
      <c r="D21" s="681"/>
      <c r="E21" s="224" t="str">
        <f>CONCATENATE("Adjusted MOE Threshold for SFY ",'2. Getting Started'!B$6+1)</f>
        <v>Adjusted MOE Threshold for SFY 2022</v>
      </c>
      <c r="F21" s="258" t="e">
        <f>IF(F18="","",(F18-F19-F20))</f>
        <v>#DIV/0!</v>
      </c>
    </row>
    <row r="22" spans="1:9" ht="15" customHeight="1" x14ac:dyDescent="0.25">
      <c r="A22" s="224" t="str">
        <f>CONCATENATE("Budgeted Amount for SFY ",'2. Getting Started'!B$6+1)</f>
        <v>Budgeted Amount for SFY 2022</v>
      </c>
      <c r="B22" s="258" t="e">
        <f>'8. Year 2 Amounts'!F31</f>
        <v>#N/A</v>
      </c>
      <c r="C22" s="681"/>
      <c r="D22" s="681"/>
      <c r="E22" s="224" t="str">
        <f>CONCATENATE("Final Expenditures for SFY ",'2. Getting Started'!B$6+1)</f>
        <v>Final Expenditures for SFY 2022</v>
      </c>
      <c r="F22" s="258" t="e">
        <f>'8. Year 2 Amounts'!M31</f>
        <v>#N/A</v>
      </c>
    </row>
    <row r="23" spans="1:9" ht="15" customHeight="1" x14ac:dyDescent="0.25">
      <c r="A23" s="275" t="str">
        <f>CONCATENATE("MOE Result for SFY ",'2. Getting Started'!B$6+1)</f>
        <v>MOE Result for SFY 2022</v>
      </c>
      <c r="B23" s="285" t="e">
        <f>IF(B22="","",IF(B22&gt;=B21,"Met","Did Not Meet"))</f>
        <v>#N/A</v>
      </c>
      <c r="C23" s="681"/>
      <c r="D23" s="681"/>
      <c r="E23" s="275" t="str">
        <f>CONCATENATE("MOE Result for SFY ",'2. Getting Started'!B$6+1)</f>
        <v>MOE Result for SFY 2022</v>
      </c>
      <c r="F23" s="285" t="e">
        <f>IF(F22="","",IF(F22&gt;=F21,"Met","Did Not Meet"))</f>
        <v>#N/A</v>
      </c>
    </row>
    <row r="24" spans="1:9" ht="15" customHeight="1" x14ac:dyDescent="0.25">
      <c r="A24" s="673" t="s">
        <v>174</v>
      </c>
      <c r="B24" s="673"/>
      <c r="C24" s="681"/>
      <c r="D24" s="681"/>
      <c r="E24" s="673" t="s">
        <v>174</v>
      </c>
      <c r="F24" s="673"/>
    </row>
    <row r="25" spans="1:9" ht="15.75" customHeight="1" x14ac:dyDescent="0.25">
      <c r="A25" s="5" t="str">
        <f>CONCATENATE("Year 3: SFY ",'2. Getting Started'!B$6+2)</f>
        <v>Year 3: SFY 2023</v>
      </c>
      <c r="B25" s="4"/>
      <c r="C25" s="681"/>
      <c r="D25" s="681"/>
      <c r="E25" s="5" t="str">
        <f>CONCATENATE("Year 3: SFY ",'2. Getting Started'!B$6+2)</f>
        <v>Year 3: SFY 2023</v>
      </c>
      <c r="F25" s="4"/>
    </row>
    <row r="26" spans="1:9" ht="15" customHeight="1" x14ac:dyDescent="0.25">
      <c r="A26" s="224" t="str">
        <f>CONCATENATE("Starting MOE Threshold for SFY ",'2. Getting Started'!B$6+2)</f>
        <v>Starting MOE Threshold for SFY 2023</v>
      </c>
      <c r="B26" s="258" t="e">
        <f>IF(F15="Met",F14,F13)</f>
        <v>#DIV/0!</v>
      </c>
      <c r="C26" s="681"/>
      <c r="D26" s="681"/>
      <c r="E26" s="224" t="str">
        <f>CONCATENATE("Starting MOE Threshold for SFY ",'2. Getting Started'!B$6+2)</f>
        <v>Starting MOE Threshold for SFY 2023</v>
      </c>
      <c r="F26" s="258" t="e">
        <f>IF(F23="Met",F22,F21)</f>
        <v>#N/A</v>
      </c>
    </row>
    <row r="27" spans="1:9" ht="15" customHeight="1" x14ac:dyDescent="0.25">
      <c r="A27" s="224" t="str">
        <f>CONCATENATE("SFY ",'2. Getting Started'!B$6+1," + ",'2. Getting Started'!B$6+2," Projected Exceptions")</f>
        <v>SFY 2022 + 2023 Projected Exceptions</v>
      </c>
      <c r="B27" s="258" t="e">
        <f>IF(B6="","",(('9. Year 2 Exc &amp; Adj'!B68+'12. Year 3 Exc &amp; Adj'!B68)/I19))</f>
        <v>#N/A</v>
      </c>
      <c r="C27" s="681"/>
      <c r="D27" s="681"/>
      <c r="E27" s="224" t="str">
        <f>CONCATENATE("SFY ",'2. Getting Started'!B$6+2," Exceptions")</f>
        <v>SFY 2023 Exceptions</v>
      </c>
      <c r="F27" s="258" t="e">
        <f>IF(F6="","",('12. Year 3 Exc &amp; Adj'!I68/I27))</f>
        <v>#N/A</v>
      </c>
      <c r="H27" t="s">
        <v>118</v>
      </c>
      <c r="I27" t="e">
        <f>IF(F23="Met",'8. Year 2 Amounts'!I1,IF(F15="Met",'5. Year 1 Amounts'!I1,F6))</f>
        <v>#N/A</v>
      </c>
    </row>
    <row r="28" spans="1:9" ht="15" customHeight="1" x14ac:dyDescent="0.25">
      <c r="A28" s="224" t="str">
        <f>CONCATENATE("SFY ",'2. Getting Started'!B$6+1," + ",'2. Getting Started'!B$6+2," Projected Adjustments")</f>
        <v>SFY 2022 + 2023 Projected Adjustments</v>
      </c>
      <c r="B28" s="258" t="e">
        <f>IF(B6="","",((AdjDataYear2Budget[Projected Adjustment]+AdjDataYear3Budget[Projected Adjustment])/I19))</f>
        <v>#DIV/0!</v>
      </c>
      <c r="C28" s="681"/>
      <c r="D28" s="681"/>
      <c r="E28" s="224" t="str">
        <f>CONCATENATE("SFY ",'2. Getting Started'!B$6+2," Adjustment")</f>
        <v>SFY 2023 Adjustment</v>
      </c>
      <c r="F28" s="258" t="e">
        <f>IF(F6="","",(AdjDataYear3Expenditures[[Adjustment ]]/I27))</f>
        <v>#N/A</v>
      </c>
    </row>
    <row r="29" spans="1:9" ht="15" customHeight="1" x14ac:dyDescent="0.25">
      <c r="A29" s="224" t="str">
        <f>CONCATENATE("Adjusted MOE Threshold for SFY ",'2. Getting Started'!B$6+2)</f>
        <v>Adjusted MOE Threshold for SFY 2023</v>
      </c>
      <c r="B29" s="258" t="e">
        <f>IF(B26="","",(B26-B27-B28))</f>
        <v>#DIV/0!</v>
      </c>
      <c r="C29" s="681"/>
      <c r="D29" s="681"/>
      <c r="E29" s="224" t="str">
        <f>CONCATENATE("Adjusted MOE Threshold for SFY ",'2. Getting Started'!B$6+2)</f>
        <v>Adjusted MOE Threshold for SFY 2023</v>
      </c>
      <c r="F29" s="258" t="e">
        <f>IF(F26="","",(F26-F27-F28))</f>
        <v>#N/A</v>
      </c>
    </row>
    <row r="30" spans="1:9" ht="15" customHeight="1" x14ac:dyDescent="0.25">
      <c r="A30" s="224" t="str">
        <f>CONCATENATE("Budgeted Amount for SFY ",'2. Getting Started'!B$6+2)</f>
        <v>Budgeted Amount for SFY 2023</v>
      </c>
      <c r="B30" s="258" t="str">
        <f>'11. Year 3 Amounts'!F31</f>
        <v/>
      </c>
      <c r="C30" s="681"/>
      <c r="D30" s="681"/>
      <c r="E30" s="224" t="str">
        <f>CONCATENATE("Final Expenditures for SFY ",'2. Getting Started'!B$6+2)</f>
        <v>Final Expenditures for SFY 2023</v>
      </c>
      <c r="F30" s="258" t="e">
        <f>'11. Year 3 Amounts'!M31</f>
        <v>#DIV/0!</v>
      </c>
    </row>
    <row r="31" spans="1:9" ht="15" customHeight="1" x14ac:dyDescent="0.25">
      <c r="A31" s="275" t="str">
        <f>CONCATENATE("MOE Result for SFY ",'2. Getting Started'!B$6+2)</f>
        <v>MOE Result for SFY 2023</v>
      </c>
      <c r="B31" s="285" t="str">
        <f>IF(B30="","",IF(B30&gt;=B29,"Met","Did Not Meet"))</f>
        <v/>
      </c>
      <c r="C31" s="681"/>
      <c r="D31" s="681"/>
      <c r="E31" s="275" t="str">
        <f>CONCATENATE("MOE Result for SFY ",'2. Getting Started'!B$6+2)</f>
        <v>MOE Result for SFY 2023</v>
      </c>
      <c r="F31" s="285" t="e">
        <f>IF(F30="","",IF(F30&gt;=F29,"Met","Did Not Meet"))</f>
        <v>#DIV/0!</v>
      </c>
    </row>
    <row r="32" spans="1:9" ht="15" customHeight="1" x14ac:dyDescent="0.25">
      <c r="A32" s="673" t="s">
        <v>174</v>
      </c>
      <c r="B32" s="673"/>
      <c r="C32" s="681"/>
      <c r="D32" s="681"/>
      <c r="E32" s="673" t="s">
        <v>174</v>
      </c>
      <c r="F32" s="673"/>
    </row>
    <row r="33" spans="1:9" ht="15.75" customHeight="1" x14ac:dyDescent="0.25">
      <c r="A33" s="5" t="str">
        <f>CONCATENATE("Year 4: SFY ",'2. Getting Started'!B$6+3)</f>
        <v>Year 4: SFY 2024</v>
      </c>
      <c r="B33" s="4"/>
      <c r="C33" s="681"/>
      <c r="D33" s="681"/>
      <c r="E33" s="5" t="str">
        <f>CONCATENATE("Year 4: SFY ",'2. Getting Started'!B$6+3)</f>
        <v>Year 4: SFY 2024</v>
      </c>
      <c r="F33" s="4"/>
    </row>
    <row r="34" spans="1:9" ht="15" customHeight="1" x14ac:dyDescent="0.25">
      <c r="A34" s="224" t="str">
        <f>CONCATENATE("Starting MOE Threshold for SFY ",'2. Getting Started'!B$6+3)</f>
        <v>Starting MOE Threshold for SFY 2024</v>
      </c>
      <c r="B34" s="258" t="e">
        <f>IF(F23="Met",F22,F21)</f>
        <v>#N/A</v>
      </c>
      <c r="C34" s="681"/>
      <c r="D34" s="681"/>
      <c r="E34" s="224" t="str">
        <f>CONCATENATE("Starting MOE Threshold for SFY ",'2. Getting Started'!B$6+3)</f>
        <v>Starting MOE Threshold for SFY 2024</v>
      </c>
      <c r="F34" s="258" t="e">
        <f>IF(F31="Met",F30,F29)</f>
        <v>#DIV/0!</v>
      </c>
    </row>
    <row r="35" spans="1:9" ht="15" customHeight="1" x14ac:dyDescent="0.25">
      <c r="A35" s="224" t="str">
        <f>CONCATENATE("SFY ",'2. Getting Started'!B$6+2," + ",'2. Getting Started'!B$6+3," Projected Exceptions")</f>
        <v>SFY 2023 + 2024 Projected Exceptions</v>
      </c>
      <c r="B35" s="258" t="e">
        <f>IF(B6="","",(('12. Year 3 Exc &amp; Adj'!B68+'15. Year 4 Exc &amp; Adj'!B68)/I27))</f>
        <v>#N/A</v>
      </c>
      <c r="C35" s="681"/>
      <c r="D35" s="681"/>
      <c r="E35" s="224" t="str">
        <f>CONCATENATE("SFY ",'2. Getting Started'!B$6+3," Exceptions")</f>
        <v>SFY 2024 Exceptions</v>
      </c>
      <c r="F35" s="258" t="e">
        <f>IF(F6="","",('15. Year 4 Exc &amp; Adj'!I68/I35))</f>
        <v>#DIV/0!</v>
      </c>
      <c r="H35" t="s">
        <v>118</v>
      </c>
      <c r="I35" t="e">
        <f>IF(F31="Met",'11. Year 3 Amounts'!I1,IF(F23="Met",'8. Year 2 Amounts'!I1,IF(F15="Met",'5. Year 1 Amounts'!I1,F6)))</f>
        <v>#DIV/0!</v>
      </c>
    </row>
    <row r="36" spans="1:9" ht="15" customHeight="1" x14ac:dyDescent="0.25">
      <c r="A36" s="224" t="str">
        <f>CONCATENATE("SFY ",'2. Getting Started'!B$6+2," + ",'2. Getting Started'!B$6+3," Projected Adjustments")</f>
        <v>SFY 2023 + 2024 Projected Adjustments</v>
      </c>
      <c r="B36" s="258" t="e">
        <f>IF(B6="","",((AdjDataYear3Budget[Projected Adjustment]+AdjDataYear4Budget[Projected Adjustment])/I27))</f>
        <v>#N/A</v>
      </c>
      <c r="C36" s="681"/>
      <c r="D36" s="681"/>
      <c r="E36" s="224" t="str">
        <f>CONCATENATE("SFY ",'2. Getting Started'!B$6+3," Adjustment")</f>
        <v>SFY 2024 Adjustment</v>
      </c>
      <c r="F36" s="258" t="e">
        <f>IF(F6="","",(AdjDataYear4Expenditures[[Adjustment ]]/I35))</f>
        <v>#DIV/0!</v>
      </c>
    </row>
    <row r="37" spans="1:9" ht="15" customHeight="1" x14ac:dyDescent="0.25">
      <c r="A37" s="224" t="str">
        <f>CONCATENATE("Adjusted MOE Threshold for SFY ",'2. Getting Started'!B$6+3)</f>
        <v>Adjusted MOE Threshold for SFY 2024</v>
      </c>
      <c r="B37" s="258" t="e">
        <f>IF(B34="","",(B34-B35-B36))</f>
        <v>#N/A</v>
      </c>
      <c r="C37" s="681"/>
      <c r="D37" s="681"/>
      <c r="E37" s="224" t="str">
        <f>CONCATENATE("Adjusted MOE Threshold for SFY ",'2. Getting Started'!B$6+3)</f>
        <v>Adjusted MOE Threshold for SFY 2024</v>
      </c>
      <c r="F37" s="258" t="e">
        <f>IF(F34="","",(F34-F35-F36))</f>
        <v>#DIV/0!</v>
      </c>
    </row>
    <row r="38" spans="1:9" ht="15" customHeight="1" x14ac:dyDescent="0.25">
      <c r="A38" s="224" t="str">
        <f>CONCATENATE("Budgeted Amount for SFY ",'2. Getting Started'!B$6+3)</f>
        <v>Budgeted Amount for SFY 2024</v>
      </c>
      <c r="B38" s="258" t="str">
        <f>'14. Year 4 Amounts'!F31</f>
        <v/>
      </c>
      <c r="C38" s="681"/>
      <c r="D38" s="681"/>
      <c r="E38" s="224" t="str">
        <f>CONCATENATE("Final Expenditures for SFY ",'2. Getting Started'!B$6+3)</f>
        <v>Final Expenditures for SFY 2024</v>
      </c>
      <c r="F38" s="258" t="e">
        <f>'14. Year 4 Amounts'!M31</f>
        <v>#DIV/0!</v>
      </c>
    </row>
    <row r="39" spans="1:9" ht="15" customHeight="1" x14ac:dyDescent="0.25">
      <c r="A39" s="275" t="str">
        <f>CONCATENATE("MOE Result for SFY ",'2. Getting Started'!B$6+3)</f>
        <v>MOE Result for SFY 2024</v>
      </c>
      <c r="B39" s="285" t="str">
        <f>IF(B38="","",IF(B38&gt;=B37,"Met","Did Not Meet"))</f>
        <v/>
      </c>
      <c r="C39" s="681"/>
      <c r="D39" s="681"/>
      <c r="E39" s="275" t="str">
        <f>CONCATENATE("MOE Result for SFY ",'2. Getting Started'!B$6+3)</f>
        <v>MOE Result for SFY 2024</v>
      </c>
      <c r="F39" s="285" t="e">
        <f>IF(F38="","",IF(F38&gt;=F37,"Met","Did Not Meet"))</f>
        <v>#DIV/0!</v>
      </c>
    </row>
    <row r="40" spans="1:9" ht="15" customHeight="1" x14ac:dyDescent="0.25">
      <c r="A40" s="673" t="s">
        <v>174</v>
      </c>
      <c r="B40" s="673"/>
      <c r="C40" s="681"/>
      <c r="D40" s="681"/>
      <c r="E40" s="673" t="s">
        <v>174</v>
      </c>
      <c r="F40" s="673"/>
    </row>
    <row r="41" spans="1:9" ht="15.75" customHeight="1" x14ac:dyDescent="0.25">
      <c r="A41" s="5" t="str">
        <f>CONCATENATE("Year 5: SFY ",'2. Getting Started'!B$6+4)</f>
        <v>Year 5: SFY 2025</v>
      </c>
      <c r="B41" s="4"/>
      <c r="C41" s="681"/>
      <c r="D41" s="681"/>
      <c r="E41" s="5" t="str">
        <f>CONCATENATE("Year 5: SFY ",'2. Getting Started'!B$6+4)</f>
        <v>Year 5: SFY 2025</v>
      </c>
      <c r="F41" s="4"/>
    </row>
    <row r="42" spans="1:9" ht="15" customHeight="1" x14ac:dyDescent="0.25">
      <c r="A42" s="224" t="str">
        <f>CONCATENATE("Starting MOE Threshold for SFY ",'2. Getting Started'!B$6+4)</f>
        <v>Starting MOE Threshold for SFY 2025</v>
      </c>
      <c r="B42" s="258" t="e">
        <f>IF(F31="Met",F30,F29)</f>
        <v>#DIV/0!</v>
      </c>
      <c r="C42" s="681"/>
      <c r="D42" s="681"/>
      <c r="E42" s="224" t="str">
        <f>CONCATENATE("Starting MOE Threshold for SFY ",'2. Getting Started'!B$6+4)</f>
        <v>Starting MOE Threshold for SFY 2025</v>
      </c>
      <c r="F42" s="258" t="e">
        <f>IF(F39="Met",F38,F37)</f>
        <v>#DIV/0!</v>
      </c>
    </row>
    <row r="43" spans="1:9" ht="15" customHeight="1" x14ac:dyDescent="0.25">
      <c r="A43" s="224" t="str">
        <f>CONCATENATE("SFY ",'2. Getting Started'!B$6+3," + ",'2. Getting Started'!B$6+4," Projected Exceptions")</f>
        <v>SFY 2024 + 2025 Projected Exceptions</v>
      </c>
      <c r="B43" s="258" t="e">
        <f>IF(B6="","",(('15. Year 4 Exc &amp; Adj'!B68+'18. Year 5 Exc &amp; Adj'!B68)/I35))</f>
        <v>#DIV/0!</v>
      </c>
      <c r="C43" s="681"/>
      <c r="D43" s="681"/>
      <c r="E43" s="224" t="str">
        <f>CONCATENATE("SFY ",'2. Getting Started'!B$6+4," Exceptions")</f>
        <v>SFY 2025 Exceptions</v>
      </c>
      <c r="F43" s="258" t="e">
        <f>IF(F6="","",('18. Year 5 Exc &amp; Adj'!I68/I43))</f>
        <v>#DIV/0!</v>
      </c>
      <c r="H43" t="s">
        <v>118</v>
      </c>
      <c r="I43" t="e">
        <f>IF(F39="Met",'14. Year 4 Amounts'!I1,IF(F31="Met",'11. Year 3 Amounts'!I1,IF(F23="Met",'8. Year 2 Amounts'!I1,IF(F15="Met",'5. Year 1 Amounts'!I1,F6))))</f>
        <v>#DIV/0!</v>
      </c>
    </row>
    <row r="44" spans="1:9" ht="15" customHeight="1" x14ac:dyDescent="0.25">
      <c r="A44" s="224" t="str">
        <f>CONCATENATE("SFY ",'2. Getting Started'!B$6+3," + ",'2. Getting Started'!B$6+4," Projected Adjustments")</f>
        <v>SFY 2024 + 2025 Projected Adjustments</v>
      </c>
      <c r="B44" s="258" t="e">
        <f>IF(B6="","",((AdjDataYear4Budget[Projected Adjustment]+AdjDataYear5Budget[Projected Adjustment])/I35))</f>
        <v>#DIV/0!</v>
      </c>
      <c r="C44" s="681"/>
      <c r="D44" s="681"/>
      <c r="E44" s="224" t="str">
        <f>CONCATENATE("SFY ",'2. Getting Started'!B$6+4," Adjustment")</f>
        <v>SFY 2025 Adjustment</v>
      </c>
      <c r="F44" s="258" t="e">
        <f>IF(F6="","",(AdjDataYear5Expenditures[[Adjustment ]]/I43))</f>
        <v>#DIV/0!</v>
      </c>
    </row>
    <row r="45" spans="1:9" ht="15" customHeight="1" x14ac:dyDescent="0.25">
      <c r="A45" s="224" t="str">
        <f>CONCATENATE("Adjusted MOE Threshold for SFY ",'2. Getting Started'!B$6+4)</f>
        <v>Adjusted MOE Threshold for SFY 2025</v>
      </c>
      <c r="B45" s="258" t="e">
        <f>IF(B42="","",(B42-B43-B44))</f>
        <v>#DIV/0!</v>
      </c>
      <c r="C45" s="681"/>
      <c r="D45" s="681"/>
      <c r="E45" s="224" t="str">
        <f>CONCATENATE("Adjusted MOE Threshold for SFY ",'2. Getting Started'!B$6+4)</f>
        <v>Adjusted MOE Threshold for SFY 2025</v>
      </c>
      <c r="F45" s="258" t="e">
        <f>IF(F42="","",(F42-F43-F44))</f>
        <v>#DIV/0!</v>
      </c>
    </row>
    <row r="46" spans="1:9" ht="15" customHeight="1" x14ac:dyDescent="0.25">
      <c r="A46" s="224" t="str">
        <f>CONCATENATE("Budgeted Amount for SFY ",'2. Getting Started'!B$6+4)</f>
        <v>Budgeted Amount for SFY 2025</v>
      </c>
      <c r="B46" s="258" t="str">
        <f>'17. Year 5 Amounts'!F31</f>
        <v/>
      </c>
      <c r="C46" s="681"/>
      <c r="D46" s="681"/>
      <c r="E46" s="224" t="str">
        <f>CONCATENATE("Final Expenditures for SFY ",'2. Getting Started'!B$6+4)</f>
        <v>Final Expenditures for SFY 2025</v>
      </c>
      <c r="F46" s="258" t="str">
        <f>'17. Year 5 Amounts'!M31</f>
        <v/>
      </c>
    </row>
    <row r="47" spans="1:9" ht="15" customHeight="1" x14ac:dyDescent="0.25">
      <c r="A47" s="275" t="str">
        <f>CONCATENATE("MOE Result for SFY ",'2. Getting Started'!B$6+4)</f>
        <v>MOE Result for SFY 2025</v>
      </c>
      <c r="B47" s="285" t="str">
        <f>IF(B46="","",IF(B46&gt;=B45,"Met","Did Not Meet"))</f>
        <v/>
      </c>
      <c r="C47" s="681"/>
      <c r="D47" s="681"/>
      <c r="E47" s="275" t="str">
        <f>CONCATENATE("MOE Result for SFY ",'2. Getting Started'!B$6+4)</f>
        <v>MOE Result for SFY 2025</v>
      </c>
      <c r="F47" s="285" t="str">
        <f>IF(F46="","",IF(F46&gt;=F45,"Met","Did Not Meet"))</f>
        <v/>
      </c>
    </row>
    <row r="48" spans="1:9" ht="15" customHeight="1" x14ac:dyDescent="0.25">
      <c r="A48" s="673" t="s">
        <v>174</v>
      </c>
      <c r="B48" s="673"/>
      <c r="C48" s="681"/>
      <c r="D48" s="681"/>
      <c r="E48" s="673" t="s">
        <v>174</v>
      </c>
      <c r="F48" s="673"/>
    </row>
    <row r="49" spans="1:9" ht="15.75" customHeight="1" x14ac:dyDescent="0.25">
      <c r="A49" s="5" t="str">
        <f>CONCATENATE("Year 6: SFY ",'2. Getting Started'!B$6+5)</f>
        <v>Year 6: SFY 2026</v>
      </c>
      <c r="B49" s="4"/>
      <c r="C49" s="681"/>
      <c r="D49" s="681"/>
      <c r="E49" s="5" t="str">
        <f>CONCATENATE("Year 6: SFY ",'2. Getting Started'!B$6+5)</f>
        <v>Year 6: SFY 2026</v>
      </c>
      <c r="F49" s="4"/>
    </row>
    <row r="50" spans="1:9" ht="15" customHeight="1" x14ac:dyDescent="0.25">
      <c r="A50" s="224" t="str">
        <f>CONCATENATE("Starting MOE Threshold for SFY ",'2. Getting Started'!B$6+5)</f>
        <v>Starting MOE Threshold for SFY 2026</v>
      </c>
      <c r="B50" s="258" t="e">
        <f>IF(F39="Met",F38,F37)</f>
        <v>#DIV/0!</v>
      </c>
      <c r="C50" s="681"/>
      <c r="D50" s="681"/>
      <c r="E50" s="224" t="str">
        <f>CONCATENATE("Starting MOE Threshold for SFY ",'2. Getting Started'!B$6+5)</f>
        <v>Starting MOE Threshold for SFY 2026</v>
      </c>
      <c r="F50" s="258" t="e">
        <f>IF(F47="Met",F46,F45)</f>
        <v>#DIV/0!</v>
      </c>
    </row>
    <row r="51" spans="1:9" ht="15" customHeight="1" x14ac:dyDescent="0.25">
      <c r="A51" s="224" t="str">
        <f>CONCATENATE("SFY ",'2. Getting Started'!B$6+4," + ",'2. Getting Started'!B$6+5," Projected Exceptions")</f>
        <v>SFY 2025 + 2026 Projected Exceptions</v>
      </c>
      <c r="B51" s="258" t="e">
        <f>IF(B6="","",(('18. Year 5 Exc &amp; Adj'!B68+'21. Year 6 Exc &amp; Adj'!B68)/I43))</f>
        <v>#DIV/0!</v>
      </c>
      <c r="C51" s="681"/>
      <c r="D51" s="681"/>
      <c r="E51" s="224" t="str">
        <f>CONCATENATE("SFY ",'2. Getting Started'!B$6+5," Exceptions")</f>
        <v>SFY 2026 Exceptions</v>
      </c>
      <c r="F51" s="258" t="e">
        <f>IF(F6="","",('21. Year 6 Exc &amp; Adj'!I68/I51))</f>
        <v>#DIV/0!</v>
      </c>
      <c r="H51" t="s">
        <v>118</v>
      </c>
      <c r="I51" t="e">
        <f>IF(F47="Met",'17. Year 5 Amounts'!I1,IF(F39="Met",'14. Year 4 Amounts'!I1,IF(F31="Met",'11. Year 3 Amounts'!I1,IF(F23="Met",'8. Year 2 Amounts'!I1,IF(F15="Met",'5. Year 1 Amounts'!I1,F6)))))</f>
        <v>#DIV/0!</v>
      </c>
    </row>
    <row r="52" spans="1:9" ht="15" customHeight="1" x14ac:dyDescent="0.25">
      <c r="A52" s="224" t="str">
        <f>CONCATENATE("SFY ",'2. Getting Started'!B$6+4," + ",'2. Getting Started'!B$6+5," Projected Adjustments")</f>
        <v>SFY 2025 + 2026 Projected Adjustments</v>
      </c>
      <c r="B52" s="258" t="e">
        <f>IF(B6="","",((AdjDataYear5Budget[Projected Adjustment]+AdjDataYear6Budget[Projected Adjustment])/I43))</f>
        <v>#DIV/0!</v>
      </c>
      <c r="C52" s="681"/>
      <c r="D52" s="681"/>
      <c r="E52" s="224" t="str">
        <f>CONCATENATE("SFY ",'2. Getting Started'!B$6+5," Adjustment")</f>
        <v>SFY 2026 Adjustment</v>
      </c>
      <c r="F52" s="258" t="e">
        <f>IF(F6="","",(AdjDataYear6Expenditures[[Adjustment ]]/I51))</f>
        <v>#DIV/0!</v>
      </c>
    </row>
    <row r="53" spans="1:9" ht="15" customHeight="1" x14ac:dyDescent="0.25">
      <c r="A53" s="224" t="str">
        <f>CONCATENATE("Adjusted MOE Threshold for SFY ",'2. Getting Started'!B$6+5)</f>
        <v>Adjusted MOE Threshold for SFY 2026</v>
      </c>
      <c r="B53" s="258" t="e">
        <f>IF(B50="","",(B50-B51-B52))</f>
        <v>#DIV/0!</v>
      </c>
      <c r="C53" s="681"/>
      <c r="D53" s="681"/>
      <c r="E53" s="224" t="str">
        <f>CONCATENATE("Adjusted MOE Threshold for SFY ",'2. Getting Started'!B$6+5)</f>
        <v>Adjusted MOE Threshold for SFY 2026</v>
      </c>
      <c r="F53" s="258" t="e">
        <f>IF(F50="","",(F50-F51-F52))</f>
        <v>#DIV/0!</v>
      </c>
    </row>
    <row r="54" spans="1:9" ht="15" customHeight="1" x14ac:dyDescent="0.25">
      <c r="A54" s="224" t="str">
        <f>CONCATENATE("Budgeted Amount for SFY ",'2. Getting Started'!B$6+5)</f>
        <v>Budgeted Amount for SFY 2026</v>
      </c>
      <c r="B54" s="258" t="str">
        <f>'20. Year 6 Amounts'!F31</f>
        <v/>
      </c>
      <c r="C54" s="681"/>
      <c r="D54" s="681"/>
      <c r="E54" s="224" t="str">
        <f>CONCATENATE("Final Expenditures for SFY ",'2. Getting Started'!B$6+5)</f>
        <v>Final Expenditures for SFY 2026</v>
      </c>
      <c r="F54" s="258" t="str">
        <f>'20. Year 6 Amounts'!M31</f>
        <v/>
      </c>
    </row>
    <row r="55" spans="1:9" ht="15" customHeight="1" x14ac:dyDescent="0.25">
      <c r="A55" s="275" t="str">
        <f>CONCATENATE("MOE Result for SFY ",'2. Getting Started'!B$6+5)</f>
        <v>MOE Result for SFY 2026</v>
      </c>
      <c r="B55" s="285" t="str">
        <f>IF(B54="","",IF(B54&gt;=B53,"Met","Did Not Meet"))</f>
        <v/>
      </c>
      <c r="C55" s="681"/>
      <c r="D55" s="681"/>
      <c r="E55" s="275" t="str">
        <f>CONCATENATE("MOE Result for SFY ",'2. Getting Started'!B$6+5)</f>
        <v>MOE Result for SFY 2026</v>
      </c>
      <c r="F55" s="285" t="str">
        <f>IF(F54="","",IF(F54&gt;=F53,"Met","Did Not Meet"))</f>
        <v/>
      </c>
    </row>
    <row r="56" spans="1:9" ht="15" customHeight="1" x14ac:dyDescent="0.25">
      <c r="A56" s="673" t="s">
        <v>174</v>
      </c>
      <c r="B56" s="673"/>
      <c r="C56" s="681"/>
      <c r="D56" s="681"/>
      <c r="E56" s="673" t="s">
        <v>174</v>
      </c>
      <c r="F56" s="673"/>
    </row>
    <row r="57" spans="1:9" ht="15.75" customHeight="1" x14ac:dyDescent="0.25">
      <c r="A57" s="5" t="str">
        <f>CONCATENATE("Year 7: SFY ",'2. Getting Started'!B$6+6)</f>
        <v>Year 7: SFY 2027</v>
      </c>
      <c r="B57" s="4"/>
      <c r="C57" s="681"/>
      <c r="D57" s="681"/>
      <c r="E57" s="5" t="str">
        <f>CONCATENATE("Year 7: SFY ",'2. Getting Started'!B$6+6)</f>
        <v>Year 7: SFY 2027</v>
      </c>
      <c r="F57" s="4"/>
    </row>
    <row r="58" spans="1:9" ht="15" customHeight="1" x14ac:dyDescent="0.25">
      <c r="A58" s="224" t="str">
        <f>CONCATENATE("Starting MOE Threshold for SFY ",'2. Getting Started'!B$6+6)</f>
        <v>Starting MOE Threshold for SFY 2027</v>
      </c>
      <c r="B58" s="258" t="e">
        <f>IF(F47="Met",F46,F45)</f>
        <v>#DIV/0!</v>
      </c>
      <c r="C58" s="681"/>
      <c r="D58" s="681"/>
      <c r="E58" s="224" t="str">
        <f>CONCATENATE("Starting MOE Threshold for SFY ",'2. Getting Started'!B$6+6)</f>
        <v>Starting MOE Threshold for SFY 2027</v>
      </c>
      <c r="F58" s="258" t="e">
        <f>IF(F55="Met",F54,F53)</f>
        <v>#DIV/0!</v>
      </c>
    </row>
    <row r="59" spans="1:9" ht="15" customHeight="1" x14ac:dyDescent="0.25">
      <c r="A59" s="224" t="str">
        <f>CONCATENATE("SFY ",'2. Getting Started'!B$6+5," + ",'2. Getting Started'!B$6+6," Projected Exceptions")</f>
        <v>SFY 2026 + 2027 Projected Exceptions</v>
      </c>
      <c r="B59" s="258" t="e">
        <f>IF(B6="","",(('21. Year 6 Exc &amp; Adj'!B68+'24. Year 7 Exc &amp; Adj'!B68)/I51))</f>
        <v>#DIV/0!</v>
      </c>
      <c r="C59" s="681"/>
      <c r="D59" s="681"/>
      <c r="E59" s="224" t="str">
        <f>CONCATENATE("SFY ",'2. Getting Started'!B$6+6," Exceptions")</f>
        <v>SFY 2027 Exceptions</v>
      </c>
      <c r="F59" s="258" t="e">
        <f>IF(F6="","",('24. Year 7 Exc &amp; Adj'!I68/I59))</f>
        <v>#DIV/0!</v>
      </c>
      <c r="H59" t="s">
        <v>118</v>
      </c>
      <c r="I59" t="e">
        <f>IF(F55="Met",'20. Year 6 Amounts'!I1,IF(F47="Met",'17. Year 5 Amounts'!I1,IF(F39="Met",'14. Year 4 Amounts'!I1,IF(F31="Met",'11. Year 3 Amounts'!I1,IF(F23="Met",'8. Year 2 Amounts'!I1,IF(F15="Met",'5. Year 1 Amounts'!I1,F6))))))</f>
        <v>#DIV/0!</v>
      </c>
    </row>
    <row r="60" spans="1:9" ht="15" customHeight="1" x14ac:dyDescent="0.25">
      <c r="A60" s="224" t="str">
        <f>CONCATENATE("SFY ",'2. Getting Started'!B$6+5," + ",'2. Getting Started'!B$6+6," Projected Adjustments")</f>
        <v>SFY 2026 + 2027 Projected Adjustments</v>
      </c>
      <c r="B60" s="258" t="e">
        <f>IF(B6="","",((AdjDataYear6Budget[Projected Adjustment]+AdjDataYear7Budget[Projected Adjustment])/I51))</f>
        <v>#DIV/0!</v>
      </c>
      <c r="C60" s="681"/>
      <c r="D60" s="681"/>
      <c r="E60" s="224" t="str">
        <f>CONCATENATE("SFY ",'2. Getting Started'!B$6+6," Adjustment")</f>
        <v>SFY 2027 Adjustment</v>
      </c>
      <c r="F60" s="258" t="e">
        <f>IF(F6="","",(AdjDataYear7Expenditures[[Adjustment ]]/I59))</f>
        <v>#DIV/0!</v>
      </c>
    </row>
    <row r="61" spans="1:9" ht="15" customHeight="1" x14ac:dyDescent="0.25">
      <c r="A61" s="224" t="str">
        <f>CONCATENATE("Adjusted MOE Threshold for SFY ",'2. Getting Started'!B$6+6)</f>
        <v>Adjusted MOE Threshold for SFY 2027</v>
      </c>
      <c r="B61" s="258" t="e">
        <f>IF(B58="","",(B58-B59-B60))</f>
        <v>#DIV/0!</v>
      </c>
      <c r="C61" s="681"/>
      <c r="D61" s="681"/>
      <c r="E61" s="224" t="str">
        <f>CONCATENATE("Adjusted MOE Threshold for SFY ",'2. Getting Started'!B$6+6)</f>
        <v>Adjusted MOE Threshold for SFY 2027</v>
      </c>
      <c r="F61" s="258" t="e">
        <f>IF(F58="","",(F58-F59-F60))</f>
        <v>#DIV/0!</v>
      </c>
    </row>
    <row r="62" spans="1:9" ht="15" customHeight="1" x14ac:dyDescent="0.25">
      <c r="A62" s="224" t="str">
        <f>CONCATENATE("Budgeted Amount for SFY ",'2. Getting Started'!B$6+6)</f>
        <v>Budgeted Amount for SFY 2027</v>
      </c>
      <c r="B62" s="258" t="str">
        <f>'23. Year 7 Amounts'!F31</f>
        <v/>
      </c>
      <c r="C62" s="681"/>
      <c r="D62" s="681"/>
      <c r="E62" s="224" t="str">
        <f>CONCATENATE("Final Expenditures for SFY ",'2. Getting Started'!B$6+6)</f>
        <v>Final Expenditures for SFY 2027</v>
      </c>
      <c r="F62" s="258" t="str">
        <f>'23. Year 7 Amounts'!M31</f>
        <v/>
      </c>
    </row>
    <row r="63" spans="1:9" ht="15" customHeight="1" x14ac:dyDescent="0.25">
      <c r="A63" s="275" t="str">
        <f>CONCATENATE("MOE Result for SFY ",'2. Getting Started'!B$6+6)</f>
        <v>MOE Result for SFY 2027</v>
      </c>
      <c r="B63" s="285" t="str">
        <f>IF(B62="","",IF(B62&gt;=B61,"Met","Did Not Meet"))</f>
        <v/>
      </c>
      <c r="C63" s="681"/>
      <c r="D63" s="681"/>
      <c r="E63" s="275" t="str">
        <f>CONCATENATE("MOE Result for SFY ",'2. Getting Started'!B$6+6)</f>
        <v>MOE Result for SFY 2027</v>
      </c>
      <c r="F63" s="285" t="str">
        <f>IF(F62="","",IF(F62&gt;=F61,"Met","Did Not Meet"))</f>
        <v/>
      </c>
    </row>
    <row r="64" spans="1:9" ht="15" customHeight="1" x14ac:dyDescent="0.25">
      <c r="A64" s="673" t="s">
        <v>174</v>
      </c>
      <c r="B64" s="673"/>
      <c r="C64" s="681"/>
      <c r="D64" s="681"/>
      <c r="E64" s="673" t="s">
        <v>174</v>
      </c>
      <c r="F64" s="673"/>
    </row>
    <row r="65" spans="1:9" ht="15.75" customHeight="1" x14ac:dyDescent="0.25">
      <c r="A65" s="5" t="str">
        <f>CONCATENATE("Year 8: SFY ",'2. Getting Started'!B$6+7)</f>
        <v>Year 8: SFY 2028</v>
      </c>
      <c r="B65" s="4"/>
      <c r="C65" s="681"/>
      <c r="D65" s="681"/>
      <c r="E65" s="5" t="str">
        <f>CONCATENATE("Year 8: SFY ",'2. Getting Started'!B$6+7)</f>
        <v>Year 8: SFY 2028</v>
      </c>
      <c r="F65" s="4"/>
    </row>
    <row r="66" spans="1:9" ht="15" customHeight="1" x14ac:dyDescent="0.25">
      <c r="A66" s="224" t="str">
        <f>CONCATENATE("Starting MOE Threshold for SFY ",'2. Getting Started'!B$6+7)</f>
        <v>Starting MOE Threshold for SFY 2028</v>
      </c>
      <c r="B66" s="258" t="e">
        <f>IF(F55="Met",F54,F53)</f>
        <v>#DIV/0!</v>
      </c>
      <c r="C66" s="681"/>
      <c r="D66" s="681"/>
      <c r="E66" s="224" t="str">
        <f>CONCATENATE("Starting MOE Threshold for SFY ",'2. Getting Started'!B$6+7)</f>
        <v>Starting MOE Threshold for SFY 2028</v>
      </c>
      <c r="F66" s="258" t="e">
        <f>IF(F63="Met",F62,F61)</f>
        <v>#DIV/0!</v>
      </c>
    </row>
    <row r="67" spans="1:9" ht="15" customHeight="1" x14ac:dyDescent="0.25">
      <c r="A67" s="224" t="str">
        <f>CONCATENATE("SFY ",'2. Getting Started'!B$6+6," + ",'2. Getting Started'!B$6+7," Projected Exceptions")</f>
        <v>SFY 2027 + 2028 Projected Exceptions</v>
      </c>
      <c r="B67" s="258" t="e">
        <f>IF(B6="","",(('24. Year 7 Exc &amp; Adj'!B68+'27. Year 8 Exc &amp; Adj'!B68)/I59))</f>
        <v>#DIV/0!</v>
      </c>
      <c r="C67" s="681"/>
      <c r="D67" s="681"/>
      <c r="E67" s="224" t="str">
        <f>CONCATENATE("SFY ",'2. Getting Started'!B$6+7," Exceptions")</f>
        <v>SFY 2028 Exceptions</v>
      </c>
      <c r="F67" s="258" t="e">
        <f>IF(F6="","",('27. Year 8 Exc &amp; Adj'!I68/I67))</f>
        <v>#DIV/0!</v>
      </c>
      <c r="H67" t="s">
        <v>118</v>
      </c>
      <c r="I67" t="e">
        <f>IF(F63="Met",'23. Year 7 Amounts'!I1,IF(F55="Met",'20. Year 6 Amounts'!I1,IF(F47="Met",'17. Year 5 Amounts'!I1,IF(F39="Met",'14. Year 4 Amounts'!I1,IF(F31="Met",'11. Year 3 Amounts'!I1,IF(F23="Met",'8. Year 2 Amounts'!I1,IF(F15="Met",'5. Year 1 Amounts'!I1,F6)))))))</f>
        <v>#DIV/0!</v>
      </c>
    </row>
    <row r="68" spans="1:9" ht="15" customHeight="1" x14ac:dyDescent="0.25">
      <c r="A68" s="224" t="str">
        <f>CONCATENATE("SFY ",'2. Getting Started'!B$6+6," + ",'2. Getting Started'!B$6+7," Projected Adjustments")</f>
        <v>SFY 2027 + 2028 Projected Adjustments</v>
      </c>
      <c r="B68" s="258" t="e">
        <f>IF(B6="","",((AdjDataYear7Budget[Projected Adjustment]+AdjDataYear8Budget[Projected Adjustment])/I59))</f>
        <v>#DIV/0!</v>
      </c>
      <c r="C68" s="681"/>
      <c r="D68" s="681"/>
      <c r="E68" s="224" t="str">
        <f>CONCATENATE("SFY ",'2. Getting Started'!B$6+7," Adjustment")</f>
        <v>SFY 2028 Adjustment</v>
      </c>
      <c r="F68" s="258" t="e">
        <f>IF(F6="","",(AdjDataYear8Expenditures[[Adjustment ]]/I67))</f>
        <v>#DIV/0!</v>
      </c>
    </row>
    <row r="69" spans="1:9" ht="15" customHeight="1" x14ac:dyDescent="0.25">
      <c r="A69" s="224" t="str">
        <f>CONCATENATE("Adjusted MOE Threshold for SFY ",'2. Getting Started'!B$6+7)</f>
        <v>Adjusted MOE Threshold for SFY 2028</v>
      </c>
      <c r="B69" s="258" t="e">
        <f>IF(B66="","",(B66-B67-B68))</f>
        <v>#DIV/0!</v>
      </c>
      <c r="C69" s="681"/>
      <c r="D69" s="681"/>
      <c r="E69" s="224" t="str">
        <f>CONCATENATE("Adjusted MOE Threshold for SFY ",'2. Getting Started'!B$6+7)</f>
        <v>Adjusted MOE Threshold for SFY 2028</v>
      </c>
      <c r="F69" s="258" t="e">
        <f>IF(F66="","",(F66-F67-F68))</f>
        <v>#DIV/0!</v>
      </c>
    </row>
    <row r="70" spans="1:9" ht="15" customHeight="1" x14ac:dyDescent="0.25">
      <c r="A70" s="224" t="str">
        <f>CONCATENATE("Budgeted Amount for SFY ",'2. Getting Started'!B$6+7)</f>
        <v>Budgeted Amount for SFY 2028</v>
      </c>
      <c r="B70" s="258" t="str">
        <f>'26. Year 8 Amounts'!F31</f>
        <v/>
      </c>
      <c r="C70" s="681"/>
      <c r="D70" s="681"/>
      <c r="E70" s="224" t="str">
        <f>CONCATENATE("Final Expenditures for SFY ",'2. Getting Started'!B$6+7)</f>
        <v>Final Expenditures for SFY 2028</v>
      </c>
      <c r="F70" s="258" t="str">
        <f>'26. Year 8 Amounts'!M31</f>
        <v/>
      </c>
    </row>
    <row r="71" spans="1:9" ht="15" customHeight="1" x14ac:dyDescent="0.25">
      <c r="A71" s="275" t="str">
        <f>CONCATENATE("MOE Result for SFY ",'2. Getting Started'!B$6+7)</f>
        <v>MOE Result for SFY 2028</v>
      </c>
      <c r="B71" s="285" t="str">
        <f>IF(B70="","",IF(B70&gt;=B69,"Met","Did Not Meet"))</f>
        <v/>
      </c>
      <c r="C71" s="681"/>
      <c r="D71" s="681"/>
      <c r="E71" s="275" t="str">
        <f>CONCATENATE("MOE Result for SFY ",'2. Getting Started'!B$6+7)</f>
        <v>MOE Result for SFY 2028</v>
      </c>
      <c r="F71" s="285" t="str">
        <f>IF(F70="","",IF(F70&gt;=F69,"Met","Did Not Meet"))</f>
        <v/>
      </c>
    </row>
    <row r="72" spans="1:9" ht="15" customHeight="1" x14ac:dyDescent="0.25">
      <c r="A72" s="673" t="s">
        <v>174</v>
      </c>
      <c r="B72" s="673"/>
      <c r="C72" s="681"/>
      <c r="D72" s="681"/>
      <c r="E72" s="673" t="s">
        <v>174</v>
      </c>
      <c r="F72" s="673"/>
    </row>
    <row r="73" spans="1:9" ht="15.75" customHeight="1" x14ac:dyDescent="0.25">
      <c r="A73" s="5" t="str">
        <f>CONCATENATE("Year 9: SFY ",'2. Getting Started'!B$6+8)</f>
        <v>Year 9: SFY 2029</v>
      </c>
      <c r="B73" s="4"/>
      <c r="C73" s="681"/>
      <c r="D73" s="681"/>
      <c r="E73" s="5" t="str">
        <f>CONCATENATE("Year 9: SFY ",'2. Getting Started'!B$6+8)</f>
        <v>Year 9: SFY 2029</v>
      </c>
      <c r="F73" s="4"/>
    </row>
    <row r="74" spans="1:9" ht="15" customHeight="1" x14ac:dyDescent="0.25">
      <c r="A74" s="224" t="str">
        <f>CONCATENATE("Starting MOE Threshold for SFY ",'2. Getting Started'!B$6+8)</f>
        <v>Starting MOE Threshold for SFY 2029</v>
      </c>
      <c r="B74" s="258" t="e">
        <f>IF(F63="Met",F62,F61)</f>
        <v>#DIV/0!</v>
      </c>
      <c r="C74" s="681"/>
      <c r="D74" s="681"/>
      <c r="E74" s="224" t="str">
        <f>CONCATENATE("Starting MOE Threshold for SFY ",'2. Getting Started'!B$6+8)</f>
        <v>Starting MOE Threshold for SFY 2029</v>
      </c>
      <c r="F74" s="258" t="e">
        <f>IF(F71="Met",F70,F69)</f>
        <v>#DIV/0!</v>
      </c>
    </row>
    <row r="75" spans="1:9" ht="15" customHeight="1" x14ac:dyDescent="0.25">
      <c r="A75" s="224" t="str">
        <f>CONCATENATE("SFY ",'2. Getting Started'!B$6+7," + ",'2. Getting Started'!B$6+8," Projected Exceptions")</f>
        <v>SFY 2028 + 2029 Projected Exceptions</v>
      </c>
      <c r="B75" s="258" t="e">
        <f>IF(B6="","",(('27. Year 8 Exc &amp; Adj'!B68+'30. Year 9 Exc &amp; Adj'!B68)/I67))</f>
        <v>#DIV/0!</v>
      </c>
      <c r="C75" s="681"/>
      <c r="D75" s="681"/>
      <c r="E75" s="224" t="str">
        <f>CONCATENATE("SFY ",'2. Getting Started'!B$6+8," Exceptions")</f>
        <v>SFY 2029 Exceptions</v>
      </c>
      <c r="F75" s="258" t="e">
        <f>IF(F6="","",('30. Year 9 Exc &amp; Adj'!I68/I75))</f>
        <v>#DIV/0!</v>
      </c>
      <c r="H75" t="s">
        <v>118</v>
      </c>
      <c r="I75" t="e">
        <f>IF(F71="Met",'26. Year 8 Amounts'!I1,IF(F63="Met",'23. Year 7 Amounts'!I1,IF(F55="Met",'20. Year 6 Amounts'!I1,IF(F47="Met",'17. Year 5 Amounts'!I1,IF(F39="Met",'14. Year 4 Amounts'!I1,IF(F31="Met",'11. Year 3 Amounts'!I1,IF(F23="Met",'8. Year 2 Amounts'!I1,IF(F15="Met",'5. Year 1 Amounts'!I1,F6))))))))</f>
        <v>#DIV/0!</v>
      </c>
    </row>
    <row r="76" spans="1:9" ht="15" customHeight="1" x14ac:dyDescent="0.25">
      <c r="A76" s="224" t="str">
        <f>CONCATENATE("SFY ",'2. Getting Started'!B$6+7," + ",'2. Getting Started'!B$6+8," Projected Adjustments")</f>
        <v>SFY 2028 + 2029 Projected Adjustments</v>
      </c>
      <c r="B76" s="258" t="e">
        <f>IF(B6="","",((AdjDataYear8Budget[Projected Adjustment]+AdjDataYear9Budget[Projected Adjustment])/I67))</f>
        <v>#DIV/0!</v>
      </c>
      <c r="C76" s="681"/>
      <c r="D76" s="681"/>
      <c r="E76" s="224" t="str">
        <f>CONCATENATE("SFY ",'2. Getting Started'!B$6+8," Adjustment")</f>
        <v>SFY 2029 Adjustment</v>
      </c>
      <c r="F76" s="258" t="e">
        <f>IF(F6="","",(AdjDataYear9Expenditures[[Adjustment ]]/I75))</f>
        <v>#DIV/0!</v>
      </c>
    </row>
    <row r="77" spans="1:9" ht="15" customHeight="1" x14ac:dyDescent="0.25">
      <c r="A77" s="224" t="str">
        <f>CONCATENATE("Adjusted MOE Threshold for SFY ",'2. Getting Started'!B$6+8)</f>
        <v>Adjusted MOE Threshold for SFY 2029</v>
      </c>
      <c r="B77" s="258" t="e">
        <f>IF(B74="","",(B74-B75-B76))</f>
        <v>#DIV/0!</v>
      </c>
      <c r="C77" s="681"/>
      <c r="D77" s="681"/>
      <c r="E77" s="224" t="str">
        <f>CONCATENATE("Adjusted MOE Threshold for SFY ",'2. Getting Started'!B$6+8)</f>
        <v>Adjusted MOE Threshold for SFY 2029</v>
      </c>
      <c r="F77" s="258" t="e">
        <f>IF(F74="","",(F74-F75-F76))</f>
        <v>#DIV/0!</v>
      </c>
    </row>
    <row r="78" spans="1:9" ht="15" customHeight="1" x14ac:dyDescent="0.25">
      <c r="A78" s="224" t="str">
        <f>CONCATENATE("Budgeted Amount for SFY ",'2. Getting Started'!B$6+8)</f>
        <v>Budgeted Amount for SFY 2029</v>
      </c>
      <c r="B78" s="258" t="str">
        <f>'29. Year 9 Amounts'!F31</f>
        <v/>
      </c>
      <c r="C78" s="681"/>
      <c r="D78" s="681"/>
      <c r="E78" s="224" t="str">
        <f>CONCATENATE("Final Expenditures for SFY ",'2. Getting Started'!B$6+8)</f>
        <v>Final Expenditures for SFY 2029</v>
      </c>
      <c r="F78" s="258" t="str">
        <f>'29. Year 9 Amounts'!M31</f>
        <v/>
      </c>
    </row>
    <row r="79" spans="1:9" ht="15" customHeight="1" x14ac:dyDescent="0.25">
      <c r="A79" s="275" t="str">
        <f>CONCATENATE("MOE Result for SFY ",'2. Getting Started'!B$6+8)</f>
        <v>MOE Result for SFY 2029</v>
      </c>
      <c r="B79" s="285" t="str">
        <f>IF(B78="","",IF(B78&gt;=B77,"Met","Did Not Meet"))</f>
        <v/>
      </c>
      <c r="C79" s="681"/>
      <c r="D79" s="681"/>
      <c r="E79" s="275" t="str">
        <f>CONCATENATE("MOE Result for SFY ",'2. Getting Started'!B$6+8)</f>
        <v>MOE Result for SFY 2029</v>
      </c>
      <c r="F79" s="285" t="str">
        <f>IF(F78="","",IF(F78&gt;=F77,"Met","Did Not Meet"))</f>
        <v/>
      </c>
    </row>
    <row r="80" spans="1:9" ht="15" customHeight="1" x14ac:dyDescent="0.25">
      <c r="A80" s="673" t="s">
        <v>174</v>
      </c>
      <c r="B80" s="673"/>
      <c r="C80" s="681"/>
      <c r="D80" s="681"/>
      <c r="E80" s="673" t="s">
        <v>174</v>
      </c>
      <c r="F80" s="673"/>
    </row>
    <row r="81" spans="1:9" ht="15.75" customHeight="1" x14ac:dyDescent="0.25">
      <c r="A81" s="5" t="str">
        <f>CONCATENATE("Year 10: SFY ",'2. Getting Started'!B$6+9)</f>
        <v>Year 10: SFY 2030</v>
      </c>
      <c r="B81" s="4"/>
      <c r="C81" s="681"/>
      <c r="D81" s="681"/>
      <c r="E81" s="5" t="str">
        <f>CONCATENATE("Year 10: SFY ",'2. Getting Started'!B$6+9)</f>
        <v>Year 10: SFY 2030</v>
      </c>
      <c r="F81" s="4"/>
    </row>
    <row r="82" spans="1:9" ht="15" customHeight="1" x14ac:dyDescent="0.25">
      <c r="A82" s="224" t="str">
        <f>CONCATENATE("Starting MOE Threshold for SFY ",'2. Getting Started'!B$6+9)</f>
        <v>Starting MOE Threshold for SFY 2030</v>
      </c>
      <c r="B82" s="258" t="e">
        <f>IF(F71="Met",F70,F69)</f>
        <v>#DIV/0!</v>
      </c>
      <c r="C82" s="681"/>
      <c r="D82" s="681"/>
      <c r="E82" s="224" t="str">
        <f>CONCATENATE("Starting MOE Threshold for SFY ",'2. Getting Started'!B$6+9)</f>
        <v>Starting MOE Threshold for SFY 2030</v>
      </c>
      <c r="F82" s="258" t="e">
        <f>IF(F79="Met",F78,F77)</f>
        <v>#DIV/0!</v>
      </c>
    </row>
    <row r="83" spans="1:9" ht="15" customHeight="1" x14ac:dyDescent="0.25">
      <c r="A83" s="224" t="str">
        <f>CONCATENATE("SFY ",'2. Getting Started'!B$6+8," + ",'2. Getting Started'!B$6+9," Projected Exceptions")</f>
        <v>SFY 2029 + 2030 Projected Exceptions</v>
      </c>
      <c r="B83" s="258" t="e">
        <f>IF(B6="","",(('30. Year 9 Exc &amp; Adj'!B68+'33. Year 10 Exc &amp; Adj'!B68)/I75))</f>
        <v>#DIV/0!</v>
      </c>
      <c r="C83" s="681"/>
      <c r="D83" s="681"/>
      <c r="E83" s="224" t="str">
        <f>CONCATENATE("SFY ",'2. Getting Started'!B$6+9," Exceptions")</f>
        <v>SFY 2030 Exceptions</v>
      </c>
      <c r="F83" s="258" t="e">
        <f>IF(F6="","",('33. Year 10 Exc &amp; Adj'!I68/I83))</f>
        <v>#DIV/0!</v>
      </c>
      <c r="H83" t="s">
        <v>118</v>
      </c>
      <c r="I83" t="e">
        <f>IF(F79="Met",'29. Year 9 Amounts'!I1,IF(F71="Met",'26. Year 8 Amounts'!I1,IF(F63="Met",'23. Year 7 Amounts'!I1,IF(F55="Met",'20. Year 6 Amounts'!I1,IF(F47="Met",'17. Year 5 Amounts'!I1,IF(F39="Met",'14. Year 4 Amounts'!I1,IF(F31="Met",'11. Year 3 Amounts'!I1,IF(F23="Met",'8. Year 2 Amounts'!I1,IF(F15="Met",'5. Year 1 Amounts'!I1,F6)))))))))</f>
        <v>#DIV/0!</v>
      </c>
    </row>
    <row r="84" spans="1:9" ht="15" customHeight="1" x14ac:dyDescent="0.25">
      <c r="A84" s="224" t="str">
        <f>CONCATENATE("SFY ",'2. Getting Started'!B$6+8," + ",'2. Getting Started'!B$6+9," Projected Adjustments")</f>
        <v>SFY 2029 + 2030 Projected Adjustments</v>
      </c>
      <c r="B84" s="258" t="e">
        <f>IF(B6="","",((AdjDataYear9Budget[Projected Adjustment]+AdjDataYear10Budget[Projected Adjustment])/I75))</f>
        <v>#DIV/0!</v>
      </c>
      <c r="C84" s="681"/>
      <c r="D84" s="681"/>
      <c r="E84" s="224" t="str">
        <f>CONCATENATE("SFY ",'2. Getting Started'!B$6+9," Adjustment")</f>
        <v>SFY 2030 Adjustment</v>
      </c>
      <c r="F84" s="258" t="e">
        <f>IF(F6="","",(AdjDataYear10Expenditures[[Adjustment ]]/I83))</f>
        <v>#DIV/0!</v>
      </c>
    </row>
    <row r="85" spans="1:9" ht="15" customHeight="1" x14ac:dyDescent="0.25">
      <c r="A85" s="224" t="str">
        <f>CONCATENATE("Adjusted MOE Threshold for SFY ",'2. Getting Started'!B$6+9)</f>
        <v>Adjusted MOE Threshold for SFY 2030</v>
      </c>
      <c r="B85" s="258" t="e">
        <f>IF(B82="","",(B82-B83-B84))</f>
        <v>#DIV/0!</v>
      </c>
      <c r="C85" s="681"/>
      <c r="D85" s="681"/>
      <c r="E85" s="224" t="str">
        <f>CONCATENATE("Adjusted MOE Threshold for SFY ",'2. Getting Started'!B$6+9)</f>
        <v>Adjusted MOE Threshold for SFY 2030</v>
      </c>
      <c r="F85" s="258" t="e">
        <f>IF(F82="","",(F82-F83-F84))</f>
        <v>#DIV/0!</v>
      </c>
    </row>
    <row r="86" spans="1:9" ht="15" customHeight="1" x14ac:dyDescent="0.25">
      <c r="A86" s="224" t="str">
        <f>CONCATENATE("Budgeted Amount for SFY ",'2. Getting Started'!B$6+9)</f>
        <v>Budgeted Amount for SFY 2030</v>
      </c>
      <c r="B86" s="258" t="str">
        <f>'32. Year 10 Amounts'!F31</f>
        <v/>
      </c>
      <c r="C86" s="681"/>
      <c r="D86" s="681"/>
      <c r="E86" s="224" t="str">
        <f>CONCATENATE("Final Expenditures for SFY ",'2. Getting Started'!B$6+9)</f>
        <v>Final Expenditures for SFY 2030</v>
      </c>
      <c r="F86" s="258" t="str">
        <f>'32. Year 10 Amounts'!M31</f>
        <v/>
      </c>
    </row>
    <row r="87" spans="1:9" ht="15" customHeight="1" x14ac:dyDescent="0.25">
      <c r="A87" s="275" t="str">
        <f>CONCATENATE("MOE Result for SFY ",'2. Getting Started'!B$6+9)</f>
        <v>MOE Result for SFY 2030</v>
      </c>
      <c r="B87" s="285" t="str">
        <f>IF(B86="","",IF(B86&gt;=B85,"Met","Did Not Meet"))</f>
        <v/>
      </c>
      <c r="C87" s="681"/>
      <c r="D87" s="681"/>
      <c r="E87" s="275" t="str">
        <f>CONCATENATE("MOE Result for SFY ",'2. Getting Started'!B$6+9)</f>
        <v>MOE Result for SFY 2030</v>
      </c>
      <c r="F87" s="285" t="str">
        <f>IF(F86="","",IF(F86&gt;=F85,"Met","Did Not Meet"))</f>
        <v/>
      </c>
    </row>
    <row r="88" spans="1:9" ht="15" customHeight="1" x14ac:dyDescent="0.25">
      <c r="A88" s="673" t="s">
        <v>174</v>
      </c>
      <c r="B88" s="673"/>
      <c r="C88" s="681"/>
      <c r="D88" s="681"/>
      <c r="E88" s="673" t="s">
        <v>174</v>
      </c>
      <c r="F88" s="673"/>
    </row>
    <row r="89" spans="1:9" ht="15.75" customHeight="1" x14ac:dyDescent="0.25">
      <c r="A89" s="5" t="str">
        <f>CONCATENATE("Year 11: SFY ",'2. Getting Started'!B$6+10)</f>
        <v>Year 11: SFY 2031</v>
      </c>
      <c r="B89" s="4"/>
      <c r="C89" s="681"/>
      <c r="D89" s="681"/>
      <c r="E89" s="5" t="str">
        <f>CONCATENATE("Year 11: SFY ",'2. Getting Started'!B$6+10)</f>
        <v>Year 11: SFY 2031</v>
      </c>
      <c r="F89" s="4"/>
    </row>
    <row r="90" spans="1:9" ht="15" customHeight="1" x14ac:dyDescent="0.25">
      <c r="A90" s="224" t="str">
        <f>CONCATENATE("Starting MOE Threshold for SFY ",'2. Getting Started'!B$6+10)</f>
        <v>Starting MOE Threshold for SFY 2031</v>
      </c>
      <c r="B90" s="258" t="e">
        <f>IF(F79="Met",F78,F77)</f>
        <v>#DIV/0!</v>
      </c>
      <c r="C90" s="681"/>
      <c r="D90" s="681"/>
      <c r="E90" s="675" t="s">
        <v>47</v>
      </c>
      <c r="F90" s="676"/>
    </row>
    <row r="91" spans="1:9" ht="15" customHeight="1" x14ac:dyDescent="0.25">
      <c r="A91" s="224" t="str">
        <f>CONCATENATE("SFY ",'2. Getting Started'!B$6+9," + ",'2. Getting Started'!B$6+10," Projected Exceptions")</f>
        <v>SFY 2030 + 2031 Projected Exceptions</v>
      </c>
      <c r="B91" s="258" t="e">
        <f>IF(B6="","",(('33. Year 10 Exc &amp; Adj'!B68+'36. Year 11 Exc &amp; Adj'!B68)/I83))</f>
        <v>#DIV/0!</v>
      </c>
      <c r="C91" s="681"/>
      <c r="D91" s="681"/>
      <c r="E91" s="677"/>
      <c r="F91" s="678"/>
    </row>
    <row r="92" spans="1:9" ht="15" customHeight="1" x14ac:dyDescent="0.25">
      <c r="A92" s="224" t="str">
        <f>CONCATENATE("SFY ",'2. Getting Started'!B$6+9," + ",'2. Getting Started'!B$6+10," Projected Adjustments")</f>
        <v>SFY 2030 + 2031 Projected Adjustments</v>
      </c>
      <c r="B92" s="258" t="e">
        <f>IF(B6="","",((AdjDataYear10Budget[Projected Adjustment]+AdjDataYear11Budget[Projected Adjustment])/I83))</f>
        <v>#DIV/0!</v>
      </c>
      <c r="C92" s="681"/>
      <c r="D92" s="681"/>
      <c r="E92" s="677"/>
      <c r="F92" s="678"/>
    </row>
    <row r="93" spans="1:9" ht="15" customHeight="1" x14ac:dyDescent="0.25">
      <c r="A93" s="224" t="str">
        <f>CONCATENATE("Adjusted MOE Threshold for SFY ",'2. Getting Started'!B$6+10)</f>
        <v>Adjusted MOE Threshold for SFY 2031</v>
      </c>
      <c r="B93" s="258" t="e">
        <f>IF(B90="","",(B90-B91-B92))</f>
        <v>#DIV/0!</v>
      </c>
      <c r="C93" s="681"/>
      <c r="D93" s="681"/>
      <c r="E93" s="677"/>
      <c r="F93" s="678"/>
    </row>
    <row r="94" spans="1:9" ht="15" customHeight="1" x14ac:dyDescent="0.25">
      <c r="A94" s="224" t="str">
        <f>CONCATENATE("Budgeted Amount for SFY ",'2. Getting Started'!B$6+10)</f>
        <v>Budgeted Amount for SFY 2031</v>
      </c>
      <c r="B94" s="258" t="str">
        <f>'35. Year 11 Amounts'!F31</f>
        <v/>
      </c>
      <c r="C94" s="681"/>
      <c r="D94" s="681"/>
      <c r="E94" s="677"/>
      <c r="F94" s="678"/>
    </row>
    <row r="95" spans="1:9" ht="15" customHeight="1" x14ac:dyDescent="0.25">
      <c r="A95" s="275" t="str">
        <f>CONCATENATE("MOE Result for SFY ",'2. Getting Started'!B$6+10)</f>
        <v>MOE Result for SFY 2031</v>
      </c>
      <c r="B95" s="285" t="str">
        <f>IF(B94="","",IF(B94&gt;=B93,"Met","Did Not Meet"))</f>
        <v/>
      </c>
      <c r="C95" s="681"/>
      <c r="D95" s="681"/>
      <c r="E95" s="679"/>
      <c r="F95" s="680"/>
    </row>
    <row r="96" spans="1:9" ht="26.25" customHeight="1" x14ac:dyDescent="0.25">
      <c r="A96" s="345" t="s">
        <v>184</v>
      </c>
      <c r="C96" s="355"/>
      <c r="D96" s="355"/>
    </row>
    <row r="97" spans="1:6" ht="15.75" x14ac:dyDescent="0.25">
      <c r="A97" s="358" t="s">
        <v>183</v>
      </c>
    </row>
    <row r="98" spans="1:6" x14ac:dyDescent="0.25">
      <c r="A98" s="657" t="s">
        <v>24</v>
      </c>
      <c r="B98" s="657"/>
      <c r="C98" s="657"/>
      <c r="D98" s="657"/>
      <c r="E98" s="657"/>
      <c r="F98" s="657"/>
    </row>
  </sheetData>
  <sheetProtection algorithmName="SHA-512" hashValue="Dqv2FF7LICllimTXMnBxG/uRbjmhy/nV6MD9IAVTf6kgmNVjTxYsEMHJ1ssJrWrm8dSZfU0k4rUIHCEyIRx2Xg==" saltValue="WSQQYWsLfcsbEINl+8X+NA==" spinCount="100000" sheet="1" objects="1" scenarios="1" formatColumns="0" formatRows="0"/>
  <mergeCells count="26">
    <mergeCell ref="A88:B88"/>
    <mergeCell ref="E88:F88"/>
    <mergeCell ref="A98:F98"/>
    <mergeCell ref="C1:D95"/>
    <mergeCell ref="A64:B64"/>
    <mergeCell ref="E64:F64"/>
    <mergeCell ref="A72:B72"/>
    <mergeCell ref="E72:F72"/>
    <mergeCell ref="A80:B80"/>
    <mergeCell ref="E80:F80"/>
    <mergeCell ref="A10:B15"/>
    <mergeCell ref="E90:F95"/>
    <mergeCell ref="A8:B8"/>
    <mergeCell ref="E8:F8"/>
    <mergeCell ref="A16:B16"/>
    <mergeCell ref="E16:F16"/>
    <mergeCell ref="A48:B48"/>
    <mergeCell ref="E48:F48"/>
    <mergeCell ref="A56:B56"/>
    <mergeCell ref="E56:F56"/>
    <mergeCell ref="A24:B24"/>
    <mergeCell ref="E24:F24"/>
    <mergeCell ref="A32:B32"/>
    <mergeCell ref="E32:F32"/>
    <mergeCell ref="A40:B40"/>
    <mergeCell ref="E40:F40"/>
  </mergeCells>
  <conditionalFormatting sqref="B23">
    <cfRule type="containsText" dxfId="39" priority="36" operator="containsText" text="Met">
      <formula>NOT(ISERROR(SEARCH("Met",B23)))</formula>
    </cfRule>
    <cfRule type="containsText" dxfId="38" priority="35" operator="containsText" text="Did Not Meet">
      <formula>NOT(ISERROR(SEARCH("Did Not Meet",B23)))</formula>
    </cfRule>
  </conditionalFormatting>
  <conditionalFormatting sqref="B31">
    <cfRule type="containsText" dxfId="37" priority="34" operator="containsText" text="Met">
      <formula>NOT(ISERROR(SEARCH("Met",B31)))</formula>
    </cfRule>
    <cfRule type="containsText" dxfId="36" priority="33" operator="containsText" text="Did Not Meet">
      <formula>NOT(ISERROR(SEARCH("Did Not Meet",B31)))</formula>
    </cfRule>
  </conditionalFormatting>
  <conditionalFormatting sqref="B39">
    <cfRule type="containsText" dxfId="35" priority="28" operator="containsText" text="Met">
      <formula>NOT(ISERROR(SEARCH("Met",B39)))</formula>
    </cfRule>
    <cfRule type="containsText" dxfId="34" priority="27" operator="containsText" text="Did Not Meet">
      <formula>NOT(ISERROR(SEARCH("Did Not Meet",B39)))</formula>
    </cfRule>
  </conditionalFormatting>
  <conditionalFormatting sqref="B47">
    <cfRule type="containsText" dxfId="33" priority="26" operator="containsText" text="Met">
      <formula>NOT(ISERROR(SEARCH("Met",B47)))</formula>
    </cfRule>
    <cfRule type="containsText" dxfId="32" priority="25" operator="containsText" text="Did Not Meet">
      <formula>NOT(ISERROR(SEARCH("Did Not Meet",B47)))</formula>
    </cfRule>
  </conditionalFormatting>
  <conditionalFormatting sqref="B55">
    <cfRule type="containsText" dxfId="31" priority="19" operator="containsText" text="Did Not Meet">
      <formula>NOT(ISERROR(SEARCH("Did Not Meet",B55)))</formula>
    </cfRule>
    <cfRule type="containsText" dxfId="30" priority="20" operator="containsText" text="Met">
      <formula>NOT(ISERROR(SEARCH("Met",B55)))</formula>
    </cfRule>
  </conditionalFormatting>
  <conditionalFormatting sqref="B63">
    <cfRule type="containsText" dxfId="29" priority="17" operator="containsText" text="Did Not Meet">
      <formula>NOT(ISERROR(SEARCH("Did Not Meet",B63)))</formula>
    </cfRule>
    <cfRule type="containsText" dxfId="28" priority="18" operator="containsText" text="Met">
      <formula>NOT(ISERROR(SEARCH("Met",B63)))</formula>
    </cfRule>
  </conditionalFormatting>
  <conditionalFormatting sqref="B71">
    <cfRule type="containsText" dxfId="27" priority="11" operator="containsText" text="Did Not Meet">
      <formula>NOT(ISERROR(SEARCH("Did Not Meet",B71)))</formula>
    </cfRule>
    <cfRule type="containsText" dxfId="26" priority="12" operator="containsText" text="Met">
      <formula>NOT(ISERROR(SEARCH("Met",B71)))</formula>
    </cfRule>
  </conditionalFormatting>
  <conditionalFormatting sqref="B79">
    <cfRule type="containsText" dxfId="25" priority="9" operator="containsText" text="Did Not Meet">
      <formula>NOT(ISERROR(SEARCH("Did Not Meet",B79)))</formula>
    </cfRule>
    <cfRule type="containsText" dxfId="24" priority="10" operator="containsText" text="Met">
      <formula>NOT(ISERROR(SEARCH("Met",B79)))</formula>
    </cfRule>
  </conditionalFormatting>
  <conditionalFormatting sqref="B87">
    <cfRule type="containsText" dxfId="23" priority="3" operator="containsText" text="Did Not Meet">
      <formula>NOT(ISERROR(SEARCH("Did Not Meet",B87)))</formula>
    </cfRule>
    <cfRule type="containsText" dxfId="22" priority="4" operator="containsText" text="Met">
      <formula>NOT(ISERROR(SEARCH("Met",B87)))</formula>
    </cfRule>
  </conditionalFormatting>
  <conditionalFormatting sqref="B95">
    <cfRule type="containsText" dxfId="21" priority="1" operator="containsText" text="Did Not Meet">
      <formula>NOT(ISERROR(SEARCH("Did Not Meet",B95)))</formula>
    </cfRule>
    <cfRule type="containsText" dxfId="20" priority="2" operator="containsText" text="Met">
      <formula>NOT(ISERROR(SEARCH("Met",B95)))</formula>
    </cfRule>
  </conditionalFormatting>
  <conditionalFormatting sqref="F15">
    <cfRule type="containsText" dxfId="19" priority="40" operator="containsText" text="Met">
      <formula>NOT(ISERROR(SEARCH("Met",F15)))</formula>
    </cfRule>
    <cfRule type="containsText" dxfId="18" priority="39" operator="containsText" text="Did Not Meet">
      <formula>NOT(ISERROR(SEARCH("Did Not Meet",F15)))</formula>
    </cfRule>
  </conditionalFormatting>
  <conditionalFormatting sqref="F23">
    <cfRule type="containsText" dxfId="17" priority="37" operator="containsText" text="Did Not Meet">
      <formula>NOT(ISERROR(SEARCH("Did Not Meet",F23)))</formula>
    </cfRule>
    <cfRule type="containsText" dxfId="16" priority="38" operator="containsText" text="Met">
      <formula>NOT(ISERROR(SEARCH("Met",F23)))</formula>
    </cfRule>
  </conditionalFormatting>
  <conditionalFormatting sqref="F31">
    <cfRule type="containsText" dxfId="15" priority="31" operator="containsText" text="Did Not Meet">
      <formula>NOT(ISERROR(SEARCH("Did Not Meet",F31)))</formula>
    </cfRule>
    <cfRule type="containsText" dxfId="14" priority="32" operator="containsText" text="Met">
      <formula>NOT(ISERROR(SEARCH("Met",F31)))</formula>
    </cfRule>
  </conditionalFormatting>
  <conditionalFormatting sqref="F39">
    <cfRule type="containsText" dxfId="13" priority="29" operator="containsText" text="Did Not Meet">
      <formula>NOT(ISERROR(SEARCH("Did Not Meet",F39)))</formula>
    </cfRule>
    <cfRule type="containsText" dxfId="12" priority="30" operator="containsText" text="Met">
      <formula>NOT(ISERROR(SEARCH("Met",F39)))</formula>
    </cfRule>
  </conditionalFormatting>
  <conditionalFormatting sqref="F47">
    <cfRule type="containsText" dxfId="11" priority="23" operator="containsText" text="Did Not Meet">
      <formula>NOT(ISERROR(SEARCH("Did Not Meet",F47)))</formula>
    </cfRule>
    <cfRule type="containsText" dxfId="10" priority="24" operator="containsText" text="Met">
      <formula>NOT(ISERROR(SEARCH("Met",F47)))</formula>
    </cfRule>
  </conditionalFormatting>
  <conditionalFormatting sqref="F55">
    <cfRule type="containsText" dxfId="9" priority="22" operator="containsText" text="Met">
      <formula>NOT(ISERROR(SEARCH("Met",F55)))</formula>
    </cfRule>
    <cfRule type="containsText" dxfId="8" priority="21" operator="containsText" text="Did Not Meet">
      <formula>NOT(ISERROR(SEARCH("Did Not Meet",F55)))</formula>
    </cfRule>
  </conditionalFormatting>
  <conditionalFormatting sqref="F63">
    <cfRule type="containsText" dxfId="7" priority="16" operator="containsText" text="Met">
      <formula>NOT(ISERROR(SEARCH("Met",F63)))</formula>
    </cfRule>
    <cfRule type="containsText" dxfId="6" priority="15" operator="containsText" text="Did Not Meet">
      <formula>NOT(ISERROR(SEARCH("Did Not Meet",F63)))</formula>
    </cfRule>
  </conditionalFormatting>
  <conditionalFormatting sqref="F71">
    <cfRule type="containsText" dxfId="5" priority="14" operator="containsText" text="Met">
      <formula>NOT(ISERROR(SEARCH("Met",F71)))</formula>
    </cfRule>
    <cfRule type="containsText" dxfId="4" priority="13" operator="containsText" text="Did Not Meet">
      <formula>NOT(ISERROR(SEARCH("Did Not Meet",F71)))</formula>
    </cfRule>
  </conditionalFormatting>
  <conditionalFormatting sqref="F79">
    <cfRule type="containsText" dxfId="3" priority="8" operator="containsText" text="Met">
      <formula>NOT(ISERROR(SEARCH("Met",F79)))</formula>
    </cfRule>
    <cfRule type="containsText" dxfId="2" priority="7" operator="containsText" text="Did Not Meet">
      <formula>NOT(ISERROR(SEARCH("Did Not Meet",F79)))</formula>
    </cfRule>
  </conditionalFormatting>
  <conditionalFormatting sqref="F87">
    <cfRule type="containsText" dxfId="1" priority="6" operator="containsText" text="Met">
      <formula>NOT(ISERROR(SEARCH("Met",F87)))</formula>
    </cfRule>
    <cfRule type="containsText" dxfId="0" priority="5" operator="containsText" text="Did Not Meet">
      <formula>NOT(ISERROR(SEARCH("Did Not Meet",F87)))</formula>
    </cfRule>
  </conditionalFormatting>
  <hyperlinks>
    <hyperlink ref="A97" r:id="rId1" xr:uid="{00000000-0004-0000-2A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C7C77-1D12-4770-B313-24D8011891C1}">
  <dimension ref="A1:G317"/>
  <sheetViews>
    <sheetView workbookViewId="0">
      <pane xSplit="2" ySplit="5" topLeftCell="C293" activePane="bottomRight" state="frozen"/>
      <selection pane="topRight" activeCell="C1" sqref="C1"/>
      <selection pane="bottomLeft" activeCell="A6" sqref="A6"/>
      <selection pane="bottomRight" activeCell="D304" sqref="D304:E304"/>
    </sheetView>
  </sheetViews>
  <sheetFormatPr defaultColWidth="8.85546875" defaultRowHeight="15" x14ac:dyDescent="0.25"/>
  <cols>
    <col min="1" max="1" width="16.7109375" style="362" bestFit="1" customWidth="1"/>
    <col min="2" max="2" width="26" style="362" bestFit="1" customWidth="1"/>
    <col min="3" max="3" width="27.140625" style="362" customWidth="1"/>
    <col min="4" max="4" width="27.140625" style="436" customWidth="1"/>
    <col min="5" max="5" width="27.140625" style="362" customWidth="1"/>
    <col min="6" max="6" width="27.140625" style="436" customWidth="1"/>
    <col min="7" max="7" width="27.140625" style="445" customWidth="1"/>
    <col min="8" max="16384" width="8.85546875" style="362"/>
  </cols>
  <sheetData>
    <row r="1" spans="1:7" ht="18.75" x14ac:dyDescent="0.3">
      <c r="A1" s="660" t="s">
        <v>1340</v>
      </c>
      <c r="B1" s="660"/>
      <c r="C1" s="660"/>
    </row>
    <row r="2" spans="1:7" s="399" customFormat="1" ht="18.75" x14ac:dyDescent="0.3">
      <c r="A2" s="399">
        <v>1</v>
      </c>
      <c r="B2" s="399">
        <v>2</v>
      </c>
      <c r="C2" s="400">
        <v>3</v>
      </c>
      <c r="D2" s="437">
        <v>4</v>
      </c>
      <c r="E2" s="399">
        <v>5</v>
      </c>
      <c r="F2" s="437">
        <v>6</v>
      </c>
      <c r="G2" s="446">
        <v>7</v>
      </c>
    </row>
    <row r="3" spans="1:7" x14ac:dyDescent="0.25">
      <c r="A3" s="401"/>
      <c r="B3" s="401"/>
      <c r="C3" s="402" t="s">
        <v>1290</v>
      </c>
      <c r="D3" s="438" t="s">
        <v>1291</v>
      </c>
      <c r="E3" s="402" t="s">
        <v>1292</v>
      </c>
      <c r="F3" s="438" t="s">
        <v>1379</v>
      </c>
      <c r="G3" s="402"/>
    </row>
    <row r="4" spans="1:7" s="406" customFormat="1" ht="58.9" customHeight="1" x14ac:dyDescent="0.25">
      <c r="A4" s="403" t="s">
        <v>1293</v>
      </c>
      <c r="B4" s="403" t="s">
        <v>187</v>
      </c>
      <c r="C4" s="404" t="s">
        <v>1294</v>
      </c>
      <c r="D4" s="405" t="s">
        <v>1343</v>
      </c>
      <c r="E4" s="405" t="s">
        <v>1295</v>
      </c>
      <c r="F4" s="405" t="s">
        <v>1296</v>
      </c>
      <c r="G4" s="404" t="s">
        <v>1380</v>
      </c>
    </row>
    <row r="5" spans="1:7" x14ac:dyDescent="0.25">
      <c r="A5" s="407" t="s">
        <v>1225</v>
      </c>
      <c r="B5" s="408" t="s">
        <v>1297</v>
      </c>
      <c r="C5" s="409">
        <f>SUBTOTAL(9,C6:C317)</f>
        <v>17368847.750000004</v>
      </c>
      <c r="D5" s="440">
        <f>SUBTOTAL(9,D6:D317)</f>
        <v>342204011.53999996</v>
      </c>
      <c r="E5" s="441">
        <v>1870761175.1900001</v>
      </c>
      <c r="F5" s="439">
        <f>C5+D5+E5</f>
        <v>2230334034.48</v>
      </c>
      <c r="G5" s="447">
        <f>D5+E5</f>
        <v>2212965186.73</v>
      </c>
    </row>
    <row r="6" spans="1:7" x14ac:dyDescent="0.25">
      <c r="A6" s="410" t="s">
        <v>188</v>
      </c>
      <c r="B6" s="411" t="s">
        <v>831</v>
      </c>
      <c r="C6" s="412">
        <v>47332.51</v>
      </c>
      <c r="D6" s="442">
        <v>78927.69</v>
      </c>
      <c r="E6" s="443">
        <v>5351221.54</v>
      </c>
      <c r="F6" s="439">
        <f t="shared" ref="F6:F69" si="0">C6+D6+E6</f>
        <v>5477481.7400000002</v>
      </c>
      <c r="G6" s="447">
        <f t="shared" ref="G6:G69" si="1">D6+E6</f>
        <v>5430149.2300000004</v>
      </c>
    </row>
    <row r="7" spans="1:7" x14ac:dyDescent="0.25">
      <c r="A7" s="410" t="s">
        <v>191</v>
      </c>
      <c r="B7" s="411" t="s">
        <v>832</v>
      </c>
      <c r="C7" s="412">
        <v>4318.84</v>
      </c>
      <c r="D7" s="444"/>
      <c r="E7" s="443">
        <v>1013413.06</v>
      </c>
      <c r="F7" s="439">
        <f t="shared" si="0"/>
        <v>1017731.9</v>
      </c>
      <c r="G7" s="447">
        <f t="shared" si="1"/>
        <v>1013413.06</v>
      </c>
    </row>
    <row r="8" spans="1:7" x14ac:dyDescent="0.25">
      <c r="A8" s="410" t="s">
        <v>193</v>
      </c>
      <c r="B8" s="411" t="s">
        <v>1135</v>
      </c>
      <c r="D8" s="444"/>
      <c r="E8" s="443">
        <v>139830.92000000001</v>
      </c>
      <c r="F8" s="439">
        <f t="shared" si="0"/>
        <v>139830.92000000001</v>
      </c>
      <c r="G8" s="447">
        <f t="shared" si="1"/>
        <v>139830.92000000001</v>
      </c>
    </row>
    <row r="9" spans="1:7" x14ac:dyDescent="0.25">
      <c r="A9" s="410" t="s">
        <v>196</v>
      </c>
      <c r="B9" s="411" t="s">
        <v>840</v>
      </c>
      <c r="C9" s="412">
        <v>71165.41</v>
      </c>
      <c r="D9" s="444"/>
      <c r="E9" s="443">
        <v>4245954.6900000004</v>
      </c>
      <c r="F9" s="439">
        <f t="shared" si="0"/>
        <v>4317120.1000000006</v>
      </c>
      <c r="G9" s="447">
        <f t="shared" si="1"/>
        <v>4245954.6900000004</v>
      </c>
    </row>
    <row r="10" spans="1:7" x14ac:dyDescent="0.25">
      <c r="A10" s="410" t="s">
        <v>199</v>
      </c>
      <c r="B10" s="411" t="s">
        <v>841</v>
      </c>
      <c r="C10" s="412">
        <v>141857.76999999999</v>
      </c>
      <c r="D10" s="442">
        <v>142893.70000000001</v>
      </c>
      <c r="E10" s="443">
        <v>12031856.42</v>
      </c>
      <c r="F10" s="439">
        <f t="shared" si="0"/>
        <v>12316607.890000001</v>
      </c>
      <c r="G10" s="447">
        <f t="shared" si="1"/>
        <v>12174750.119999999</v>
      </c>
    </row>
    <row r="11" spans="1:7" x14ac:dyDescent="0.25">
      <c r="A11" s="410" t="s">
        <v>201</v>
      </c>
      <c r="B11" s="411" t="s">
        <v>842</v>
      </c>
      <c r="C11" s="412">
        <v>24287.33</v>
      </c>
      <c r="D11" s="444"/>
      <c r="E11" s="443">
        <v>866117.05</v>
      </c>
      <c r="F11" s="439">
        <f t="shared" si="0"/>
        <v>890404.38</v>
      </c>
      <c r="G11" s="447">
        <f t="shared" si="1"/>
        <v>866117.05</v>
      </c>
    </row>
    <row r="12" spans="1:7" x14ac:dyDescent="0.25">
      <c r="A12" s="410" t="s">
        <v>204</v>
      </c>
      <c r="B12" s="411" t="s">
        <v>843</v>
      </c>
      <c r="C12" s="412">
        <v>233890.49</v>
      </c>
      <c r="D12" s="442">
        <v>8245391</v>
      </c>
      <c r="E12" s="443">
        <v>25028300.870000001</v>
      </c>
      <c r="F12" s="439">
        <f t="shared" si="0"/>
        <v>33507582.359999999</v>
      </c>
      <c r="G12" s="447">
        <f t="shared" si="1"/>
        <v>33273691.870000001</v>
      </c>
    </row>
    <row r="13" spans="1:7" x14ac:dyDescent="0.25">
      <c r="A13" s="410" t="s">
        <v>207</v>
      </c>
      <c r="B13" s="411" t="s">
        <v>1298</v>
      </c>
      <c r="D13" s="442">
        <v>2171499.04</v>
      </c>
      <c r="E13" s="443">
        <v>6332506.0300000003</v>
      </c>
      <c r="F13" s="439">
        <f t="shared" si="0"/>
        <v>8504005.0700000003</v>
      </c>
      <c r="G13" s="447">
        <f t="shared" si="1"/>
        <v>8504005.0700000003</v>
      </c>
    </row>
    <row r="14" spans="1:7" x14ac:dyDescent="0.25">
      <c r="A14" s="410" t="s">
        <v>209</v>
      </c>
      <c r="B14" s="411" t="s">
        <v>845</v>
      </c>
      <c r="C14" s="412">
        <v>152852.98000000001</v>
      </c>
      <c r="D14" s="442">
        <v>3692114.25</v>
      </c>
      <c r="E14" s="443">
        <v>18595810.170000002</v>
      </c>
      <c r="F14" s="439">
        <f t="shared" si="0"/>
        <v>22440777.400000002</v>
      </c>
      <c r="G14" s="447">
        <f t="shared" si="1"/>
        <v>22287924.420000002</v>
      </c>
    </row>
    <row r="15" spans="1:7" x14ac:dyDescent="0.25">
      <c r="A15" s="410" t="s">
        <v>212</v>
      </c>
      <c r="B15" s="411" t="s">
        <v>846</v>
      </c>
      <c r="C15" s="412">
        <v>1181.2</v>
      </c>
      <c r="D15" s="442">
        <v>1619516.22</v>
      </c>
      <c r="E15" s="443">
        <v>49797225.649999999</v>
      </c>
      <c r="F15" s="439">
        <f t="shared" si="0"/>
        <v>51417923.07</v>
      </c>
      <c r="G15" s="447">
        <f t="shared" si="1"/>
        <v>51416741.869999997</v>
      </c>
    </row>
    <row r="16" spans="1:7" x14ac:dyDescent="0.25">
      <c r="A16" s="410" t="s">
        <v>214</v>
      </c>
      <c r="B16" s="411" t="s">
        <v>847</v>
      </c>
      <c r="C16" s="412">
        <v>128977.13</v>
      </c>
      <c r="D16" s="442">
        <v>7623142.1200000001</v>
      </c>
      <c r="E16" s="443">
        <v>20786447.940000001</v>
      </c>
      <c r="F16" s="439">
        <f t="shared" si="0"/>
        <v>28538567.190000001</v>
      </c>
      <c r="G16" s="447">
        <f t="shared" si="1"/>
        <v>28409590.060000002</v>
      </c>
    </row>
    <row r="17" spans="1:7" x14ac:dyDescent="0.25">
      <c r="A17" s="410" t="s">
        <v>218</v>
      </c>
      <c r="B17" s="411" t="s">
        <v>849</v>
      </c>
      <c r="C17" s="412">
        <v>139995.04999999999</v>
      </c>
      <c r="D17" s="442">
        <v>3888785.54</v>
      </c>
      <c r="E17" s="443">
        <v>32131420.690000001</v>
      </c>
      <c r="F17" s="439">
        <f t="shared" si="0"/>
        <v>36160201.280000001</v>
      </c>
      <c r="G17" s="447">
        <f t="shared" si="1"/>
        <v>36020206.230000004</v>
      </c>
    </row>
    <row r="18" spans="1:7" x14ac:dyDescent="0.25">
      <c r="A18" s="410" t="s">
        <v>220</v>
      </c>
      <c r="B18" s="411" t="s">
        <v>850</v>
      </c>
      <c r="D18" s="444"/>
      <c r="E18" s="443">
        <v>175546.63</v>
      </c>
      <c r="F18" s="439">
        <f t="shared" si="0"/>
        <v>175546.63</v>
      </c>
      <c r="G18" s="447">
        <f t="shared" si="1"/>
        <v>175546.63</v>
      </c>
    </row>
    <row r="19" spans="1:7" x14ac:dyDescent="0.25">
      <c r="A19" s="410" t="s">
        <v>223</v>
      </c>
      <c r="B19" s="411" t="s">
        <v>851</v>
      </c>
      <c r="C19" s="412">
        <v>23928.97</v>
      </c>
      <c r="D19" s="442">
        <v>19093</v>
      </c>
      <c r="E19" s="443">
        <v>5166212.97</v>
      </c>
      <c r="F19" s="439">
        <f t="shared" si="0"/>
        <v>5209234.9399999995</v>
      </c>
      <c r="G19" s="447">
        <f t="shared" si="1"/>
        <v>5185305.97</v>
      </c>
    </row>
    <row r="20" spans="1:7" x14ac:dyDescent="0.25">
      <c r="A20" s="410" t="s">
        <v>225</v>
      </c>
      <c r="B20" s="411" t="s">
        <v>852</v>
      </c>
      <c r="D20" s="444"/>
      <c r="E20" s="443">
        <v>346238.34</v>
      </c>
      <c r="F20" s="439">
        <f t="shared" si="0"/>
        <v>346238.34</v>
      </c>
      <c r="G20" s="447">
        <f t="shared" si="1"/>
        <v>346238.34</v>
      </c>
    </row>
    <row r="21" spans="1:7" x14ac:dyDescent="0.25">
      <c r="A21" s="410" t="s">
        <v>227</v>
      </c>
      <c r="B21" s="411" t="s">
        <v>853</v>
      </c>
      <c r="D21" s="444"/>
      <c r="E21" s="443">
        <v>10066719.17</v>
      </c>
      <c r="F21" s="439">
        <f t="shared" si="0"/>
        <v>10066719.17</v>
      </c>
      <c r="G21" s="447">
        <f t="shared" si="1"/>
        <v>10066719.17</v>
      </c>
    </row>
    <row r="22" spans="1:7" x14ac:dyDescent="0.25">
      <c r="A22" s="410" t="s">
        <v>230</v>
      </c>
      <c r="B22" s="411" t="s">
        <v>854</v>
      </c>
      <c r="D22" s="442">
        <v>178040.32000000001</v>
      </c>
      <c r="E22" s="443">
        <v>1104872.08</v>
      </c>
      <c r="F22" s="439">
        <f t="shared" si="0"/>
        <v>1282912.4000000001</v>
      </c>
      <c r="G22" s="447">
        <f t="shared" si="1"/>
        <v>1282912.4000000001</v>
      </c>
    </row>
    <row r="23" spans="1:7" x14ac:dyDescent="0.25">
      <c r="A23" s="410" t="s">
        <v>233</v>
      </c>
      <c r="B23" s="411" t="s">
        <v>855</v>
      </c>
      <c r="C23" s="412">
        <v>29404.83</v>
      </c>
      <c r="D23" s="442">
        <v>32607.79</v>
      </c>
      <c r="E23" s="443">
        <v>757759.6</v>
      </c>
      <c r="F23" s="439">
        <f t="shared" si="0"/>
        <v>819772.22</v>
      </c>
      <c r="G23" s="447">
        <f t="shared" si="1"/>
        <v>790367.39</v>
      </c>
    </row>
    <row r="24" spans="1:7" x14ac:dyDescent="0.25">
      <c r="A24" s="410" t="s">
        <v>235</v>
      </c>
      <c r="B24" s="411" t="s">
        <v>1136</v>
      </c>
      <c r="D24" s="442">
        <v>2</v>
      </c>
      <c r="E24" s="443">
        <v>102375.48</v>
      </c>
      <c r="F24" s="439">
        <f t="shared" si="0"/>
        <v>102377.48</v>
      </c>
      <c r="G24" s="447">
        <f t="shared" si="1"/>
        <v>102377.48</v>
      </c>
    </row>
    <row r="25" spans="1:7" x14ac:dyDescent="0.25">
      <c r="A25" s="410" t="s">
        <v>237</v>
      </c>
      <c r="B25" s="411" t="s">
        <v>1299</v>
      </c>
      <c r="C25" s="412">
        <v>271482.58</v>
      </c>
      <c r="D25" s="444"/>
      <c r="E25" s="443">
        <v>7736881.7400000002</v>
      </c>
      <c r="F25" s="439">
        <f t="shared" si="0"/>
        <v>8008364.3200000003</v>
      </c>
      <c r="G25" s="447">
        <f t="shared" si="1"/>
        <v>7736881.7400000002</v>
      </c>
    </row>
    <row r="26" spans="1:7" x14ac:dyDescent="0.25">
      <c r="A26" s="410" t="s">
        <v>239</v>
      </c>
      <c r="B26" s="411" t="s">
        <v>858</v>
      </c>
      <c r="D26" s="442">
        <v>2169512.08</v>
      </c>
      <c r="E26" s="443">
        <v>9898314.1500000004</v>
      </c>
      <c r="F26" s="439">
        <f t="shared" si="0"/>
        <v>12067826.23</v>
      </c>
      <c r="G26" s="447">
        <f t="shared" si="1"/>
        <v>12067826.23</v>
      </c>
    </row>
    <row r="27" spans="1:7" x14ac:dyDescent="0.25">
      <c r="A27" s="410" t="s">
        <v>241</v>
      </c>
      <c r="B27" s="411" t="s">
        <v>859</v>
      </c>
      <c r="D27" s="442">
        <v>345228.24</v>
      </c>
      <c r="E27" s="443">
        <v>862327.85</v>
      </c>
      <c r="F27" s="439">
        <f t="shared" si="0"/>
        <v>1207556.0899999999</v>
      </c>
      <c r="G27" s="447">
        <f t="shared" si="1"/>
        <v>1207556.0899999999</v>
      </c>
    </row>
    <row r="28" spans="1:7" x14ac:dyDescent="0.25">
      <c r="A28" s="410" t="s">
        <v>243</v>
      </c>
      <c r="B28" s="411" t="s">
        <v>860</v>
      </c>
      <c r="D28" s="444"/>
      <c r="E28" s="443">
        <v>226291.05</v>
      </c>
      <c r="F28" s="439">
        <f t="shared" si="0"/>
        <v>226291.05</v>
      </c>
      <c r="G28" s="447">
        <f t="shared" si="1"/>
        <v>226291.05</v>
      </c>
    </row>
    <row r="29" spans="1:7" x14ac:dyDescent="0.25">
      <c r="A29" s="410" t="s">
        <v>245</v>
      </c>
      <c r="B29" s="411" t="s">
        <v>861</v>
      </c>
      <c r="C29" s="412">
        <v>15906.3</v>
      </c>
      <c r="D29" s="442">
        <v>50000</v>
      </c>
      <c r="E29" s="443">
        <v>1700582.33</v>
      </c>
      <c r="F29" s="439">
        <f t="shared" si="0"/>
        <v>1766488.6300000001</v>
      </c>
      <c r="G29" s="447">
        <f t="shared" si="1"/>
        <v>1750582.33</v>
      </c>
    </row>
    <row r="30" spans="1:7" x14ac:dyDescent="0.25">
      <c r="A30" s="410" t="s">
        <v>248</v>
      </c>
      <c r="B30" s="411" t="s">
        <v>862</v>
      </c>
      <c r="C30" s="412">
        <v>69170.149999999994</v>
      </c>
      <c r="D30" s="444"/>
      <c r="E30" s="443">
        <v>2374096.1800000002</v>
      </c>
      <c r="F30" s="439">
        <f t="shared" si="0"/>
        <v>2443266.33</v>
      </c>
      <c r="G30" s="447">
        <f t="shared" si="1"/>
        <v>2374096.1800000002</v>
      </c>
    </row>
    <row r="31" spans="1:7" x14ac:dyDescent="0.25">
      <c r="A31" s="410" t="s">
        <v>250</v>
      </c>
      <c r="B31" s="411" t="s">
        <v>863</v>
      </c>
      <c r="C31" s="412">
        <v>49665.21</v>
      </c>
      <c r="D31" s="442">
        <v>397407.6</v>
      </c>
      <c r="E31" s="443">
        <v>2326717.87</v>
      </c>
      <c r="F31" s="439">
        <f t="shared" si="0"/>
        <v>2773790.68</v>
      </c>
      <c r="G31" s="447">
        <f t="shared" si="1"/>
        <v>2724125.47</v>
      </c>
    </row>
    <row r="32" spans="1:7" x14ac:dyDescent="0.25">
      <c r="A32" s="410" t="s">
        <v>252</v>
      </c>
      <c r="B32" s="411" t="s">
        <v>1300</v>
      </c>
      <c r="D32" s="444"/>
      <c r="E32" s="443">
        <v>542833.36</v>
      </c>
      <c r="F32" s="439">
        <f t="shared" si="0"/>
        <v>542833.36</v>
      </c>
      <c r="G32" s="447">
        <f t="shared" si="1"/>
        <v>542833.36</v>
      </c>
    </row>
    <row r="33" spans="1:7" x14ac:dyDescent="0.25">
      <c r="A33" s="410" t="s">
        <v>254</v>
      </c>
      <c r="B33" s="411" t="s">
        <v>864</v>
      </c>
      <c r="D33" s="444"/>
      <c r="E33" s="443">
        <v>71552.3</v>
      </c>
      <c r="F33" s="439">
        <f t="shared" si="0"/>
        <v>71552.3</v>
      </c>
      <c r="G33" s="447">
        <f t="shared" si="1"/>
        <v>71552.3</v>
      </c>
    </row>
    <row r="34" spans="1:7" x14ac:dyDescent="0.25">
      <c r="A34" s="410" t="s">
        <v>256</v>
      </c>
      <c r="B34" s="411" t="s">
        <v>865</v>
      </c>
      <c r="C34" s="412">
        <v>4492406</v>
      </c>
      <c r="D34" s="442">
        <v>148675.92000000001</v>
      </c>
      <c r="E34" s="443">
        <v>21881353.940000001</v>
      </c>
      <c r="F34" s="439">
        <f t="shared" si="0"/>
        <v>26522435.859999999</v>
      </c>
      <c r="G34" s="447">
        <f t="shared" si="1"/>
        <v>22030029.860000003</v>
      </c>
    </row>
    <row r="35" spans="1:7" x14ac:dyDescent="0.25">
      <c r="A35" s="410" t="s">
        <v>258</v>
      </c>
      <c r="B35" s="411" t="s">
        <v>866</v>
      </c>
      <c r="C35" s="412">
        <v>176269.25</v>
      </c>
      <c r="D35" s="442">
        <v>3963561.35</v>
      </c>
      <c r="E35" s="443">
        <v>25009838.309999999</v>
      </c>
      <c r="F35" s="439">
        <f t="shared" si="0"/>
        <v>29149668.91</v>
      </c>
      <c r="G35" s="447">
        <f t="shared" si="1"/>
        <v>28973399.66</v>
      </c>
    </row>
    <row r="36" spans="1:7" x14ac:dyDescent="0.25">
      <c r="A36" s="410" t="s">
        <v>260</v>
      </c>
      <c r="B36" s="411" t="s">
        <v>867</v>
      </c>
      <c r="C36" s="412">
        <v>45172.75</v>
      </c>
      <c r="D36" s="442">
        <v>1101111.04</v>
      </c>
      <c r="E36" s="443">
        <v>5409908.1900000004</v>
      </c>
      <c r="F36" s="439">
        <f t="shared" si="0"/>
        <v>6556191.9800000004</v>
      </c>
      <c r="G36" s="447">
        <f t="shared" si="1"/>
        <v>6511019.2300000004</v>
      </c>
    </row>
    <row r="37" spans="1:7" x14ac:dyDescent="0.25">
      <c r="A37" s="410" t="s">
        <v>262</v>
      </c>
      <c r="B37" s="411" t="s">
        <v>868</v>
      </c>
      <c r="C37" s="412">
        <v>25264.23</v>
      </c>
      <c r="D37" s="444"/>
      <c r="E37" s="443">
        <v>6019460.9800000004</v>
      </c>
      <c r="F37" s="439">
        <f t="shared" si="0"/>
        <v>6044725.2100000009</v>
      </c>
      <c r="G37" s="447">
        <f t="shared" si="1"/>
        <v>6019460.9800000004</v>
      </c>
    </row>
    <row r="38" spans="1:7" x14ac:dyDescent="0.25">
      <c r="A38" s="410" t="s">
        <v>264</v>
      </c>
      <c r="B38" s="411" t="s">
        <v>869</v>
      </c>
      <c r="C38" s="412">
        <v>56418.31</v>
      </c>
      <c r="D38" s="442">
        <v>2129292.94</v>
      </c>
      <c r="E38" s="443">
        <v>8434504.0199999996</v>
      </c>
      <c r="F38" s="439">
        <f t="shared" si="0"/>
        <v>10620215.27</v>
      </c>
      <c r="G38" s="447">
        <f t="shared" si="1"/>
        <v>10563796.959999999</v>
      </c>
    </row>
    <row r="39" spans="1:7" x14ac:dyDescent="0.25">
      <c r="A39" s="410" t="s">
        <v>266</v>
      </c>
      <c r="B39" s="411" t="s">
        <v>870</v>
      </c>
      <c r="C39" s="412">
        <v>15222.36</v>
      </c>
      <c r="D39" s="442">
        <v>3000</v>
      </c>
      <c r="E39" s="443">
        <v>1123255.48</v>
      </c>
      <c r="F39" s="439">
        <f t="shared" si="0"/>
        <v>1141477.8400000001</v>
      </c>
      <c r="G39" s="447">
        <f t="shared" si="1"/>
        <v>1126255.48</v>
      </c>
    </row>
    <row r="40" spans="1:7" x14ac:dyDescent="0.25">
      <c r="A40" s="410" t="s">
        <v>1301</v>
      </c>
      <c r="B40" s="411" t="s">
        <v>1302</v>
      </c>
      <c r="D40" s="444"/>
      <c r="E40" s="443">
        <v>648737.93000000005</v>
      </c>
      <c r="F40" s="439">
        <f t="shared" si="0"/>
        <v>648737.93000000005</v>
      </c>
      <c r="G40" s="447">
        <f t="shared" si="1"/>
        <v>648737.93000000005</v>
      </c>
    </row>
    <row r="41" spans="1:7" x14ac:dyDescent="0.25">
      <c r="A41" s="410" t="s">
        <v>268</v>
      </c>
      <c r="B41" s="411" t="s">
        <v>871</v>
      </c>
      <c r="C41" s="412">
        <v>55003.74</v>
      </c>
      <c r="D41" s="442">
        <v>6800</v>
      </c>
      <c r="E41" s="443">
        <v>1706744.45</v>
      </c>
      <c r="F41" s="439">
        <f t="shared" si="0"/>
        <v>1768548.19</v>
      </c>
      <c r="G41" s="447">
        <f t="shared" si="1"/>
        <v>1713544.45</v>
      </c>
    </row>
    <row r="42" spans="1:7" x14ac:dyDescent="0.25">
      <c r="A42" s="410" t="s">
        <v>270</v>
      </c>
      <c r="B42" s="411" t="s">
        <v>872</v>
      </c>
      <c r="D42" s="444"/>
      <c r="E42" s="443">
        <v>3950554.4</v>
      </c>
      <c r="F42" s="439">
        <f t="shared" si="0"/>
        <v>3950554.4</v>
      </c>
      <c r="G42" s="447">
        <f t="shared" si="1"/>
        <v>3950554.4</v>
      </c>
    </row>
    <row r="43" spans="1:7" x14ac:dyDescent="0.25">
      <c r="A43" s="410" t="s">
        <v>272</v>
      </c>
      <c r="B43" s="411" t="s">
        <v>873</v>
      </c>
      <c r="D43" s="444"/>
      <c r="E43" s="443">
        <v>1298170.51</v>
      </c>
      <c r="F43" s="439">
        <f t="shared" si="0"/>
        <v>1298170.51</v>
      </c>
      <c r="G43" s="447">
        <f t="shared" si="1"/>
        <v>1298170.51</v>
      </c>
    </row>
    <row r="44" spans="1:7" x14ac:dyDescent="0.25">
      <c r="A44" s="410" t="s">
        <v>274</v>
      </c>
      <c r="B44" s="411" t="s">
        <v>874</v>
      </c>
      <c r="C44" s="412">
        <v>73140.5</v>
      </c>
      <c r="D44" s="442">
        <v>2946536.76</v>
      </c>
      <c r="E44" s="443">
        <v>24060415.699999999</v>
      </c>
      <c r="F44" s="439">
        <f t="shared" si="0"/>
        <v>27080092.960000001</v>
      </c>
      <c r="G44" s="447">
        <f t="shared" si="1"/>
        <v>27006952.460000001</v>
      </c>
    </row>
    <row r="45" spans="1:7" x14ac:dyDescent="0.25">
      <c r="A45" s="410" t="s">
        <v>276</v>
      </c>
      <c r="B45" s="411" t="s">
        <v>875</v>
      </c>
      <c r="D45" s="444"/>
      <c r="E45" s="443">
        <v>753649</v>
      </c>
      <c r="F45" s="439">
        <f t="shared" si="0"/>
        <v>753649</v>
      </c>
      <c r="G45" s="447">
        <f t="shared" si="1"/>
        <v>753649</v>
      </c>
    </row>
    <row r="46" spans="1:7" x14ac:dyDescent="0.25">
      <c r="A46" s="410" t="s">
        <v>278</v>
      </c>
      <c r="B46" s="411" t="s">
        <v>876</v>
      </c>
      <c r="C46" s="412">
        <v>40322.75</v>
      </c>
      <c r="D46" s="444"/>
      <c r="E46" s="443">
        <v>2579618.75</v>
      </c>
      <c r="F46" s="439">
        <f t="shared" si="0"/>
        <v>2619941.5</v>
      </c>
      <c r="G46" s="447">
        <f t="shared" si="1"/>
        <v>2579618.75</v>
      </c>
    </row>
    <row r="47" spans="1:7" x14ac:dyDescent="0.25">
      <c r="A47" s="410" t="s">
        <v>280</v>
      </c>
      <c r="B47" s="411" t="s">
        <v>877</v>
      </c>
      <c r="D47" s="444"/>
      <c r="E47" s="443">
        <v>229095.73</v>
      </c>
      <c r="F47" s="439">
        <f t="shared" si="0"/>
        <v>229095.73</v>
      </c>
      <c r="G47" s="447">
        <f t="shared" si="1"/>
        <v>229095.73</v>
      </c>
    </row>
    <row r="48" spans="1:7" x14ac:dyDescent="0.25">
      <c r="A48" s="410" t="s">
        <v>282</v>
      </c>
      <c r="B48" s="411" t="s">
        <v>1303</v>
      </c>
      <c r="D48" s="442">
        <v>9250</v>
      </c>
      <c r="E48" s="443">
        <v>149675.20000000001</v>
      </c>
      <c r="F48" s="439">
        <f t="shared" si="0"/>
        <v>158925.20000000001</v>
      </c>
      <c r="G48" s="447">
        <f t="shared" si="1"/>
        <v>158925.20000000001</v>
      </c>
    </row>
    <row r="49" spans="1:7" x14ac:dyDescent="0.25">
      <c r="A49" s="410" t="s">
        <v>284</v>
      </c>
      <c r="B49" s="411" t="s">
        <v>1304</v>
      </c>
      <c r="C49" s="412">
        <v>8234.92</v>
      </c>
      <c r="D49" s="444"/>
      <c r="E49" s="443">
        <v>1150001.8999999999</v>
      </c>
      <c r="F49" s="439">
        <f t="shared" si="0"/>
        <v>1158236.8199999998</v>
      </c>
      <c r="G49" s="447">
        <f t="shared" si="1"/>
        <v>1150001.8999999999</v>
      </c>
    </row>
    <row r="50" spans="1:7" x14ac:dyDescent="0.25">
      <c r="A50" s="410" t="s">
        <v>286</v>
      </c>
      <c r="B50" s="411" t="s">
        <v>1137</v>
      </c>
      <c r="D50" s="444"/>
      <c r="E50" s="443">
        <v>2400556.1800000002</v>
      </c>
      <c r="F50" s="439">
        <f t="shared" si="0"/>
        <v>2400556.1800000002</v>
      </c>
      <c r="G50" s="447">
        <f t="shared" si="1"/>
        <v>2400556.1800000002</v>
      </c>
    </row>
    <row r="51" spans="1:7" x14ac:dyDescent="0.25">
      <c r="A51" s="410" t="s">
        <v>288</v>
      </c>
      <c r="B51" s="411" t="s">
        <v>881</v>
      </c>
      <c r="D51" s="442">
        <v>2900</v>
      </c>
      <c r="E51" s="443">
        <v>1373604.93</v>
      </c>
      <c r="F51" s="439">
        <f t="shared" si="0"/>
        <v>1376504.93</v>
      </c>
      <c r="G51" s="447">
        <f t="shared" si="1"/>
        <v>1376504.93</v>
      </c>
    </row>
    <row r="52" spans="1:7" x14ac:dyDescent="0.25">
      <c r="A52" s="410" t="s">
        <v>290</v>
      </c>
      <c r="B52" s="411" t="s">
        <v>882</v>
      </c>
      <c r="C52" s="412">
        <v>12508.76</v>
      </c>
      <c r="D52" s="444"/>
      <c r="E52" s="443">
        <v>634372.84</v>
      </c>
      <c r="F52" s="439">
        <f t="shared" si="0"/>
        <v>646881.6</v>
      </c>
      <c r="G52" s="447">
        <f t="shared" si="1"/>
        <v>634372.84</v>
      </c>
    </row>
    <row r="53" spans="1:7" x14ac:dyDescent="0.25">
      <c r="A53" s="410" t="s">
        <v>292</v>
      </c>
      <c r="B53" s="411" t="s">
        <v>883</v>
      </c>
      <c r="D53" s="444"/>
      <c r="E53" s="443">
        <v>252323.7</v>
      </c>
      <c r="F53" s="439">
        <f t="shared" si="0"/>
        <v>252323.7</v>
      </c>
      <c r="G53" s="447">
        <f t="shared" si="1"/>
        <v>252323.7</v>
      </c>
    </row>
    <row r="54" spans="1:7" x14ac:dyDescent="0.25">
      <c r="A54" s="410" t="s">
        <v>294</v>
      </c>
      <c r="B54" s="411" t="s">
        <v>1228</v>
      </c>
      <c r="D54" s="444"/>
      <c r="E54" s="443">
        <v>248721.61</v>
      </c>
      <c r="F54" s="439">
        <f t="shared" si="0"/>
        <v>248721.61</v>
      </c>
      <c r="G54" s="447">
        <f t="shared" si="1"/>
        <v>248721.61</v>
      </c>
    </row>
    <row r="55" spans="1:7" x14ac:dyDescent="0.25">
      <c r="A55" s="410" t="s">
        <v>296</v>
      </c>
      <c r="B55" s="411" t="s">
        <v>885</v>
      </c>
      <c r="C55" s="412">
        <v>15215.46</v>
      </c>
      <c r="D55" s="444"/>
      <c r="E55" s="443">
        <v>2256900.02</v>
      </c>
      <c r="F55" s="439">
        <f t="shared" si="0"/>
        <v>2272115.48</v>
      </c>
      <c r="G55" s="447">
        <f t="shared" si="1"/>
        <v>2256900.02</v>
      </c>
    </row>
    <row r="56" spans="1:7" x14ac:dyDescent="0.25">
      <c r="A56" s="410" t="s">
        <v>298</v>
      </c>
      <c r="B56" s="411" t="s">
        <v>886</v>
      </c>
      <c r="D56" s="442">
        <v>4133.46</v>
      </c>
      <c r="E56" s="443">
        <v>407595.21</v>
      </c>
      <c r="F56" s="439">
        <f t="shared" si="0"/>
        <v>411728.67000000004</v>
      </c>
      <c r="G56" s="447">
        <f t="shared" si="1"/>
        <v>411728.67000000004</v>
      </c>
    </row>
    <row r="57" spans="1:7" x14ac:dyDescent="0.25">
      <c r="A57" s="410" t="s">
        <v>300</v>
      </c>
      <c r="B57" s="411" t="s">
        <v>887</v>
      </c>
      <c r="D57" s="442">
        <v>36000</v>
      </c>
      <c r="E57" s="443">
        <v>148166.95000000001</v>
      </c>
      <c r="F57" s="439">
        <f t="shared" si="0"/>
        <v>184166.95</v>
      </c>
      <c r="G57" s="447">
        <f t="shared" si="1"/>
        <v>184166.95</v>
      </c>
    </row>
    <row r="58" spans="1:7" x14ac:dyDescent="0.25">
      <c r="A58" s="410" t="s">
        <v>302</v>
      </c>
      <c r="B58" s="411" t="s">
        <v>888</v>
      </c>
      <c r="D58" s="444"/>
      <c r="E58" s="443">
        <v>255586.86</v>
      </c>
      <c r="F58" s="439">
        <f t="shared" si="0"/>
        <v>255586.86</v>
      </c>
      <c r="G58" s="447">
        <f t="shared" si="1"/>
        <v>255586.86</v>
      </c>
    </row>
    <row r="59" spans="1:7" x14ac:dyDescent="0.25">
      <c r="A59" s="410" t="s">
        <v>304</v>
      </c>
      <c r="B59" s="410" t="s">
        <v>889</v>
      </c>
      <c r="D59" s="444"/>
      <c r="E59" s="443">
        <v>368249.7</v>
      </c>
      <c r="F59" s="439">
        <f t="shared" si="0"/>
        <v>368249.7</v>
      </c>
      <c r="G59" s="447">
        <f t="shared" si="1"/>
        <v>368249.7</v>
      </c>
    </row>
    <row r="60" spans="1:7" x14ac:dyDescent="0.25">
      <c r="A60" s="410" t="s">
        <v>306</v>
      </c>
      <c r="B60" s="410" t="s">
        <v>1138</v>
      </c>
      <c r="D60" s="444"/>
      <c r="E60" s="443">
        <v>54187.57</v>
      </c>
      <c r="F60" s="439">
        <f t="shared" si="0"/>
        <v>54187.57</v>
      </c>
      <c r="G60" s="447">
        <f t="shared" si="1"/>
        <v>54187.57</v>
      </c>
    </row>
    <row r="61" spans="1:7" x14ac:dyDescent="0.25">
      <c r="A61" s="410" t="s">
        <v>308</v>
      </c>
      <c r="B61" s="410" t="s">
        <v>892</v>
      </c>
      <c r="C61" s="412">
        <v>14452.88</v>
      </c>
      <c r="D61" s="444"/>
      <c r="E61" s="443">
        <v>682316.01</v>
      </c>
      <c r="F61" s="439">
        <f t="shared" si="0"/>
        <v>696768.89</v>
      </c>
      <c r="G61" s="447">
        <f t="shared" si="1"/>
        <v>682316.01</v>
      </c>
    </row>
    <row r="62" spans="1:7" x14ac:dyDescent="0.25">
      <c r="A62" s="410" t="s">
        <v>310</v>
      </c>
      <c r="B62" s="410" t="s">
        <v>893</v>
      </c>
      <c r="D62" s="442">
        <v>6121.55</v>
      </c>
      <c r="E62" s="443">
        <v>793373.5</v>
      </c>
      <c r="F62" s="439">
        <f t="shared" si="0"/>
        <v>799495.05</v>
      </c>
      <c r="G62" s="447">
        <f t="shared" si="1"/>
        <v>799495.05</v>
      </c>
    </row>
    <row r="63" spans="1:7" x14ac:dyDescent="0.25">
      <c r="A63" s="410" t="s">
        <v>312</v>
      </c>
      <c r="B63" s="410" t="s">
        <v>894</v>
      </c>
      <c r="D63" s="444"/>
      <c r="E63" s="443">
        <v>487656.1</v>
      </c>
      <c r="F63" s="439">
        <f t="shared" si="0"/>
        <v>487656.1</v>
      </c>
      <c r="G63" s="447">
        <f t="shared" si="1"/>
        <v>487656.1</v>
      </c>
    </row>
    <row r="64" spans="1:7" x14ac:dyDescent="0.25">
      <c r="A64" s="410" t="s">
        <v>314</v>
      </c>
      <c r="B64" s="410" t="s">
        <v>895</v>
      </c>
      <c r="D64" s="444"/>
      <c r="E64" s="443">
        <v>3041796.49</v>
      </c>
      <c r="F64" s="439">
        <f t="shared" si="0"/>
        <v>3041796.49</v>
      </c>
      <c r="G64" s="447">
        <f t="shared" si="1"/>
        <v>3041796.49</v>
      </c>
    </row>
    <row r="65" spans="1:7" x14ac:dyDescent="0.25">
      <c r="A65" s="410" t="s">
        <v>316</v>
      </c>
      <c r="B65" s="410" t="s">
        <v>896</v>
      </c>
      <c r="C65" s="412">
        <v>9501.5400000000009</v>
      </c>
      <c r="D65" s="442">
        <v>402889.18</v>
      </c>
      <c r="E65" s="443">
        <v>3055286.85</v>
      </c>
      <c r="F65" s="439">
        <f t="shared" si="0"/>
        <v>3467677.5700000003</v>
      </c>
      <c r="G65" s="447">
        <f t="shared" si="1"/>
        <v>3458176.0300000003</v>
      </c>
    </row>
    <row r="66" spans="1:7" x14ac:dyDescent="0.25">
      <c r="A66" s="410" t="s">
        <v>318</v>
      </c>
      <c r="B66" s="410" t="s">
        <v>897</v>
      </c>
      <c r="D66" s="444"/>
      <c r="E66" s="443">
        <v>18932.63</v>
      </c>
      <c r="F66" s="439">
        <f t="shared" si="0"/>
        <v>18932.63</v>
      </c>
      <c r="G66" s="447">
        <f t="shared" si="1"/>
        <v>18932.63</v>
      </c>
    </row>
    <row r="67" spans="1:7" x14ac:dyDescent="0.25">
      <c r="A67" s="410" t="s">
        <v>320</v>
      </c>
      <c r="B67" s="410" t="s">
        <v>1305</v>
      </c>
      <c r="D67" s="442">
        <v>644793.81000000006</v>
      </c>
      <c r="E67" s="443">
        <v>6751822.54</v>
      </c>
      <c r="F67" s="439">
        <f t="shared" si="0"/>
        <v>7396616.3499999996</v>
      </c>
      <c r="G67" s="447">
        <f t="shared" si="1"/>
        <v>7396616.3499999996</v>
      </c>
    </row>
    <row r="68" spans="1:7" x14ac:dyDescent="0.25">
      <c r="A68" s="410" t="s">
        <v>322</v>
      </c>
      <c r="B68" s="410" t="s">
        <v>1306</v>
      </c>
      <c r="D68" s="442">
        <v>440000</v>
      </c>
      <c r="E68" s="443">
        <v>4480804.91</v>
      </c>
      <c r="F68" s="439">
        <f t="shared" si="0"/>
        <v>4920804.91</v>
      </c>
      <c r="G68" s="447">
        <f t="shared" si="1"/>
        <v>4920804.91</v>
      </c>
    </row>
    <row r="69" spans="1:7" x14ac:dyDescent="0.25">
      <c r="A69" s="410" t="s">
        <v>324</v>
      </c>
      <c r="B69" s="410" t="s">
        <v>900</v>
      </c>
      <c r="D69" s="442">
        <v>1818138.78</v>
      </c>
      <c r="E69" s="443">
        <v>7387326.5300000003</v>
      </c>
      <c r="F69" s="439">
        <f t="shared" si="0"/>
        <v>9205465.3100000005</v>
      </c>
      <c r="G69" s="447">
        <f t="shared" si="1"/>
        <v>9205465.3100000005</v>
      </c>
    </row>
    <row r="70" spans="1:7" x14ac:dyDescent="0.25">
      <c r="A70" s="410" t="s">
        <v>326</v>
      </c>
      <c r="B70" s="410" t="s">
        <v>901</v>
      </c>
      <c r="D70" s="442">
        <v>41378.46</v>
      </c>
      <c r="E70" s="443">
        <v>118004.39</v>
      </c>
      <c r="F70" s="439">
        <f t="shared" ref="F70:F133" si="2">C70+D70+E70</f>
        <v>159382.85</v>
      </c>
      <c r="G70" s="447">
        <f t="shared" ref="G70:G133" si="3">D70+E70</f>
        <v>159382.85</v>
      </c>
    </row>
    <row r="71" spans="1:7" x14ac:dyDescent="0.25">
      <c r="A71" s="410" t="s">
        <v>328</v>
      </c>
      <c r="B71" s="410" t="s">
        <v>902</v>
      </c>
      <c r="D71" s="444"/>
      <c r="E71" s="443">
        <v>2850041.13</v>
      </c>
      <c r="F71" s="439">
        <f t="shared" si="2"/>
        <v>2850041.13</v>
      </c>
      <c r="G71" s="447">
        <f t="shared" si="3"/>
        <v>2850041.13</v>
      </c>
    </row>
    <row r="72" spans="1:7" x14ac:dyDescent="0.25">
      <c r="A72" s="410" t="s">
        <v>330</v>
      </c>
      <c r="B72" s="410" t="s">
        <v>903</v>
      </c>
      <c r="C72" s="412">
        <v>232587.8</v>
      </c>
      <c r="D72" s="442">
        <v>6181499.3799999999</v>
      </c>
      <c r="E72" s="443">
        <v>41367519.409999996</v>
      </c>
      <c r="F72" s="439">
        <f t="shared" si="2"/>
        <v>47781606.589999996</v>
      </c>
      <c r="G72" s="447">
        <f t="shared" si="3"/>
        <v>47549018.789999999</v>
      </c>
    </row>
    <row r="73" spans="1:7" x14ac:dyDescent="0.25">
      <c r="A73" s="410" t="s">
        <v>332</v>
      </c>
      <c r="B73" s="410" t="s">
        <v>904</v>
      </c>
      <c r="C73" s="412">
        <v>11640.71</v>
      </c>
      <c r="D73" s="442">
        <v>731166.5</v>
      </c>
      <c r="E73" s="443">
        <v>4539525.75</v>
      </c>
      <c r="F73" s="439">
        <f t="shared" si="2"/>
        <v>5282332.96</v>
      </c>
      <c r="G73" s="447">
        <f t="shared" si="3"/>
        <v>5270692.25</v>
      </c>
    </row>
    <row r="74" spans="1:7" x14ac:dyDescent="0.25">
      <c r="A74" s="410" t="s">
        <v>334</v>
      </c>
      <c r="B74" s="410" t="s">
        <v>905</v>
      </c>
      <c r="C74" s="412">
        <v>3022.69</v>
      </c>
      <c r="D74" s="442">
        <v>29681.45</v>
      </c>
      <c r="E74" s="443">
        <v>2688292.4</v>
      </c>
      <c r="F74" s="439">
        <f t="shared" si="2"/>
        <v>2720996.54</v>
      </c>
      <c r="G74" s="447">
        <f t="shared" si="3"/>
        <v>2717973.85</v>
      </c>
    </row>
    <row r="75" spans="1:7" x14ac:dyDescent="0.25">
      <c r="A75" s="410" t="s">
        <v>336</v>
      </c>
      <c r="B75" s="410" t="s">
        <v>906</v>
      </c>
      <c r="D75" s="444"/>
      <c r="E75" s="443">
        <v>259655.67</v>
      </c>
      <c r="F75" s="439">
        <f t="shared" si="2"/>
        <v>259655.67</v>
      </c>
      <c r="G75" s="447">
        <f t="shared" si="3"/>
        <v>259655.67</v>
      </c>
    </row>
    <row r="76" spans="1:7" x14ac:dyDescent="0.25">
      <c r="A76" s="410" t="s">
        <v>338</v>
      </c>
      <c r="B76" s="410" t="s">
        <v>907</v>
      </c>
      <c r="D76" s="442">
        <v>6075.51</v>
      </c>
      <c r="E76" s="443">
        <v>385494.08</v>
      </c>
      <c r="F76" s="439">
        <f t="shared" si="2"/>
        <v>391569.59</v>
      </c>
      <c r="G76" s="447">
        <f t="shared" si="3"/>
        <v>391569.59</v>
      </c>
    </row>
    <row r="77" spans="1:7" x14ac:dyDescent="0.25">
      <c r="A77" s="410" t="s">
        <v>340</v>
      </c>
      <c r="B77" s="410" t="s">
        <v>908</v>
      </c>
      <c r="C77" s="412">
        <v>86410.44</v>
      </c>
      <c r="D77" s="442">
        <v>710270.96</v>
      </c>
      <c r="E77" s="443">
        <v>8767284.0199999996</v>
      </c>
      <c r="F77" s="439">
        <f t="shared" si="2"/>
        <v>9563965.4199999999</v>
      </c>
      <c r="G77" s="447">
        <f t="shared" si="3"/>
        <v>9477554.9800000004</v>
      </c>
    </row>
    <row r="78" spans="1:7" x14ac:dyDescent="0.25">
      <c r="A78" s="410" t="s">
        <v>342</v>
      </c>
      <c r="B78" s="410" t="s">
        <v>909</v>
      </c>
      <c r="D78" s="444"/>
      <c r="E78" s="443">
        <v>3221619.67</v>
      </c>
      <c r="F78" s="439">
        <f t="shared" si="2"/>
        <v>3221619.67</v>
      </c>
      <c r="G78" s="447">
        <f t="shared" si="3"/>
        <v>3221619.67</v>
      </c>
    </row>
    <row r="79" spans="1:7" x14ac:dyDescent="0.25">
      <c r="A79" s="410" t="s">
        <v>344</v>
      </c>
      <c r="B79" s="410" t="s">
        <v>1139</v>
      </c>
      <c r="D79" s="442">
        <v>2890</v>
      </c>
      <c r="E79" s="443">
        <v>74530.990000000005</v>
      </c>
      <c r="F79" s="439">
        <f t="shared" si="2"/>
        <v>77420.990000000005</v>
      </c>
      <c r="G79" s="447">
        <f t="shared" si="3"/>
        <v>77420.990000000005</v>
      </c>
    </row>
    <row r="80" spans="1:7" x14ac:dyDescent="0.25">
      <c r="A80" s="410" t="s">
        <v>346</v>
      </c>
      <c r="B80" s="410" t="s">
        <v>910</v>
      </c>
      <c r="D80" s="442">
        <v>1241534.4099999999</v>
      </c>
      <c r="E80" s="443">
        <v>44135087.899999999</v>
      </c>
      <c r="F80" s="439">
        <f t="shared" si="2"/>
        <v>45376622.309999995</v>
      </c>
      <c r="G80" s="447">
        <f t="shared" si="3"/>
        <v>45376622.309999995</v>
      </c>
    </row>
    <row r="81" spans="1:7" x14ac:dyDescent="0.25">
      <c r="A81" s="410" t="s">
        <v>348</v>
      </c>
      <c r="B81" s="410" t="s">
        <v>1307</v>
      </c>
      <c r="C81" s="412">
        <v>284121.18</v>
      </c>
      <c r="D81" s="442">
        <v>8070900.0999999996</v>
      </c>
      <c r="E81" s="443">
        <v>42070805.329999998</v>
      </c>
      <c r="F81" s="439">
        <f t="shared" si="2"/>
        <v>50425826.609999999</v>
      </c>
      <c r="G81" s="447">
        <f t="shared" si="3"/>
        <v>50141705.43</v>
      </c>
    </row>
    <row r="82" spans="1:7" x14ac:dyDescent="0.25">
      <c r="A82" s="410" t="s">
        <v>350</v>
      </c>
      <c r="B82" s="410" t="s">
        <v>1308</v>
      </c>
      <c r="D82" s="444"/>
      <c r="E82" s="443">
        <v>32684.11</v>
      </c>
      <c r="F82" s="439">
        <f t="shared" si="2"/>
        <v>32684.11</v>
      </c>
      <c r="G82" s="447">
        <f t="shared" si="3"/>
        <v>32684.11</v>
      </c>
    </row>
    <row r="83" spans="1:7" x14ac:dyDescent="0.25">
      <c r="A83" s="410" t="s">
        <v>352</v>
      </c>
      <c r="B83" s="410" t="s">
        <v>913</v>
      </c>
      <c r="C83" s="412">
        <v>36654.769999999997</v>
      </c>
      <c r="D83" s="444"/>
      <c r="E83" s="443">
        <v>42890505.780000001</v>
      </c>
      <c r="F83" s="439">
        <f t="shared" si="2"/>
        <v>42927160.550000004</v>
      </c>
      <c r="G83" s="447">
        <f t="shared" si="3"/>
        <v>42890505.780000001</v>
      </c>
    </row>
    <row r="84" spans="1:7" x14ac:dyDescent="0.25">
      <c r="A84" s="410" t="s">
        <v>354</v>
      </c>
      <c r="B84" s="410" t="s">
        <v>914</v>
      </c>
      <c r="D84" s="444"/>
      <c r="E84" s="443">
        <v>9740360.8699999992</v>
      </c>
      <c r="F84" s="439">
        <f t="shared" si="2"/>
        <v>9740360.8699999992</v>
      </c>
      <c r="G84" s="447">
        <f t="shared" si="3"/>
        <v>9740360.8699999992</v>
      </c>
    </row>
    <row r="85" spans="1:7" x14ac:dyDescent="0.25">
      <c r="A85" s="410" t="s">
        <v>356</v>
      </c>
      <c r="B85" s="410" t="s">
        <v>915</v>
      </c>
      <c r="C85" s="412">
        <v>54612.25</v>
      </c>
      <c r="D85" s="444"/>
      <c r="E85" s="443">
        <v>7507937.0700000003</v>
      </c>
      <c r="F85" s="439">
        <f t="shared" si="2"/>
        <v>7562549.3200000003</v>
      </c>
      <c r="G85" s="447">
        <f t="shared" si="3"/>
        <v>7507937.0700000003</v>
      </c>
    </row>
    <row r="86" spans="1:7" x14ac:dyDescent="0.25">
      <c r="A86" s="410" t="s">
        <v>358</v>
      </c>
      <c r="B86" s="410" t="s">
        <v>916</v>
      </c>
      <c r="C86" s="412">
        <v>27974.39</v>
      </c>
      <c r="D86" s="442">
        <v>482687.13</v>
      </c>
      <c r="E86" s="443">
        <v>854645.92</v>
      </c>
      <c r="F86" s="439">
        <f t="shared" si="2"/>
        <v>1365307.44</v>
      </c>
      <c r="G86" s="447">
        <f t="shared" si="3"/>
        <v>1337333.05</v>
      </c>
    </row>
    <row r="87" spans="1:7" x14ac:dyDescent="0.25">
      <c r="A87" s="410" t="s">
        <v>360</v>
      </c>
      <c r="B87" s="410" t="s">
        <v>917</v>
      </c>
      <c r="C87" s="412">
        <v>101719.2</v>
      </c>
      <c r="D87" s="444"/>
      <c r="E87" s="443">
        <v>17935754.699999999</v>
      </c>
      <c r="F87" s="439">
        <f t="shared" si="2"/>
        <v>18037473.899999999</v>
      </c>
      <c r="G87" s="447">
        <f t="shared" si="3"/>
        <v>17935754.699999999</v>
      </c>
    </row>
    <row r="88" spans="1:7" x14ac:dyDescent="0.25">
      <c r="A88" s="410" t="s">
        <v>362</v>
      </c>
      <c r="B88" s="410" t="s">
        <v>918</v>
      </c>
      <c r="D88" s="444"/>
      <c r="E88" s="443">
        <v>1166295.9099999999</v>
      </c>
      <c r="F88" s="439">
        <f t="shared" si="2"/>
        <v>1166295.9099999999</v>
      </c>
      <c r="G88" s="447">
        <f t="shared" si="3"/>
        <v>1166295.9099999999</v>
      </c>
    </row>
    <row r="89" spans="1:7" x14ac:dyDescent="0.25">
      <c r="A89" s="410" t="s">
        <v>364</v>
      </c>
      <c r="B89" s="410" t="s">
        <v>919</v>
      </c>
      <c r="D89" s="442">
        <v>2706.94</v>
      </c>
      <c r="E89" s="443">
        <v>151021.28</v>
      </c>
      <c r="F89" s="439">
        <f t="shared" si="2"/>
        <v>153728.22</v>
      </c>
      <c r="G89" s="447">
        <f t="shared" si="3"/>
        <v>153728.22</v>
      </c>
    </row>
    <row r="90" spans="1:7" x14ac:dyDescent="0.25">
      <c r="A90" s="410" t="s">
        <v>366</v>
      </c>
      <c r="B90" s="410" t="s">
        <v>920</v>
      </c>
      <c r="D90" s="444"/>
      <c r="E90" s="443">
        <v>100066.66</v>
      </c>
      <c r="F90" s="439">
        <f t="shared" si="2"/>
        <v>100066.66</v>
      </c>
      <c r="G90" s="447">
        <f t="shared" si="3"/>
        <v>100066.66</v>
      </c>
    </row>
    <row r="91" spans="1:7" x14ac:dyDescent="0.25">
      <c r="A91" s="410" t="s">
        <v>368</v>
      </c>
      <c r="B91" s="410" t="s">
        <v>921</v>
      </c>
      <c r="D91" s="444"/>
      <c r="E91" s="443">
        <v>3007033.3</v>
      </c>
      <c r="F91" s="439">
        <f t="shared" si="2"/>
        <v>3007033.3</v>
      </c>
      <c r="G91" s="447">
        <f t="shared" si="3"/>
        <v>3007033.3</v>
      </c>
    </row>
    <row r="92" spans="1:7" x14ac:dyDescent="0.25">
      <c r="A92" s="410" t="s">
        <v>370</v>
      </c>
      <c r="B92" s="410" t="s">
        <v>922</v>
      </c>
      <c r="C92" s="412">
        <v>101.5</v>
      </c>
      <c r="D92" s="442">
        <v>104299.01</v>
      </c>
      <c r="E92" s="443">
        <v>991976.21</v>
      </c>
      <c r="F92" s="439">
        <f t="shared" si="2"/>
        <v>1096376.72</v>
      </c>
      <c r="G92" s="447">
        <f t="shared" si="3"/>
        <v>1096275.22</v>
      </c>
    </row>
    <row r="93" spans="1:7" x14ac:dyDescent="0.25">
      <c r="A93" s="410" t="s">
        <v>372</v>
      </c>
      <c r="B93" s="410" t="s">
        <v>923</v>
      </c>
      <c r="D93" s="444"/>
      <c r="E93" s="443">
        <v>5775391.6100000003</v>
      </c>
      <c r="F93" s="439">
        <f t="shared" si="2"/>
        <v>5775391.6100000003</v>
      </c>
      <c r="G93" s="447">
        <f t="shared" si="3"/>
        <v>5775391.6100000003</v>
      </c>
    </row>
    <row r="94" spans="1:7" x14ac:dyDescent="0.25">
      <c r="A94" s="410" t="s">
        <v>374</v>
      </c>
      <c r="B94" s="410" t="s">
        <v>924</v>
      </c>
      <c r="D94" s="444"/>
      <c r="E94" s="443">
        <v>1965377.29</v>
      </c>
      <c r="F94" s="439">
        <f t="shared" si="2"/>
        <v>1965377.29</v>
      </c>
      <c r="G94" s="447">
        <f t="shared" si="3"/>
        <v>1965377.29</v>
      </c>
    </row>
    <row r="95" spans="1:7" x14ac:dyDescent="0.25">
      <c r="A95" s="410" t="s">
        <v>376</v>
      </c>
      <c r="B95" s="410" t="s">
        <v>925</v>
      </c>
      <c r="D95" s="444"/>
      <c r="E95" s="443">
        <v>6324214.1600000001</v>
      </c>
      <c r="F95" s="439">
        <f t="shared" si="2"/>
        <v>6324214.1600000001</v>
      </c>
      <c r="G95" s="447">
        <f t="shared" si="3"/>
        <v>6324214.1600000001</v>
      </c>
    </row>
    <row r="96" spans="1:7" x14ac:dyDescent="0.25">
      <c r="A96" s="410" t="s">
        <v>378</v>
      </c>
      <c r="B96" s="410" t="s">
        <v>1140</v>
      </c>
      <c r="D96" s="442">
        <v>54560.54</v>
      </c>
      <c r="E96" s="443">
        <v>304368.59000000003</v>
      </c>
      <c r="F96" s="439">
        <f t="shared" si="2"/>
        <v>358929.13</v>
      </c>
      <c r="G96" s="447">
        <f t="shared" si="3"/>
        <v>358929.13</v>
      </c>
    </row>
    <row r="97" spans="1:7" x14ac:dyDescent="0.25">
      <c r="A97" s="410" t="s">
        <v>380</v>
      </c>
      <c r="B97" s="410" t="s">
        <v>926</v>
      </c>
      <c r="D97" s="444"/>
      <c r="E97" s="443">
        <v>51044.639999999999</v>
      </c>
      <c r="F97" s="439">
        <f t="shared" si="2"/>
        <v>51044.639999999999</v>
      </c>
      <c r="G97" s="447">
        <f t="shared" si="3"/>
        <v>51044.639999999999</v>
      </c>
    </row>
    <row r="98" spans="1:7" x14ac:dyDescent="0.25">
      <c r="A98" s="410" t="s">
        <v>384</v>
      </c>
      <c r="B98" s="410" t="s">
        <v>927</v>
      </c>
      <c r="D98" s="444"/>
      <c r="E98" s="443">
        <v>194224.95</v>
      </c>
      <c r="F98" s="439">
        <f t="shared" si="2"/>
        <v>194224.95</v>
      </c>
      <c r="G98" s="447">
        <f t="shared" si="3"/>
        <v>194224.95</v>
      </c>
    </row>
    <row r="99" spans="1:7" x14ac:dyDescent="0.25">
      <c r="A99" s="410" t="s">
        <v>386</v>
      </c>
      <c r="B99" s="410" t="s">
        <v>928</v>
      </c>
      <c r="C99" s="412">
        <v>13613.8</v>
      </c>
      <c r="D99" s="444"/>
      <c r="E99" s="443">
        <v>1071346.52</v>
      </c>
      <c r="F99" s="439">
        <f t="shared" si="2"/>
        <v>1084960.32</v>
      </c>
      <c r="G99" s="447">
        <f t="shared" si="3"/>
        <v>1071346.52</v>
      </c>
    </row>
    <row r="100" spans="1:7" x14ac:dyDescent="0.25">
      <c r="A100" s="410" t="s">
        <v>388</v>
      </c>
      <c r="B100" s="410" t="s">
        <v>929</v>
      </c>
      <c r="D100" s="442">
        <v>5300</v>
      </c>
      <c r="E100" s="443">
        <v>208591.12</v>
      </c>
      <c r="F100" s="439">
        <f t="shared" si="2"/>
        <v>213891.12</v>
      </c>
      <c r="G100" s="447">
        <f t="shared" si="3"/>
        <v>213891.12</v>
      </c>
    </row>
    <row r="101" spans="1:7" x14ac:dyDescent="0.25">
      <c r="A101" s="410" t="s">
        <v>390</v>
      </c>
      <c r="B101" s="410" t="s">
        <v>930</v>
      </c>
      <c r="D101" s="442">
        <v>117184.58</v>
      </c>
      <c r="E101" s="443">
        <v>1252669.99</v>
      </c>
      <c r="F101" s="439">
        <f t="shared" si="2"/>
        <v>1369854.57</v>
      </c>
      <c r="G101" s="447">
        <f t="shared" si="3"/>
        <v>1369854.57</v>
      </c>
    </row>
    <row r="102" spans="1:7" x14ac:dyDescent="0.25">
      <c r="A102" s="410" t="s">
        <v>392</v>
      </c>
      <c r="B102" s="410" t="s">
        <v>931</v>
      </c>
      <c r="C102" s="412">
        <v>961860.13</v>
      </c>
      <c r="D102" s="442">
        <v>10578962.119999999</v>
      </c>
      <c r="E102" s="443">
        <v>33724666.939999998</v>
      </c>
      <c r="F102" s="439">
        <f t="shared" si="2"/>
        <v>45265489.189999998</v>
      </c>
      <c r="G102" s="447">
        <f t="shared" si="3"/>
        <v>44303629.059999995</v>
      </c>
    </row>
    <row r="103" spans="1:7" x14ac:dyDescent="0.25">
      <c r="A103" s="410" t="s">
        <v>394</v>
      </c>
      <c r="B103" s="410" t="s">
        <v>932</v>
      </c>
      <c r="C103" s="412">
        <v>17796.189999999999</v>
      </c>
      <c r="D103" s="442">
        <v>558569.05000000005</v>
      </c>
      <c r="E103" s="443">
        <v>2219944.15</v>
      </c>
      <c r="F103" s="439">
        <f t="shared" si="2"/>
        <v>2796309.3899999997</v>
      </c>
      <c r="G103" s="447">
        <f t="shared" si="3"/>
        <v>2778513.2</v>
      </c>
    </row>
    <row r="104" spans="1:7" x14ac:dyDescent="0.25">
      <c r="A104" s="410" t="s">
        <v>396</v>
      </c>
      <c r="B104" s="410" t="s">
        <v>933</v>
      </c>
      <c r="D104" s="444"/>
      <c r="E104" s="443">
        <v>791057.47</v>
      </c>
      <c r="F104" s="439">
        <f t="shared" si="2"/>
        <v>791057.47</v>
      </c>
      <c r="G104" s="447">
        <f t="shared" si="3"/>
        <v>791057.47</v>
      </c>
    </row>
    <row r="105" spans="1:7" x14ac:dyDescent="0.25">
      <c r="A105" s="410" t="s">
        <v>398</v>
      </c>
      <c r="B105" s="410" t="s">
        <v>934</v>
      </c>
      <c r="D105" s="444"/>
      <c r="E105" s="443">
        <v>2621035.7200000002</v>
      </c>
      <c r="F105" s="439">
        <f t="shared" si="2"/>
        <v>2621035.7200000002</v>
      </c>
      <c r="G105" s="447">
        <f t="shared" si="3"/>
        <v>2621035.7200000002</v>
      </c>
    </row>
    <row r="106" spans="1:7" x14ac:dyDescent="0.25">
      <c r="A106" s="410" t="s">
        <v>1161</v>
      </c>
      <c r="B106" s="410" t="s">
        <v>1309</v>
      </c>
      <c r="D106" s="444"/>
      <c r="E106" s="443">
        <v>160829.82</v>
      </c>
      <c r="F106" s="439">
        <f t="shared" si="2"/>
        <v>160829.82</v>
      </c>
      <c r="G106" s="447">
        <f t="shared" si="3"/>
        <v>160829.82</v>
      </c>
    </row>
    <row r="107" spans="1:7" x14ac:dyDescent="0.25">
      <c r="A107" s="410" t="s">
        <v>400</v>
      </c>
      <c r="B107" s="410" t="s">
        <v>1310</v>
      </c>
      <c r="D107" s="444"/>
      <c r="E107" s="443">
        <v>278257.78999999998</v>
      </c>
      <c r="F107" s="439">
        <f t="shared" si="2"/>
        <v>278257.78999999998</v>
      </c>
      <c r="G107" s="447">
        <f t="shared" si="3"/>
        <v>278257.78999999998</v>
      </c>
    </row>
    <row r="108" spans="1:7" x14ac:dyDescent="0.25">
      <c r="A108" s="410" t="s">
        <v>401</v>
      </c>
      <c r="B108" s="410" t="s">
        <v>1311</v>
      </c>
      <c r="D108" s="444"/>
      <c r="E108" s="443">
        <v>119056.03</v>
      </c>
      <c r="F108" s="439">
        <f t="shared" si="2"/>
        <v>119056.03</v>
      </c>
      <c r="G108" s="447">
        <f t="shared" si="3"/>
        <v>119056.03</v>
      </c>
    </row>
    <row r="109" spans="1:7" x14ac:dyDescent="0.25">
      <c r="A109" s="410" t="s">
        <v>403</v>
      </c>
      <c r="B109" s="410" t="s">
        <v>935</v>
      </c>
      <c r="D109" s="444"/>
      <c r="E109" s="443">
        <v>368862.91</v>
      </c>
      <c r="F109" s="439">
        <f t="shared" si="2"/>
        <v>368862.91</v>
      </c>
      <c r="G109" s="447">
        <f t="shared" si="3"/>
        <v>368862.91</v>
      </c>
    </row>
    <row r="110" spans="1:7" x14ac:dyDescent="0.25">
      <c r="A110" s="410" t="s">
        <v>405</v>
      </c>
      <c r="B110" s="410" t="s">
        <v>936</v>
      </c>
      <c r="D110" s="444"/>
      <c r="E110" s="443">
        <v>37255.51</v>
      </c>
      <c r="F110" s="439">
        <f t="shared" si="2"/>
        <v>37255.51</v>
      </c>
      <c r="G110" s="447">
        <f t="shared" si="3"/>
        <v>37255.51</v>
      </c>
    </row>
    <row r="111" spans="1:7" x14ac:dyDescent="0.25">
      <c r="A111" s="410" t="s">
        <v>407</v>
      </c>
      <c r="B111" s="410" t="s">
        <v>937</v>
      </c>
      <c r="C111" s="412">
        <v>71.73</v>
      </c>
      <c r="D111" s="442">
        <v>8175715.2400000002</v>
      </c>
      <c r="E111" s="443">
        <v>24671388.850000001</v>
      </c>
      <c r="F111" s="439">
        <f t="shared" si="2"/>
        <v>32847175.82</v>
      </c>
      <c r="G111" s="447">
        <f t="shared" si="3"/>
        <v>32847104.090000004</v>
      </c>
    </row>
    <row r="112" spans="1:7" x14ac:dyDescent="0.25">
      <c r="A112" s="410" t="s">
        <v>409</v>
      </c>
      <c r="B112" s="410" t="s">
        <v>938</v>
      </c>
      <c r="D112" s="444"/>
      <c r="E112" s="443">
        <v>73202.64</v>
      </c>
      <c r="F112" s="439">
        <f t="shared" si="2"/>
        <v>73202.64</v>
      </c>
      <c r="G112" s="447">
        <f t="shared" si="3"/>
        <v>73202.64</v>
      </c>
    </row>
    <row r="113" spans="1:7" x14ac:dyDescent="0.25">
      <c r="A113" s="410" t="s">
        <v>411</v>
      </c>
      <c r="B113" s="410" t="s">
        <v>1274</v>
      </c>
      <c r="D113" s="444"/>
      <c r="E113" s="443">
        <v>1902289.02</v>
      </c>
      <c r="F113" s="439">
        <f t="shared" si="2"/>
        <v>1902289.02</v>
      </c>
      <c r="G113" s="447">
        <f t="shared" si="3"/>
        <v>1902289.02</v>
      </c>
    </row>
    <row r="114" spans="1:7" x14ac:dyDescent="0.25">
      <c r="A114" s="410" t="s">
        <v>413</v>
      </c>
      <c r="B114" s="410" t="s">
        <v>939</v>
      </c>
      <c r="D114" s="444"/>
      <c r="E114" s="443">
        <v>27386.44</v>
      </c>
      <c r="F114" s="439">
        <f t="shared" si="2"/>
        <v>27386.44</v>
      </c>
      <c r="G114" s="447">
        <f t="shared" si="3"/>
        <v>27386.44</v>
      </c>
    </row>
    <row r="115" spans="1:7" x14ac:dyDescent="0.25">
      <c r="A115" s="410" t="s">
        <v>415</v>
      </c>
      <c r="B115" s="410" t="s">
        <v>940</v>
      </c>
      <c r="C115" s="412">
        <v>100173.79</v>
      </c>
      <c r="D115" s="442">
        <v>301940.51</v>
      </c>
      <c r="E115" s="443">
        <v>8315786.5899999999</v>
      </c>
      <c r="F115" s="439">
        <f t="shared" si="2"/>
        <v>8717900.8900000006</v>
      </c>
      <c r="G115" s="447">
        <f t="shared" si="3"/>
        <v>8617727.0999999996</v>
      </c>
    </row>
    <row r="116" spans="1:7" x14ac:dyDescent="0.25">
      <c r="A116" s="410" t="s">
        <v>417</v>
      </c>
      <c r="B116" s="410" t="s">
        <v>941</v>
      </c>
      <c r="C116" s="412">
        <v>202588.84</v>
      </c>
      <c r="D116" s="442">
        <v>3293872.64</v>
      </c>
      <c r="E116" s="443">
        <v>23379721.66</v>
      </c>
      <c r="F116" s="439">
        <f t="shared" si="2"/>
        <v>26876183.140000001</v>
      </c>
      <c r="G116" s="447">
        <f t="shared" si="3"/>
        <v>26673594.300000001</v>
      </c>
    </row>
    <row r="117" spans="1:7" x14ac:dyDescent="0.25">
      <c r="A117" s="410" t="s">
        <v>419</v>
      </c>
      <c r="B117" s="410" t="s">
        <v>942</v>
      </c>
      <c r="C117" s="412">
        <v>18853.75</v>
      </c>
      <c r="D117" s="442">
        <v>17103903.690000001</v>
      </c>
      <c r="E117" s="443">
        <v>40821000.700000003</v>
      </c>
      <c r="F117" s="439">
        <f t="shared" si="2"/>
        <v>57943758.140000001</v>
      </c>
      <c r="G117" s="447">
        <f t="shared" si="3"/>
        <v>57924904.390000001</v>
      </c>
    </row>
    <row r="118" spans="1:7" x14ac:dyDescent="0.25">
      <c r="A118" s="410" t="s">
        <v>421</v>
      </c>
      <c r="B118" s="410" t="s">
        <v>943</v>
      </c>
      <c r="D118" s="444"/>
      <c r="E118" s="443">
        <v>1363041.61</v>
      </c>
      <c r="F118" s="439">
        <f t="shared" si="2"/>
        <v>1363041.61</v>
      </c>
      <c r="G118" s="447">
        <f t="shared" si="3"/>
        <v>1363041.61</v>
      </c>
    </row>
    <row r="119" spans="1:7" x14ac:dyDescent="0.25">
      <c r="A119" s="410" t="s">
        <v>423</v>
      </c>
      <c r="B119" s="410" t="s">
        <v>944</v>
      </c>
      <c r="C119" s="412">
        <v>5411</v>
      </c>
      <c r="D119" s="444"/>
      <c r="E119" s="443">
        <v>1747505.62</v>
      </c>
      <c r="F119" s="439">
        <f t="shared" si="2"/>
        <v>1752916.62</v>
      </c>
      <c r="G119" s="447">
        <f t="shared" si="3"/>
        <v>1747505.62</v>
      </c>
    </row>
    <row r="120" spans="1:7" x14ac:dyDescent="0.25">
      <c r="A120" s="410" t="s">
        <v>425</v>
      </c>
      <c r="B120" s="410" t="s">
        <v>945</v>
      </c>
      <c r="D120" s="444"/>
      <c r="E120" s="443">
        <v>1177933.48</v>
      </c>
      <c r="F120" s="439">
        <f t="shared" si="2"/>
        <v>1177933.48</v>
      </c>
      <c r="G120" s="447">
        <f t="shared" si="3"/>
        <v>1177933.48</v>
      </c>
    </row>
    <row r="121" spans="1:7" x14ac:dyDescent="0.25">
      <c r="A121" s="410" t="s">
        <v>427</v>
      </c>
      <c r="B121" s="410" t="s">
        <v>1141</v>
      </c>
      <c r="D121" s="444"/>
      <c r="E121" s="443">
        <v>124227.42</v>
      </c>
      <c r="F121" s="439">
        <f t="shared" si="2"/>
        <v>124227.42</v>
      </c>
      <c r="G121" s="447">
        <f t="shared" si="3"/>
        <v>124227.42</v>
      </c>
    </row>
    <row r="122" spans="1:7" x14ac:dyDescent="0.25">
      <c r="A122" s="410" t="s">
        <v>431</v>
      </c>
      <c r="B122" s="410" t="s">
        <v>947</v>
      </c>
      <c r="C122" s="412">
        <v>7561</v>
      </c>
      <c r="D122" s="442">
        <v>39521</v>
      </c>
      <c r="E122" s="443">
        <v>1126819.3700000001</v>
      </c>
      <c r="F122" s="439">
        <f t="shared" si="2"/>
        <v>1173901.3700000001</v>
      </c>
      <c r="G122" s="447">
        <f t="shared" si="3"/>
        <v>1166340.3700000001</v>
      </c>
    </row>
    <row r="123" spans="1:7" x14ac:dyDescent="0.25">
      <c r="A123" s="410" t="s">
        <v>429</v>
      </c>
      <c r="B123" s="410" t="s">
        <v>1312</v>
      </c>
      <c r="D123" s="442">
        <v>268730.81</v>
      </c>
      <c r="E123" s="443">
        <v>2833742.04</v>
      </c>
      <c r="F123" s="439">
        <f t="shared" si="2"/>
        <v>3102472.85</v>
      </c>
      <c r="G123" s="447">
        <f t="shared" si="3"/>
        <v>3102472.85</v>
      </c>
    </row>
    <row r="124" spans="1:7" x14ac:dyDescent="0.25">
      <c r="A124" s="410" t="s">
        <v>433</v>
      </c>
      <c r="B124" s="410" t="s">
        <v>1313</v>
      </c>
      <c r="D124" s="444"/>
      <c r="E124" s="443">
        <v>133159.66</v>
      </c>
      <c r="F124" s="439">
        <f t="shared" si="2"/>
        <v>133159.66</v>
      </c>
      <c r="G124" s="447">
        <f t="shared" si="3"/>
        <v>133159.66</v>
      </c>
    </row>
    <row r="125" spans="1:7" x14ac:dyDescent="0.25">
      <c r="A125" s="410" t="s">
        <v>435</v>
      </c>
      <c r="B125" s="410" t="s">
        <v>948</v>
      </c>
      <c r="D125" s="442">
        <v>229758.88</v>
      </c>
      <c r="E125" s="443">
        <v>1353118.29</v>
      </c>
      <c r="F125" s="439">
        <f t="shared" si="2"/>
        <v>1582877.17</v>
      </c>
      <c r="G125" s="447">
        <f t="shared" si="3"/>
        <v>1582877.17</v>
      </c>
    </row>
    <row r="126" spans="1:7" x14ac:dyDescent="0.25">
      <c r="A126" s="410" t="s">
        <v>439</v>
      </c>
      <c r="B126" s="410" t="s">
        <v>949</v>
      </c>
      <c r="C126" s="412">
        <v>53390.86</v>
      </c>
      <c r="D126" s="444"/>
      <c r="E126" s="443">
        <v>19564225.460000001</v>
      </c>
      <c r="F126" s="439">
        <f t="shared" si="2"/>
        <v>19617616.32</v>
      </c>
      <c r="G126" s="447">
        <f t="shared" si="3"/>
        <v>19564225.460000001</v>
      </c>
    </row>
    <row r="127" spans="1:7" x14ac:dyDescent="0.25">
      <c r="A127" s="410" t="s">
        <v>441</v>
      </c>
      <c r="B127" s="410" t="s">
        <v>950</v>
      </c>
      <c r="C127" s="412">
        <v>114573.72</v>
      </c>
      <c r="D127" s="442">
        <v>18282455.539999999</v>
      </c>
      <c r="E127" s="443">
        <v>43512472.299999997</v>
      </c>
      <c r="F127" s="439">
        <f t="shared" si="2"/>
        <v>61909501.559999995</v>
      </c>
      <c r="G127" s="447">
        <f t="shared" si="3"/>
        <v>61794927.839999996</v>
      </c>
    </row>
    <row r="128" spans="1:7" x14ac:dyDescent="0.25">
      <c r="A128" s="410" t="s">
        <v>443</v>
      </c>
      <c r="B128" s="410" t="s">
        <v>951</v>
      </c>
      <c r="C128" s="412">
        <v>5817.33</v>
      </c>
      <c r="D128" s="442">
        <v>12420.97</v>
      </c>
      <c r="E128" s="443">
        <v>5190605.59</v>
      </c>
      <c r="F128" s="439">
        <f t="shared" si="2"/>
        <v>5208843.8899999997</v>
      </c>
      <c r="G128" s="447">
        <f t="shared" si="3"/>
        <v>5203026.5599999996</v>
      </c>
    </row>
    <row r="129" spans="1:7" x14ac:dyDescent="0.25">
      <c r="A129" s="410" t="s">
        <v>445</v>
      </c>
      <c r="B129" s="410" t="s">
        <v>952</v>
      </c>
      <c r="D129" s="444"/>
      <c r="E129" s="443">
        <v>107862.55</v>
      </c>
      <c r="F129" s="439">
        <f t="shared" si="2"/>
        <v>107862.55</v>
      </c>
      <c r="G129" s="447">
        <f t="shared" si="3"/>
        <v>107862.55</v>
      </c>
    </row>
    <row r="130" spans="1:7" x14ac:dyDescent="0.25">
      <c r="A130" s="410" t="s">
        <v>447</v>
      </c>
      <c r="B130" s="410" t="s">
        <v>953</v>
      </c>
      <c r="D130" s="444"/>
      <c r="E130" s="443">
        <v>665758.9</v>
      </c>
      <c r="F130" s="439">
        <f t="shared" si="2"/>
        <v>665758.9</v>
      </c>
      <c r="G130" s="447">
        <f t="shared" si="3"/>
        <v>665758.9</v>
      </c>
    </row>
    <row r="131" spans="1:7" x14ac:dyDescent="0.25">
      <c r="A131" s="410" t="s">
        <v>449</v>
      </c>
      <c r="B131" s="410" t="s">
        <v>954</v>
      </c>
      <c r="D131" s="444"/>
      <c r="E131" s="443">
        <v>245895.23</v>
      </c>
      <c r="F131" s="439">
        <f t="shared" si="2"/>
        <v>245895.23</v>
      </c>
      <c r="G131" s="447">
        <f t="shared" si="3"/>
        <v>245895.23</v>
      </c>
    </row>
    <row r="132" spans="1:7" x14ac:dyDescent="0.25">
      <c r="A132" s="410" t="s">
        <v>451</v>
      </c>
      <c r="B132" s="410" t="s">
        <v>955</v>
      </c>
      <c r="C132" s="412">
        <v>115902.48</v>
      </c>
      <c r="D132" s="442">
        <v>1383615.22</v>
      </c>
      <c r="E132" s="443">
        <v>11486543.01</v>
      </c>
      <c r="F132" s="439">
        <f t="shared" si="2"/>
        <v>12986060.709999999</v>
      </c>
      <c r="G132" s="447">
        <f t="shared" si="3"/>
        <v>12870158.23</v>
      </c>
    </row>
    <row r="133" spans="1:7" x14ac:dyDescent="0.25">
      <c r="A133" s="410" t="s">
        <v>453</v>
      </c>
      <c r="B133" s="410" t="s">
        <v>956</v>
      </c>
      <c r="D133" s="444"/>
      <c r="E133" s="443">
        <v>265588.53999999998</v>
      </c>
      <c r="F133" s="439">
        <f t="shared" si="2"/>
        <v>265588.53999999998</v>
      </c>
      <c r="G133" s="447">
        <f t="shared" si="3"/>
        <v>265588.53999999998</v>
      </c>
    </row>
    <row r="134" spans="1:7" x14ac:dyDescent="0.25">
      <c r="A134" s="410" t="s">
        <v>455</v>
      </c>
      <c r="B134" s="410" t="s">
        <v>957</v>
      </c>
      <c r="C134" s="412">
        <v>9860.86</v>
      </c>
      <c r="D134" s="444"/>
      <c r="E134" s="443">
        <v>722190.53</v>
      </c>
      <c r="F134" s="439">
        <f t="shared" ref="F134:F197" si="4">C134+D134+E134</f>
        <v>732051.39</v>
      </c>
      <c r="G134" s="447">
        <f t="shared" ref="G134:G197" si="5">D134+E134</f>
        <v>722190.53</v>
      </c>
    </row>
    <row r="135" spans="1:7" x14ac:dyDescent="0.25">
      <c r="A135" s="410" t="s">
        <v>457</v>
      </c>
      <c r="B135" s="410" t="s">
        <v>1275</v>
      </c>
      <c r="D135" s="442">
        <v>9600</v>
      </c>
      <c r="E135" s="443">
        <v>75088.27</v>
      </c>
      <c r="F135" s="439">
        <f t="shared" si="4"/>
        <v>84688.27</v>
      </c>
      <c r="G135" s="447">
        <f t="shared" si="5"/>
        <v>84688.27</v>
      </c>
    </row>
    <row r="136" spans="1:7" x14ac:dyDescent="0.25">
      <c r="A136" s="410" t="s">
        <v>1314</v>
      </c>
      <c r="B136" s="410" t="s">
        <v>1315</v>
      </c>
      <c r="D136" s="444"/>
      <c r="E136" s="443">
        <v>864016.23</v>
      </c>
      <c r="F136" s="439">
        <f t="shared" si="4"/>
        <v>864016.23</v>
      </c>
      <c r="G136" s="447">
        <f t="shared" si="5"/>
        <v>864016.23</v>
      </c>
    </row>
    <row r="137" spans="1:7" x14ac:dyDescent="0.25">
      <c r="A137" s="410" t="s">
        <v>458</v>
      </c>
      <c r="B137" s="410" t="s">
        <v>958</v>
      </c>
      <c r="D137" s="444"/>
      <c r="E137" s="443">
        <v>394620.45</v>
      </c>
      <c r="F137" s="439">
        <f t="shared" si="4"/>
        <v>394620.45</v>
      </c>
      <c r="G137" s="447">
        <f t="shared" si="5"/>
        <v>394620.45</v>
      </c>
    </row>
    <row r="138" spans="1:7" x14ac:dyDescent="0.25">
      <c r="A138" s="410" t="s">
        <v>460</v>
      </c>
      <c r="B138" s="410" t="s">
        <v>959</v>
      </c>
      <c r="C138" s="412">
        <v>103419.12</v>
      </c>
      <c r="D138" s="442">
        <v>500000</v>
      </c>
      <c r="E138" s="443">
        <v>6696496.3499999996</v>
      </c>
      <c r="F138" s="439">
        <f t="shared" si="4"/>
        <v>7299915.4699999997</v>
      </c>
      <c r="G138" s="447">
        <f t="shared" si="5"/>
        <v>7196496.3499999996</v>
      </c>
    </row>
    <row r="139" spans="1:7" x14ac:dyDescent="0.25">
      <c r="A139" s="410" t="s">
        <v>462</v>
      </c>
      <c r="B139" s="410" t="s">
        <v>960</v>
      </c>
      <c r="D139" s="444"/>
      <c r="E139" s="443">
        <v>834437.66</v>
      </c>
      <c r="F139" s="439">
        <f t="shared" si="4"/>
        <v>834437.66</v>
      </c>
      <c r="G139" s="447">
        <f t="shared" si="5"/>
        <v>834437.66</v>
      </c>
    </row>
    <row r="140" spans="1:7" x14ac:dyDescent="0.25">
      <c r="A140" s="410" t="s">
        <v>464</v>
      </c>
      <c r="B140" s="410" t="s">
        <v>961</v>
      </c>
      <c r="D140" s="442">
        <v>17498.89</v>
      </c>
      <c r="E140" s="443">
        <v>93611.37</v>
      </c>
      <c r="F140" s="439">
        <f t="shared" si="4"/>
        <v>111110.26</v>
      </c>
      <c r="G140" s="447">
        <f t="shared" si="5"/>
        <v>111110.26</v>
      </c>
    </row>
    <row r="141" spans="1:7" x14ac:dyDescent="0.25">
      <c r="A141" s="410" t="s">
        <v>466</v>
      </c>
      <c r="B141" s="410" t="s">
        <v>962</v>
      </c>
      <c r="D141" s="442">
        <v>59016.43</v>
      </c>
      <c r="E141" s="443">
        <v>772722.92</v>
      </c>
      <c r="F141" s="439">
        <f t="shared" si="4"/>
        <v>831739.35000000009</v>
      </c>
      <c r="G141" s="447">
        <f t="shared" si="5"/>
        <v>831739.35000000009</v>
      </c>
    </row>
    <row r="142" spans="1:7" x14ac:dyDescent="0.25">
      <c r="A142" s="410" t="s">
        <v>468</v>
      </c>
      <c r="B142" s="410" t="s">
        <v>963</v>
      </c>
      <c r="D142" s="444"/>
      <c r="E142" s="443">
        <v>1707691.13</v>
      </c>
      <c r="F142" s="439">
        <f t="shared" si="4"/>
        <v>1707691.13</v>
      </c>
      <c r="G142" s="447">
        <f t="shared" si="5"/>
        <v>1707691.13</v>
      </c>
    </row>
    <row r="143" spans="1:7" x14ac:dyDescent="0.25">
      <c r="A143" s="410" t="s">
        <v>470</v>
      </c>
      <c r="B143" s="410" t="s">
        <v>964</v>
      </c>
      <c r="D143" s="442">
        <v>700</v>
      </c>
      <c r="E143" s="443">
        <v>526084.93999999994</v>
      </c>
      <c r="F143" s="439">
        <f t="shared" si="4"/>
        <v>526784.93999999994</v>
      </c>
      <c r="G143" s="447">
        <f t="shared" si="5"/>
        <v>526784.93999999994</v>
      </c>
    </row>
    <row r="144" spans="1:7" x14ac:dyDescent="0.25">
      <c r="A144" s="410" t="s">
        <v>472</v>
      </c>
      <c r="B144" s="410" t="s">
        <v>965</v>
      </c>
      <c r="C144" s="412">
        <v>149960.57999999999</v>
      </c>
      <c r="D144" s="444"/>
      <c r="E144" s="443">
        <v>25578647.300000001</v>
      </c>
      <c r="F144" s="439">
        <f t="shared" si="4"/>
        <v>25728607.879999999</v>
      </c>
      <c r="G144" s="447">
        <f t="shared" si="5"/>
        <v>25578647.300000001</v>
      </c>
    </row>
    <row r="145" spans="1:7" x14ac:dyDescent="0.25">
      <c r="A145" s="410" t="s">
        <v>474</v>
      </c>
      <c r="B145" s="410" t="s">
        <v>1316</v>
      </c>
      <c r="D145" s="444"/>
      <c r="E145" s="443">
        <v>737918.47</v>
      </c>
      <c r="F145" s="439">
        <f t="shared" si="4"/>
        <v>737918.47</v>
      </c>
      <c r="G145" s="447">
        <f t="shared" si="5"/>
        <v>737918.47</v>
      </c>
    </row>
    <row r="146" spans="1:7" x14ac:dyDescent="0.25">
      <c r="A146" s="410" t="s">
        <v>476</v>
      </c>
      <c r="B146" s="410" t="s">
        <v>967</v>
      </c>
      <c r="D146" s="442">
        <v>306210.32</v>
      </c>
      <c r="E146" s="443">
        <v>17747522.149999999</v>
      </c>
      <c r="F146" s="439">
        <f t="shared" si="4"/>
        <v>18053732.469999999</v>
      </c>
      <c r="G146" s="447">
        <f t="shared" si="5"/>
        <v>18053732.469999999</v>
      </c>
    </row>
    <row r="147" spans="1:7" x14ac:dyDescent="0.25">
      <c r="A147" s="410" t="s">
        <v>478</v>
      </c>
      <c r="B147" s="410" t="s">
        <v>968</v>
      </c>
      <c r="C147" s="412">
        <v>15638.7</v>
      </c>
      <c r="D147" s="444"/>
      <c r="E147" s="443">
        <v>2656672.02</v>
      </c>
      <c r="F147" s="439">
        <f t="shared" si="4"/>
        <v>2672310.7200000002</v>
      </c>
      <c r="G147" s="447">
        <f t="shared" si="5"/>
        <v>2656672.02</v>
      </c>
    </row>
    <row r="148" spans="1:7" x14ac:dyDescent="0.25">
      <c r="A148" s="410" t="s">
        <v>480</v>
      </c>
      <c r="B148" s="410" t="s">
        <v>969</v>
      </c>
      <c r="D148" s="442">
        <v>4310769.83</v>
      </c>
      <c r="E148" s="443">
        <v>6107688.2199999997</v>
      </c>
      <c r="F148" s="439">
        <f t="shared" si="4"/>
        <v>10418458.050000001</v>
      </c>
      <c r="G148" s="447">
        <f t="shared" si="5"/>
        <v>10418458.050000001</v>
      </c>
    </row>
    <row r="149" spans="1:7" x14ac:dyDescent="0.25">
      <c r="A149" s="410" t="s">
        <v>482</v>
      </c>
      <c r="B149" s="410" t="s">
        <v>970</v>
      </c>
      <c r="D149" s="444"/>
      <c r="E149" s="443">
        <v>3120520.56</v>
      </c>
      <c r="F149" s="439">
        <f t="shared" si="4"/>
        <v>3120520.56</v>
      </c>
      <c r="G149" s="447">
        <f t="shared" si="5"/>
        <v>3120520.56</v>
      </c>
    </row>
    <row r="150" spans="1:7" x14ac:dyDescent="0.25">
      <c r="A150" s="410" t="s">
        <v>484</v>
      </c>
      <c r="B150" s="410" t="s">
        <v>971</v>
      </c>
      <c r="D150" s="444"/>
      <c r="E150" s="443">
        <v>790090.73</v>
      </c>
      <c r="F150" s="439">
        <f t="shared" si="4"/>
        <v>790090.73</v>
      </c>
      <c r="G150" s="447">
        <f t="shared" si="5"/>
        <v>790090.73</v>
      </c>
    </row>
    <row r="151" spans="1:7" x14ac:dyDescent="0.25">
      <c r="A151" s="410" t="s">
        <v>486</v>
      </c>
      <c r="B151" s="410" t="s">
        <v>972</v>
      </c>
      <c r="D151" s="444"/>
      <c r="E151" s="443">
        <v>49519.17</v>
      </c>
      <c r="F151" s="439">
        <f t="shared" si="4"/>
        <v>49519.17</v>
      </c>
      <c r="G151" s="447">
        <f t="shared" si="5"/>
        <v>49519.17</v>
      </c>
    </row>
    <row r="152" spans="1:7" x14ac:dyDescent="0.25">
      <c r="A152" s="410" t="s">
        <v>488</v>
      </c>
      <c r="B152" s="410" t="s">
        <v>973</v>
      </c>
      <c r="C152" s="412">
        <v>10077.98</v>
      </c>
      <c r="D152" s="442">
        <v>390410.91</v>
      </c>
      <c r="E152" s="443">
        <v>12104034.609999999</v>
      </c>
      <c r="F152" s="439">
        <f t="shared" si="4"/>
        <v>12504523.5</v>
      </c>
      <c r="G152" s="447">
        <f t="shared" si="5"/>
        <v>12494445.52</v>
      </c>
    </row>
    <row r="153" spans="1:7" x14ac:dyDescent="0.25">
      <c r="A153" s="410" t="s">
        <v>490</v>
      </c>
      <c r="B153" s="410" t="s">
        <v>974</v>
      </c>
      <c r="C153" s="412">
        <v>41081.440000000002</v>
      </c>
      <c r="D153" s="444"/>
      <c r="E153" s="443">
        <v>2629408.61</v>
      </c>
      <c r="F153" s="439">
        <f t="shared" si="4"/>
        <v>2670490.0499999998</v>
      </c>
      <c r="G153" s="447">
        <f t="shared" si="5"/>
        <v>2629408.61</v>
      </c>
    </row>
    <row r="154" spans="1:7" x14ac:dyDescent="0.25">
      <c r="A154" s="410" t="s">
        <v>492</v>
      </c>
      <c r="B154" s="410" t="s">
        <v>975</v>
      </c>
      <c r="C154" s="412">
        <v>813.51</v>
      </c>
      <c r="D154" s="442">
        <v>134152.26</v>
      </c>
      <c r="E154" s="443">
        <v>725674.5</v>
      </c>
      <c r="F154" s="439">
        <f t="shared" si="4"/>
        <v>860640.27</v>
      </c>
      <c r="G154" s="447">
        <f t="shared" si="5"/>
        <v>859826.76</v>
      </c>
    </row>
    <row r="155" spans="1:7" x14ac:dyDescent="0.25">
      <c r="A155" s="410" t="s">
        <v>494</v>
      </c>
      <c r="B155" s="410" t="s">
        <v>976</v>
      </c>
      <c r="D155" s="442">
        <v>1338203.05</v>
      </c>
      <c r="E155" s="443">
        <v>13386450.529999999</v>
      </c>
      <c r="F155" s="439">
        <f t="shared" si="4"/>
        <v>14724653.58</v>
      </c>
      <c r="G155" s="447">
        <f t="shared" si="5"/>
        <v>14724653.58</v>
      </c>
    </row>
    <row r="156" spans="1:7" x14ac:dyDescent="0.25">
      <c r="A156" s="410" t="s">
        <v>496</v>
      </c>
      <c r="B156" s="410" t="s">
        <v>977</v>
      </c>
      <c r="C156" s="412">
        <v>4709.5200000000004</v>
      </c>
      <c r="D156" s="442">
        <v>67922.23</v>
      </c>
      <c r="E156" s="443">
        <v>1059796.1499999999</v>
      </c>
      <c r="F156" s="439">
        <f t="shared" si="4"/>
        <v>1132427.8999999999</v>
      </c>
      <c r="G156" s="447">
        <f t="shared" si="5"/>
        <v>1127718.3799999999</v>
      </c>
    </row>
    <row r="157" spans="1:7" x14ac:dyDescent="0.25">
      <c r="A157" s="410" t="s">
        <v>498</v>
      </c>
      <c r="B157" s="410" t="s">
        <v>978</v>
      </c>
      <c r="D157" s="444"/>
      <c r="E157" s="443">
        <v>1344889.6</v>
      </c>
      <c r="F157" s="439">
        <f t="shared" si="4"/>
        <v>1344889.6</v>
      </c>
      <c r="G157" s="447">
        <f t="shared" si="5"/>
        <v>1344889.6</v>
      </c>
    </row>
    <row r="158" spans="1:7" x14ac:dyDescent="0.25">
      <c r="A158" s="410" t="s">
        <v>500</v>
      </c>
      <c r="B158" s="410" t="s">
        <v>979</v>
      </c>
      <c r="C158" s="412">
        <v>101175.1</v>
      </c>
      <c r="D158" s="444"/>
      <c r="E158" s="443">
        <v>4063540.77</v>
      </c>
      <c r="F158" s="439">
        <f t="shared" si="4"/>
        <v>4164715.87</v>
      </c>
      <c r="G158" s="447">
        <f t="shared" si="5"/>
        <v>4063540.77</v>
      </c>
    </row>
    <row r="159" spans="1:7" x14ac:dyDescent="0.25">
      <c r="A159" s="410" t="s">
        <v>502</v>
      </c>
      <c r="B159" s="410" t="s">
        <v>980</v>
      </c>
      <c r="D159" s="444"/>
      <c r="E159" s="443">
        <v>43449.8</v>
      </c>
      <c r="F159" s="439">
        <f t="shared" si="4"/>
        <v>43449.8</v>
      </c>
      <c r="G159" s="447">
        <f t="shared" si="5"/>
        <v>43449.8</v>
      </c>
    </row>
    <row r="160" spans="1:7" x14ac:dyDescent="0.25">
      <c r="A160" s="410" t="s">
        <v>504</v>
      </c>
      <c r="B160" s="410" t="s">
        <v>1317</v>
      </c>
      <c r="C160" s="412">
        <v>176424.24</v>
      </c>
      <c r="D160" s="442">
        <v>4162483.84</v>
      </c>
      <c r="E160" s="443">
        <v>11889294.210000001</v>
      </c>
      <c r="F160" s="439">
        <f t="shared" si="4"/>
        <v>16228202.290000001</v>
      </c>
      <c r="G160" s="447">
        <f t="shared" si="5"/>
        <v>16051778.050000001</v>
      </c>
    </row>
    <row r="161" spans="1:7" x14ac:dyDescent="0.25">
      <c r="A161" s="410" t="s">
        <v>506</v>
      </c>
      <c r="B161" s="410" t="s">
        <v>982</v>
      </c>
      <c r="D161" s="442">
        <v>9472483.5199999996</v>
      </c>
      <c r="E161" s="443">
        <v>28103257.890000001</v>
      </c>
      <c r="F161" s="439">
        <f t="shared" si="4"/>
        <v>37575741.409999996</v>
      </c>
      <c r="G161" s="447">
        <f t="shared" si="5"/>
        <v>37575741.409999996</v>
      </c>
    </row>
    <row r="162" spans="1:7" x14ac:dyDescent="0.25">
      <c r="A162" s="410" t="s">
        <v>508</v>
      </c>
      <c r="B162" s="410" t="s">
        <v>983</v>
      </c>
      <c r="D162" s="444"/>
      <c r="E162" s="443">
        <v>1576504.45</v>
      </c>
      <c r="F162" s="439">
        <f t="shared" si="4"/>
        <v>1576504.45</v>
      </c>
      <c r="G162" s="447">
        <f t="shared" si="5"/>
        <v>1576504.45</v>
      </c>
    </row>
    <row r="163" spans="1:7" x14ac:dyDescent="0.25">
      <c r="A163" s="410" t="s">
        <v>510</v>
      </c>
      <c r="B163" s="410" t="s">
        <v>984</v>
      </c>
      <c r="C163" s="412">
        <v>4762.8900000000003</v>
      </c>
      <c r="D163" s="444"/>
      <c r="E163" s="443">
        <v>1344097.65</v>
      </c>
      <c r="F163" s="439">
        <f t="shared" si="4"/>
        <v>1348860.5399999998</v>
      </c>
      <c r="G163" s="447">
        <f t="shared" si="5"/>
        <v>1344097.65</v>
      </c>
    </row>
    <row r="164" spans="1:7" s="360" customFormat="1" x14ac:dyDescent="0.25">
      <c r="A164" s="411" t="s">
        <v>512</v>
      </c>
      <c r="B164" s="411" t="s">
        <v>1318</v>
      </c>
      <c r="D164" s="444"/>
      <c r="E164" s="443">
        <v>397271.53</v>
      </c>
      <c r="F164" s="439">
        <f t="shared" si="4"/>
        <v>397271.53</v>
      </c>
      <c r="G164" s="447">
        <f t="shared" si="5"/>
        <v>397271.53</v>
      </c>
    </row>
    <row r="165" spans="1:7" x14ac:dyDescent="0.25">
      <c r="A165" s="410" t="s">
        <v>514</v>
      </c>
      <c r="B165" s="410" t="s">
        <v>986</v>
      </c>
      <c r="D165" s="444"/>
      <c r="E165" s="443">
        <v>157280.07999999999</v>
      </c>
      <c r="F165" s="439">
        <f t="shared" si="4"/>
        <v>157280.07999999999</v>
      </c>
      <c r="G165" s="447">
        <f t="shared" si="5"/>
        <v>157280.07999999999</v>
      </c>
    </row>
    <row r="166" spans="1:7" x14ac:dyDescent="0.25">
      <c r="A166" s="410" t="s">
        <v>516</v>
      </c>
      <c r="B166" s="410" t="s">
        <v>987</v>
      </c>
      <c r="D166" s="444"/>
      <c r="E166" s="443">
        <v>1998513.78</v>
      </c>
      <c r="F166" s="439">
        <f t="shared" si="4"/>
        <v>1998513.78</v>
      </c>
      <c r="G166" s="447">
        <f t="shared" si="5"/>
        <v>1998513.78</v>
      </c>
    </row>
    <row r="167" spans="1:7" x14ac:dyDescent="0.25">
      <c r="A167" s="410" t="s">
        <v>518</v>
      </c>
      <c r="B167" s="410" t="s">
        <v>988</v>
      </c>
      <c r="D167" s="444"/>
      <c r="E167" s="443">
        <v>1878549.21</v>
      </c>
      <c r="F167" s="439">
        <f t="shared" si="4"/>
        <v>1878549.21</v>
      </c>
      <c r="G167" s="447">
        <f t="shared" si="5"/>
        <v>1878549.21</v>
      </c>
    </row>
    <row r="168" spans="1:7" x14ac:dyDescent="0.25">
      <c r="A168" s="410" t="s">
        <v>520</v>
      </c>
      <c r="B168" s="410" t="s">
        <v>989</v>
      </c>
      <c r="C168" s="412">
        <v>40855.699999999997</v>
      </c>
      <c r="D168" s="444"/>
      <c r="E168" s="443">
        <v>3337088.94</v>
      </c>
      <c r="F168" s="439">
        <f t="shared" si="4"/>
        <v>3377944.64</v>
      </c>
      <c r="G168" s="447">
        <f t="shared" si="5"/>
        <v>3337088.94</v>
      </c>
    </row>
    <row r="169" spans="1:7" x14ac:dyDescent="0.25">
      <c r="A169" s="410" t="s">
        <v>522</v>
      </c>
      <c r="B169" s="410" t="s">
        <v>990</v>
      </c>
      <c r="D169" s="442">
        <v>225376.51</v>
      </c>
      <c r="E169" s="443">
        <v>1512646.66</v>
      </c>
      <c r="F169" s="439">
        <f t="shared" si="4"/>
        <v>1738023.17</v>
      </c>
      <c r="G169" s="447">
        <f t="shared" si="5"/>
        <v>1738023.17</v>
      </c>
    </row>
    <row r="170" spans="1:7" x14ac:dyDescent="0.25">
      <c r="A170" s="410" t="s">
        <v>524</v>
      </c>
      <c r="B170" s="410" t="s">
        <v>991</v>
      </c>
      <c r="C170" s="412">
        <v>28465.97</v>
      </c>
      <c r="D170" s="444"/>
      <c r="E170" s="443">
        <v>3074610.04</v>
      </c>
      <c r="F170" s="439">
        <f t="shared" si="4"/>
        <v>3103076.0100000002</v>
      </c>
      <c r="G170" s="447">
        <f t="shared" si="5"/>
        <v>3074610.04</v>
      </c>
    </row>
    <row r="171" spans="1:7" x14ac:dyDescent="0.25">
      <c r="A171" s="410" t="s">
        <v>526</v>
      </c>
      <c r="B171" s="410" t="s">
        <v>992</v>
      </c>
      <c r="D171" s="442">
        <v>2766051.09</v>
      </c>
      <c r="E171" s="443">
        <v>9918762.1400000006</v>
      </c>
      <c r="F171" s="439">
        <f t="shared" si="4"/>
        <v>12684813.23</v>
      </c>
      <c r="G171" s="447">
        <f t="shared" si="5"/>
        <v>12684813.23</v>
      </c>
    </row>
    <row r="172" spans="1:7" x14ac:dyDescent="0.25">
      <c r="A172" s="410" t="s">
        <v>528</v>
      </c>
      <c r="B172" s="410" t="s">
        <v>993</v>
      </c>
      <c r="D172" s="442">
        <v>182810.25</v>
      </c>
      <c r="E172" s="443">
        <v>3683471.24</v>
      </c>
      <c r="F172" s="439">
        <f t="shared" si="4"/>
        <v>3866281.49</v>
      </c>
      <c r="G172" s="447">
        <f t="shared" si="5"/>
        <v>3866281.49</v>
      </c>
    </row>
    <row r="173" spans="1:7" x14ac:dyDescent="0.25">
      <c r="A173" s="410" t="s">
        <v>530</v>
      </c>
      <c r="B173" s="410" t="s">
        <v>994</v>
      </c>
      <c r="D173" s="444"/>
      <c r="E173" s="443">
        <v>123529.58</v>
      </c>
      <c r="F173" s="439">
        <f t="shared" si="4"/>
        <v>123529.58</v>
      </c>
      <c r="G173" s="447">
        <f t="shared" si="5"/>
        <v>123529.58</v>
      </c>
    </row>
    <row r="174" spans="1:7" x14ac:dyDescent="0.25">
      <c r="A174" s="410" t="s">
        <v>532</v>
      </c>
      <c r="B174" s="410" t="s">
        <v>995</v>
      </c>
      <c r="C174" s="412">
        <v>127772.32</v>
      </c>
      <c r="D174" s="442">
        <v>8701352.5800000001</v>
      </c>
      <c r="E174" s="443">
        <v>27522027.41</v>
      </c>
      <c r="F174" s="439">
        <f t="shared" si="4"/>
        <v>36351152.310000002</v>
      </c>
      <c r="G174" s="447">
        <f t="shared" si="5"/>
        <v>36223379.990000002</v>
      </c>
    </row>
    <row r="175" spans="1:7" x14ac:dyDescent="0.25">
      <c r="A175" s="410" t="s">
        <v>534</v>
      </c>
      <c r="B175" s="410" t="s">
        <v>996</v>
      </c>
      <c r="D175" s="442">
        <v>82000</v>
      </c>
      <c r="E175" s="443">
        <v>235405.31</v>
      </c>
      <c r="F175" s="439">
        <f t="shared" si="4"/>
        <v>317405.31</v>
      </c>
      <c r="G175" s="447">
        <f t="shared" si="5"/>
        <v>317405.31</v>
      </c>
    </row>
    <row r="176" spans="1:7" x14ac:dyDescent="0.25">
      <c r="A176" s="410" t="s">
        <v>536</v>
      </c>
      <c r="B176" s="410" t="s">
        <v>997</v>
      </c>
      <c r="C176" s="412">
        <v>71599.64</v>
      </c>
      <c r="D176" s="442">
        <v>23642796.629999999</v>
      </c>
      <c r="E176" s="443">
        <v>39675925.57</v>
      </c>
      <c r="F176" s="439">
        <f t="shared" si="4"/>
        <v>63390321.840000004</v>
      </c>
      <c r="G176" s="447">
        <f t="shared" si="5"/>
        <v>63318722.200000003</v>
      </c>
    </row>
    <row r="177" spans="1:7" x14ac:dyDescent="0.25">
      <c r="A177" s="410" t="s">
        <v>538</v>
      </c>
      <c r="B177" s="410" t="s">
        <v>998</v>
      </c>
      <c r="C177" s="412">
        <v>3310038.89</v>
      </c>
      <c r="D177" s="442">
        <v>641894.31000000006</v>
      </c>
      <c r="E177" s="443">
        <v>12524559.49</v>
      </c>
      <c r="F177" s="439">
        <f t="shared" si="4"/>
        <v>16476492.690000001</v>
      </c>
      <c r="G177" s="447">
        <f t="shared" si="5"/>
        <v>13166453.800000001</v>
      </c>
    </row>
    <row r="178" spans="1:7" x14ac:dyDescent="0.25">
      <c r="A178" s="410" t="s">
        <v>540</v>
      </c>
      <c r="B178" s="410" t="s">
        <v>999</v>
      </c>
      <c r="D178" s="444"/>
      <c r="E178" s="443">
        <v>190408.99</v>
      </c>
      <c r="F178" s="439">
        <f t="shared" si="4"/>
        <v>190408.99</v>
      </c>
      <c r="G178" s="447">
        <f t="shared" si="5"/>
        <v>190408.99</v>
      </c>
    </row>
    <row r="179" spans="1:7" x14ac:dyDescent="0.25">
      <c r="A179" s="410" t="s">
        <v>542</v>
      </c>
      <c r="B179" s="410" t="s">
        <v>1000</v>
      </c>
      <c r="D179" s="444"/>
      <c r="E179" s="443">
        <v>565543.75</v>
      </c>
      <c r="F179" s="439">
        <f t="shared" si="4"/>
        <v>565543.75</v>
      </c>
      <c r="G179" s="447">
        <f t="shared" si="5"/>
        <v>565543.75</v>
      </c>
    </row>
    <row r="180" spans="1:7" x14ac:dyDescent="0.25">
      <c r="A180" s="410" t="s">
        <v>544</v>
      </c>
      <c r="B180" s="410" t="s">
        <v>1001</v>
      </c>
      <c r="D180" s="444"/>
      <c r="E180" s="443">
        <v>2211216.94</v>
      </c>
      <c r="F180" s="439">
        <f t="shared" si="4"/>
        <v>2211216.94</v>
      </c>
      <c r="G180" s="447">
        <f t="shared" si="5"/>
        <v>2211216.94</v>
      </c>
    </row>
    <row r="181" spans="1:7" x14ac:dyDescent="0.25">
      <c r="A181" s="410" t="s">
        <v>546</v>
      </c>
      <c r="B181" s="410" t="s">
        <v>1002</v>
      </c>
      <c r="D181" s="444"/>
      <c r="E181" s="443">
        <v>804001</v>
      </c>
      <c r="F181" s="439">
        <f t="shared" si="4"/>
        <v>804001</v>
      </c>
      <c r="G181" s="447">
        <f t="shared" si="5"/>
        <v>804001</v>
      </c>
    </row>
    <row r="182" spans="1:7" x14ac:dyDescent="0.25">
      <c r="A182" s="410" t="s">
        <v>548</v>
      </c>
      <c r="B182" s="410" t="s">
        <v>1003</v>
      </c>
      <c r="D182" s="444"/>
      <c r="E182" s="443">
        <v>314601.73</v>
      </c>
      <c r="F182" s="439">
        <f t="shared" si="4"/>
        <v>314601.73</v>
      </c>
      <c r="G182" s="447">
        <f t="shared" si="5"/>
        <v>314601.73</v>
      </c>
    </row>
    <row r="183" spans="1:7" x14ac:dyDescent="0.25">
      <c r="A183" s="410" t="s">
        <v>550</v>
      </c>
      <c r="B183" s="410" t="s">
        <v>1004</v>
      </c>
      <c r="D183" s="444"/>
      <c r="E183" s="443">
        <v>1827388.1</v>
      </c>
      <c r="F183" s="439">
        <f t="shared" si="4"/>
        <v>1827388.1</v>
      </c>
      <c r="G183" s="447">
        <f t="shared" si="5"/>
        <v>1827388.1</v>
      </c>
    </row>
    <row r="184" spans="1:7" x14ac:dyDescent="0.25">
      <c r="A184" s="410" t="s">
        <v>552</v>
      </c>
      <c r="B184" s="410" t="s">
        <v>1005</v>
      </c>
      <c r="C184" s="412">
        <v>14810.46</v>
      </c>
      <c r="D184" s="442">
        <v>7495716.3600000003</v>
      </c>
      <c r="E184" s="443">
        <v>16723694.609999999</v>
      </c>
      <c r="F184" s="439">
        <f t="shared" si="4"/>
        <v>24234221.43</v>
      </c>
      <c r="G184" s="447">
        <f t="shared" si="5"/>
        <v>24219410.969999999</v>
      </c>
    </row>
    <row r="185" spans="1:7" x14ac:dyDescent="0.25">
      <c r="A185" s="410" t="s">
        <v>554</v>
      </c>
      <c r="B185" s="410" t="s">
        <v>1006</v>
      </c>
      <c r="D185" s="442">
        <v>40000</v>
      </c>
      <c r="E185" s="443">
        <v>8675628.3200000003</v>
      </c>
      <c r="F185" s="439">
        <f t="shared" si="4"/>
        <v>8715628.3200000003</v>
      </c>
      <c r="G185" s="447">
        <f t="shared" si="5"/>
        <v>8715628.3200000003</v>
      </c>
    </row>
    <row r="186" spans="1:7" x14ac:dyDescent="0.25">
      <c r="A186" s="410" t="s">
        <v>556</v>
      </c>
      <c r="B186" s="410" t="s">
        <v>1007</v>
      </c>
      <c r="C186" s="412">
        <v>4721.8</v>
      </c>
      <c r="D186" s="442">
        <v>203786.21</v>
      </c>
      <c r="E186" s="443">
        <v>1267975.3999999999</v>
      </c>
      <c r="F186" s="439">
        <f t="shared" si="4"/>
        <v>1476483.41</v>
      </c>
      <c r="G186" s="447">
        <f t="shared" si="5"/>
        <v>1471761.6099999999</v>
      </c>
    </row>
    <row r="187" spans="1:7" x14ac:dyDescent="0.25">
      <c r="A187" s="410" t="s">
        <v>558</v>
      </c>
      <c r="B187" s="410" t="s">
        <v>1008</v>
      </c>
      <c r="D187" s="444"/>
      <c r="E187" s="443">
        <v>42825.15</v>
      </c>
      <c r="F187" s="439">
        <f t="shared" si="4"/>
        <v>42825.15</v>
      </c>
      <c r="G187" s="447">
        <f t="shared" si="5"/>
        <v>42825.15</v>
      </c>
    </row>
    <row r="188" spans="1:7" x14ac:dyDescent="0.25">
      <c r="A188" s="410" t="s">
        <v>560</v>
      </c>
      <c r="B188" s="410" t="s">
        <v>1319</v>
      </c>
      <c r="C188" s="412">
        <v>9094.42</v>
      </c>
      <c r="D188" s="444"/>
      <c r="E188" s="443">
        <v>1269884.75</v>
      </c>
      <c r="F188" s="439">
        <f t="shared" si="4"/>
        <v>1278979.17</v>
      </c>
      <c r="G188" s="447">
        <f t="shared" si="5"/>
        <v>1269884.75</v>
      </c>
    </row>
    <row r="189" spans="1:7" x14ac:dyDescent="0.25">
      <c r="A189" s="410" t="s">
        <v>562</v>
      </c>
      <c r="B189" s="410" t="s">
        <v>1010</v>
      </c>
      <c r="D189" s="444"/>
      <c r="E189" s="443">
        <v>91110.69</v>
      </c>
      <c r="F189" s="439">
        <f t="shared" si="4"/>
        <v>91110.69</v>
      </c>
      <c r="G189" s="447">
        <f t="shared" si="5"/>
        <v>91110.69</v>
      </c>
    </row>
    <row r="190" spans="1:7" x14ac:dyDescent="0.25">
      <c r="A190" s="410" t="s">
        <v>564</v>
      </c>
      <c r="B190" s="410" t="s">
        <v>1011</v>
      </c>
      <c r="D190" s="444"/>
      <c r="E190" s="443">
        <v>91784.54</v>
      </c>
      <c r="F190" s="439">
        <f t="shared" si="4"/>
        <v>91784.54</v>
      </c>
      <c r="G190" s="447">
        <f t="shared" si="5"/>
        <v>91784.54</v>
      </c>
    </row>
    <row r="191" spans="1:7" x14ac:dyDescent="0.25">
      <c r="A191" s="410" t="s">
        <v>566</v>
      </c>
      <c r="B191" s="410" t="s">
        <v>1012</v>
      </c>
      <c r="D191" s="444"/>
      <c r="E191" s="443">
        <v>153288.82999999999</v>
      </c>
      <c r="F191" s="439">
        <f t="shared" si="4"/>
        <v>153288.82999999999</v>
      </c>
      <c r="G191" s="447">
        <f t="shared" si="5"/>
        <v>153288.82999999999</v>
      </c>
    </row>
    <row r="192" spans="1:7" x14ac:dyDescent="0.25">
      <c r="A192" s="410" t="s">
        <v>568</v>
      </c>
      <c r="B192" s="410" t="s">
        <v>1013</v>
      </c>
      <c r="D192" s="442">
        <v>3862.25</v>
      </c>
      <c r="E192" s="443">
        <v>684746.78</v>
      </c>
      <c r="F192" s="439">
        <f t="shared" si="4"/>
        <v>688609.03</v>
      </c>
      <c r="G192" s="447">
        <f t="shared" si="5"/>
        <v>688609.03</v>
      </c>
    </row>
    <row r="193" spans="1:7" x14ac:dyDescent="0.25">
      <c r="A193" s="410" t="s">
        <v>570</v>
      </c>
      <c r="B193" s="410" t="s">
        <v>1014</v>
      </c>
      <c r="C193" s="412">
        <v>15251.07</v>
      </c>
      <c r="D193" s="442">
        <v>445454.98</v>
      </c>
      <c r="E193" s="443">
        <v>6272429.7800000003</v>
      </c>
      <c r="F193" s="439">
        <f t="shared" si="4"/>
        <v>6733135.8300000001</v>
      </c>
      <c r="G193" s="447">
        <f t="shared" si="5"/>
        <v>6717884.7599999998</v>
      </c>
    </row>
    <row r="194" spans="1:7" x14ac:dyDescent="0.25">
      <c r="A194" s="410" t="s">
        <v>572</v>
      </c>
      <c r="B194" s="410" t="s">
        <v>1015</v>
      </c>
      <c r="C194" s="412">
        <v>51171.42</v>
      </c>
      <c r="D194" s="444"/>
      <c r="E194" s="443">
        <v>5500283.8899999997</v>
      </c>
      <c r="F194" s="439">
        <f t="shared" si="4"/>
        <v>5551455.3099999996</v>
      </c>
      <c r="G194" s="447">
        <f t="shared" si="5"/>
        <v>5500283.8899999997</v>
      </c>
    </row>
    <row r="195" spans="1:7" x14ac:dyDescent="0.25">
      <c r="A195" s="410" t="s">
        <v>574</v>
      </c>
      <c r="B195" s="410" t="s">
        <v>1016</v>
      </c>
      <c r="D195" s="444"/>
      <c r="E195" s="443">
        <v>32783.64</v>
      </c>
      <c r="F195" s="439">
        <f t="shared" si="4"/>
        <v>32783.64</v>
      </c>
      <c r="G195" s="447">
        <f t="shared" si="5"/>
        <v>32783.64</v>
      </c>
    </row>
    <row r="196" spans="1:7" x14ac:dyDescent="0.25">
      <c r="A196" s="410" t="s">
        <v>576</v>
      </c>
      <c r="B196" s="410" t="s">
        <v>1017</v>
      </c>
      <c r="D196" s="442">
        <v>384.92</v>
      </c>
      <c r="E196" s="443">
        <v>222294.54</v>
      </c>
      <c r="F196" s="439">
        <f t="shared" si="4"/>
        <v>222679.46000000002</v>
      </c>
      <c r="G196" s="447">
        <f t="shared" si="5"/>
        <v>222679.46000000002</v>
      </c>
    </row>
    <row r="197" spans="1:7" x14ac:dyDescent="0.25">
      <c r="A197" s="410" t="s">
        <v>578</v>
      </c>
      <c r="B197" s="410" t="s">
        <v>1018</v>
      </c>
      <c r="C197" s="412">
        <v>355600.75</v>
      </c>
      <c r="D197" s="442">
        <v>1181721.48</v>
      </c>
      <c r="E197" s="443">
        <v>26286705.84</v>
      </c>
      <c r="F197" s="439">
        <f t="shared" si="4"/>
        <v>27824028.07</v>
      </c>
      <c r="G197" s="447">
        <f t="shared" si="5"/>
        <v>27468427.32</v>
      </c>
    </row>
    <row r="198" spans="1:7" x14ac:dyDescent="0.25">
      <c r="A198" s="410" t="s">
        <v>580</v>
      </c>
      <c r="B198" s="410" t="s">
        <v>1019</v>
      </c>
      <c r="D198" s="442">
        <v>20807.2</v>
      </c>
      <c r="E198" s="443">
        <v>429920.72</v>
      </c>
      <c r="F198" s="439">
        <f t="shared" ref="F198:F261" si="6">C198+D198+E198</f>
        <v>450727.92</v>
      </c>
      <c r="G198" s="447">
        <f t="shared" ref="G198:G261" si="7">D198+E198</f>
        <v>450727.92</v>
      </c>
    </row>
    <row r="199" spans="1:7" x14ac:dyDescent="0.25">
      <c r="A199" s="410" t="s">
        <v>582</v>
      </c>
      <c r="B199" s="410" t="s">
        <v>1144</v>
      </c>
      <c r="D199" s="444"/>
      <c r="E199" s="443">
        <v>157706.95000000001</v>
      </c>
      <c r="F199" s="439">
        <f t="shared" si="6"/>
        <v>157706.95000000001</v>
      </c>
      <c r="G199" s="447">
        <f t="shared" si="7"/>
        <v>157706.95000000001</v>
      </c>
    </row>
    <row r="200" spans="1:7" x14ac:dyDescent="0.25">
      <c r="A200" s="410" t="s">
        <v>584</v>
      </c>
      <c r="B200" s="410" t="s">
        <v>1020</v>
      </c>
      <c r="C200" s="412">
        <v>1411.13</v>
      </c>
      <c r="D200" s="444"/>
      <c r="E200" s="443">
        <v>471210.14</v>
      </c>
      <c r="F200" s="439">
        <f t="shared" si="6"/>
        <v>472621.27</v>
      </c>
      <c r="G200" s="447">
        <f t="shared" si="7"/>
        <v>471210.14</v>
      </c>
    </row>
    <row r="201" spans="1:7" x14ac:dyDescent="0.25">
      <c r="A201" s="410" t="s">
        <v>586</v>
      </c>
      <c r="B201" s="410" t="s">
        <v>1021</v>
      </c>
      <c r="D201" s="444"/>
      <c r="E201" s="443">
        <v>18787994.59</v>
      </c>
      <c r="F201" s="439">
        <f t="shared" si="6"/>
        <v>18787994.59</v>
      </c>
      <c r="G201" s="447">
        <f t="shared" si="7"/>
        <v>18787994.59</v>
      </c>
    </row>
    <row r="202" spans="1:7" x14ac:dyDescent="0.25">
      <c r="A202" s="410" t="s">
        <v>1165</v>
      </c>
      <c r="B202" s="410" t="s">
        <v>1320</v>
      </c>
      <c r="D202" s="444"/>
      <c r="E202" s="443">
        <v>133832.04999999999</v>
      </c>
      <c r="F202" s="439">
        <f t="shared" si="6"/>
        <v>133832.04999999999</v>
      </c>
      <c r="G202" s="447">
        <f t="shared" si="7"/>
        <v>133832.04999999999</v>
      </c>
    </row>
    <row r="203" spans="1:7" x14ac:dyDescent="0.25">
      <c r="A203" s="410" t="s">
        <v>588</v>
      </c>
      <c r="B203" s="410" t="s">
        <v>1022</v>
      </c>
      <c r="D203" s="442">
        <v>421646</v>
      </c>
      <c r="E203" s="443">
        <v>1182012.93</v>
      </c>
      <c r="F203" s="439">
        <f t="shared" si="6"/>
        <v>1603658.93</v>
      </c>
      <c r="G203" s="447">
        <f t="shared" si="7"/>
        <v>1603658.93</v>
      </c>
    </row>
    <row r="204" spans="1:7" x14ac:dyDescent="0.25">
      <c r="A204" s="410" t="s">
        <v>590</v>
      </c>
      <c r="B204" s="410" t="s">
        <v>1023</v>
      </c>
      <c r="D204" s="444"/>
      <c r="E204" s="443">
        <v>527611.34</v>
      </c>
      <c r="F204" s="439">
        <f t="shared" si="6"/>
        <v>527611.34</v>
      </c>
      <c r="G204" s="447">
        <f t="shared" si="7"/>
        <v>527611.34</v>
      </c>
    </row>
    <row r="205" spans="1:7" x14ac:dyDescent="0.25">
      <c r="A205" s="410" t="s">
        <v>592</v>
      </c>
      <c r="B205" s="410" t="s">
        <v>1024</v>
      </c>
      <c r="C205" s="412">
        <v>121032.31</v>
      </c>
      <c r="D205" s="442">
        <v>1622809.4</v>
      </c>
      <c r="E205" s="443">
        <v>5813340.3200000003</v>
      </c>
      <c r="F205" s="439">
        <f t="shared" si="6"/>
        <v>7557182.0300000003</v>
      </c>
      <c r="G205" s="447">
        <f t="shared" si="7"/>
        <v>7436149.7200000007</v>
      </c>
    </row>
    <row r="206" spans="1:7" x14ac:dyDescent="0.25">
      <c r="A206" s="410" t="s">
        <v>594</v>
      </c>
      <c r="B206" s="410" t="s">
        <v>1025</v>
      </c>
      <c r="C206" s="412">
        <v>19081.75</v>
      </c>
      <c r="D206" s="444"/>
      <c r="E206" s="443">
        <v>2536963.1800000002</v>
      </c>
      <c r="F206" s="439">
        <f t="shared" si="6"/>
        <v>2556044.9300000002</v>
      </c>
      <c r="G206" s="447">
        <f t="shared" si="7"/>
        <v>2536963.1800000002</v>
      </c>
    </row>
    <row r="207" spans="1:7" x14ac:dyDescent="0.25">
      <c r="A207" s="410" t="s">
        <v>596</v>
      </c>
      <c r="B207" s="410" t="s">
        <v>1026</v>
      </c>
      <c r="D207" s="442">
        <v>1646.34</v>
      </c>
      <c r="E207" s="443">
        <v>379419.1</v>
      </c>
      <c r="F207" s="439">
        <f t="shared" si="6"/>
        <v>381065.44</v>
      </c>
      <c r="G207" s="447">
        <f t="shared" si="7"/>
        <v>381065.44</v>
      </c>
    </row>
    <row r="208" spans="1:7" x14ac:dyDescent="0.25">
      <c r="A208" s="410" t="s">
        <v>598</v>
      </c>
      <c r="B208" s="410" t="s">
        <v>1321</v>
      </c>
      <c r="D208" s="444"/>
      <c r="E208" s="443">
        <v>721482.86</v>
      </c>
      <c r="F208" s="439">
        <f t="shared" si="6"/>
        <v>721482.86</v>
      </c>
      <c r="G208" s="447">
        <f t="shared" si="7"/>
        <v>721482.86</v>
      </c>
    </row>
    <row r="209" spans="1:7" x14ac:dyDescent="0.25">
      <c r="A209" s="410" t="s">
        <v>600</v>
      </c>
      <c r="B209" s="410" t="s">
        <v>1028</v>
      </c>
      <c r="C209" s="412">
        <v>2650.7</v>
      </c>
      <c r="D209" s="442">
        <v>130756.61</v>
      </c>
      <c r="E209" s="443">
        <v>3502555.14</v>
      </c>
      <c r="F209" s="439">
        <f t="shared" si="6"/>
        <v>3635962.45</v>
      </c>
      <c r="G209" s="447">
        <f t="shared" si="7"/>
        <v>3633311.75</v>
      </c>
    </row>
    <row r="210" spans="1:7" x14ac:dyDescent="0.25">
      <c r="A210" s="410" t="s">
        <v>602</v>
      </c>
      <c r="B210" s="410" t="s">
        <v>1029</v>
      </c>
      <c r="C210" s="412">
        <v>56503.94</v>
      </c>
      <c r="D210" s="444"/>
      <c r="E210" s="443">
        <v>3566178.28</v>
      </c>
      <c r="F210" s="439">
        <f t="shared" si="6"/>
        <v>3622682.2199999997</v>
      </c>
      <c r="G210" s="447">
        <f t="shared" si="7"/>
        <v>3566178.28</v>
      </c>
    </row>
    <row r="211" spans="1:7" x14ac:dyDescent="0.25">
      <c r="A211" s="410" t="s">
        <v>1167</v>
      </c>
      <c r="B211" s="410" t="s">
        <v>1322</v>
      </c>
      <c r="D211" s="444"/>
      <c r="E211" s="443">
        <v>117961.72</v>
      </c>
      <c r="F211" s="439">
        <f t="shared" si="6"/>
        <v>117961.72</v>
      </c>
      <c r="G211" s="447">
        <f t="shared" si="7"/>
        <v>117961.72</v>
      </c>
    </row>
    <row r="212" spans="1:7" x14ac:dyDescent="0.25">
      <c r="A212" s="410" t="s">
        <v>604</v>
      </c>
      <c r="B212" s="410" t="s">
        <v>1030</v>
      </c>
      <c r="C212" s="412">
        <v>285518.14</v>
      </c>
      <c r="D212" s="442">
        <v>6835690.2400000002</v>
      </c>
      <c r="E212" s="443">
        <v>33516725.98</v>
      </c>
      <c r="F212" s="439">
        <f t="shared" si="6"/>
        <v>40637934.359999999</v>
      </c>
      <c r="G212" s="447">
        <f t="shared" si="7"/>
        <v>40352416.219999999</v>
      </c>
    </row>
    <row r="213" spans="1:7" x14ac:dyDescent="0.25">
      <c r="A213" s="410" t="s">
        <v>606</v>
      </c>
      <c r="B213" s="410" t="s">
        <v>1031</v>
      </c>
      <c r="D213" s="442">
        <v>27540.38</v>
      </c>
      <c r="E213" s="443">
        <v>76304.36</v>
      </c>
      <c r="F213" s="439">
        <f t="shared" si="6"/>
        <v>103844.74</v>
      </c>
      <c r="G213" s="447">
        <f t="shared" si="7"/>
        <v>103844.74</v>
      </c>
    </row>
    <row r="214" spans="1:7" x14ac:dyDescent="0.25">
      <c r="A214" s="410" t="s">
        <v>608</v>
      </c>
      <c r="B214" s="410" t="s">
        <v>1032</v>
      </c>
      <c r="D214" s="444"/>
      <c r="E214" s="443">
        <v>806732.91</v>
      </c>
      <c r="F214" s="439">
        <f t="shared" si="6"/>
        <v>806732.91</v>
      </c>
      <c r="G214" s="447">
        <f t="shared" si="7"/>
        <v>806732.91</v>
      </c>
    </row>
    <row r="215" spans="1:7" x14ac:dyDescent="0.25">
      <c r="A215" s="410" t="s">
        <v>610</v>
      </c>
      <c r="B215" s="410" t="s">
        <v>1323</v>
      </c>
      <c r="D215" s="444"/>
      <c r="E215" s="443">
        <v>272304.90999999997</v>
      </c>
      <c r="F215" s="439">
        <f t="shared" si="6"/>
        <v>272304.90999999997</v>
      </c>
      <c r="G215" s="447">
        <f t="shared" si="7"/>
        <v>272304.90999999997</v>
      </c>
    </row>
    <row r="216" spans="1:7" x14ac:dyDescent="0.25">
      <c r="A216" s="410" t="s">
        <v>612</v>
      </c>
      <c r="B216" s="410" t="s">
        <v>1033</v>
      </c>
      <c r="D216" s="444"/>
      <c r="E216" s="443">
        <v>5012344.3</v>
      </c>
      <c r="F216" s="439">
        <f t="shared" si="6"/>
        <v>5012344.3</v>
      </c>
      <c r="G216" s="447">
        <f t="shared" si="7"/>
        <v>5012344.3</v>
      </c>
    </row>
    <row r="217" spans="1:7" x14ac:dyDescent="0.25">
      <c r="A217" s="410" t="s">
        <v>437</v>
      </c>
      <c r="B217" s="410" t="s">
        <v>1143</v>
      </c>
      <c r="D217" s="444"/>
      <c r="E217" s="443">
        <v>318397.19</v>
      </c>
      <c r="F217" s="439">
        <f t="shared" si="6"/>
        <v>318397.19</v>
      </c>
      <c r="G217" s="447">
        <f t="shared" si="7"/>
        <v>318397.19</v>
      </c>
    </row>
    <row r="218" spans="1:7" x14ac:dyDescent="0.25">
      <c r="A218" s="410" t="s">
        <v>614</v>
      </c>
      <c r="B218" s="410" t="s">
        <v>1034</v>
      </c>
      <c r="D218" s="442">
        <v>154640.04</v>
      </c>
      <c r="E218" s="443">
        <v>4563582.3899999997</v>
      </c>
      <c r="F218" s="439">
        <f t="shared" si="6"/>
        <v>4718222.43</v>
      </c>
      <c r="G218" s="447">
        <f t="shared" si="7"/>
        <v>4718222.43</v>
      </c>
    </row>
    <row r="219" spans="1:7" x14ac:dyDescent="0.25">
      <c r="A219" s="410" t="s">
        <v>616</v>
      </c>
      <c r="B219" s="410" t="s">
        <v>1035</v>
      </c>
      <c r="C219" s="412">
        <v>200</v>
      </c>
      <c r="D219" s="444"/>
      <c r="E219" s="443">
        <v>1270656.8400000001</v>
      </c>
      <c r="F219" s="439">
        <f t="shared" si="6"/>
        <v>1270856.8400000001</v>
      </c>
      <c r="G219" s="447">
        <f t="shared" si="7"/>
        <v>1270656.8400000001</v>
      </c>
    </row>
    <row r="220" spans="1:7" x14ac:dyDescent="0.25">
      <c r="A220" s="410" t="s">
        <v>618</v>
      </c>
      <c r="B220" s="410" t="s">
        <v>1324</v>
      </c>
      <c r="D220" s="444"/>
      <c r="E220" s="443">
        <v>213707.34</v>
      </c>
      <c r="F220" s="439">
        <f t="shared" si="6"/>
        <v>213707.34</v>
      </c>
      <c r="G220" s="447">
        <f t="shared" si="7"/>
        <v>213707.34</v>
      </c>
    </row>
    <row r="221" spans="1:7" x14ac:dyDescent="0.25">
      <c r="A221" s="410" t="s">
        <v>621</v>
      </c>
      <c r="B221" s="410" t="s">
        <v>1263</v>
      </c>
      <c r="D221" s="444"/>
      <c r="E221" s="443">
        <v>675730.1</v>
      </c>
      <c r="F221" s="439">
        <f t="shared" si="6"/>
        <v>675730.1</v>
      </c>
      <c r="G221" s="447">
        <f t="shared" si="7"/>
        <v>675730.1</v>
      </c>
    </row>
    <row r="222" spans="1:7" x14ac:dyDescent="0.25">
      <c r="A222" s="410" t="s">
        <v>623</v>
      </c>
      <c r="B222" s="410" t="s">
        <v>1325</v>
      </c>
      <c r="D222" s="444"/>
      <c r="E222" s="443">
        <v>728357.83</v>
      </c>
      <c r="F222" s="439">
        <f t="shared" si="6"/>
        <v>728357.83</v>
      </c>
      <c r="G222" s="447">
        <f t="shared" si="7"/>
        <v>728357.83</v>
      </c>
    </row>
    <row r="223" spans="1:7" x14ac:dyDescent="0.25">
      <c r="A223" s="410" t="s">
        <v>625</v>
      </c>
      <c r="B223" s="410" t="s">
        <v>1038</v>
      </c>
      <c r="D223" s="442">
        <v>9567951.5600000005</v>
      </c>
      <c r="E223" s="443">
        <v>29728182.66</v>
      </c>
      <c r="F223" s="439">
        <f t="shared" si="6"/>
        <v>39296134.219999999</v>
      </c>
      <c r="G223" s="447">
        <f t="shared" si="7"/>
        <v>39296134.219999999</v>
      </c>
    </row>
    <row r="224" spans="1:7" x14ac:dyDescent="0.25">
      <c r="A224" s="410" t="s">
        <v>627</v>
      </c>
      <c r="B224" s="410" t="s">
        <v>1039</v>
      </c>
      <c r="D224" s="444"/>
      <c r="E224" s="443">
        <v>439668.28</v>
      </c>
      <c r="F224" s="439">
        <f t="shared" si="6"/>
        <v>439668.28</v>
      </c>
      <c r="G224" s="447">
        <f t="shared" si="7"/>
        <v>439668.28</v>
      </c>
    </row>
    <row r="225" spans="1:7" x14ac:dyDescent="0.25">
      <c r="A225" s="410" t="s">
        <v>629</v>
      </c>
      <c r="B225" s="410" t="s">
        <v>1040</v>
      </c>
      <c r="D225" s="442">
        <v>3037079.73</v>
      </c>
      <c r="E225" s="443">
        <v>20034477.800000001</v>
      </c>
      <c r="F225" s="439">
        <f t="shared" si="6"/>
        <v>23071557.530000001</v>
      </c>
      <c r="G225" s="447">
        <f t="shared" si="7"/>
        <v>23071557.530000001</v>
      </c>
    </row>
    <row r="226" spans="1:7" x14ac:dyDescent="0.25">
      <c r="A226" s="410" t="s">
        <v>631</v>
      </c>
      <c r="B226" s="410" t="s">
        <v>1041</v>
      </c>
      <c r="C226" s="412">
        <v>9638.67</v>
      </c>
      <c r="D226" s="442">
        <v>485594.08</v>
      </c>
      <c r="E226" s="443">
        <v>4580706.3099999996</v>
      </c>
      <c r="F226" s="439">
        <f t="shared" si="6"/>
        <v>5075939.0599999996</v>
      </c>
      <c r="G226" s="447">
        <f t="shared" si="7"/>
        <v>5066300.3899999997</v>
      </c>
    </row>
    <row r="227" spans="1:7" x14ac:dyDescent="0.25">
      <c r="A227" s="410" t="s">
        <v>633</v>
      </c>
      <c r="B227" s="410" t="s">
        <v>1042</v>
      </c>
      <c r="D227" s="442">
        <v>61193.95</v>
      </c>
      <c r="E227" s="443">
        <v>279262.40999999997</v>
      </c>
      <c r="F227" s="439">
        <f t="shared" si="6"/>
        <v>340456.36</v>
      </c>
      <c r="G227" s="447">
        <f t="shared" si="7"/>
        <v>340456.36</v>
      </c>
    </row>
    <row r="228" spans="1:7" x14ac:dyDescent="0.25">
      <c r="A228" s="410" t="s">
        <v>635</v>
      </c>
      <c r="B228" s="410" t="s">
        <v>1043</v>
      </c>
      <c r="D228" s="444"/>
      <c r="E228" s="443">
        <v>2101961.7200000002</v>
      </c>
      <c r="F228" s="439">
        <f t="shared" si="6"/>
        <v>2101961.7200000002</v>
      </c>
      <c r="G228" s="447">
        <f t="shared" si="7"/>
        <v>2101961.7200000002</v>
      </c>
    </row>
    <row r="229" spans="1:7" x14ac:dyDescent="0.25">
      <c r="A229" s="410" t="s">
        <v>637</v>
      </c>
      <c r="B229" s="410" t="s">
        <v>1044</v>
      </c>
      <c r="D229" s="442">
        <v>768515.05</v>
      </c>
      <c r="E229" s="443">
        <v>3949255.09</v>
      </c>
      <c r="F229" s="439">
        <f t="shared" si="6"/>
        <v>4717770.1399999997</v>
      </c>
      <c r="G229" s="447">
        <f t="shared" si="7"/>
        <v>4717770.1399999997</v>
      </c>
    </row>
    <row r="230" spans="1:7" x14ac:dyDescent="0.25">
      <c r="A230" s="410" t="s">
        <v>639</v>
      </c>
      <c r="B230" s="410" t="s">
        <v>1045</v>
      </c>
      <c r="C230" s="412">
        <v>42016.959999999999</v>
      </c>
      <c r="D230" s="442">
        <v>1150294.48</v>
      </c>
      <c r="E230" s="443">
        <v>3379051.67</v>
      </c>
      <c r="F230" s="439">
        <f t="shared" si="6"/>
        <v>4571363.1099999994</v>
      </c>
      <c r="G230" s="447">
        <f t="shared" si="7"/>
        <v>4529346.1500000004</v>
      </c>
    </row>
    <row r="231" spans="1:7" x14ac:dyDescent="0.25">
      <c r="A231" s="410" t="s">
        <v>641</v>
      </c>
      <c r="B231" s="410" t="s">
        <v>1046</v>
      </c>
      <c r="D231" s="444"/>
      <c r="E231" s="443">
        <v>52937.56</v>
      </c>
      <c r="F231" s="439">
        <f t="shared" si="6"/>
        <v>52937.56</v>
      </c>
      <c r="G231" s="447">
        <f t="shared" si="7"/>
        <v>52937.56</v>
      </c>
    </row>
    <row r="232" spans="1:7" x14ac:dyDescent="0.25">
      <c r="A232" s="410" t="s">
        <v>643</v>
      </c>
      <c r="B232" s="410" t="s">
        <v>1047</v>
      </c>
      <c r="D232" s="444"/>
      <c r="E232" s="443">
        <v>251143.99</v>
      </c>
      <c r="F232" s="439">
        <f t="shared" si="6"/>
        <v>251143.99</v>
      </c>
      <c r="G232" s="447">
        <f t="shared" si="7"/>
        <v>251143.99</v>
      </c>
    </row>
    <row r="233" spans="1:7" x14ac:dyDescent="0.25">
      <c r="A233" s="410" t="s">
        <v>645</v>
      </c>
      <c r="B233" s="410" t="s">
        <v>1048</v>
      </c>
      <c r="D233" s="444"/>
      <c r="E233" s="443">
        <v>2139684.0499999998</v>
      </c>
      <c r="F233" s="439">
        <f t="shared" si="6"/>
        <v>2139684.0499999998</v>
      </c>
      <c r="G233" s="447">
        <f t="shared" si="7"/>
        <v>2139684.0499999998</v>
      </c>
    </row>
    <row r="234" spans="1:7" x14ac:dyDescent="0.25">
      <c r="A234" s="410" t="s">
        <v>620</v>
      </c>
      <c r="B234" s="410" t="s">
        <v>1326</v>
      </c>
      <c r="D234" s="444"/>
      <c r="E234" s="443">
        <v>487519.56</v>
      </c>
      <c r="F234" s="439">
        <f t="shared" si="6"/>
        <v>487519.56</v>
      </c>
      <c r="G234" s="447">
        <f t="shared" si="7"/>
        <v>487519.56</v>
      </c>
    </row>
    <row r="235" spans="1:7" x14ac:dyDescent="0.25">
      <c r="A235" s="410" t="s">
        <v>647</v>
      </c>
      <c r="B235" s="410" t="s">
        <v>1049</v>
      </c>
      <c r="C235" s="412">
        <v>5623.29</v>
      </c>
      <c r="D235" s="442">
        <v>2616.4499999999998</v>
      </c>
      <c r="E235" s="443">
        <v>1871069.13</v>
      </c>
      <c r="F235" s="439">
        <f t="shared" si="6"/>
        <v>1879308.8699999999</v>
      </c>
      <c r="G235" s="447">
        <f t="shared" si="7"/>
        <v>1873685.5799999998</v>
      </c>
    </row>
    <row r="236" spans="1:7" x14ac:dyDescent="0.25">
      <c r="A236" s="410" t="s">
        <v>649</v>
      </c>
      <c r="B236" s="410" t="s">
        <v>1050</v>
      </c>
      <c r="D236" s="444"/>
      <c r="E236" s="443">
        <v>88341.9</v>
      </c>
      <c r="F236" s="439">
        <f t="shared" si="6"/>
        <v>88341.9</v>
      </c>
      <c r="G236" s="447">
        <f t="shared" si="7"/>
        <v>88341.9</v>
      </c>
    </row>
    <row r="237" spans="1:7" x14ac:dyDescent="0.25">
      <c r="A237" s="410" t="s">
        <v>655</v>
      </c>
      <c r="B237" s="410" t="s">
        <v>1051</v>
      </c>
      <c r="C237" s="412">
        <v>212441.93</v>
      </c>
      <c r="D237" s="442">
        <v>78213770.769999996</v>
      </c>
      <c r="E237" s="443">
        <v>95826689.569999993</v>
      </c>
      <c r="F237" s="439">
        <f t="shared" si="6"/>
        <v>174252902.26999998</v>
      </c>
      <c r="G237" s="447">
        <f t="shared" si="7"/>
        <v>174040460.33999997</v>
      </c>
    </row>
    <row r="238" spans="1:7" x14ac:dyDescent="0.25">
      <c r="A238" s="410" t="s">
        <v>657</v>
      </c>
      <c r="B238" s="410" t="s">
        <v>1327</v>
      </c>
      <c r="C238" s="412">
        <v>114827.11</v>
      </c>
      <c r="D238" s="442">
        <v>162845.68</v>
      </c>
      <c r="E238" s="443">
        <v>12015127.25</v>
      </c>
      <c r="F238" s="439">
        <f t="shared" si="6"/>
        <v>12292800.039999999</v>
      </c>
      <c r="G238" s="447">
        <f t="shared" si="7"/>
        <v>12177972.93</v>
      </c>
    </row>
    <row r="239" spans="1:7" x14ac:dyDescent="0.25">
      <c r="A239" s="410" t="s">
        <v>659</v>
      </c>
      <c r="B239" s="410" t="s">
        <v>1053</v>
      </c>
      <c r="D239" s="444"/>
      <c r="E239" s="443">
        <v>5091657.2300000004</v>
      </c>
      <c r="F239" s="439">
        <f t="shared" si="6"/>
        <v>5091657.2300000004</v>
      </c>
      <c r="G239" s="447">
        <f t="shared" si="7"/>
        <v>5091657.2300000004</v>
      </c>
    </row>
    <row r="240" spans="1:7" x14ac:dyDescent="0.25">
      <c r="A240" s="410" t="s">
        <v>661</v>
      </c>
      <c r="B240" s="410" t="s">
        <v>1054</v>
      </c>
      <c r="D240" s="444"/>
      <c r="E240" s="443">
        <v>389013.81</v>
      </c>
      <c r="F240" s="439">
        <f t="shared" si="6"/>
        <v>389013.81</v>
      </c>
      <c r="G240" s="447">
        <f t="shared" si="7"/>
        <v>389013.81</v>
      </c>
    </row>
    <row r="241" spans="1:7" x14ac:dyDescent="0.25">
      <c r="A241" s="410" t="s">
        <v>663</v>
      </c>
      <c r="B241" s="410" t="s">
        <v>1055</v>
      </c>
      <c r="C241" s="412">
        <v>78698.38</v>
      </c>
      <c r="D241" s="442">
        <v>134295.89000000001</v>
      </c>
      <c r="E241" s="443">
        <v>5304410.82</v>
      </c>
      <c r="F241" s="439">
        <f t="shared" si="6"/>
        <v>5517405.0899999999</v>
      </c>
      <c r="G241" s="447">
        <f t="shared" si="7"/>
        <v>5438706.71</v>
      </c>
    </row>
    <row r="242" spans="1:7" x14ac:dyDescent="0.25">
      <c r="A242" s="410" t="s">
        <v>667</v>
      </c>
      <c r="B242" s="410" t="s">
        <v>1056</v>
      </c>
      <c r="D242" s="442">
        <v>1211828.17</v>
      </c>
      <c r="E242" s="443">
        <v>6783203.9400000004</v>
      </c>
      <c r="F242" s="439">
        <f t="shared" si="6"/>
        <v>7995032.1100000003</v>
      </c>
      <c r="G242" s="447">
        <f t="shared" si="7"/>
        <v>7995032.1100000003</v>
      </c>
    </row>
    <row r="243" spans="1:7" x14ac:dyDescent="0.25">
      <c r="A243" s="410" t="s">
        <v>669</v>
      </c>
      <c r="B243" s="410" t="s">
        <v>1057</v>
      </c>
      <c r="C243" s="412">
        <v>19404.18</v>
      </c>
      <c r="D243" s="442">
        <v>6909025.8700000001</v>
      </c>
      <c r="E243" s="443">
        <v>15165179</v>
      </c>
      <c r="F243" s="439">
        <f t="shared" si="6"/>
        <v>22093609.050000001</v>
      </c>
      <c r="G243" s="447">
        <f t="shared" si="7"/>
        <v>22074204.870000001</v>
      </c>
    </row>
    <row r="244" spans="1:7" x14ac:dyDescent="0.25">
      <c r="A244" s="410" t="s">
        <v>671</v>
      </c>
      <c r="B244" s="410" t="s">
        <v>1058</v>
      </c>
      <c r="D244" s="444"/>
      <c r="E244" s="443">
        <v>90508.21</v>
      </c>
      <c r="F244" s="439">
        <f t="shared" si="6"/>
        <v>90508.21</v>
      </c>
      <c r="G244" s="447">
        <f t="shared" si="7"/>
        <v>90508.21</v>
      </c>
    </row>
    <row r="245" spans="1:7" x14ac:dyDescent="0.25">
      <c r="A245" s="410" t="s">
        <v>673</v>
      </c>
      <c r="B245" s="410" t="s">
        <v>1059</v>
      </c>
      <c r="D245" s="444"/>
      <c r="E245" s="443">
        <v>204724.08</v>
      </c>
      <c r="F245" s="439">
        <f t="shared" si="6"/>
        <v>204724.08</v>
      </c>
      <c r="G245" s="447">
        <f t="shared" si="7"/>
        <v>204724.08</v>
      </c>
    </row>
    <row r="246" spans="1:7" x14ac:dyDescent="0.25">
      <c r="A246" s="410" t="s">
        <v>675</v>
      </c>
      <c r="B246" s="410" t="s">
        <v>1060</v>
      </c>
      <c r="C246" s="412">
        <v>52446.14</v>
      </c>
      <c r="D246" s="444"/>
      <c r="E246" s="443">
        <v>19776758.550000001</v>
      </c>
      <c r="F246" s="439">
        <f t="shared" si="6"/>
        <v>19829204.690000001</v>
      </c>
      <c r="G246" s="447">
        <f t="shared" si="7"/>
        <v>19776758.550000001</v>
      </c>
    </row>
    <row r="247" spans="1:7" x14ac:dyDescent="0.25">
      <c r="A247" s="410" t="s">
        <v>677</v>
      </c>
      <c r="B247" s="410" t="s">
        <v>1061</v>
      </c>
      <c r="C247" s="412">
        <v>89.96</v>
      </c>
      <c r="D247" s="442">
        <v>3847184.56</v>
      </c>
      <c r="E247" s="443">
        <v>9840151.3399999999</v>
      </c>
      <c r="F247" s="439">
        <f t="shared" si="6"/>
        <v>13687425.859999999</v>
      </c>
      <c r="G247" s="447">
        <f t="shared" si="7"/>
        <v>13687335.9</v>
      </c>
    </row>
    <row r="248" spans="1:7" x14ac:dyDescent="0.25">
      <c r="A248" s="410" t="s">
        <v>679</v>
      </c>
      <c r="B248" s="410" t="s">
        <v>1062</v>
      </c>
      <c r="D248" s="442">
        <v>88699.44</v>
      </c>
      <c r="E248" s="443">
        <v>769079.25</v>
      </c>
      <c r="F248" s="439">
        <f t="shared" si="6"/>
        <v>857778.69</v>
      </c>
      <c r="G248" s="447">
        <f t="shared" si="7"/>
        <v>857778.69</v>
      </c>
    </row>
    <row r="249" spans="1:7" x14ac:dyDescent="0.25">
      <c r="A249" s="410" t="s">
        <v>682</v>
      </c>
      <c r="B249" s="410" t="s">
        <v>1063</v>
      </c>
      <c r="D249" s="442">
        <v>17763.759999999998</v>
      </c>
      <c r="E249" s="443">
        <v>860095.09</v>
      </c>
      <c r="F249" s="439">
        <f t="shared" si="6"/>
        <v>877858.85</v>
      </c>
      <c r="G249" s="447">
        <f t="shared" si="7"/>
        <v>877858.85</v>
      </c>
    </row>
    <row r="250" spans="1:7" x14ac:dyDescent="0.25">
      <c r="A250" s="410" t="s">
        <v>684</v>
      </c>
      <c r="B250" s="410" t="s">
        <v>1064</v>
      </c>
      <c r="D250" s="442">
        <v>5431314</v>
      </c>
      <c r="E250" s="443">
        <v>17907707.350000001</v>
      </c>
      <c r="F250" s="439">
        <f t="shared" si="6"/>
        <v>23339021.350000001</v>
      </c>
      <c r="G250" s="447">
        <f t="shared" si="7"/>
        <v>23339021.350000001</v>
      </c>
    </row>
    <row r="251" spans="1:7" x14ac:dyDescent="0.25">
      <c r="A251" s="410" t="s">
        <v>686</v>
      </c>
      <c r="B251" s="410" t="s">
        <v>1065</v>
      </c>
      <c r="D251" s="444"/>
      <c r="E251" s="443">
        <v>2683531.85</v>
      </c>
      <c r="F251" s="439">
        <f t="shared" si="6"/>
        <v>2683531.85</v>
      </c>
      <c r="G251" s="447">
        <f t="shared" si="7"/>
        <v>2683531.85</v>
      </c>
    </row>
    <row r="252" spans="1:7" x14ac:dyDescent="0.25">
      <c r="A252" s="410" t="s">
        <v>688</v>
      </c>
      <c r="B252" s="410" t="s">
        <v>1066</v>
      </c>
      <c r="D252" s="444"/>
      <c r="E252" s="443">
        <v>291322.62</v>
      </c>
      <c r="F252" s="439">
        <f t="shared" si="6"/>
        <v>291322.62</v>
      </c>
      <c r="G252" s="447">
        <f t="shared" si="7"/>
        <v>291322.62</v>
      </c>
    </row>
    <row r="253" spans="1:7" x14ac:dyDescent="0.25">
      <c r="A253" s="410" t="s">
        <v>690</v>
      </c>
      <c r="B253" s="410" t="s">
        <v>1067</v>
      </c>
      <c r="C253" s="412">
        <v>750861.67</v>
      </c>
      <c r="D253" s="442">
        <v>8969202.1899999995</v>
      </c>
      <c r="E253" s="443">
        <v>48313578.159999996</v>
      </c>
      <c r="F253" s="439">
        <f t="shared" si="6"/>
        <v>58033642.019999996</v>
      </c>
      <c r="G253" s="447">
        <f t="shared" si="7"/>
        <v>57282780.349999994</v>
      </c>
    </row>
    <row r="254" spans="1:7" x14ac:dyDescent="0.25">
      <c r="A254" s="410" t="s">
        <v>692</v>
      </c>
      <c r="B254" s="410" t="s">
        <v>1328</v>
      </c>
      <c r="D254" s="444"/>
      <c r="E254" s="443">
        <v>678447.87</v>
      </c>
      <c r="F254" s="439">
        <f t="shared" si="6"/>
        <v>678447.87</v>
      </c>
      <c r="G254" s="447">
        <f t="shared" si="7"/>
        <v>678447.87</v>
      </c>
    </row>
    <row r="255" spans="1:7" x14ac:dyDescent="0.25">
      <c r="A255" s="410" t="s">
        <v>694</v>
      </c>
      <c r="B255" s="410" t="s">
        <v>1069</v>
      </c>
      <c r="D255" s="444"/>
      <c r="E255" s="443">
        <v>166823.67000000001</v>
      </c>
      <c r="F255" s="439">
        <f t="shared" si="6"/>
        <v>166823.67000000001</v>
      </c>
      <c r="G255" s="447">
        <f t="shared" si="7"/>
        <v>166823.67000000001</v>
      </c>
    </row>
    <row r="256" spans="1:7" x14ac:dyDescent="0.25">
      <c r="A256" s="410" t="s">
        <v>696</v>
      </c>
      <c r="B256" s="410" t="s">
        <v>1070</v>
      </c>
      <c r="D256" s="444"/>
      <c r="E256" s="443">
        <v>170870.33</v>
      </c>
      <c r="F256" s="439">
        <f t="shared" si="6"/>
        <v>170870.33</v>
      </c>
      <c r="G256" s="447">
        <f t="shared" si="7"/>
        <v>170870.33</v>
      </c>
    </row>
    <row r="257" spans="1:7" x14ac:dyDescent="0.25">
      <c r="A257" s="410" t="s">
        <v>698</v>
      </c>
      <c r="B257" s="410" t="s">
        <v>1329</v>
      </c>
      <c r="D257" s="444"/>
      <c r="E257" s="443">
        <v>12429947.23</v>
      </c>
      <c r="F257" s="439">
        <f t="shared" si="6"/>
        <v>12429947.23</v>
      </c>
      <c r="G257" s="447">
        <f t="shared" si="7"/>
        <v>12429947.23</v>
      </c>
    </row>
    <row r="258" spans="1:7" x14ac:dyDescent="0.25">
      <c r="A258" s="410" t="s">
        <v>702</v>
      </c>
      <c r="B258" s="410" t="s">
        <v>1072</v>
      </c>
      <c r="D258" s="444"/>
      <c r="E258" s="443">
        <v>271237.99</v>
      </c>
      <c r="F258" s="439">
        <f t="shared" si="6"/>
        <v>271237.99</v>
      </c>
      <c r="G258" s="447">
        <f t="shared" si="7"/>
        <v>271237.99</v>
      </c>
    </row>
    <row r="259" spans="1:7" x14ac:dyDescent="0.25">
      <c r="A259" s="410" t="s">
        <v>706</v>
      </c>
      <c r="B259" s="410" t="s">
        <v>1073</v>
      </c>
      <c r="C259" s="412">
        <v>20842.36</v>
      </c>
      <c r="D259" s="442">
        <v>964842.95</v>
      </c>
      <c r="E259" s="443">
        <v>4830793</v>
      </c>
      <c r="F259" s="439">
        <f t="shared" si="6"/>
        <v>5816478.3099999996</v>
      </c>
      <c r="G259" s="447">
        <f t="shared" si="7"/>
        <v>5795635.9500000002</v>
      </c>
    </row>
    <row r="260" spans="1:7" x14ac:dyDescent="0.25">
      <c r="A260" s="410" t="s">
        <v>708</v>
      </c>
      <c r="B260" s="410" t="s">
        <v>1074</v>
      </c>
      <c r="D260" s="444"/>
      <c r="E260" s="443">
        <v>48793.69</v>
      </c>
      <c r="F260" s="439">
        <f t="shared" si="6"/>
        <v>48793.69</v>
      </c>
      <c r="G260" s="447">
        <f t="shared" si="7"/>
        <v>48793.69</v>
      </c>
    </row>
    <row r="261" spans="1:7" x14ac:dyDescent="0.25">
      <c r="A261" s="410" t="s">
        <v>710</v>
      </c>
      <c r="B261" s="410" t="s">
        <v>1075</v>
      </c>
      <c r="D261" s="444"/>
      <c r="E261" s="443">
        <v>1350476.42</v>
      </c>
      <c r="F261" s="439">
        <f t="shared" si="6"/>
        <v>1350476.42</v>
      </c>
      <c r="G261" s="447">
        <f t="shared" si="7"/>
        <v>1350476.42</v>
      </c>
    </row>
    <row r="262" spans="1:7" x14ac:dyDescent="0.25">
      <c r="A262" s="410" t="s">
        <v>712</v>
      </c>
      <c r="B262" s="410" t="s">
        <v>1076</v>
      </c>
      <c r="D262" s="444"/>
      <c r="E262" s="443">
        <v>4399572.7699999996</v>
      </c>
      <c r="F262" s="439">
        <f t="shared" ref="F262:F317" si="8">C262+D262+E262</f>
        <v>4399572.7699999996</v>
      </c>
      <c r="G262" s="447">
        <f t="shared" ref="G262:G317" si="9">D262+E262</f>
        <v>4399572.7699999996</v>
      </c>
    </row>
    <row r="263" spans="1:7" x14ac:dyDescent="0.25">
      <c r="A263" s="410" t="s">
        <v>714</v>
      </c>
      <c r="B263" s="410" t="s">
        <v>1330</v>
      </c>
      <c r="D263" s="442">
        <v>10991.68</v>
      </c>
      <c r="E263" s="443">
        <v>751200.14</v>
      </c>
      <c r="F263" s="439">
        <f t="shared" si="8"/>
        <v>762191.82000000007</v>
      </c>
      <c r="G263" s="447">
        <f t="shared" si="9"/>
        <v>762191.82000000007</v>
      </c>
    </row>
    <row r="264" spans="1:7" x14ac:dyDescent="0.25">
      <c r="A264" s="410" t="s">
        <v>716</v>
      </c>
      <c r="B264" s="410" t="s">
        <v>1331</v>
      </c>
      <c r="D264" s="444"/>
      <c r="E264" s="443">
        <v>315147.05</v>
      </c>
      <c r="F264" s="439">
        <f t="shared" si="8"/>
        <v>315147.05</v>
      </c>
      <c r="G264" s="447">
        <f t="shared" si="9"/>
        <v>315147.05</v>
      </c>
    </row>
    <row r="265" spans="1:7" x14ac:dyDescent="0.25">
      <c r="A265" s="410" t="s">
        <v>718</v>
      </c>
      <c r="B265" s="410" t="s">
        <v>1332</v>
      </c>
      <c r="D265" s="444"/>
      <c r="E265" s="443">
        <v>409826.18</v>
      </c>
      <c r="F265" s="439">
        <f t="shared" si="8"/>
        <v>409826.18</v>
      </c>
      <c r="G265" s="447">
        <f t="shared" si="9"/>
        <v>409826.18</v>
      </c>
    </row>
    <row r="266" spans="1:7" x14ac:dyDescent="0.25">
      <c r="A266" s="410" t="s">
        <v>720</v>
      </c>
      <c r="B266" s="410" t="s">
        <v>1080</v>
      </c>
      <c r="D266" s="444"/>
      <c r="E266" s="443">
        <v>81538.850000000006</v>
      </c>
      <c r="F266" s="439">
        <f t="shared" si="8"/>
        <v>81538.850000000006</v>
      </c>
      <c r="G266" s="447">
        <f t="shared" si="9"/>
        <v>81538.850000000006</v>
      </c>
    </row>
    <row r="267" spans="1:7" x14ac:dyDescent="0.25">
      <c r="A267" s="410" t="s">
        <v>722</v>
      </c>
      <c r="B267" s="410" t="s">
        <v>1081</v>
      </c>
      <c r="C267" s="412">
        <v>55468.36</v>
      </c>
      <c r="D267" s="442">
        <v>2206793.87</v>
      </c>
      <c r="E267" s="443">
        <v>15873258.300000001</v>
      </c>
      <c r="F267" s="439">
        <f t="shared" si="8"/>
        <v>18135520.530000001</v>
      </c>
      <c r="G267" s="447">
        <f t="shared" si="9"/>
        <v>18080052.170000002</v>
      </c>
    </row>
    <row r="268" spans="1:7" x14ac:dyDescent="0.25">
      <c r="A268" s="410" t="s">
        <v>724</v>
      </c>
      <c r="B268" s="410" t="s">
        <v>1082</v>
      </c>
      <c r="D268" s="444"/>
      <c r="E268" s="443">
        <v>10164619.890000001</v>
      </c>
      <c r="F268" s="439">
        <f t="shared" si="8"/>
        <v>10164619.890000001</v>
      </c>
      <c r="G268" s="447">
        <f t="shared" si="9"/>
        <v>10164619.890000001</v>
      </c>
    </row>
    <row r="269" spans="1:7" x14ac:dyDescent="0.25">
      <c r="A269" s="410" t="s">
        <v>726</v>
      </c>
      <c r="B269" s="410" t="s">
        <v>1333</v>
      </c>
      <c r="D269" s="444"/>
      <c r="E269" s="443">
        <v>165231.38</v>
      </c>
      <c r="F269" s="439">
        <f t="shared" si="8"/>
        <v>165231.38</v>
      </c>
      <c r="G269" s="447">
        <f t="shared" si="9"/>
        <v>165231.38</v>
      </c>
    </row>
    <row r="270" spans="1:7" x14ac:dyDescent="0.25">
      <c r="A270" s="410" t="s">
        <v>728</v>
      </c>
      <c r="B270" s="410" t="s">
        <v>1084</v>
      </c>
      <c r="C270" s="412">
        <v>301133.11</v>
      </c>
      <c r="D270" s="442">
        <v>1684288.24</v>
      </c>
      <c r="E270" s="443">
        <v>51136172.590000004</v>
      </c>
      <c r="F270" s="439">
        <f t="shared" si="8"/>
        <v>53121593.940000005</v>
      </c>
      <c r="G270" s="447">
        <f t="shared" si="9"/>
        <v>52820460.830000006</v>
      </c>
    </row>
    <row r="271" spans="1:7" x14ac:dyDescent="0.25">
      <c r="A271" s="410" t="s">
        <v>730</v>
      </c>
      <c r="B271" s="410" t="s">
        <v>1148</v>
      </c>
      <c r="C271" s="412">
        <v>5412.32</v>
      </c>
      <c r="D271" s="444"/>
      <c r="E271" s="443">
        <v>239638.11</v>
      </c>
      <c r="F271" s="439">
        <f t="shared" si="8"/>
        <v>245050.43</v>
      </c>
      <c r="G271" s="447">
        <f t="shared" si="9"/>
        <v>239638.11</v>
      </c>
    </row>
    <row r="272" spans="1:7" x14ac:dyDescent="0.25">
      <c r="A272" s="410" t="s">
        <v>732</v>
      </c>
      <c r="B272" s="410" t="s">
        <v>1085</v>
      </c>
      <c r="C272" s="412">
        <v>15661.77</v>
      </c>
      <c r="D272" s="442">
        <v>4064428.8</v>
      </c>
      <c r="E272" s="443">
        <v>16304937.859999999</v>
      </c>
      <c r="F272" s="439">
        <f t="shared" si="8"/>
        <v>20385028.43</v>
      </c>
      <c r="G272" s="447">
        <f t="shared" si="9"/>
        <v>20369366.66</v>
      </c>
    </row>
    <row r="273" spans="1:7" x14ac:dyDescent="0.25">
      <c r="A273" s="410" t="s">
        <v>734</v>
      </c>
      <c r="B273" s="410" t="s">
        <v>1086</v>
      </c>
      <c r="C273" s="412">
        <v>2984.36</v>
      </c>
      <c r="D273" s="442">
        <v>1500</v>
      </c>
      <c r="E273" s="443">
        <v>340493.38</v>
      </c>
      <c r="F273" s="439">
        <f t="shared" si="8"/>
        <v>344977.74</v>
      </c>
      <c r="G273" s="447">
        <f t="shared" si="9"/>
        <v>341993.38</v>
      </c>
    </row>
    <row r="274" spans="1:7" x14ac:dyDescent="0.25">
      <c r="A274" s="410" t="s">
        <v>736</v>
      </c>
      <c r="B274" s="410" t="s">
        <v>1087</v>
      </c>
      <c r="C274" s="412">
        <v>37528.97</v>
      </c>
      <c r="D274" s="444"/>
      <c r="E274" s="443">
        <v>2003113.58</v>
      </c>
      <c r="F274" s="439">
        <f t="shared" si="8"/>
        <v>2040642.55</v>
      </c>
      <c r="G274" s="447">
        <f t="shared" si="9"/>
        <v>2003113.58</v>
      </c>
    </row>
    <row r="275" spans="1:7" x14ac:dyDescent="0.25">
      <c r="A275" s="410" t="s">
        <v>738</v>
      </c>
      <c r="B275" s="410" t="s">
        <v>1088</v>
      </c>
      <c r="D275" s="444"/>
      <c r="E275" s="443">
        <v>392291.15</v>
      </c>
      <c r="F275" s="439">
        <f t="shared" si="8"/>
        <v>392291.15</v>
      </c>
      <c r="G275" s="447">
        <f t="shared" si="9"/>
        <v>392291.15</v>
      </c>
    </row>
    <row r="276" spans="1:7" x14ac:dyDescent="0.25">
      <c r="A276" s="410" t="s">
        <v>740</v>
      </c>
      <c r="B276" s="410" t="s">
        <v>1089</v>
      </c>
      <c r="C276" s="412">
        <v>14294.72</v>
      </c>
      <c r="D276" s="444"/>
      <c r="E276" s="443">
        <v>1846653.56</v>
      </c>
      <c r="F276" s="439">
        <f t="shared" si="8"/>
        <v>1860948.28</v>
      </c>
      <c r="G276" s="447">
        <f t="shared" si="9"/>
        <v>1846653.56</v>
      </c>
    </row>
    <row r="277" spans="1:7" x14ac:dyDescent="0.25">
      <c r="A277" s="410" t="s">
        <v>742</v>
      </c>
      <c r="B277" s="410" t="s">
        <v>1090</v>
      </c>
      <c r="C277" s="412">
        <v>510.4</v>
      </c>
      <c r="D277" s="444"/>
      <c r="E277" s="443">
        <v>1149184.33</v>
      </c>
      <c r="F277" s="439">
        <f t="shared" si="8"/>
        <v>1149694.73</v>
      </c>
      <c r="G277" s="447">
        <f t="shared" si="9"/>
        <v>1149184.33</v>
      </c>
    </row>
    <row r="278" spans="1:7" x14ac:dyDescent="0.25">
      <c r="A278" s="410" t="s">
        <v>744</v>
      </c>
      <c r="B278" s="410" t="s">
        <v>1091</v>
      </c>
      <c r="D278" s="444"/>
      <c r="E278" s="443">
        <v>4440304.57</v>
      </c>
      <c r="F278" s="439">
        <f t="shared" si="8"/>
        <v>4440304.57</v>
      </c>
      <c r="G278" s="447">
        <f t="shared" si="9"/>
        <v>4440304.57</v>
      </c>
    </row>
    <row r="279" spans="1:7" x14ac:dyDescent="0.25">
      <c r="A279" s="410" t="s">
        <v>746</v>
      </c>
      <c r="B279" s="410" t="s">
        <v>1092</v>
      </c>
      <c r="D279" s="442">
        <v>29614.58</v>
      </c>
      <c r="E279" s="443">
        <v>228377.54</v>
      </c>
      <c r="F279" s="439">
        <f t="shared" si="8"/>
        <v>257992.12</v>
      </c>
      <c r="G279" s="447">
        <f t="shared" si="9"/>
        <v>257992.12</v>
      </c>
    </row>
    <row r="280" spans="1:7" x14ac:dyDescent="0.25">
      <c r="A280" s="410" t="s">
        <v>748</v>
      </c>
      <c r="B280" s="410" t="s">
        <v>1093</v>
      </c>
      <c r="D280" s="444"/>
      <c r="E280" s="443">
        <v>1011805.92</v>
      </c>
      <c r="F280" s="439">
        <f t="shared" si="8"/>
        <v>1011805.92</v>
      </c>
      <c r="G280" s="447">
        <f t="shared" si="9"/>
        <v>1011805.92</v>
      </c>
    </row>
    <row r="281" spans="1:7" x14ac:dyDescent="0.25">
      <c r="A281" s="410" t="s">
        <v>750</v>
      </c>
      <c r="B281" s="410" t="s">
        <v>1094</v>
      </c>
      <c r="D281" s="444"/>
      <c r="E281" s="443">
        <v>174835.77</v>
      </c>
      <c r="F281" s="439">
        <f t="shared" si="8"/>
        <v>174835.77</v>
      </c>
      <c r="G281" s="447">
        <f t="shared" si="9"/>
        <v>174835.77</v>
      </c>
    </row>
    <row r="282" spans="1:7" x14ac:dyDescent="0.25">
      <c r="A282" s="410" t="s">
        <v>752</v>
      </c>
      <c r="B282" s="410" t="s">
        <v>1095</v>
      </c>
      <c r="D282" s="444"/>
      <c r="E282" s="443">
        <v>5987123.96</v>
      </c>
      <c r="F282" s="439">
        <f t="shared" si="8"/>
        <v>5987123.96</v>
      </c>
      <c r="G282" s="447">
        <f t="shared" si="9"/>
        <v>5987123.96</v>
      </c>
    </row>
    <row r="283" spans="1:7" x14ac:dyDescent="0.25">
      <c r="A283" s="410" t="s">
        <v>754</v>
      </c>
      <c r="B283" s="410" t="s">
        <v>1096</v>
      </c>
      <c r="D283" s="442">
        <v>25285.29</v>
      </c>
      <c r="E283" s="443">
        <v>11693116.949999999</v>
      </c>
      <c r="F283" s="439">
        <f t="shared" si="8"/>
        <v>11718402.239999998</v>
      </c>
      <c r="G283" s="447">
        <f t="shared" si="9"/>
        <v>11718402.239999998</v>
      </c>
    </row>
    <row r="284" spans="1:7" x14ac:dyDescent="0.25">
      <c r="A284" s="410" t="s">
        <v>756</v>
      </c>
      <c r="B284" s="410" t="s">
        <v>1097</v>
      </c>
      <c r="D284" s="444"/>
      <c r="E284" s="443">
        <v>643355.37</v>
      </c>
      <c r="F284" s="439">
        <f t="shared" si="8"/>
        <v>643355.37</v>
      </c>
      <c r="G284" s="447">
        <f t="shared" si="9"/>
        <v>643355.37</v>
      </c>
    </row>
    <row r="285" spans="1:7" x14ac:dyDescent="0.25">
      <c r="A285" s="410" t="s">
        <v>758</v>
      </c>
      <c r="B285" s="410" t="s">
        <v>1098</v>
      </c>
      <c r="C285" s="412">
        <v>98344.16</v>
      </c>
      <c r="D285" s="442">
        <v>72221.52</v>
      </c>
      <c r="E285" s="443">
        <v>10591552.699999999</v>
      </c>
      <c r="F285" s="439">
        <f t="shared" si="8"/>
        <v>10762118.379999999</v>
      </c>
      <c r="G285" s="447">
        <f t="shared" si="9"/>
        <v>10663774.219999999</v>
      </c>
    </row>
    <row r="286" spans="1:7" x14ac:dyDescent="0.25">
      <c r="A286" s="410" t="s">
        <v>760</v>
      </c>
      <c r="B286" s="410" t="s">
        <v>1099</v>
      </c>
      <c r="D286" s="444"/>
      <c r="E286" s="443">
        <v>1130385.97</v>
      </c>
      <c r="F286" s="439">
        <f t="shared" si="8"/>
        <v>1130385.97</v>
      </c>
      <c r="G286" s="447">
        <f t="shared" si="9"/>
        <v>1130385.97</v>
      </c>
    </row>
    <row r="287" spans="1:7" x14ac:dyDescent="0.25">
      <c r="A287" s="410" t="s">
        <v>762</v>
      </c>
      <c r="B287" s="410" t="s">
        <v>1100</v>
      </c>
      <c r="C287" s="412">
        <v>659035.78</v>
      </c>
      <c r="D287" s="442">
        <v>4948822.22</v>
      </c>
      <c r="E287" s="443">
        <v>38577740.32</v>
      </c>
      <c r="F287" s="439">
        <f t="shared" si="8"/>
        <v>44185598.32</v>
      </c>
      <c r="G287" s="447">
        <f t="shared" si="9"/>
        <v>43526562.539999999</v>
      </c>
    </row>
    <row r="288" spans="1:7" x14ac:dyDescent="0.25">
      <c r="A288" s="410" t="s">
        <v>764</v>
      </c>
      <c r="B288" s="410" t="s">
        <v>1101</v>
      </c>
      <c r="C288" s="412">
        <v>11391.15</v>
      </c>
      <c r="D288" s="442">
        <v>126661.05</v>
      </c>
      <c r="E288" s="443">
        <v>2571620.04</v>
      </c>
      <c r="F288" s="439">
        <f t="shared" si="8"/>
        <v>2709672.24</v>
      </c>
      <c r="G288" s="447">
        <f t="shared" si="9"/>
        <v>2698281.09</v>
      </c>
    </row>
    <row r="289" spans="1:7" x14ac:dyDescent="0.25">
      <c r="A289" s="410" t="s">
        <v>1334</v>
      </c>
      <c r="B289" s="410" t="s">
        <v>1335</v>
      </c>
      <c r="D289" s="444"/>
      <c r="E289" s="443">
        <v>120474.56</v>
      </c>
      <c r="F289" s="439">
        <f t="shared" si="8"/>
        <v>120474.56</v>
      </c>
      <c r="G289" s="447">
        <f t="shared" si="9"/>
        <v>120474.56</v>
      </c>
    </row>
    <row r="290" spans="1:7" x14ac:dyDescent="0.25">
      <c r="A290" s="410" t="s">
        <v>766</v>
      </c>
      <c r="B290" s="410" t="s">
        <v>1102</v>
      </c>
      <c r="D290" s="444"/>
      <c r="E290" s="443">
        <v>732218.66</v>
      </c>
      <c r="F290" s="439">
        <f t="shared" si="8"/>
        <v>732218.66</v>
      </c>
      <c r="G290" s="447">
        <f t="shared" si="9"/>
        <v>732218.66</v>
      </c>
    </row>
    <row r="291" spans="1:7" x14ac:dyDescent="0.25">
      <c r="A291" s="410" t="s">
        <v>768</v>
      </c>
      <c r="B291" s="410" t="s">
        <v>1103</v>
      </c>
      <c r="D291" s="444"/>
      <c r="E291" s="443">
        <v>3050258.34</v>
      </c>
      <c r="F291" s="439">
        <f t="shared" si="8"/>
        <v>3050258.34</v>
      </c>
      <c r="G291" s="447">
        <f t="shared" si="9"/>
        <v>3050258.34</v>
      </c>
    </row>
    <row r="292" spans="1:7" x14ac:dyDescent="0.25">
      <c r="A292" s="410" t="s">
        <v>770</v>
      </c>
      <c r="B292" s="410" t="s">
        <v>1104</v>
      </c>
      <c r="D292" s="444"/>
      <c r="E292" s="443">
        <v>235014.18</v>
      </c>
      <c r="F292" s="439">
        <f t="shared" si="8"/>
        <v>235014.18</v>
      </c>
      <c r="G292" s="447">
        <f t="shared" si="9"/>
        <v>235014.18</v>
      </c>
    </row>
    <row r="293" spans="1:7" x14ac:dyDescent="0.25">
      <c r="A293" s="410" t="s">
        <v>772</v>
      </c>
      <c r="B293" s="410" t="s">
        <v>1105</v>
      </c>
      <c r="D293" s="442">
        <v>490649.58</v>
      </c>
      <c r="E293" s="443">
        <v>8612840.9800000004</v>
      </c>
      <c r="F293" s="439">
        <f t="shared" si="8"/>
        <v>9103490.5600000005</v>
      </c>
      <c r="G293" s="447">
        <f t="shared" si="9"/>
        <v>9103490.5600000005</v>
      </c>
    </row>
    <row r="294" spans="1:7" x14ac:dyDescent="0.25">
      <c r="A294" s="410" t="s">
        <v>774</v>
      </c>
      <c r="B294" s="410" t="s">
        <v>1106</v>
      </c>
      <c r="D294" s="444"/>
      <c r="E294" s="443">
        <v>4339975.3</v>
      </c>
      <c r="F294" s="439">
        <f t="shared" si="8"/>
        <v>4339975.3</v>
      </c>
      <c r="G294" s="447">
        <f t="shared" si="9"/>
        <v>4339975.3</v>
      </c>
    </row>
    <row r="295" spans="1:7" x14ac:dyDescent="0.25">
      <c r="A295" s="410" t="s">
        <v>776</v>
      </c>
      <c r="B295" s="410" t="s">
        <v>1107</v>
      </c>
      <c r="C295" s="412">
        <v>24454.1</v>
      </c>
      <c r="D295" s="442">
        <v>1781.25</v>
      </c>
      <c r="E295" s="443">
        <v>1294613.94</v>
      </c>
      <c r="F295" s="439">
        <f t="shared" si="8"/>
        <v>1320849.29</v>
      </c>
      <c r="G295" s="447">
        <f t="shared" si="9"/>
        <v>1296395.19</v>
      </c>
    </row>
    <row r="296" spans="1:7" x14ac:dyDescent="0.25">
      <c r="A296" s="410" t="s">
        <v>778</v>
      </c>
      <c r="B296" s="410" t="s">
        <v>1108</v>
      </c>
      <c r="C296" s="412">
        <v>49572.11</v>
      </c>
      <c r="D296" s="442">
        <v>309017.24</v>
      </c>
      <c r="E296" s="443">
        <v>6772702.0199999996</v>
      </c>
      <c r="F296" s="439">
        <f t="shared" si="8"/>
        <v>7131291.3699999992</v>
      </c>
      <c r="G296" s="447">
        <f t="shared" si="9"/>
        <v>7081719.2599999998</v>
      </c>
    </row>
    <row r="297" spans="1:7" x14ac:dyDescent="0.25">
      <c r="A297" s="410" t="s">
        <v>780</v>
      </c>
      <c r="B297" s="410" t="s">
        <v>1109</v>
      </c>
      <c r="D297" s="444"/>
      <c r="E297" s="443">
        <v>95403.75</v>
      </c>
      <c r="F297" s="439">
        <f t="shared" si="8"/>
        <v>95403.75</v>
      </c>
      <c r="G297" s="447">
        <f t="shared" si="9"/>
        <v>95403.75</v>
      </c>
    </row>
    <row r="298" spans="1:7" x14ac:dyDescent="0.25">
      <c r="A298" s="410" t="s">
        <v>782</v>
      </c>
      <c r="B298" s="410" t="s">
        <v>1110</v>
      </c>
      <c r="D298" s="444"/>
      <c r="E298" s="443">
        <v>414342.2</v>
      </c>
      <c r="F298" s="439">
        <f t="shared" si="8"/>
        <v>414342.2</v>
      </c>
      <c r="G298" s="447">
        <f t="shared" si="9"/>
        <v>414342.2</v>
      </c>
    </row>
    <row r="299" spans="1:7" x14ac:dyDescent="0.25">
      <c r="A299" s="410" t="s">
        <v>784</v>
      </c>
      <c r="B299" s="410" t="s">
        <v>1111</v>
      </c>
      <c r="D299" s="444"/>
      <c r="E299" s="443">
        <v>635026.64</v>
      </c>
      <c r="F299" s="439">
        <f t="shared" si="8"/>
        <v>635026.64</v>
      </c>
      <c r="G299" s="447">
        <f t="shared" si="9"/>
        <v>635026.64</v>
      </c>
    </row>
    <row r="300" spans="1:7" x14ac:dyDescent="0.25">
      <c r="A300" s="410" t="s">
        <v>786</v>
      </c>
      <c r="B300" s="410" t="s">
        <v>1112</v>
      </c>
      <c r="C300" s="412">
        <v>138755.92000000001</v>
      </c>
      <c r="D300" s="442">
        <v>94237.5</v>
      </c>
      <c r="E300" s="443">
        <v>11947108.050000001</v>
      </c>
      <c r="F300" s="439">
        <f t="shared" si="8"/>
        <v>12180101.470000001</v>
      </c>
      <c r="G300" s="447">
        <f t="shared" si="9"/>
        <v>12041345.550000001</v>
      </c>
    </row>
    <row r="301" spans="1:7" x14ac:dyDescent="0.25">
      <c r="A301" s="410" t="s">
        <v>790</v>
      </c>
      <c r="B301" s="410" t="s">
        <v>1336</v>
      </c>
      <c r="D301" s="444"/>
      <c r="E301" s="443">
        <v>5138274.38</v>
      </c>
      <c r="F301" s="439">
        <f t="shared" si="8"/>
        <v>5138274.38</v>
      </c>
      <c r="G301" s="447">
        <f t="shared" si="9"/>
        <v>5138274.38</v>
      </c>
    </row>
    <row r="302" spans="1:7" x14ac:dyDescent="0.25">
      <c r="A302" s="410" t="s">
        <v>788</v>
      </c>
      <c r="B302" s="410" t="s">
        <v>1337</v>
      </c>
      <c r="D302" s="444"/>
      <c r="E302" s="443">
        <v>7691266.79</v>
      </c>
      <c r="F302" s="439">
        <f t="shared" si="8"/>
        <v>7691266.79</v>
      </c>
      <c r="G302" s="447">
        <f t="shared" si="9"/>
        <v>7691266.79</v>
      </c>
    </row>
    <row r="303" spans="1:7" x14ac:dyDescent="0.25">
      <c r="A303" s="410" t="s">
        <v>1169</v>
      </c>
      <c r="B303" s="410" t="s">
        <v>1338</v>
      </c>
      <c r="D303" s="444"/>
      <c r="E303" s="443">
        <v>96810.49</v>
      </c>
      <c r="F303" s="439">
        <f t="shared" si="8"/>
        <v>96810.49</v>
      </c>
      <c r="G303" s="447">
        <f t="shared" si="9"/>
        <v>96810.49</v>
      </c>
    </row>
    <row r="304" spans="1:7" x14ac:dyDescent="0.25">
      <c r="A304" s="410" t="s">
        <v>792</v>
      </c>
      <c r="B304" s="410" t="s">
        <v>1115</v>
      </c>
      <c r="C304" s="412">
        <v>2843.9</v>
      </c>
      <c r="D304" s="442">
        <v>5546.32</v>
      </c>
      <c r="E304" s="443">
        <v>646315.86</v>
      </c>
      <c r="F304" s="439">
        <f t="shared" si="8"/>
        <v>654706.07999999996</v>
      </c>
      <c r="G304" s="447">
        <f t="shared" si="9"/>
        <v>651862.17999999993</v>
      </c>
    </row>
    <row r="305" spans="1:7" x14ac:dyDescent="0.25">
      <c r="A305" s="410" t="s">
        <v>794</v>
      </c>
      <c r="B305" s="410" t="s">
        <v>1116</v>
      </c>
      <c r="C305" s="412">
        <v>9499.74</v>
      </c>
      <c r="D305" s="442">
        <v>1017509.53</v>
      </c>
      <c r="E305" s="443">
        <v>6767012.71</v>
      </c>
      <c r="F305" s="439">
        <f t="shared" si="8"/>
        <v>7794021.9800000004</v>
      </c>
      <c r="G305" s="447">
        <f t="shared" si="9"/>
        <v>7784522.2400000002</v>
      </c>
    </row>
    <row r="306" spans="1:7" x14ac:dyDescent="0.25">
      <c r="A306" s="410" t="s">
        <v>796</v>
      </c>
      <c r="B306" s="410" t="s">
        <v>1117</v>
      </c>
      <c r="C306" s="412">
        <v>6695.96</v>
      </c>
      <c r="D306" s="444"/>
      <c r="E306" s="443">
        <v>1402419.12</v>
      </c>
      <c r="F306" s="439">
        <f t="shared" si="8"/>
        <v>1409115.08</v>
      </c>
      <c r="G306" s="447">
        <f t="shared" si="9"/>
        <v>1402419.12</v>
      </c>
    </row>
    <row r="307" spans="1:7" x14ac:dyDescent="0.25">
      <c r="A307" s="410" t="s">
        <v>247</v>
      </c>
      <c r="B307" s="410" t="s">
        <v>1339</v>
      </c>
      <c r="D307" s="444"/>
      <c r="E307" s="443">
        <v>167203.29</v>
      </c>
      <c r="F307" s="439">
        <f t="shared" si="8"/>
        <v>167203.29</v>
      </c>
      <c r="G307" s="447">
        <f t="shared" si="9"/>
        <v>167203.29</v>
      </c>
    </row>
    <row r="308" spans="1:7" x14ac:dyDescent="0.25">
      <c r="A308" s="410" t="s">
        <v>798</v>
      </c>
      <c r="B308" s="410" t="s">
        <v>1118</v>
      </c>
      <c r="D308" s="442">
        <v>71525.399999999994</v>
      </c>
      <c r="E308" s="443">
        <v>339171.98</v>
      </c>
      <c r="F308" s="439">
        <f t="shared" si="8"/>
        <v>410697.38</v>
      </c>
      <c r="G308" s="447">
        <f t="shared" si="9"/>
        <v>410697.38</v>
      </c>
    </row>
    <row r="309" spans="1:7" x14ac:dyDescent="0.25">
      <c r="A309" s="410" t="s">
        <v>800</v>
      </c>
      <c r="B309" s="410" t="s">
        <v>1119</v>
      </c>
      <c r="D309" s="442">
        <v>138251.09</v>
      </c>
      <c r="E309" s="443">
        <v>497941.78</v>
      </c>
      <c r="F309" s="439">
        <f t="shared" si="8"/>
        <v>636192.87</v>
      </c>
      <c r="G309" s="447">
        <f t="shared" si="9"/>
        <v>636192.87</v>
      </c>
    </row>
    <row r="310" spans="1:7" x14ac:dyDescent="0.25">
      <c r="A310" s="410" t="s">
        <v>802</v>
      </c>
      <c r="B310" s="410" t="s">
        <v>1149</v>
      </c>
      <c r="D310" s="442">
        <v>39504.22</v>
      </c>
      <c r="E310" s="443">
        <v>155425.10999999999</v>
      </c>
      <c r="F310" s="439">
        <f t="shared" si="8"/>
        <v>194929.33</v>
      </c>
      <c r="G310" s="447">
        <f t="shared" si="9"/>
        <v>194929.33</v>
      </c>
    </row>
    <row r="311" spans="1:7" x14ac:dyDescent="0.25">
      <c r="A311" s="410" t="s">
        <v>804</v>
      </c>
      <c r="B311" s="410" t="s">
        <v>1120</v>
      </c>
      <c r="D311" s="444"/>
      <c r="E311" s="443">
        <v>1575457.8</v>
      </c>
      <c r="F311" s="439">
        <f t="shared" si="8"/>
        <v>1575457.8</v>
      </c>
      <c r="G311" s="447">
        <f t="shared" si="9"/>
        <v>1575457.8</v>
      </c>
    </row>
    <row r="312" spans="1:7" x14ac:dyDescent="0.25">
      <c r="A312" s="410" t="s">
        <v>806</v>
      </c>
      <c r="B312" s="410" t="s">
        <v>1121</v>
      </c>
      <c r="D312" s="444"/>
      <c r="E312" s="443">
        <v>230823.85</v>
      </c>
      <c r="F312" s="439">
        <f t="shared" si="8"/>
        <v>230823.85</v>
      </c>
      <c r="G312" s="447">
        <f t="shared" si="9"/>
        <v>230823.85</v>
      </c>
    </row>
    <row r="313" spans="1:7" x14ac:dyDescent="0.25">
      <c r="A313" s="410" t="s">
        <v>808</v>
      </c>
      <c r="B313" s="410" t="s">
        <v>1122</v>
      </c>
      <c r="D313" s="444"/>
      <c r="E313" s="443">
        <v>53332.76</v>
      </c>
      <c r="F313" s="439">
        <f t="shared" si="8"/>
        <v>53332.76</v>
      </c>
      <c r="G313" s="447">
        <f t="shared" si="9"/>
        <v>53332.76</v>
      </c>
    </row>
    <row r="314" spans="1:7" x14ac:dyDescent="0.25">
      <c r="A314" s="410" t="s">
        <v>810</v>
      </c>
      <c r="B314" s="410" t="s">
        <v>1123</v>
      </c>
      <c r="C314" s="412">
        <v>543356.02</v>
      </c>
      <c r="D314" s="442">
        <v>373565.69</v>
      </c>
      <c r="E314" s="443">
        <v>3599658.08</v>
      </c>
      <c r="F314" s="439">
        <f t="shared" si="8"/>
        <v>4516579.79</v>
      </c>
      <c r="G314" s="447">
        <f t="shared" si="9"/>
        <v>3973223.77</v>
      </c>
    </row>
    <row r="315" spans="1:7" x14ac:dyDescent="0.25">
      <c r="A315" s="410" t="s">
        <v>812</v>
      </c>
      <c r="B315" s="410" t="s">
        <v>1124</v>
      </c>
      <c r="D315" s="442">
        <v>5221918.3</v>
      </c>
      <c r="E315" s="443">
        <v>27070471.640000001</v>
      </c>
      <c r="F315" s="439">
        <f t="shared" si="8"/>
        <v>32292389.940000001</v>
      </c>
      <c r="G315" s="447">
        <f t="shared" si="9"/>
        <v>32292389.940000001</v>
      </c>
    </row>
    <row r="316" spans="1:7" x14ac:dyDescent="0.25">
      <c r="A316" s="410" t="s">
        <v>814</v>
      </c>
      <c r="B316" s="410" t="s">
        <v>1125</v>
      </c>
      <c r="C316" s="412">
        <v>50300.15</v>
      </c>
      <c r="D316" s="442">
        <v>2318718.5099999998</v>
      </c>
      <c r="E316" s="443">
        <v>9615772.0399999991</v>
      </c>
      <c r="F316" s="439">
        <f t="shared" si="8"/>
        <v>11984790.699999999</v>
      </c>
      <c r="G316" s="447">
        <f t="shared" si="9"/>
        <v>11934490.549999999</v>
      </c>
    </row>
    <row r="317" spans="1:7" x14ac:dyDescent="0.25">
      <c r="A317" s="410" t="s">
        <v>816</v>
      </c>
      <c r="B317" s="410" t="s">
        <v>1126</v>
      </c>
      <c r="D317" s="444"/>
      <c r="E317" s="443">
        <v>1335765.49</v>
      </c>
      <c r="F317" s="439">
        <f t="shared" si="8"/>
        <v>1335765.49</v>
      </c>
      <c r="G317" s="447">
        <f t="shared" si="9"/>
        <v>1335765.49</v>
      </c>
    </row>
  </sheetData>
  <autoFilter ref="A4:G317" xr:uid="{1D7C7C77-1D12-4770-B313-24D8011891C1}"/>
  <sortState xmlns:xlrd2="http://schemas.microsoft.com/office/spreadsheetml/2017/richdata2" ref="A8:G321">
    <sortCondition ref="A8:A321"/>
  </sortState>
  <mergeCells count="1">
    <mergeCell ref="A1:C1"/>
  </mergeCells>
  <pageMargins left="0.7" right="0.7" top="0.75" bottom="0.75" header="0.3" footer="0.3"/>
  <pageSetup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C117-733A-47D9-8009-04BC612469FD}">
  <dimension ref="A1:Y319"/>
  <sheetViews>
    <sheetView topLeftCell="A282" zoomScaleNormal="100" workbookViewId="0">
      <selection activeCell="S3" sqref="S3:S317"/>
    </sheetView>
  </sheetViews>
  <sheetFormatPr defaultRowHeight="15" x14ac:dyDescent="0.25"/>
  <cols>
    <col min="1" max="1" width="11" customWidth="1"/>
    <col min="2" max="2" width="41.7109375" customWidth="1"/>
    <col min="3" max="3" width="9.140625" customWidth="1"/>
    <col min="4" max="4" width="8.85546875" customWidth="1"/>
    <col min="5" max="7" width="9.5703125" customWidth="1"/>
    <col min="8" max="16" width="10.5703125" customWidth="1"/>
    <col min="17" max="17" width="9.5703125" customWidth="1"/>
    <col min="18" max="18" width="10.5703125" customWidth="1"/>
    <col min="19" max="19" width="11.5703125" bestFit="1" customWidth="1"/>
  </cols>
  <sheetData>
    <row r="1" spans="1:25" s="299" customFormat="1" ht="18.75" x14ac:dyDescent="0.3">
      <c r="A1" s="299">
        <v>1</v>
      </c>
      <c r="B1" s="299">
        <v>2</v>
      </c>
      <c r="C1" s="299">
        <v>3</v>
      </c>
      <c r="D1" s="299">
        <v>4</v>
      </c>
      <c r="E1" s="299">
        <v>5</v>
      </c>
      <c r="F1" s="299">
        <v>6</v>
      </c>
      <c r="G1" s="299">
        <v>7</v>
      </c>
      <c r="H1" s="299">
        <v>8</v>
      </c>
      <c r="I1" s="299">
        <v>9</v>
      </c>
      <c r="J1" s="299">
        <v>10</v>
      </c>
      <c r="K1" s="299">
        <v>11</v>
      </c>
      <c r="L1" s="299">
        <v>12</v>
      </c>
      <c r="M1" s="299">
        <v>13</v>
      </c>
      <c r="N1" s="299">
        <v>14</v>
      </c>
      <c r="O1" s="299">
        <v>15</v>
      </c>
      <c r="P1" s="299">
        <v>16</v>
      </c>
      <c r="Q1" s="299">
        <v>17</v>
      </c>
      <c r="R1" s="299">
        <v>18</v>
      </c>
      <c r="S1" s="299">
        <v>19</v>
      </c>
    </row>
    <row r="2" spans="1:25" s="372" customFormat="1" ht="60" x14ac:dyDescent="0.25">
      <c r="A2" s="368" t="s">
        <v>1264</v>
      </c>
      <c r="B2" s="368" t="s">
        <v>1265</v>
      </c>
      <c r="C2" s="368" t="s">
        <v>186</v>
      </c>
      <c r="D2" s="368" t="s">
        <v>1266</v>
      </c>
      <c r="E2" s="372" t="s">
        <v>1211</v>
      </c>
      <c r="F2" s="372" t="s">
        <v>1212</v>
      </c>
      <c r="G2" s="372" t="s">
        <v>1213</v>
      </c>
      <c r="H2" s="372" t="s">
        <v>1214</v>
      </c>
      <c r="I2" s="372" t="s">
        <v>1215</v>
      </c>
      <c r="J2" s="372" t="s">
        <v>1216</v>
      </c>
      <c r="K2" s="372" t="s">
        <v>1217</v>
      </c>
      <c r="L2" s="372" t="s">
        <v>1218</v>
      </c>
      <c r="M2" s="372" t="s">
        <v>1219</v>
      </c>
      <c r="N2" s="372" t="s">
        <v>1220</v>
      </c>
      <c r="O2" s="372" t="s">
        <v>1221</v>
      </c>
      <c r="P2" s="372" t="s">
        <v>1222</v>
      </c>
      <c r="Q2" s="372" t="s">
        <v>1223</v>
      </c>
      <c r="R2" s="372" t="s">
        <v>1224</v>
      </c>
      <c r="S2" s="368" t="s">
        <v>1225</v>
      </c>
      <c r="U2" s="682" t="s">
        <v>1341</v>
      </c>
      <c r="V2" s="682"/>
      <c r="W2" s="682"/>
      <c r="X2" s="682"/>
      <c r="Y2" s="682"/>
    </row>
    <row r="3" spans="1:25" x14ac:dyDescent="0.25">
      <c r="A3" t="s">
        <v>188</v>
      </c>
      <c r="B3" t="s">
        <v>831</v>
      </c>
      <c r="C3" t="s">
        <v>189</v>
      </c>
      <c r="E3">
        <v>40</v>
      </c>
      <c r="F3">
        <v>38</v>
      </c>
      <c r="G3">
        <v>27</v>
      </c>
      <c r="H3">
        <v>36</v>
      </c>
      <c r="I3">
        <v>38</v>
      </c>
      <c r="J3">
        <v>26</v>
      </c>
      <c r="K3">
        <v>43</v>
      </c>
      <c r="L3">
        <v>41</v>
      </c>
      <c r="M3">
        <v>47</v>
      </c>
      <c r="N3">
        <v>46</v>
      </c>
      <c r="O3">
        <v>44</v>
      </c>
      <c r="P3">
        <v>36</v>
      </c>
      <c r="Q3">
        <v>36</v>
      </c>
      <c r="R3">
        <v>44</v>
      </c>
      <c r="S3">
        <v>542</v>
      </c>
    </row>
    <row r="4" spans="1:25" x14ac:dyDescent="0.25">
      <c r="A4" t="s">
        <v>191</v>
      </c>
      <c r="B4" t="s">
        <v>832</v>
      </c>
      <c r="C4" t="s">
        <v>189</v>
      </c>
      <c r="E4">
        <v>3</v>
      </c>
      <c r="F4">
        <v>4</v>
      </c>
      <c r="G4">
        <v>6</v>
      </c>
      <c r="H4">
        <v>9</v>
      </c>
      <c r="I4">
        <v>4</v>
      </c>
      <c r="J4">
        <v>4</v>
      </c>
      <c r="K4">
        <v>5</v>
      </c>
      <c r="L4">
        <v>5</v>
      </c>
      <c r="M4">
        <v>8</v>
      </c>
      <c r="N4">
        <v>6</v>
      </c>
      <c r="O4">
        <v>9</v>
      </c>
      <c r="P4">
        <v>4</v>
      </c>
      <c r="Q4">
        <v>2</v>
      </c>
      <c r="R4">
        <v>6</v>
      </c>
      <c r="S4">
        <v>75</v>
      </c>
    </row>
    <row r="5" spans="1:25" x14ac:dyDescent="0.25">
      <c r="A5" t="s">
        <v>193</v>
      </c>
      <c r="B5" t="s">
        <v>1135</v>
      </c>
      <c r="C5" t="s">
        <v>194</v>
      </c>
      <c r="F5">
        <v>1</v>
      </c>
      <c r="G5">
        <v>2</v>
      </c>
      <c r="H5">
        <v>2</v>
      </c>
      <c r="I5">
        <v>2</v>
      </c>
      <c r="K5">
        <v>1</v>
      </c>
      <c r="L5">
        <v>4</v>
      </c>
      <c r="M5">
        <v>3</v>
      </c>
      <c r="N5">
        <v>1</v>
      </c>
      <c r="S5">
        <v>16</v>
      </c>
    </row>
    <row r="6" spans="1:25" x14ac:dyDescent="0.25">
      <c r="A6" t="s">
        <v>196</v>
      </c>
      <c r="B6" t="s">
        <v>840</v>
      </c>
      <c r="C6" t="s">
        <v>197</v>
      </c>
      <c r="E6">
        <v>43</v>
      </c>
      <c r="F6">
        <v>25</v>
      </c>
      <c r="G6">
        <v>22</v>
      </c>
      <c r="H6">
        <v>23</v>
      </c>
      <c r="I6">
        <v>20</v>
      </c>
      <c r="J6">
        <v>25</v>
      </c>
      <c r="K6">
        <v>19</v>
      </c>
      <c r="L6">
        <v>28</v>
      </c>
      <c r="M6">
        <v>20</v>
      </c>
      <c r="N6">
        <v>18</v>
      </c>
      <c r="O6">
        <v>22</v>
      </c>
      <c r="P6">
        <v>16</v>
      </c>
      <c r="Q6">
        <v>18</v>
      </c>
      <c r="R6">
        <v>20</v>
      </c>
      <c r="S6">
        <v>319</v>
      </c>
    </row>
    <row r="7" spans="1:25" x14ac:dyDescent="0.25">
      <c r="A7" t="s">
        <v>199</v>
      </c>
      <c r="B7" t="s">
        <v>841</v>
      </c>
      <c r="C7" t="s">
        <v>197</v>
      </c>
      <c r="E7">
        <v>42</v>
      </c>
      <c r="F7">
        <v>34</v>
      </c>
      <c r="G7">
        <v>51</v>
      </c>
      <c r="H7">
        <v>73</v>
      </c>
      <c r="I7">
        <v>63</v>
      </c>
      <c r="J7">
        <v>58</v>
      </c>
      <c r="K7">
        <v>58</v>
      </c>
      <c r="L7">
        <v>60</v>
      </c>
      <c r="M7">
        <v>64</v>
      </c>
      <c r="N7">
        <v>63</v>
      </c>
      <c r="O7">
        <v>62</v>
      </c>
      <c r="P7">
        <v>52</v>
      </c>
      <c r="Q7">
        <v>60</v>
      </c>
      <c r="R7">
        <v>81</v>
      </c>
      <c r="S7">
        <v>821</v>
      </c>
    </row>
    <row r="8" spans="1:25" x14ac:dyDescent="0.25">
      <c r="A8" t="s">
        <v>201</v>
      </c>
      <c r="B8" t="s">
        <v>842</v>
      </c>
      <c r="C8" t="s">
        <v>202</v>
      </c>
      <c r="E8">
        <v>2</v>
      </c>
      <c r="F8">
        <v>4</v>
      </c>
      <c r="G8">
        <v>6</v>
      </c>
      <c r="H8">
        <v>4</v>
      </c>
      <c r="I8">
        <v>7</v>
      </c>
      <c r="J8">
        <v>5</v>
      </c>
      <c r="K8">
        <v>11</v>
      </c>
      <c r="L8">
        <v>5</v>
      </c>
      <c r="M8">
        <v>9</v>
      </c>
      <c r="N8">
        <v>14</v>
      </c>
      <c r="O8">
        <v>5</v>
      </c>
      <c r="P8">
        <v>5</v>
      </c>
      <c r="Q8">
        <v>5</v>
      </c>
      <c r="R8">
        <v>5</v>
      </c>
      <c r="S8">
        <v>87</v>
      </c>
    </row>
    <row r="9" spans="1:25" x14ac:dyDescent="0.25">
      <c r="A9" t="s">
        <v>204</v>
      </c>
      <c r="B9" t="s">
        <v>843</v>
      </c>
      <c r="C9" t="s">
        <v>205</v>
      </c>
      <c r="E9">
        <v>162</v>
      </c>
      <c r="F9">
        <v>123</v>
      </c>
      <c r="G9">
        <v>133</v>
      </c>
      <c r="H9">
        <v>144</v>
      </c>
      <c r="I9">
        <v>148</v>
      </c>
      <c r="J9">
        <v>140</v>
      </c>
      <c r="K9">
        <v>124</v>
      </c>
      <c r="L9">
        <v>153</v>
      </c>
      <c r="M9">
        <v>121</v>
      </c>
      <c r="N9">
        <v>127</v>
      </c>
      <c r="O9">
        <v>134</v>
      </c>
      <c r="P9">
        <v>112</v>
      </c>
      <c r="Q9">
        <v>124</v>
      </c>
      <c r="R9">
        <v>160</v>
      </c>
      <c r="S9">
        <v>1905</v>
      </c>
    </row>
    <row r="10" spans="1:25" x14ac:dyDescent="0.25">
      <c r="A10" t="s">
        <v>207</v>
      </c>
      <c r="B10" t="s">
        <v>844</v>
      </c>
      <c r="C10" t="s">
        <v>205</v>
      </c>
      <c r="E10">
        <v>27</v>
      </c>
      <c r="F10">
        <v>18</v>
      </c>
      <c r="G10">
        <v>23</v>
      </c>
      <c r="H10">
        <v>40</v>
      </c>
      <c r="I10">
        <v>40</v>
      </c>
      <c r="J10">
        <v>37</v>
      </c>
      <c r="K10">
        <v>39</v>
      </c>
      <c r="L10">
        <v>25</v>
      </c>
      <c r="M10">
        <v>25</v>
      </c>
      <c r="N10">
        <v>38</v>
      </c>
      <c r="O10">
        <v>26</v>
      </c>
      <c r="P10">
        <v>36</v>
      </c>
      <c r="Q10">
        <v>28</v>
      </c>
      <c r="R10">
        <v>46</v>
      </c>
      <c r="S10">
        <v>448</v>
      </c>
    </row>
    <row r="11" spans="1:25" x14ac:dyDescent="0.25">
      <c r="A11" t="s">
        <v>209</v>
      </c>
      <c r="B11" t="s">
        <v>845</v>
      </c>
      <c r="C11" t="s">
        <v>210</v>
      </c>
      <c r="E11">
        <v>80</v>
      </c>
      <c r="F11">
        <v>69</v>
      </c>
      <c r="G11">
        <v>90</v>
      </c>
      <c r="H11">
        <v>84</v>
      </c>
      <c r="I11">
        <v>126</v>
      </c>
      <c r="J11">
        <v>114</v>
      </c>
      <c r="K11">
        <v>124</v>
      </c>
      <c r="L11">
        <v>131</v>
      </c>
      <c r="M11">
        <v>153</v>
      </c>
      <c r="N11">
        <v>133</v>
      </c>
      <c r="O11">
        <v>140</v>
      </c>
      <c r="P11">
        <v>131</v>
      </c>
      <c r="Q11">
        <v>117</v>
      </c>
      <c r="R11">
        <v>152</v>
      </c>
      <c r="S11">
        <v>1644</v>
      </c>
    </row>
    <row r="12" spans="1:25" x14ac:dyDescent="0.25">
      <c r="A12" t="s">
        <v>212</v>
      </c>
      <c r="B12" t="s">
        <v>846</v>
      </c>
      <c r="C12" t="s">
        <v>205</v>
      </c>
      <c r="E12">
        <v>110</v>
      </c>
      <c r="F12">
        <v>86</v>
      </c>
      <c r="G12">
        <v>90</v>
      </c>
      <c r="H12">
        <v>98</v>
      </c>
      <c r="I12">
        <v>96</v>
      </c>
      <c r="J12">
        <v>111</v>
      </c>
      <c r="K12">
        <v>132</v>
      </c>
      <c r="L12">
        <v>147</v>
      </c>
      <c r="M12">
        <v>144</v>
      </c>
      <c r="N12">
        <v>129</v>
      </c>
      <c r="O12">
        <v>123</v>
      </c>
      <c r="P12">
        <v>141</v>
      </c>
      <c r="Q12">
        <v>121</v>
      </c>
      <c r="R12">
        <v>185</v>
      </c>
      <c r="S12">
        <v>1713</v>
      </c>
    </row>
    <row r="13" spans="1:25" x14ac:dyDescent="0.25">
      <c r="A13" t="s">
        <v>214</v>
      </c>
      <c r="B13" t="s">
        <v>847</v>
      </c>
      <c r="C13" t="s">
        <v>197</v>
      </c>
      <c r="E13">
        <v>100</v>
      </c>
      <c r="F13">
        <v>73</v>
      </c>
      <c r="G13">
        <v>95</v>
      </c>
      <c r="H13">
        <v>104</v>
      </c>
      <c r="I13">
        <v>128</v>
      </c>
      <c r="J13">
        <v>139</v>
      </c>
      <c r="K13">
        <v>124</v>
      </c>
      <c r="L13">
        <v>135</v>
      </c>
      <c r="M13">
        <v>154</v>
      </c>
      <c r="N13">
        <v>137</v>
      </c>
      <c r="O13">
        <v>128</v>
      </c>
      <c r="P13">
        <v>108</v>
      </c>
      <c r="Q13">
        <v>126</v>
      </c>
      <c r="R13">
        <v>191</v>
      </c>
      <c r="S13">
        <v>1742</v>
      </c>
    </row>
    <row r="14" spans="1:25" x14ac:dyDescent="0.25">
      <c r="A14" t="s">
        <v>218</v>
      </c>
      <c r="B14" t="s">
        <v>849</v>
      </c>
      <c r="C14" t="s">
        <v>205</v>
      </c>
      <c r="E14">
        <v>157</v>
      </c>
      <c r="F14">
        <v>158</v>
      </c>
      <c r="G14">
        <v>144</v>
      </c>
      <c r="H14">
        <v>164</v>
      </c>
      <c r="I14">
        <v>160</v>
      </c>
      <c r="J14">
        <v>197</v>
      </c>
      <c r="K14">
        <v>188</v>
      </c>
      <c r="L14">
        <v>205</v>
      </c>
      <c r="M14">
        <v>237</v>
      </c>
      <c r="N14">
        <v>260</v>
      </c>
      <c r="O14">
        <v>209</v>
      </c>
      <c r="P14">
        <v>213</v>
      </c>
      <c r="Q14">
        <v>198</v>
      </c>
      <c r="R14">
        <v>256</v>
      </c>
      <c r="S14">
        <v>2746</v>
      </c>
    </row>
    <row r="15" spans="1:25" x14ac:dyDescent="0.25">
      <c r="A15" t="s">
        <v>220</v>
      </c>
      <c r="B15" t="s">
        <v>850</v>
      </c>
      <c r="C15" t="s">
        <v>221</v>
      </c>
      <c r="E15">
        <v>1</v>
      </c>
      <c r="F15">
        <v>2</v>
      </c>
      <c r="G15">
        <v>1</v>
      </c>
      <c r="H15">
        <v>3</v>
      </c>
      <c r="J15">
        <v>4</v>
      </c>
      <c r="K15">
        <v>3</v>
      </c>
      <c r="M15">
        <v>2</v>
      </c>
      <c r="N15">
        <v>1</v>
      </c>
      <c r="P15">
        <v>3</v>
      </c>
      <c r="Q15">
        <v>1</v>
      </c>
      <c r="S15">
        <v>21</v>
      </c>
    </row>
    <row r="16" spans="1:25" x14ac:dyDescent="0.25">
      <c r="A16" t="s">
        <v>223</v>
      </c>
      <c r="B16" t="s">
        <v>851</v>
      </c>
      <c r="C16" t="s">
        <v>197</v>
      </c>
      <c r="E16">
        <v>23</v>
      </c>
      <c r="F16">
        <v>19</v>
      </c>
      <c r="G16">
        <v>23</v>
      </c>
      <c r="H16">
        <v>21</v>
      </c>
      <c r="I16">
        <v>26</v>
      </c>
      <c r="J16">
        <v>28</v>
      </c>
      <c r="K16">
        <v>25</v>
      </c>
      <c r="L16">
        <v>29</v>
      </c>
      <c r="M16">
        <v>25</v>
      </c>
      <c r="N16">
        <v>18</v>
      </c>
      <c r="O16">
        <v>20</v>
      </c>
      <c r="P16">
        <v>21</v>
      </c>
      <c r="Q16">
        <v>21</v>
      </c>
      <c r="R16">
        <v>17</v>
      </c>
      <c r="S16">
        <v>316</v>
      </c>
    </row>
    <row r="17" spans="1:19" x14ac:dyDescent="0.25">
      <c r="A17" t="s">
        <v>225</v>
      </c>
      <c r="B17" t="s">
        <v>852</v>
      </c>
      <c r="C17" t="s">
        <v>189</v>
      </c>
      <c r="E17">
        <v>2</v>
      </c>
      <c r="F17">
        <v>0</v>
      </c>
      <c r="H17">
        <v>4</v>
      </c>
      <c r="I17">
        <v>4</v>
      </c>
      <c r="J17">
        <v>1</v>
      </c>
      <c r="K17">
        <v>4</v>
      </c>
      <c r="L17">
        <v>3</v>
      </c>
      <c r="M17">
        <v>3</v>
      </c>
      <c r="S17">
        <v>21</v>
      </c>
    </row>
    <row r="18" spans="1:19" x14ac:dyDescent="0.25">
      <c r="A18" t="s">
        <v>227</v>
      </c>
      <c r="B18" t="s">
        <v>853</v>
      </c>
      <c r="C18" t="s">
        <v>228</v>
      </c>
      <c r="E18">
        <v>67</v>
      </c>
      <c r="F18">
        <v>42</v>
      </c>
      <c r="G18">
        <v>42</v>
      </c>
      <c r="H18">
        <v>46</v>
      </c>
      <c r="I18">
        <v>48</v>
      </c>
      <c r="J18">
        <v>53</v>
      </c>
      <c r="K18">
        <v>57</v>
      </c>
      <c r="L18">
        <v>38</v>
      </c>
      <c r="M18">
        <v>49</v>
      </c>
      <c r="N18">
        <v>46</v>
      </c>
      <c r="O18">
        <v>53</v>
      </c>
      <c r="P18">
        <v>47</v>
      </c>
      <c r="Q18">
        <v>47</v>
      </c>
      <c r="R18">
        <v>68</v>
      </c>
      <c r="S18">
        <v>703</v>
      </c>
    </row>
    <row r="19" spans="1:19" x14ac:dyDescent="0.25">
      <c r="A19" t="s">
        <v>230</v>
      </c>
      <c r="B19" t="s">
        <v>854</v>
      </c>
      <c r="C19" t="s">
        <v>231</v>
      </c>
      <c r="E19">
        <v>18</v>
      </c>
      <c r="F19">
        <v>4</v>
      </c>
      <c r="G19">
        <v>7</v>
      </c>
      <c r="H19">
        <v>1</v>
      </c>
      <c r="I19">
        <v>7</v>
      </c>
      <c r="J19">
        <v>8</v>
      </c>
      <c r="K19">
        <v>6</v>
      </c>
      <c r="L19">
        <v>9</v>
      </c>
      <c r="M19">
        <v>7</v>
      </c>
      <c r="N19">
        <v>9</v>
      </c>
      <c r="O19">
        <v>6</v>
      </c>
      <c r="P19">
        <v>9</v>
      </c>
      <c r="Q19">
        <v>5</v>
      </c>
      <c r="R19">
        <v>14</v>
      </c>
      <c r="S19">
        <v>110</v>
      </c>
    </row>
    <row r="20" spans="1:19" x14ac:dyDescent="0.25">
      <c r="A20" t="s">
        <v>233</v>
      </c>
      <c r="B20" t="s">
        <v>855</v>
      </c>
      <c r="C20" t="s">
        <v>231</v>
      </c>
      <c r="E20">
        <v>7</v>
      </c>
      <c r="F20">
        <v>6</v>
      </c>
      <c r="G20">
        <v>7</v>
      </c>
      <c r="H20">
        <v>4</v>
      </c>
      <c r="I20">
        <v>3</v>
      </c>
      <c r="J20">
        <v>6</v>
      </c>
      <c r="K20">
        <v>4</v>
      </c>
      <c r="L20">
        <v>4</v>
      </c>
      <c r="M20">
        <v>6</v>
      </c>
      <c r="N20">
        <v>3</v>
      </c>
      <c r="O20">
        <v>8</v>
      </c>
      <c r="P20">
        <v>4</v>
      </c>
      <c r="Q20">
        <v>4</v>
      </c>
      <c r="R20">
        <v>8</v>
      </c>
      <c r="S20">
        <v>74</v>
      </c>
    </row>
    <row r="21" spans="1:19" x14ac:dyDescent="0.25">
      <c r="A21" t="s">
        <v>235</v>
      </c>
      <c r="B21" t="s">
        <v>1136</v>
      </c>
      <c r="C21" t="s">
        <v>228</v>
      </c>
      <c r="E21">
        <v>1</v>
      </c>
      <c r="F21">
        <v>2</v>
      </c>
      <c r="G21">
        <v>2</v>
      </c>
      <c r="I21">
        <v>1</v>
      </c>
      <c r="K21">
        <v>1</v>
      </c>
      <c r="N21">
        <v>1</v>
      </c>
      <c r="S21">
        <v>8</v>
      </c>
    </row>
    <row r="22" spans="1:19" x14ac:dyDescent="0.25">
      <c r="A22" t="s">
        <v>237</v>
      </c>
      <c r="B22" t="s">
        <v>857</v>
      </c>
      <c r="C22" t="s">
        <v>197</v>
      </c>
      <c r="E22">
        <v>24</v>
      </c>
      <c r="F22">
        <v>24</v>
      </c>
      <c r="G22">
        <v>37</v>
      </c>
      <c r="H22">
        <v>36</v>
      </c>
      <c r="I22">
        <v>36</v>
      </c>
      <c r="J22">
        <v>40</v>
      </c>
      <c r="K22">
        <v>35</v>
      </c>
      <c r="L22">
        <v>45</v>
      </c>
      <c r="M22">
        <v>37</v>
      </c>
      <c r="N22">
        <v>35</v>
      </c>
      <c r="O22">
        <v>29</v>
      </c>
      <c r="P22">
        <v>42</v>
      </c>
      <c r="Q22">
        <v>43</v>
      </c>
      <c r="R22">
        <v>47</v>
      </c>
      <c r="S22">
        <v>510</v>
      </c>
    </row>
    <row r="23" spans="1:19" x14ac:dyDescent="0.25">
      <c r="A23" t="s">
        <v>239</v>
      </c>
      <c r="B23" t="s">
        <v>858</v>
      </c>
      <c r="C23" t="s">
        <v>210</v>
      </c>
      <c r="E23">
        <v>48</v>
      </c>
      <c r="F23">
        <v>34</v>
      </c>
      <c r="G23">
        <v>43</v>
      </c>
      <c r="H23">
        <v>43</v>
      </c>
      <c r="I23">
        <v>62</v>
      </c>
      <c r="J23">
        <v>41</v>
      </c>
      <c r="K23">
        <v>57</v>
      </c>
      <c r="L23">
        <v>60</v>
      </c>
      <c r="M23">
        <v>46</v>
      </c>
      <c r="N23">
        <v>63</v>
      </c>
      <c r="O23">
        <v>68</v>
      </c>
      <c r="P23">
        <v>59</v>
      </c>
      <c r="Q23">
        <v>58</v>
      </c>
      <c r="R23">
        <v>88</v>
      </c>
      <c r="S23">
        <v>770</v>
      </c>
    </row>
    <row r="24" spans="1:19" x14ac:dyDescent="0.25">
      <c r="A24" t="s">
        <v>241</v>
      </c>
      <c r="B24" t="s">
        <v>859</v>
      </c>
      <c r="C24" t="s">
        <v>228</v>
      </c>
      <c r="E24">
        <v>3</v>
      </c>
      <c r="F24">
        <v>5</v>
      </c>
      <c r="G24">
        <v>6</v>
      </c>
      <c r="H24">
        <v>5</v>
      </c>
      <c r="I24">
        <v>7</v>
      </c>
      <c r="J24">
        <v>10</v>
      </c>
      <c r="K24">
        <v>2</v>
      </c>
      <c r="L24">
        <v>5</v>
      </c>
      <c r="M24">
        <v>8</v>
      </c>
      <c r="N24">
        <v>7</v>
      </c>
      <c r="O24">
        <v>8</v>
      </c>
      <c r="P24">
        <v>7</v>
      </c>
      <c r="Q24">
        <v>1</v>
      </c>
      <c r="R24">
        <v>1</v>
      </c>
      <c r="S24">
        <v>75</v>
      </c>
    </row>
    <row r="25" spans="1:19" x14ac:dyDescent="0.25">
      <c r="A25" t="s">
        <v>243</v>
      </c>
      <c r="B25" t="s">
        <v>1237</v>
      </c>
      <c r="C25" t="s">
        <v>205</v>
      </c>
      <c r="E25">
        <v>2</v>
      </c>
      <c r="F25">
        <v>3</v>
      </c>
      <c r="G25">
        <v>2</v>
      </c>
      <c r="I25">
        <v>4</v>
      </c>
      <c r="J25">
        <v>7</v>
      </c>
      <c r="K25">
        <v>3</v>
      </c>
      <c r="L25">
        <v>1</v>
      </c>
      <c r="M25">
        <v>1</v>
      </c>
      <c r="N25">
        <v>4</v>
      </c>
      <c r="S25">
        <v>27</v>
      </c>
    </row>
    <row r="26" spans="1:19" x14ac:dyDescent="0.25">
      <c r="A26" t="s">
        <v>245</v>
      </c>
      <c r="B26" t="s">
        <v>861</v>
      </c>
      <c r="C26" t="s">
        <v>231</v>
      </c>
      <c r="E26">
        <v>2</v>
      </c>
      <c r="F26">
        <v>2</v>
      </c>
      <c r="G26">
        <v>8</v>
      </c>
      <c r="H26">
        <v>7</v>
      </c>
      <c r="I26">
        <v>4</v>
      </c>
      <c r="J26">
        <v>8</v>
      </c>
      <c r="K26">
        <v>9</v>
      </c>
      <c r="L26">
        <v>13</v>
      </c>
      <c r="M26">
        <v>8</v>
      </c>
      <c r="N26">
        <v>17</v>
      </c>
      <c r="O26">
        <v>6</v>
      </c>
      <c r="P26">
        <v>4</v>
      </c>
      <c r="Q26">
        <v>9</v>
      </c>
      <c r="R26">
        <v>13</v>
      </c>
      <c r="S26">
        <v>110</v>
      </c>
    </row>
    <row r="27" spans="1:19" x14ac:dyDescent="0.25">
      <c r="A27" t="s">
        <v>248</v>
      </c>
      <c r="B27" t="s">
        <v>862</v>
      </c>
      <c r="C27" t="s">
        <v>231</v>
      </c>
      <c r="E27">
        <v>19</v>
      </c>
      <c r="F27">
        <v>10</v>
      </c>
      <c r="G27">
        <v>16</v>
      </c>
      <c r="H27">
        <v>13</v>
      </c>
      <c r="I27">
        <v>18</v>
      </c>
      <c r="J27">
        <v>16</v>
      </c>
      <c r="K27">
        <v>15</v>
      </c>
      <c r="L27">
        <v>12</v>
      </c>
      <c r="M27">
        <v>13</v>
      </c>
      <c r="N27">
        <v>17</v>
      </c>
      <c r="O27">
        <v>16</v>
      </c>
      <c r="P27">
        <v>14</v>
      </c>
      <c r="Q27">
        <v>11</v>
      </c>
      <c r="R27">
        <v>17</v>
      </c>
      <c r="S27">
        <v>207</v>
      </c>
    </row>
    <row r="28" spans="1:19" x14ac:dyDescent="0.25">
      <c r="A28" t="s">
        <v>250</v>
      </c>
      <c r="B28" t="s">
        <v>863</v>
      </c>
      <c r="C28" t="s">
        <v>210</v>
      </c>
      <c r="E28">
        <v>14</v>
      </c>
      <c r="F28">
        <v>10</v>
      </c>
      <c r="G28">
        <v>11</v>
      </c>
      <c r="H28">
        <v>17</v>
      </c>
      <c r="I28">
        <v>19</v>
      </c>
      <c r="J28">
        <v>13</v>
      </c>
      <c r="K28">
        <v>28</v>
      </c>
      <c r="L28">
        <v>18</v>
      </c>
      <c r="M28">
        <v>17</v>
      </c>
      <c r="N28">
        <v>25</v>
      </c>
      <c r="O28">
        <v>11</v>
      </c>
      <c r="P28">
        <v>16</v>
      </c>
      <c r="Q28">
        <v>19</v>
      </c>
      <c r="R28">
        <v>23</v>
      </c>
      <c r="S28">
        <v>241</v>
      </c>
    </row>
    <row r="29" spans="1:19" x14ac:dyDescent="0.25">
      <c r="A29" t="s">
        <v>252</v>
      </c>
      <c r="B29" t="s">
        <v>1233</v>
      </c>
      <c r="C29" t="s">
        <v>228</v>
      </c>
      <c r="F29">
        <v>2</v>
      </c>
      <c r="G29">
        <v>6</v>
      </c>
      <c r="H29">
        <v>6</v>
      </c>
      <c r="I29">
        <v>3</v>
      </c>
      <c r="K29">
        <v>2</v>
      </c>
      <c r="L29">
        <v>7</v>
      </c>
      <c r="M29">
        <v>6</v>
      </c>
      <c r="S29">
        <v>32</v>
      </c>
    </row>
    <row r="30" spans="1:19" x14ac:dyDescent="0.25">
      <c r="A30" t="s">
        <v>254</v>
      </c>
      <c r="B30" t="s">
        <v>864</v>
      </c>
      <c r="C30" t="s">
        <v>210</v>
      </c>
      <c r="D30" t="s">
        <v>819</v>
      </c>
      <c r="F30">
        <v>3</v>
      </c>
      <c r="G30">
        <v>2</v>
      </c>
      <c r="I30">
        <v>1</v>
      </c>
      <c r="M30">
        <v>1</v>
      </c>
      <c r="N30">
        <v>1</v>
      </c>
      <c r="S30">
        <v>8</v>
      </c>
    </row>
    <row r="31" spans="1:19" x14ac:dyDescent="0.25">
      <c r="A31" t="s">
        <v>256</v>
      </c>
      <c r="B31" t="s">
        <v>865</v>
      </c>
      <c r="C31" t="s">
        <v>228</v>
      </c>
      <c r="E31">
        <v>121</v>
      </c>
      <c r="F31">
        <v>95</v>
      </c>
      <c r="G31">
        <v>100</v>
      </c>
      <c r="H31">
        <v>141</v>
      </c>
      <c r="I31">
        <v>155</v>
      </c>
      <c r="J31">
        <v>126</v>
      </c>
      <c r="K31">
        <v>119</v>
      </c>
      <c r="L31">
        <v>132</v>
      </c>
      <c r="M31">
        <v>106</v>
      </c>
      <c r="N31">
        <v>118</v>
      </c>
      <c r="O31">
        <v>113</v>
      </c>
      <c r="P31">
        <v>97</v>
      </c>
      <c r="Q31">
        <v>109</v>
      </c>
      <c r="R31">
        <v>157</v>
      </c>
      <c r="S31">
        <v>1689</v>
      </c>
    </row>
    <row r="32" spans="1:19" x14ac:dyDescent="0.25">
      <c r="A32" t="s">
        <v>258</v>
      </c>
      <c r="B32" t="s">
        <v>866</v>
      </c>
      <c r="C32" t="s">
        <v>194</v>
      </c>
      <c r="E32">
        <v>153</v>
      </c>
      <c r="F32">
        <v>123</v>
      </c>
      <c r="G32">
        <v>129</v>
      </c>
      <c r="H32">
        <v>187</v>
      </c>
      <c r="I32">
        <v>205</v>
      </c>
      <c r="J32">
        <v>150</v>
      </c>
      <c r="K32">
        <v>154</v>
      </c>
      <c r="L32">
        <v>160</v>
      </c>
      <c r="M32">
        <v>160</v>
      </c>
      <c r="N32">
        <v>135</v>
      </c>
      <c r="O32">
        <v>159</v>
      </c>
      <c r="P32">
        <v>150</v>
      </c>
      <c r="Q32">
        <v>129</v>
      </c>
      <c r="R32">
        <v>152</v>
      </c>
      <c r="S32">
        <v>2146</v>
      </c>
    </row>
    <row r="33" spans="1:20" x14ac:dyDescent="0.25">
      <c r="A33" t="s">
        <v>260</v>
      </c>
      <c r="B33" t="s">
        <v>867</v>
      </c>
      <c r="C33" t="s">
        <v>189</v>
      </c>
      <c r="E33">
        <v>25</v>
      </c>
      <c r="F33">
        <v>22</v>
      </c>
      <c r="G33">
        <v>39</v>
      </c>
      <c r="H33">
        <v>24</v>
      </c>
      <c r="I33">
        <v>43</v>
      </c>
      <c r="J33">
        <v>40</v>
      </c>
      <c r="K33">
        <v>44</v>
      </c>
      <c r="L33">
        <v>38</v>
      </c>
      <c r="M33">
        <v>36</v>
      </c>
      <c r="N33">
        <v>32</v>
      </c>
      <c r="O33">
        <v>36</v>
      </c>
      <c r="P33">
        <v>32</v>
      </c>
      <c r="Q33">
        <v>33</v>
      </c>
      <c r="R33">
        <v>33</v>
      </c>
      <c r="S33">
        <v>477</v>
      </c>
    </row>
    <row r="34" spans="1:20" x14ac:dyDescent="0.25">
      <c r="A34" t="s">
        <v>262</v>
      </c>
      <c r="B34" t="s">
        <v>868</v>
      </c>
      <c r="C34" t="s">
        <v>189</v>
      </c>
      <c r="E34">
        <v>20</v>
      </c>
      <c r="F34">
        <v>18</v>
      </c>
      <c r="G34">
        <v>24</v>
      </c>
      <c r="H34">
        <v>29</v>
      </c>
      <c r="I34">
        <v>24</v>
      </c>
      <c r="J34">
        <v>22</v>
      </c>
      <c r="K34">
        <v>34</v>
      </c>
      <c r="L34">
        <v>30</v>
      </c>
      <c r="M34">
        <v>34</v>
      </c>
      <c r="N34">
        <v>34</v>
      </c>
      <c r="O34">
        <v>36</v>
      </c>
      <c r="P34">
        <v>31</v>
      </c>
      <c r="Q34">
        <v>31</v>
      </c>
      <c r="R34">
        <v>52</v>
      </c>
      <c r="S34">
        <v>419</v>
      </c>
    </row>
    <row r="35" spans="1:20" s="374" customFormat="1" hidden="1" x14ac:dyDescent="0.25">
      <c r="A35" s="374" t="s">
        <v>1267</v>
      </c>
      <c r="B35" s="374" t="s">
        <v>1268</v>
      </c>
      <c r="C35" s="374" t="s">
        <v>189</v>
      </c>
      <c r="F35" s="374">
        <v>0</v>
      </c>
      <c r="Q35" s="374">
        <v>3</v>
      </c>
      <c r="R35" s="374">
        <v>35</v>
      </c>
      <c r="S35" s="374">
        <v>38</v>
      </c>
      <c r="T35" s="374" t="s">
        <v>1256</v>
      </c>
    </row>
    <row r="36" spans="1:20" x14ac:dyDescent="0.25">
      <c r="A36" t="s">
        <v>264</v>
      </c>
      <c r="B36" t="s">
        <v>869</v>
      </c>
      <c r="C36" t="s">
        <v>194</v>
      </c>
      <c r="E36">
        <v>59</v>
      </c>
      <c r="F36">
        <v>69</v>
      </c>
      <c r="G36">
        <v>60</v>
      </c>
      <c r="H36">
        <v>71</v>
      </c>
      <c r="I36">
        <v>76</v>
      </c>
      <c r="J36">
        <v>61</v>
      </c>
      <c r="K36">
        <v>70</v>
      </c>
      <c r="L36">
        <v>69</v>
      </c>
      <c r="M36">
        <v>48</v>
      </c>
      <c r="N36">
        <v>61</v>
      </c>
      <c r="O36">
        <v>59</v>
      </c>
      <c r="P36">
        <v>60</v>
      </c>
      <c r="Q36">
        <v>47</v>
      </c>
      <c r="R36">
        <v>61</v>
      </c>
      <c r="S36">
        <v>871</v>
      </c>
    </row>
    <row r="37" spans="1:20" x14ac:dyDescent="0.25">
      <c r="A37" t="s">
        <v>266</v>
      </c>
      <c r="B37" t="s">
        <v>870</v>
      </c>
      <c r="C37" t="s">
        <v>194</v>
      </c>
      <c r="E37">
        <v>4</v>
      </c>
      <c r="F37">
        <v>7</v>
      </c>
      <c r="G37">
        <v>3</v>
      </c>
      <c r="H37">
        <v>11</v>
      </c>
      <c r="I37">
        <v>16</v>
      </c>
      <c r="J37">
        <v>7</v>
      </c>
      <c r="K37">
        <v>13</v>
      </c>
      <c r="L37">
        <v>15</v>
      </c>
      <c r="M37">
        <v>6</v>
      </c>
      <c r="N37">
        <v>6</v>
      </c>
      <c r="O37">
        <v>14</v>
      </c>
      <c r="P37">
        <v>8</v>
      </c>
      <c r="Q37">
        <v>10</v>
      </c>
      <c r="R37">
        <v>17</v>
      </c>
      <c r="S37">
        <v>137</v>
      </c>
    </row>
    <row r="38" spans="1:20" x14ac:dyDescent="0.25">
      <c r="A38" t="s">
        <v>268</v>
      </c>
      <c r="B38" t="s">
        <v>871</v>
      </c>
      <c r="C38" t="s">
        <v>228</v>
      </c>
      <c r="E38">
        <v>10</v>
      </c>
      <c r="F38">
        <v>11</v>
      </c>
      <c r="G38">
        <v>4</v>
      </c>
      <c r="H38">
        <v>10</v>
      </c>
      <c r="I38">
        <v>7</v>
      </c>
      <c r="J38">
        <v>6</v>
      </c>
      <c r="K38">
        <v>10</v>
      </c>
      <c r="L38">
        <v>6</v>
      </c>
      <c r="M38">
        <v>12</v>
      </c>
      <c r="N38">
        <v>7</v>
      </c>
      <c r="O38">
        <v>5</v>
      </c>
      <c r="P38">
        <v>7</v>
      </c>
      <c r="Q38">
        <v>12</v>
      </c>
      <c r="R38">
        <v>12</v>
      </c>
      <c r="S38">
        <v>119</v>
      </c>
    </row>
    <row r="39" spans="1:20" x14ac:dyDescent="0.25">
      <c r="A39" t="s">
        <v>270</v>
      </c>
      <c r="B39" t="s">
        <v>872</v>
      </c>
      <c r="C39" t="s">
        <v>202</v>
      </c>
      <c r="E39">
        <v>23</v>
      </c>
      <c r="F39">
        <v>20</v>
      </c>
      <c r="G39">
        <v>32</v>
      </c>
      <c r="H39">
        <v>34</v>
      </c>
      <c r="I39">
        <v>30</v>
      </c>
      <c r="J39">
        <v>40</v>
      </c>
      <c r="K39">
        <v>30</v>
      </c>
      <c r="L39">
        <v>31</v>
      </c>
      <c r="M39">
        <v>27</v>
      </c>
      <c r="N39">
        <v>18</v>
      </c>
      <c r="O39">
        <v>29</v>
      </c>
      <c r="P39">
        <v>33</v>
      </c>
      <c r="Q39">
        <v>25</v>
      </c>
      <c r="R39">
        <v>37</v>
      </c>
      <c r="S39">
        <v>409</v>
      </c>
    </row>
    <row r="40" spans="1:20" x14ac:dyDescent="0.25">
      <c r="A40" t="s">
        <v>272</v>
      </c>
      <c r="B40" t="s">
        <v>873</v>
      </c>
      <c r="C40" t="s">
        <v>221</v>
      </c>
      <c r="E40">
        <v>14</v>
      </c>
      <c r="F40">
        <v>10</v>
      </c>
      <c r="G40">
        <v>9</v>
      </c>
      <c r="H40">
        <v>11</v>
      </c>
      <c r="I40">
        <v>10</v>
      </c>
      <c r="J40">
        <v>11</v>
      </c>
      <c r="K40">
        <v>11</v>
      </c>
      <c r="L40">
        <v>12</v>
      </c>
      <c r="M40">
        <v>11</v>
      </c>
      <c r="N40">
        <v>14</v>
      </c>
      <c r="O40">
        <v>8</v>
      </c>
      <c r="P40">
        <v>9</v>
      </c>
      <c r="Q40">
        <v>4</v>
      </c>
      <c r="R40">
        <v>11</v>
      </c>
      <c r="S40">
        <v>145</v>
      </c>
    </row>
    <row r="41" spans="1:20" x14ac:dyDescent="0.25">
      <c r="A41" t="s">
        <v>274</v>
      </c>
      <c r="B41" t="s">
        <v>874</v>
      </c>
      <c r="C41" t="s">
        <v>205</v>
      </c>
      <c r="E41">
        <v>155</v>
      </c>
      <c r="F41">
        <v>143</v>
      </c>
      <c r="G41">
        <v>138</v>
      </c>
      <c r="H41">
        <v>147</v>
      </c>
      <c r="I41">
        <v>151</v>
      </c>
      <c r="J41">
        <v>159</v>
      </c>
      <c r="K41">
        <v>159</v>
      </c>
      <c r="L41">
        <v>145</v>
      </c>
      <c r="M41">
        <v>135</v>
      </c>
      <c r="N41">
        <v>149</v>
      </c>
      <c r="O41">
        <v>140</v>
      </c>
      <c r="P41">
        <v>132</v>
      </c>
      <c r="Q41">
        <v>90</v>
      </c>
      <c r="R41">
        <v>133</v>
      </c>
      <c r="S41">
        <v>1976</v>
      </c>
    </row>
    <row r="42" spans="1:20" x14ac:dyDescent="0.25">
      <c r="A42" t="s">
        <v>276</v>
      </c>
      <c r="B42" t="s">
        <v>875</v>
      </c>
      <c r="C42" t="s">
        <v>194</v>
      </c>
      <c r="E42">
        <v>6</v>
      </c>
      <c r="F42">
        <v>3</v>
      </c>
      <c r="G42">
        <v>4</v>
      </c>
      <c r="H42">
        <v>3</v>
      </c>
      <c r="I42">
        <v>6</v>
      </c>
      <c r="J42">
        <v>4</v>
      </c>
      <c r="K42">
        <v>7</v>
      </c>
      <c r="L42">
        <v>5</v>
      </c>
      <c r="M42">
        <v>6</v>
      </c>
      <c r="N42">
        <v>10</v>
      </c>
      <c r="O42">
        <v>6</v>
      </c>
      <c r="P42">
        <v>6</v>
      </c>
      <c r="Q42">
        <v>10</v>
      </c>
      <c r="R42">
        <v>7</v>
      </c>
      <c r="S42">
        <v>83</v>
      </c>
    </row>
    <row r="43" spans="1:20" x14ac:dyDescent="0.25">
      <c r="A43" t="s">
        <v>278</v>
      </c>
      <c r="B43" t="s">
        <v>876</v>
      </c>
      <c r="C43" t="s">
        <v>202</v>
      </c>
      <c r="E43">
        <v>28</v>
      </c>
      <c r="F43">
        <v>18</v>
      </c>
      <c r="G43">
        <v>10</v>
      </c>
      <c r="H43">
        <v>16</v>
      </c>
      <c r="I43">
        <v>10</v>
      </c>
      <c r="J43">
        <v>18</v>
      </c>
      <c r="K43">
        <v>11</v>
      </c>
      <c r="L43">
        <v>16</v>
      </c>
      <c r="M43">
        <v>18</v>
      </c>
      <c r="N43">
        <v>21</v>
      </c>
      <c r="O43">
        <v>13</v>
      </c>
      <c r="P43">
        <v>16</v>
      </c>
      <c r="Q43">
        <v>18</v>
      </c>
      <c r="R43">
        <v>23</v>
      </c>
      <c r="S43">
        <v>236</v>
      </c>
    </row>
    <row r="44" spans="1:20" x14ac:dyDescent="0.25">
      <c r="A44" t="s">
        <v>280</v>
      </c>
      <c r="B44" t="s">
        <v>877</v>
      </c>
      <c r="C44" t="s">
        <v>194</v>
      </c>
      <c r="F44">
        <v>3</v>
      </c>
      <c r="G44">
        <v>2</v>
      </c>
      <c r="H44">
        <v>1</v>
      </c>
      <c r="I44">
        <v>5</v>
      </c>
      <c r="J44">
        <v>4</v>
      </c>
      <c r="K44">
        <v>1</v>
      </c>
      <c r="L44">
        <v>2</v>
      </c>
      <c r="M44">
        <v>2</v>
      </c>
      <c r="N44">
        <v>5</v>
      </c>
      <c r="O44">
        <v>1</v>
      </c>
      <c r="P44">
        <v>1</v>
      </c>
      <c r="Q44">
        <v>1</v>
      </c>
      <c r="R44">
        <v>1</v>
      </c>
      <c r="S44">
        <v>29</v>
      </c>
    </row>
    <row r="45" spans="1:20" x14ac:dyDescent="0.25">
      <c r="A45" t="s">
        <v>282</v>
      </c>
      <c r="B45" t="s">
        <v>1248</v>
      </c>
      <c r="C45" t="s">
        <v>194</v>
      </c>
      <c r="F45">
        <v>0</v>
      </c>
      <c r="H45">
        <v>2</v>
      </c>
      <c r="I45">
        <v>2</v>
      </c>
      <c r="J45">
        <v>1</v>
      </c>
      <c r="K45">
        <v>1</v>
      </c>
      <c r="M45">
        <v>2</v>
      </c>
      <c r="N45">
        <v>2</v>
      </c>
      <c r="O45">
        <v>1</v>
      </c>
      <c r="P45">
        <v>2</v>
      </c>
      <c r="Q45">
        <v>3</v>
      </c>
      <c r="S45">
        <v>16</v>
      </c>
    </row>
    <row r="46" spans="1:20" x14ac:dyDescent="0.25">
      <c r="A46" t="s">
        <v>284</v>
      </c>
      <c r="B46" t="s">
        <v>1252</v>
      </c>
      <c r="C46" t="s">
        <v>202</v>
      </c>
      <c r="E46">
        <v>9</v>
      </c>
      <c r="F46">
        <v>12</v>
      </c>
      <c r="G46">
        <v>8</v>
      </c>
      <c r="H46">
        <v>7</v>
      </c>
      <c r="I46">
        <v>5</v>
      </c>
      <c r="J46">
        <v>6</v>
      </c>
      <c r="K46">
        <v>11</v>
      </c>
      <c r="L46">
        <v>9</v>
      </c>
      <c r="M46">
        <v>7</v>
      </c>
      <c r="N46">
        <v>6</v>
      </c>
      <c r="O46">
        <v>10</v>
      </c>
      <c r="P46">
        <v>5</v>
      </c>
      <c r="Q46">
        <v>2</v>
      </c>
      <c r="R46">
        <v>6</v>
      </c>
      <c r="S46">
        <v>103</v>
      </c>
    </row>
    <row r="47" spans="1:20" x14ac:dyDescent="0.25">
      <c r="A47" t="s">
        <v>286</v>
      </c>
      <c r="B47" t="s">
        <v>1137</v>
      </c>
      <c r="C47" t="s">
        <v>194</v>
      </c>
      <c r="E47">
        <v>15</v>
      </c>
      <c r="F47">
        <v>16</v>
      </c>
      <c r="G47">
        <v>20</v>
      </c>
      <c r="H47">
        <v>20</v>
      </c>
      <c r="I47">
        <v>32</v>
      </c>
      <c r="J47">
        <v>21</v>
      </c>
      <c r="K47">
        <v>30</v>
      </c>
      <c r="L47">
        <v>17</v>
      </c>
      <c r="M47">
        <v>16</v>
      </c>
      <c r="N47">
        <v>15</v>
      </c>
      <c r="O47">
        <v>17</v>
      </c>
      <c r="P47">
        <v>9</v>
      </c>
      <c r="Q47">
        <v>19</v>
      </c>
      <c r="R47">
        <v>8</v>
      </c>
      <c r="S47">
        <v>255</v>
      </c>
    </row>
    <row r="48" spans="1:20" x14ac:dyDescent="0.25">
      <c r="A48" t="s">
        <v>288</v>
      </c>
      <c r="B48" t="s">
        <v>881</v>
      </c>
      <c r="C48" t="s">
        <v>197</v>
      </c>
      <c r="E48">
        <v>1</v>
      </c>
      <c r="F48">
        <v>4</v>
      </c>
      <c r="G48">
        <v>6</v>
      </c>
      <c r="H48">
        <v>4</v>
      </c>
      <c r="I48">
        <v>3</v>
      </c>
      <c r="J48">
        <v>9</v>
      </c>
      <c r="K48">
        <v>5</v>
      </c>
      <c r="L48">
        <v>7</v>
      </c>
      <c r="M48">
        <v>12</v>
      </c>
      <c r="N48">
        <v>10</v>
      </c>
      <c r="O48">
        <v>5</v>
      </c>
      <c r="P48">
        <v>8</v>
      </c>
      <c r="Q48">
        <v>2</v>
      </c>
      <c r="R48">
        <v>10</v>
      </c>
      <c r="S48">
        <v>86</v>
      </c>
    </row>
    <row r="49" spans="1:19" x14ac:dyDescent="0.25">
      <c r="A49" t="s">
        <v>290</v>
      </c>
      <c r="B49" t="s">
        <v>882</v>
      </c>
      <c r="C49" t="s">
        <v>197</v>
      </c>
      <c r="E49">
        <v>2</v>
      </c>
      <c r="F49">
        <v>4</v>
      </c>
      <c r="G49">
        <v>5</v>
      </c>
      <c r="H49">
        <v>2</v>
      </c>
      <c r="J49">
        <v>7</v>
      </c>
      <c r="K49">
        <v>5</v>
      </c>
      <c r="L49">
        <v>6</v>
      </c>
      <c r="M49">
        <v>6</v>
      </c>
      <c r="N49">
        <v>7</v>
      </c>
      <c r="S49">
        <v>44</v>
      </c>
    </row>
    <row r="50" spans="1:19" x14ac:dyDescent="0.25">
      <c r="A50" t="s">
        <v>292</v>
      </c>
      <c r="B50" t="s">
        <v>883</v>
      </c>
      <c r="C50" t="s">
        <v>189</v>
      </c>
      <c r="F50">
        <v>4</v>
      </c>
      <c r="G50">
        <v>7</v>
      </c>
      <c r="H50">
        <v>2</v>
      </c>
      <c r="I50">
        <v>2</v>
      </c>
      <c r="J50">
        <v>2</v>
      </c>
      <c r="K50">
        <v>4</v>
      </c>
      <c r="L50">
        <v>3</v>
      </c>
      <c r="S50">
        <v>24</v>
      </c>
    </row>
    <row r="51" spans="1:19" x14ac:dyDescent="0.25">
      <c r="A51" t="s">
        <v>294</v>
      </c>
      <c r="B51" t="s">
        <v>1228</v>
      </c>
      <c r="C51" t="s">
        <v>231</v>
      </c>
      <c r="E51">
        <v>1</v>
      </c>
      <c r="F51">
        <v>1</v>
      </c>
      <c r="I51">
        <v>3</v>
      </c>
      <c r="J51">
        <v>1</v>
      </c>
      <c r="K51">
        <v>2</v>
      </c>
      <c r="O51">
        <v>3</v>
      </c>
      <c r="P51">
        <v>4</v>
      </c>
      <c r="Q51">
        <v>2</v>
      </c>
      <c r="S51">
        <v>17</v>
      </c>
    </row>
    <row r="52" spans="1:19" x14ac:dyDescent="0.25">
      <c r="A52" t="s">
        <v>296</v>
      </c>
      <c r="B52" t="s">
        <v>885</v>
      </c>
      <c r="C52" t="s">
        <v>197</v>
      </c>
      <c r="E52">
        <v>8</v>
      </c>
      <c r="F52">
        <v>6</v>
      </c>
      <c r="G52">
        <v>16</v>
      </c>
      <c r="H52">
        <v>4</v>
      </c>
      <c r="I52">
        <v>6</v>
      </c>
      <c r="J52">
        <v>11</v>
      </c>
      <c r="K52">
        <v>8</v>
      </c>
      <c r="L52">
        <v>13</v>
      </c>
      <c r="M52">
        <v>10</v>
      </c>
      <c r="N52">
        <v>4</v>
      </c>
      <c r="O52">
        <v>12</v>
      </c>
      <c r="P52">
        <v>17</v>
      </c>
      <c r="Q52">
        <v>13</v>
      </c>
      <c r="R52">
        <v>23</v>
      </c>
      <c r="S52">
        <v>151</v>
      </c>
    </row>
    <row r="53" spans="1:19" x14ac:dyDescent="0.25">
      <c r="A53" t="s">
        <v>298</v>
      </c>
      <c r="B53" t="s">
        <v>886</v>
      </c>
      <c r="C53" t="s">
        <v>228</v>
      </c>
      <c r="E53">
        <v>1</v>
      </c>
      <c r="F53">
        <v>0</v>
      </c>
      <c r="G53">
        <v>2</v>
      </c>
      <c r="H53">
        <v>2</v>
      </c>
      <c r="I53">
        <v>4</v>
      </c>
      <c r="J53">
        <v>5</v>
      </c>
      <c r="K53">
        <v>4</v>
      </c>
      <c r="L53">
        <v>4</v>
      </c>
      <c r="M53">
        <v>1</v>
      </c>
      <c r="N53">
        <v>2</v>
      </c>
      <c r="O53">
        <v>3</v>
      </c>
      <c r="P53">
        <v>2</v>
      </c>
      <c r="Q53">
        <v>2</v>
      </c>
      <c r="S53">
        <v>32</v>
      </c>
    </row>
    <row r="54" spans="1:19" x14ac:dyDescent="0.25">
      <c r="A54" t="s">
        <v>300</v>
      </c>
      <c r="B54" t="s">
        <v>887</v>
      </c>
      <c r="C54" t="s">
        <v>194</v>
      </c>
      <c r="F54">
        <v>3</v>
      </c>
      <c r="H54">
        <v>2</v>
      </c>
      <c r="J54">
        <v>1</v>
      </c>
      <c r="K54">
        <v>3</v>
      </c>
      <c r="L54">
        <v>3</v>
      </c>
      <c r="M54">
        <v>1</v>
      </c>
      <c r="N54">
        <v>1</v>
      </c>
      <c r="O54">
        <v>1</v>
      </c>
      <c r="P54">
        <v>3</v>
      </c>
      <c r="Q54">
        <v>4</v>
      </c>
      <c r="S54">
        <v>22</v>
      </c>
    </row>
    <row r="55" spans="1:19" x14ac:dyDescent="0.25">
      <c r="A55" t="s">
        <v>302</v>
      </c>
      <c r="B55" t="s">
        <v>888</v>
      </c>
      <c r="C55" t="s">
        <v>194</v>
      </c>
      <c r="F55">
        <v>1</v>
      </c>
      <c r="G55">
        <v>2</v>
      </c>
      <c r="I55">
        <v>3</v>
      </c>
      <c r="J55">
        <v>2</v>
      </c>
      <c r="K55">
        <v>4</v>
      </c>
      <c r="L55">
        <v>6</v>
      </c>
      <c r="M55">
        <v>1</v>
      </c>
      <c r="N55">
        <v>5</v>
      </c>
      <c r="O55">
        <v>3</v>
      </c>
      <c r="P55">
        <v>1</v>
      </c>
      <c r="Q55">
        <v>1</v>
      </c>
      <c r="R55">
        <v>2</v>
      </c>
      <c r="S55">
        <v>31</v>
      </c>
    </row>
    <row r="56" spans="1:19" x14ac:dyDescent="0.25">
      <c r="A56" t="s">
        <v>304</v>
      </c>
      <c r="B56" t="s">
        <v>889</v>
      </c>
      <c r="C56" t="s">
        <v>194</v>
      </c>
      <c r="E56">
        <v>2</v>
      </c>
      <c r="F56">
        <v>2</v>
      </c>
      <c r="G56">
        <v>2</v>
      </c>
      <c r="H56">
        <v>3</v>
      </c>
      <c r="I56">
        <v>6</v>
      </c>
      <c r="J56">
        <v>4</v>
      </c>
      <c r="K56">
        <v>2</v>
      </c>
      <c r="L56">
        <v>4</v>
      </c>
      <c r="M56">
        <v>2</v>
      </c>
      <c r="N56">
        <v>4</v>
      </c>
      <c r="O56">
        <v>7</v>
      </c>
      <c r="P56">
        <v>2</v>
      </c>
      <c r="Q56">
        <v>6</v>
      </c>
      <c r="R56">
        <v>5</v>
      </c>
      <c r="S56">
        <v>51</v>
      </c>
    </row>
    <row r="57" spans="1:19" x14ac:dyDescent="0.25">
      <c r="A57" t="s">
        <v>306</v>
      </c>
      <c r="B57" t="s">
        <v>1138</v>
      </c>
      <c r="C57" t="s">
        <v>221</v>
      </c>
      <c r="E57">
        <v>1</v>
      </c>
      <c r="F57">
        <v>0</v>
      </c>
      <c r="G57">
        <v>2</v>
      </c>
      <c r="K57">
        <v>1</v>
      </c>
      <c r="S57">
        <v>4</v>
      </c>
    </row>
    <row r="58" spans="1:19" x14ac:dyDescent="0.25">
      <c r="A58" t="s">
        <v>308</v>
      </c>
      <c r="B58" t="s">
        <v>892</v>
      </c>
      <c r="C58" t="s">
        <v>197</v>
      </c>
      <c r="E58">
        <v>3</v>
      </c>
      <c r="F58">
        <v>4</v>
      </c>
      <c r="G58">
        <v>3</v>
      </c>
      <c r="H58">
        <v>5</v>
      </c>
      <c r="I58">
        <v>10</v>
      </c>
      <c r="J58">
        <v>4</v>
      </c>
      <c r="K58">
        <v>3</v>
      </c>
      <c r="L58">
        <v>9</v>
      </c>
      <c r="M58">
        <v>2</v>
      </c>
      <c r="N58">
        <v>8</v>
      </c>
      <c r="O58">
        <v>4</v>
      </c>
      <c r="P58">
        <v>6</v>
      </c>
      <c r="Q58">
        <v>6</v>
      </c>
      <c r="R58">
        <v>9</v>
      </c>
      <c r="S58">
        <v>76</v>
      </c>
    </row>
    <row r="59" spans="1:19" x14ac:dyDescent="0.25">
      <c r="A59" t="s">
        <v>310</v>
      </c>
      <c r="B59" t="s">
        <v>893</v>
      </c>
      <c r="C59" t="s">
        <v>194</v>
      </c>
      <c r="E59">
        <v>5</v>
      </c>
      <c r="F59">
        <v>5</v>
      </c>
      <c r="G59">
        <v>2</v>
      </c>
      <c r="H59">
        <v>7</v>
      </c>
      <c r="I59">
        <v>13</v>
      </c>
      <c r="J59">
        <v>5</v>
      </c>
      <c r="K59">
        <v>2</v>
      </c>
      <c r="L59">
        <v>4</v>
      </c>
      <c r="M59">
        <v>7</v>
      </c>
      <c r="N59">
        <v>4</v>
      </c>
      <c r="O59">
        <v>7</v>
      </c>
      <c r="P59">
        <v>5</v>
      </c>
      <c r="Q59">
        <v>6</v>
      </c>
      <c r="R59">
        <v>5</v>
      </c>
      <c r="S59">
        <v>77</v>
      </c>
    </row>
    <row r="60" spans="1:19" x14ac:dyDescent="0.25">
      <c r="A60" t="s">
        <v>312</v>
      </c>
      <c r="B60" t="s">
        <v>894</v>
      </c>
      <c r="C60" t="s">
        <v>202</v>
      </c>
      <c r="D60" t="s">
        <v>819</v>
      </c>
      <c r="E60">
        <v>3</v>
      </c>
      <c r="F60">
        <v>5</v>
      </c>
      <c r="G60">
        <v>3</v>
      </c>
      <c r="H60">
        <v>6</v>
      </c>
      <c r="I60">
        <v>7</v>
      </c>
      <c r="J60">
        <v>2</v>
      </c>
      <c r="K60">
        <v>5</v>
      </c>
      <c r="L60">
        <v>2</v>
      </c>
      <c r="M60">
        <v>1</v>
      </c>
      <c r="N60">
        <v>2</v>
      </c>
      <c r="O60">
        <v>2</v>
      </c>
      <c r="P60">
        <v>5</v>
      </c>
      <c r="Q60">
        <v>2</v>
      </c>
      <c r="R60">
        <v>6</v>
      </c>
      <c r="S60">
        <v>51</v>
      </c>
    </row>
    <row r="61" spans="1:19" x14ac:dyDescent="0.25">
      <c r="A61" t="s">
        <v>314</v>
      </c>
      <c r="B61" t="s">
        <v>895</v>
      </c>
      <c r="C61" t="s">
        <v>194</v>
      </c>
      <c r="E61">
        <v>16</v>
      </c>
      <c r="F61">
        <v>21</v>
      </c>
      <c r="G61">
        <v>20</v>
      </c>
      <c r="H61">
        <v>26</v>
      </c>
      <c r="I61">
        <v>26</v>
      </c>
      <c r="J61">
        <v>24</v>
      </c>
      <c r="K61">
        <v>18</v>
      </c>
      <c r="L61">
        <v>17</v>
      </c>
      <c r="M61">
        <v>24</v>
      </c>
      <c r="N61">
        <v>16</v>
      </c>
      <c r="O61">
        <v>22</v>
      </c>
      <c r="P61">
        <v>22</v>
      </c>
      <c r="Q61">
        <v>21</v>
      </c>
      <c r="R61">
        <v>27</v>
      </c>
      <c r="S61">
        <v>300</v>
      </c>
    </row>
    <row r="62" spans="1:19" x14ac:dyDescent="0.25">
      <c r="A62" t="s">
        <v>316</v>
      </c>
      <c r="B62" t="s">
        <v>896</v>
      </c>
      <c r="C62" t="s">
        <v>205</v>
      </c>
      <c r="E62">
        <v>18</v>
      </c>
      <c r="F62">
        <v>18</v>
      </c>
      <c r="G62">
        <v>14</v>
      </c>
      <c r="H62">
        <v>12</v>
      </c>
      <c r="I62">
        <v>15</v>
      </c>
      <c r="J62">
        <v>14</v>
      </c>
      <c r="K62">
        <v>21</v>
      </c>
      <c r="L62">
        <v>21</v>
      </c>
      <c r="M62">
        <v>18</v>
      </c>
      <c r="N62">
        <v>23</v>
      </c>
      <c r="S62">
        <v>174</v>
      </c>
    </row>
    <row r="63" spans="1:19" x14ac:dyDescent="0.25">
      <c r="A63" t="s">
        <v>318</v>
      </c>
      <c r="B63" t="s">
        <v>897</v>
      </c>
      <c r="C63" t="s">
        <v>202</v>
      </c>
      <c r="D63" t="s">
        <v>819</v>
      </c>
      <c r="F63">
        <v>0</v>
      </c>
      <c r="I63">
        <v>1</v>
      </c>
      <c r="J63">
        <v>1</v>
      </c>
      <c r="S63">
        <v>2</v>
      </c>
    </row>
    <row r="64" spans="1:19" x14ac:dyDescent="0.25">
      <c r="A64" t="s">
        <v>320</v>
      </c>
      <c r="B64" t="s">
        <v>1242</v>
      </c>
      <c r="C64" t="s">
        <v>194</v>
      </c>
      <c r="E64">
        <v>51</v>
      </c>
      <c r="F64">
        <v>31</v>
      </c>
      <c r="G64">
        <v>27</v>
      </c>
      <c r="H64">
        <v>43</v>
      </c>
      <c r="I64">
        <v>43</v>
      </c>
      <c r="J64">
        <v>48</v>
      </c>
      <c r="K64">
        <v>39</v>
      </c>
      <c r="L64">
        <v>37</v>
      </c>
      <c r="M64">
        <v>40</v>
      </c>
      <c r="N64">
        <v>48</v>
      </c>
      <c r="O64">
        <v>43</v>
      </c>
      <c r="P64">
        <v>35</v>
      </c>
      <c r="Q64">
        <v>43</v>
      </c>
      <c r="R64">
        <v>53</v>
      </c>
      <c r="S64">
        <v>581</v>
      </c>
    </row>
    <row r="65" spans="1:19" x14ac:dyDescent="0.25">
      <c r="A65" t="s">
        <v>322</v>
      </c>
      <c r="B65" t="s">
        <v>1254</v>
      </c>
      <c r="C65" t="s">
        <v>221</v>
      </c>
      <c r="E65">
        <v>33</v>
      </c>
      <c r="F65">
        <v>17</v>
      </c>
      <c r="G65">
        <v>24</v>
      </c>
      <c r="H65">
        <v>34</v>
      </c>
      <c r="I65">
        <v>36</v>
      </c>
      <c r="J65">
        <v>34</v>
      </c>
      <c r="K65">
        <v>30</v>
      </c>
      <c r="L65">
        <v>34</v>
      </c>
      <c r="M65">
        <v>36</v>
      </c>
      <c r="N65">
        <v>32</v>
      </c>
      <c r="O65">
        <v>22</v>
      </c>
      <c r="P65">
        <v>22</v>
      </c>
      <c r="Q65">
        <v>29</v>
      </c>
      <c r="R65">
        <v>27</v>
      </c>
      <c r="S65">
        <v>410</v>
      </c>
    </row>
    <row r="66" spans="1:19" x14ac:dyDescent="0.25">
      <c r="A66" t="s">
        <v>324</v>
      </c>
      <c r="B66" t="s">
        <v>900</v>
      </c>
      <c r="C66" t="s">
        <v>231</v>
      </c>
      <c r="E66">
        <v>52</v>
      </c>
      <c r="F66">
        <v>53</v>
      </c>
      <c r="G66">
        <v>39</v>
      </c>
      <c r="H66">
        <v>50</v>
      </c>
      <c r="I66">
        <v>47</v>
      </c>
      <c r="J66">
        <v>52</v>
      </c>
      <c r="K66">
        <v>56</v>
      </c>
      <c r="L66">
        <v>49</v>
      </c>
      <c r="M66">
        <v>42</v>
      </c>
      <c r="N66">
        <v>51</v>
      </c>
      <c r="O66">
        <v>62</v>
      </c>
      <c r="P66">
        <v>49</v>
      </c>
      <c r="Q66">
        <v>40</v>
      </c>
      <c r="R66">
        <v>68</v>
      </c>
      <c r="S66">
        <v>710</v>
      </c>
    </row>
    <row r="67" spans="1:19" x14ac:dyDescent="0.25">
      <c r="A67" t="s">
        <v>326</v>
      </c>
      <c r="B67" t="s">
        <v>901</v>
      </c>
      <c r="C67" t="s">
        <v>221</v>
      </c>
      <c r="E67">
        <v>2</v>
      </c>
      <c r="F67">
        <v>0</v>
      </c>
      <c r="J67">
        <v>2</v>
      </c>
      <c r="L67">
        <v>1</v>
      </c>
      <c r="M67">
        <v>1</v>
      </c>
      <c r="N67">
        <v>1</v>
      </c>
      <c r="P67">
        <v>1</v>
      </c>
      <c r="Q67">
        <v>1</v>
      </c>
      <c r="R67">
        <v>1</v>
      </c>
      <c r="S67">
        <v>10</v>
      </c>
    </row>
    <row r="68" spans="1:19" x14ac:dyDescent="0.25">
      <c r="A68" t="s">
        <v>328</v>
      </c>
      <c r="B68" t="s">
        <v>902</v>
      </c>
      <c r="C68" t="s">
        <v>205</v>
      </c>
      <c r="E68">
        <v>22</v>
      </c>
      <c r="F68">
        <v>14</v>
      </c>
      <c r="G68">
        <v>15</v>
      </c>
      <c r="H68">
        <v>11</v>
      </c>
      <c r="I68">
        <v>21</v>
      </c>
      <c r="J68">
        <v>22</v>
      </c>
      <c r="K68">
        <v>17</v>
      </c>
      <c r="L68">
        <v>15</v>
      </c>
      <c r="M68">
        <v>16</v>
      </c>
      <c r="N68">
        <v>16</v>
      </c>
      <c r="O68">
        <v>18</v>
      </c>
      <c r="P68">
        <v>15</v>
      </c>
      <c r="Q68">
        <v>13</v>
      </c>
      <c r="R68">
        <v>17</v>
      </c>
      <c r="S68">
        <v>232</v>
      </c>
    </row>
    <row r="69" spans="1:19" x14ac:dyDescent="0.25">
      <c r="A69" t="s">
        <v>330</v>
      </c>
      <c r="B69" t="s">
        <v>903</v>
      </c>
      <c r="C69" t="s">
        <v>197</v>
      </c>
      <c r="E69">
        <v>229</v>
      </c>
      <c r="F69">
        <v>151</v>
      </c>
      <c r="G69">
        <v>165</v>
      </c>
      <c r="H69">
        <v>162</v>
      </c>
      <c r="I69">
        <v>232</v>
      </c>
      <c r="J69">
        <v>237</v>
      </c>
      <c r="K69">
        <v>223</v>
      </c>
      <c r="L69">
        <v>225</v>
      </c>
      <c r="M69">
        <v>243</v>
      </c>
      <c r="N69">
        <v>237</v>
      </c>
      <c r="O69">
        <v>209</v>
      </c>
      <c r="P69">
        <v>203</v>
      </c>
      <c r="Q69">
        <v>194</v>
      </c>
      <c r="R69">
        <v>269</v>
      </c>
      <c r="S69">
        <v>2979</v>
      </c>
    </row>
    <row r="70" spans="1:19" x14ac:dyDescent="0.25">
      <c r="A70" t="s">
        <v>332</v>
      </c>
      <c r="B70" t="s">
        <v>904</v>
      </c>
      <c r="C70" t="s">
        <v>221</v>
      </c>
      <c r="E70">
        <v>22</v>
      </c>
      <c r="F70">
        <v>30</v>
      </c>
      <c r="G70">
        <v>29</v>
      </c>
      <c r="H70">
        <v>30</v>
      </c>
      <c r="I70">
        <v>23</v>
      </c>
      <c r="J70">
        <v>35</v>
      </c>
      <c r="K70">
        <v>35</v>
      </c>
      <c r="L70">
        <v>34</v>
      </c>
      <c r="M70">
        <v>33</v>
      </c>
      <c r="N70">
        <v>28</v>
      </c>
      <c r="O70">
        <v>24</v>
      </c>
      <c r="P70">
        <v>33</v>
      </c>
      <c r="Q70">
        <v>18</v>
      </c>
      <c r="R70">
        <v>29</v>
      </c>
      <c r="S70">
        <v>403</v>
      </c>
    </row>
    <row r="71" spans="1:19" x14ac:dyDescent="0.25">
      <c r="A71" t="s">
        <v>334</v>
      </c>
      <c r="B71" t="s">
        <v>905</v>
      </c>
      <c r="C71" t="s">
        <v>189</v>
      </c>
      <c r="E71">
        <v>14</v>
      </c>
      <c r="F71">
        <v>20</v>
      </c>
      <c r="G71">
        <v>21</v>
      </c>
      <c r="H71">
        <v>20</v>
      </c>
      <c r="I71">
        <v>16</v>
      </c>
      <c r="J71">
        <v>17</v>
      </c>
      <c r="K71">
        <v>11</v>
      </c>
      <c r="L71">
        <v>18</v>
      </c>
      <c r="M71">
        <v>17</v>
      </c>
      <c r="N71">
        <v>19</v>
      </c>
      <c r="O71">
        <v>18</v>
      </c>
      <c r="P71">
        <v>26</v>
      </c>
      <c r="Q71">
        <v>36</v>
      </c>
      <c r="R71">
        <v>30</v>
      </c>
      <c r="S71">
        <v>283</v>
      </c>
    </row>
    <row r="72" spans="1:19" x14ac:dyDescent="0.25">
      <c r="A72" t="s">
        <v>336</v>
      </c>
      <c r="B72" t="s">
        <v>906</v>
      </c>
      <c r="C72" t="s">
        <v>194</v>
      </c>
      <c r="E72">
        <v>1</v>
      </c>
      <c r="F72">
        <v>0</v>
      </c>
      <c r="G72">
        <v>4</v>
      </c>
      <c r="H72">
        <v>1</v>
      </c>
      <c r="I72">
        <v>1</v>
      </c>
      <c r="J72">
        <v>1</v>
      </c>
      <c r="L72">
        <v>2</v>
      </c>
      <c r="M72">
        <v>3</v>
      </c>
      <c r="N72">
        <v>1</v>
      </c>
      <c r="S72">
        <v>14</v>
      </c>
    </row>
    <row r="73" spans="1:19" x14ac:dyDescent="0.25">
      <c r="A73" t="s">
        <v>338</v>
      </c>
      <c r="B73" t="s">
        <v>907</v>
      </c>
      <c r="C73" t="s">
        <v>231</v>
      </c>
      <c r="E73">
        <v>2</v>
      </c>
      <c r="F73">
        <v>4</v>
      </c>
      <c r="G73">
        <v>2</v>
      </c>
      <c r="H73">
        <v>4</v>
      </c>
      <c r="I73">
        <v>4</v>
      </c>
      <c r="K73">
        <v>4</v>
      </c>
      <c r="L73">
        <v>2</v>
      </c>
      <c r="M73">
        <v>5</v>
      </c>
      <c r="N73">
        <v>3</v>
      </c>
      <c r="O73">
        <v>1</v>
      </c>
      <c r="P73">
        <v>2</v>
      </c>
      <c r="R73">
        <v>4</v>
      </c>
      <c r="S73">
        <v>37</v>
      </c>
    </row>
    <row r="74" spans="1:19" x14ac:dyDescent="0.25">
      <c r="A74" t="s">
        <v>340</v>
      </c>
      <c r="B74" t="s">
        <v>908</v>
      </c>
      <c r="C74" t="s">
        <v>205</v>
      </c>
      <c r="E74">
        <v>60</v>
      </c>
      <c r="F74">
        <v>40</v>
      </c>
      <c r="G74">
        <v>35</v>
      </c>
      <c r="H74">
        <v>44</v>
      </c>
      <c r="I74">
        <v>48</v>
      </c>
      <c r="J74">
        <v>49</v>
      </c>
      <c r="K74">
        <v>41</v>
      </c>
      <c r="L74">
        <v>45</v>
      </c>
      <c r="M74">
        <v>50</v>
      </c>
      <c r="N74">
        <v>52</v>
      </c>
      <c r="O74">
        <v>39</v>
      </c>
      <c r="P74">
        <v>44</v>
      </c>
      <c r="Q74">
        <v>53</v>
      </c>
      <c r="R74">
        <v>56</v>
      </c>
      <c r="S74">
        <v>656</v>
      </c>
    </row>
    <row r="75" spans="1:19" x14ac:dyDescent="0.25">
      <c r="A75" t="s">
        <v>342</v>
      </c>
      <c r="B75" t="s">
        <v>909</v>
      </c>
      <c r="C75" t="s">
        <v>231</v>
      </c>
      <c r="E75">
        <v>21</v>
      </c>
      <c r="F75">
        <v>22</v>
      </c>
      <c r="G75">
        <v>35</v>
      </c>
      <c r="H75">
        <v>26</v>
      </c>
      <c r="I75">
        <v>36</v>
      </c>
      <c r="J75">
        <v>30</v>
      </c>
      <c r="K75">
        <v>21</v>
      </c>
      <c r="L75">
        <v>28</v>
      </c>
      <c r="M75">
        <v>28</v>
      </c>
      <c r="N75">
        <v>13</v>
      </c>
      <c r="O75">
        <v>17</v>
      </c>
      <c r="P75">
        <v>22</v>
      </c>
      <c r="Q75">
        <v>18</v>
      </c>
      <c r="R75">
        <v>40</v>
      </c>
      <c r="S75">
        <v>357</v>
      </c>
    </row>
    <row r="76" spans="1:19" x14ac:dyDescent="0.25">
      <c r="A76" t="s">
        <v>344</v>
      </c>
      <c r="B76" t="s">
        <v>1139</v>
      </c>
      <c r="C76" t="s">
        <v>189</v>
      </c>
      <c r="E76">
        <v>1</v>
      </c>
      <c r="F76">
        <v>1</v>
      </c>
      <c r="G76">
        <v>1</v>
      </c>
      <c r="J76">
        <v>1</v>
      </c>
      <c r="K76">
        <v>2</v>
      </c>
      <c r="L76">
        <v>2</v>
      </c>
      <c r="S76">
        <v>8</v>
      </c>
    </row>
    <row r="77" spans="1:19" x14ac:dyDescent="0.25">
      <c r="A77" t="s">
        <v>346</v>
      </c>
      <c r="B77" t="s">
        <v>910</v>
      </c>
      <c r="C77" t="s">
        <v>197</v>
      </c>
      <c r="E77">
        <v>178</v>
      </c>
      <c r="F77">
        <v>139</v>
      </c>
      <c r="G77">
        <v>160</v>
      </c>
      <c r="H77">
        <v>204</v>
      </c>
      <c r="I77">
        <v>205</v>
      </c>
      <c r="J77">
        <v>198</v>
      </c>
      <c r="K77">
        <v>214</v>
      </c>
      <c r="L77">
        <v>175</v>
      </c>
      <c r="M77">
        <v>206</v>
      </c>
      <c r="N77">
        <v>205</v>
      </c>
      <c r="O77">
        <v>153</v>
      </c>
      <c r="P77">
        <v>176</v>
      </c>
      <c r="Q77">
        <v>147</v>
      </c>
      <c r="R77">
        <v>213</v>
      </c>
      <c r="S77">
        <v>2573</v>
      </c>
    </row>
    <row r="78" spans="1:19" x14ac:dyDescent="0.25">
      <c r="A78" t="s">
        <v>348</v>
      </c>
      <c r="B78" t="s">
        <v>1227</v>
      </c>
      <c r="C78" t="s">
        <v>210</v>
      </c>
      <c r="E78">
        <v>156</v>
      </c>
      <c r="F78">
        <v>151</v>
      </c>
      <c r="G78">
        <v>181</v>
      </c>
      <c r="H78">
        <v>236</v>
      </c>
      <c r="I78">
        <v>239</v>
      </c>
      <c r="J78">
        <v>233</v>
      </c>
      <c r="K78">
        <v>241</v>
      </c>
      <c r="L78">
        <v>271</v>
      </c>
      <c r="M78">
        <v>294</v>
      </c>
      <c r="N78">
        <v>221</v>
      </c>
      <c r="O78">
        <v>258</v>
      </c>
      <c r="P78">
        <v>240</v>
      </c>
      <c r="Q78">
        <v>228</v>
      </c>
      <c r="R78">
        <v>306</v>
      </c>
      <c r="S78">
        <v>3255</v>
      </c>
    </row>
    <row r="79" spans="1:19" x14ac:dyDescent="0.25">
      <c r="A79" t="s">
        <v>350</v>
      </c>
      <c r="B79" t="s">
        <v>1247</v>
      </c>
      <c r="C79" t="s">
        <v>194</v>
      </c>
      <c r="F79">
        <v>0</v>
      </c>
      <c r="H79">
        <v>1</v>
      </c>
      <c r="S79">
        <v>1</v>
      </c>
    </row>
    <row r="80" spans="1:19" x14ac:dyDescent="0.25">
      <c r="A80" t="s">
        <v>352</v>
      </c>
      <c r="B80" t="s">
        <v>913</v>
      </c>
      <c r="C80" t="s">
        <v>205</v>
      </c>
      <c r="E80">
        <v>222</v>
      </c>
      <c r="F80">
        <v>157</v>
      </c>
      <c r="G80">
        <v>161</v>
      </c>
      <c r="H80">
        <v>153</v>
      </c>
      <c r="I80">
        <v>176</v>
      </c>
      <c r="J80">
        <v>209</v>
      </c>
      <c r="K80">
        <v>210</v>
      </c>
      <c r="L80">
        <v>213</v>
      </c>
      <c r="M80">
        <v>236</v>
      </c>
      <c r="N80">
        <v>253</v>
      </c>
      <c r="O80">
        <v>205</v>
      </c>
      <c r="P80">
        <v>219</v>
      </c>
      <c r="Q80">
        <v>190</v>
      </c>
      <c r="R80">
        <v>286</v>
      </c>
      <c r="S80">
        <v>2890</v>
      </c>
    </row>
    <row r="81" spans="1:19" x14ac:dyDescent="0.25">
      <c r="A81" t="s">
        <v>354</v>
      </c>
      <c r="B81" t="s">
        <v>914</v>
      </c>
      <c r="C81" t="s">
        <v>197</v>
      </c>
      <c r="E81">
        <v>41</v>
      </c>
      <c r="F81">
        <v>43</v>
      </c>
      <c r="G81">
        <v>33</v>
      </c>
      <c r="H81">
        <v>36</v>
      </c>
      <c r="I81">
        <v>52</v>
      </c>
      <c r="J81">
        <v>51</v>
      </c>
      <c r="K81">
        <v>54</v>
      </c>
      <c r="L81">
        <v>46</v>
      </c>
      <c r="M81">
        <v>56</v>
      </c>
      <c r="N81">
        <v>44</v>
      </c>
      <c r="O81">
        <v>56</v>
      </c>
      <c r="P81">
        <v>41</v>
      </c>
      <c r="Q81">
        <v>51</v>
      </c>
      <c r="R81">
        <v>54</v>
      </c>
      <c r="S81">
        <v>658</v>
      </c>
    </row>
    <row r="82" spans="1:19" x14ac:dyDescent="0.25">
      <c r="A82" t="s">
        <v>356</v>
      </c>
      <c r="B82" t="s">
        <v>915</v>
      </c>
      <c r="C82" t="s">
        <v>205</v>
      </c>
      <c r="E82">
        <v>38</v>
      </c>
      <c r="F82">
        <v>27</v>
      </c>
      <c r="G82">
        <v>23</v>
      </c>
      <c r="H82">
        <v>39</v>
      </c>
      <c r="I82">
        <v>20</v>
      </c>
      <c r="J82">
        <v>28</v>
      </c>
      <c r="K82">
        <v>42</v>
      </c>
      <c r="L82">
        <v>24</v>
      </c>
      <c r="M82">
        <v>33</v>
      </c>
      <c r="N82">
        <v>37</v>
      </c>
      <c r="O82">
        <v>41</v>
      </c>
      <c r="P82">
        <v>27</v>
      </c>
      <c r="Q82">
        <v>21</v>
      </c>
      <c r="R82">
        <v>25</v>
      </c>
      <c r="S82">
        <v>425</v>
      </c>
    </row>
    <row r="83" spans="1:19" x14ac:dyDescent="0.25">
      <c r="A83" t="s">
        <v>358</v>
      </c>
      <c r="B83" t="s">
        <v>916</v>
      </c>
      <c r="C83" t="s">
        <v>202</v>
      </c>
      <c r="E83">
        <v>12</v>
      </c>
      <c r="F83">
        <v>5</v>
      </c>
      <c r="G83">
        <v>3</v>
      </c>
      <c r="H83">
        <v>5</v>
      </c>
      <c r="I83">
        <v>3</v>
      </c>
      <c r="J83">
        <v>6</v>
      </c>
      <c r="K83">
        <v>10</v>
      </c>
      <c r="L83">
        <v>4</v>
      </c>
      <c r="M83">
        <v>5</v>
      </c>
      <c r="N83">
        <v>13</v>
      </c>
      <c r="O83">
        <v>7</v>
      </c>
      <c r="P83">
        <v>9</v>
      </c>
      <c r="Q83">
        <v>13</v>
      </c>
      <c r="R83">
        <v>18</v>
      </c>
      <c r="S83">
        <v>113</v>
      </c>
    </row>
    <row r="84" spans="1:19" x14ac:dyDescent="0.25">
      <c r="A84" t="s">
        <v>360</v>
      </c>
      <c r="B84" t="s">
        <v>917</v>
      </c>
      <c r="C84" t="s">
        <v>205</v>
      </c>
      <c r="E84">
        <v>75</v>
      </c>
      <c r="F84">
        <v>59</v>
      </c>
      <c r="G84">
        <v>72</v>
      </c>
      <c r="H84">
        <v>64</v>
      </c>
      <c r="I84">
        <v>87</v>
      </c>
      <c r="J84">
        <v>77</v>
      </c>
      <c r="K84">
        <v>70</v>
      </c>
      <c r="L84">
        <v>72</v>
      </c>
      <c r="M84">
        <v>74</v>
      </c>
      <c r="N84">
        <v>67</v>
      </c>
      <c r="O84">
        <v>69</v>
      </c>
      <c r="P84">
        <v>81</v>
      </c>
      <c r="Q84">
        <v>68</v>
      </c>
      <c r="R84">
        <v>81</v>
      </c>
      <c r="S84">
        <v>1016</v>
      </c>
    </row>
    <row r="85" spans="1:19" x14ac:dyDescent="0.25">
      <c r="A85" t="s">
        <v>362</v>
      </c>
      <c r="B85" t="s">
        <v>918</v>
      </c>
      <c r="C85" t="s">
        <v>194</v>
      </c>
      <c r="E85">
        <v>7</v>
      </c>
      <c r="F85">
        <v>8</v>
      </c>
      <c r="G85">
        <v>3</v>
      </c>
      <c r="H85">
        <v>6</v>
      </c>
      <c r="I85">
        <v>8</v>
      </c>
      <c r="J85">
        <v>17</v>
      </c>
      <c r="K85">
        <v>8</v>
      </c>
      <c r="L85">
        <v>9</v>
      </c>
      <c r="M85">
        <v>9</v>
      </c>
      <c r="N85">
        <v>5</v>
      </c>
      <c r="O85">
        <v>12</v>
      </c>
      <c r="P85">
        <v>8</v>
      </c>
      <c r="Q85">
        <v>6</v>
      </c>
      <c r="R85">
        <v>7</v>
      </c>
      <c r="S85">
        <v>113</v>
      </c>
    </row>
    <row r="86" spans="1:19" x14ac:dyDescent="0.25">
      <c r="A86" t="s">
        <v>364</v>
      </c>
      <c r="B86" t="s">
        <v>919</v>
      </c>
      <c r="C86" t="s">
        <v>194</v>
      </c>
      <c r="E86">
        <v>1</v>
      </c>
      <c r="F86">
        <v>1</v>
      </c>
      <c r="G86">
        <v>2</v>
      </c>
      <c r="H86">
        <v>2</v>
      </c>
      <c r="J86">
        <v>2</v>
      </c>
      <c r="K86">
        <v>1</v>
      </c>
      <c r="L86">
        <v>1</v>
      </c>
      <c r="O86">
        <v>2</v>
      </c>
      <c r="Q86">
        <v>1</v>
      </c>
      <c r="R86">
        <v>1</v>
      </c>
      <c r="S86">
        <v>14</v>
      </c>
    </row>
    <row r="87" spans="1:19" x14ac:dyDescent="0.25">
      <c r="A87" t="s">
        <v>366</v>
      </c>
      <c r="B87" t="s">
        <v>920</v>
      </c>
      <c r="C87" t="s">
        <v>210</v>
      </c>
      <c r="D87" t="s">
        <v>819</v>
      </c>
      <c r="F87">
        <v>1</v>
      </c>
      <c r="G87">
        <v>1</v>
      </c>
      <c r="H87">
        <v>1</v>
      </c>
      <c r="I87">
        <v>2</v>
      </c>
      <c r="K87">
        <v>1</v>
      </c>
      <c r="L87">
        <v>1</v>
      </c>
      <c r="O87">
        <v>4</v>
      </c>
      <c r="Q87">
        <v>1</v>
      </c>
      <c r="S87">
        <v>12</v>
      </c>
    </row>
    <row r="88" spans="1:19" x14ac:dyDescent="0.25">
      <c r="A88" t="s">
        <v>368</v>
      </c>
      <c r="B88" t="s">
        <v>921</v>
      </c>
      <c r="C88" t="s">
        <v>221</v>
      </c>
      <c r="D88" t="s">
        <v>819</v>
      </c>
      <c r="E88">
        <v>6</v>
      </c>
      <c r="F88">
        <v>8</v>
      </c>
      <c r="G88">
        <v>16</v>
      </c>
      <c r="H88">
        <v>16</v>
      </c>
      <c r="I88">
        <v>17</v>
      </c>
      <c r="J88">
        <v>23</v>
      </c>
      <c r="K88">
        <v>26</v>
      </c>
      <c r="L88">
        <v>24</v>
      </c>
      <c r="M88">
        <v>31</v>
      </c>
      <c r="N88">
        <v>26</v>
      </c>
      <c r="O88">
        <v>38</v>
      </c>
      <c r="P88">
        <v>40</v>
      </c>
      <c r="Q88">
        <v>20</v>
      </c>
      <c r="R88">
        <v>19</v>
      </c>
      <c r="S88">
        <v>310</v>
      </c>
    </row>
    <row r="89" spans="1:19" x14ac:dyDescent="0.25">
      <c r="A89" t="s">
        <v>370</v>
      </c>
      <c r="B89" t="s">
        <v>922</v>
      </c>
      <c r="C89" t="s">
        <v>231</v>
      </c>
      <c r="E89">
        <v>2</v>
      </c>
      <c r="F89">
        <v>4</v>
      </c>
      <c r="G89">
        <v>6</v>
      </c>
      <c r="H89">
        <v>5</v>
      </c>
      <c r="I89">
        <v>14</v>
      </c>
      <c r="J89">
        <v>5</v>
      </c>
      <c r="K89">
        <v>9</v>
      </c>
      <c r="L89">
        <v>4</v>
      </c>
      <c r="M89">
        <v>13</v>
      </c>
      <c r="N89">
        <v>9</v>
      </c>
      <c r="O89">
        <v>14</v>
      </c>
      <c r="P89">
        <v>11</v>
      </c>
      <c r="Q89">
        <v>5</v>
      </c>
      <c r="R89">
        <v>6</v>
      </c>
      <c r="S89">
        <v>107</v>
      </c>
    </row>
    <row r="90" spans="1:19" x14ac:dyDescent="0.25">
      <c r="A90" t="s">
        <v>372</v>
      </c>
      <c r="B90" t="s">
        <v>923</v>
      </c>
      <c r="C90" t="s">
        <v>221</v>
      </c>
      <c r="E90">
        <v>21</v>
      </c>
      <c r="F90">
        <v>18</v>
      </c>
      <c r="G90">
        <v>31</v>
      </c>
      <c r="H90">
        <v>31</v>
      </c>
      <c r="I90">
        <v>30</v>
      </c>
      <c r="J90">
        <v>40</v>
      </c>
      <c r="K90">
        <v>59</v>
      </c>
      <c r="L90">
        <v>51</v>
      </c>
      <c r="M90">
        <v>48</v>
      </c>
      <c r="N90">
        <v>41</v>
      </c>
      <c r="O90">
        <v>44</v>
      </c>
      <c r="P90">
        <v>39</v>
      </c>
      <c r="Q90">
        <v>35</v>
      </c>
      <c r="R90">
        <v>40</v>
      </c>
      <c r="S90">
        <v>528</v>
      </c>
    </row>
    <row r="91" spans="1:19" x14ac:dyDescent="0.25">
      <c r="A91" t="s">
        <v>374</v>
      </c>
      <c r="B91" t="s">
        <v>924</v>
      </c>
      <c r="C91" t="s">
        <v>221</v>
      </c>
      <c r="E91">
        <v>17</v>
      </c>
      <c r="F91">
        <v>8</v>
      </c>
      <c r="G91">
        <v>15</v>
      </c>
      <c r="H91">
        <v>23</v>
      </c>
      <c r="I91">
        <v>8</v>
      </c>
      <c r="J91">
        <v>12</v>
      </c>
      <c r="K91">
        <v>22</v>
      </c>
      <c r="L91">
        <v>11</v>
      </c>
      <c r="M91">
        <v>12</v>
      </c>
      <c r="N91">
        <v>22</v>
      </c>
      <c r="O91">
        <v>14</v>
      </c>
      <c r="P91">
        <v>16</v>
      </c>
      <c r="Q91">
        <v>14</v>
      </c>
      <c r="R91">
        <v>13</v>
      </c>
      <c r="S91">
        <v>207</v>
      </c>
    </row>
    <row r="92" spans="1:19" x14ac:dyDescent="0.25">
      <c r="A92" t="s">
        <v>376</v>
      </c>
      <c r="B92" t="s">
        <v>925</v>
      </c>
      <c r="C92" t="s">
        <v>197</v>
      </c>
      <c r="E92">
        <v>34</v>
      </c>
      <c r="F92">
        <v>18</v>
      </c>
      <c r="G92">
        <v>18</v>
      </c>
      <c r="H92">
        <v>27</v>
      </c>
      <c r="I92">
        <v>31</v>
      </c>
      <c r="J92">
        <v>22</v>
      </c>
      <c r="K92">
        <v>27</v>
      </c>
      <c r="L92">
        <v>28</v>
      </c>
      <c r="M92">
        <v>25</v>
      </c>
      <c r="N92">
        <v>24</v>
      </c>
      <c r="O92">
        <v>21</v>
      </c>
      <c r="P92">
        <v>35</v>
      </c>
      <c r="Q92">
        <v>31</v>
      </c>
      <c r="R92">
        <v>50</v>
      </c>
      <c r="S92">
        <v>391</v>
      </c>
    </row>
    <row r="93" spans="1:19" x14ac:dyDescent="0.25">
      <c r="A93" t="s">
        <v>378</v>
      </c>
      <c r="B93" t="s">
        <v>1140</v>
      </c>
      <c r="C93" t="s">
        <v>189</v>
      </c>
      <c r="F93">
        <v>1</v>
      </c>
      <c r="G93">
        <v>3</v>
      </c>
      <c r="H93">
        <v>4</v>
      </c>
      <c r="I93">
        <v>2</v>
      </c>
      <c r="J93">
        <v>4</v>
      </c>
      <c r="K93">
        <v>3</v>
      </c>
      <c r="L93">
        <v>3</v>
      </c>
      <c r="M93">
        <v>1</v>
      </c>
      <c r="N93">
        <v>3</v>
      </c>
      <c r="S93">
        <v>24</v>
      </c>
    </row>
    <row r="94" spans="1:19" x14ac:dyDescent="0.25">
      <c r="A94" t="s">
        <v>380</v>
      </c>
      <c r="B94" t="s">
        <v>926</v>
      </c>
      <c r="C94" t="s">
        <v>194</v>
      </c>
      <c r="F94">
        <v>0</v>
      </c>
      <c r="J94">
        <v>1</v>
      </c>
      <c r="L94">
        <v>1</v>
      </c>
      <c r="S94">
        <v>2</v>
      </c>
    </row>
    <row r="95" spans="1:19" x14ac:dyDescent="0.25">
      <c r="A95" t="s">
        <v>384</v>
      </c>
      <c r="B95" t="s">
        <v>927</v>
      </c>
      <c r="C95" t="s">
        <v>210</v>
      </c>
      <c r="D95" t="s">
        <v>819</v>
      </c>
      <c r="F95">
        <v>0</v>
      </c>
      <c r="G95">
        <v>1</v>
      </c>
      <c r="H95">
        <v>3</v>
      </c>
      <c r="K95">
        <v>3</v>
      </c>
      <c r="L95">
        <v>4</v>
      </c>
      <c r="M95">
        <v>4</v>
      </c>
      <c r="N95">
        <v>5</v>
      </c>
      <c r="S95">
        <v>20</v>
      </c>
    </row>
    <row r="96" spans="1:19" x14ac:dyDescent="0.25">
      <c r="A96" t="s">
        <v>386</v>
      </c>
      <c r="B96" t="s">
        <v>928</v>
      </c>
      <c r="C96" t="s">
        <v>189</v>
      </c>
      <c r="E96">
        <v>11</v>
      </c>
      <c r="F96">
        <v>9</v>
      </c>
      <c r="G96">
        <v>12</v>
      </c>
      <c r="H96">
        <v>7</v>
      </c>
      <c r="I96">
        <v>9</v>
      </c>
      <c r="J96">
        <v>13</v>
      </c>
      <c r="K96">
        <v>3</v>
      </c>
      <c r="L96">
        <v>6</v>
      </c>
      <c r="M96">
        <v>6</v>
      </c>
      <c r="N96">
        <v>12</v>
      </c>
      <c r="S96">
        <v>88</v>
      </c>
    </row>
    <row r="97" spans="1:20" x14ac:dyDescent="0.25">
      <c r="A97" t="s">
        <v>388</v>
      </c>
      <c r="B97" t="s">
        <v>929</v>
      </c>
      <c r="C97" t="s">
        <v>194</v>
      </c>
      <c r="F97">
        <v>1</v>
      </c>
      <c r="G97">
        <v>2</v>
      </c>
      <c r="H97">
        <v>2</v>
      </c>
      <c r="I97">
        <v>3</v>
      </c>
      <c r="J97">
        <v>1</v>
      </c>
      <c r="K97">
        <v>5</v>
      </c>
      <c r="L97">
        <v>1</v>
      </c>
      <c r="N97">
        <v>1</v>
      </c>
      <c r="O97">
        <v>2</v>
      </c>
      <c r="P97">
        <v>1</v>
      </c>
      <c r="Q97">
        <v>3</v>
      </c>
      <c r="R97">
        <v>1</v>
      </c>
      <c r="S97">
        <v>23</v>
      </c>
    </row>
    <row r="98" spans="1:20" x14ac:dyDescent="0.25">
      <c r="A98" t="s">
        <v>390</v>
      </c>
      <c r="B98" t="s">
        <v>930</v>
      </c>
      <c r="C98" t="s">
        <v>221</v>
      </c>
      <c r="E98">
        <v>10</v>
      </c>
      <c r="F98">
        <v>12</v>
      </c>
      <c r="G98">
        <v>8</v>
      </c>
      <c r="H98">
        <v>4</v>
      </c>
      <c r="I98">
        <v>13</v>
      </c>
      <c r="J98">
        <v>5</v>
      </c>
      <c r="K98">
        <v>13</v>
      </c>
      <c r="L98">
        <v>16</v>
      </c>
      <c r="M98">
        <v>6</v>
      </c>
      <c r="N98">
        <v>10</v>
      </c>
      <c r="O98">
        <v>11</v>
      </c>
      <c r="P98">
        <v>8</v>
      </c>
      <c r="Q98">
        <v>11</v>
      </c>
      <c r="R98">
        <v>4</v>
      </c>
      <c r="S98">
        <v>131</v>
      </c>
    </row>
    <row r="99" spans="1:20" x14ac:dyDescent="0.25">
      <c r="A99" t="s">
        <v>392</v>
      </c>
      <c r="B99" t="s">
        <v>931</v>
      </c>
      <c r="C99" t="s">
        <v>205</v>
      </c>
      <c r="E99">
        <v>165</v>
      </c>
      <c r="F99">
        <v>118</v>
      </c>
      <c r="G99">
        <v>136</v>
      </c>
      <c r="H99">
        <v>174</v>
      </c>
      <c r="I99">
        <v>184</v>
      </c>
      <c r="J99">
        <v>222</v>
      </c>
      <c r="K99">
        <v>227</v>
      </c>
      <c r="L99">
        <v>175</v>
      </c>
      <c r="M99">
        <v>218</v>
      </c>
      <c r="N99">
        <v>207</v>
      </c>
      <c r="O99">
        <v>199</v>
      </c>
      <c r="P99">
        <v>177</v>
      </c>
      <c r="Q99">
        <v>188</v>
      </c>
      <c r="R99">
        <v>284</v>
      </c>
      <c r="S99">
        <v>2674</v>
      </c>
    </row>
    <row r="100" spans="1:20" x14ac:dyDescent="0.25">
      <c r="A100" t="s">
        <v>394</v>
      </c>
      <c r="B100" t="s">
        <v>932</v>
      </c>
      <c r="C100" t="s">
        <v>210</v>
      </c>
      <c r="E100">
        <v>13</v>
      </c>
      <c r="F100">
        <v>5</v>
      </c>
      <c r="G100">
        <v>9</v>
      </c>
      <c r="H100">
        <v>11</v>
      </c>
      <c r="I100">
        <v>24</v>
      </c>
      <c r="J100">
        <v>13</v>
      </c>
      <c r="K100">
        <v>12</v>
      </c>
      <c r="L100">
        <v>30</v>
      </c>
      <c r="M100">
        <v>13</v>
      </c>
      <c r="N100">
        <v>14</v>
      </c>
      <c r="O100">
        <v>7</v>
      </c>
      <c r="P100">
        <v>14</v>
      </c>
      <c r="Q100">
        <v>12</v>
      </c>
      <c r="R100">
        <v>11</v>
      </c>
      <c r="S100">
        <v>188</v>
      </c>
    </row>
    <row r="101" spans="1:20" x14ac:dyDescent="0.25">
      <c r="A101" t="s">
        <v>396</v>
      </c>
      <c r="B101" t="s">
        <v>933</v>
      </c>
      <c r="C101" t="s">
        <v>189</v>
      </c>
      <c r="F101">
        <v>4</v>
      </c>
      <c r="G101">
        <v>2</v>
      </c>
      <c r="H101">
        <v>4</v>
      </c>
      <c r="I101">
        <v>3</v>
      </c>
      <c r="J101">
        <v>3</v>
      </c>
      <c r="K101">
        <v>4</v>
      </c>
      <c r="L101">
        <v>6</v>
      </c>
      <c r="M101">
        <v>5</v>
      </c>
      <c r="N101">
        <v>7</v>
      </c>
      <c r="S101">
        <v>38</v>
      </c>
    </row>
    <row r="102" spans="1:20" x14ac:dyDescent="0.25">
      <c r="A102" t="s">
        <v>398</v>
      </c>
      <c r="B102" t="s">
        <v>934</v>
      </c>
      <c r="C102" t="s">
        <v>189</v>
      </c>
      <c r="E102">
        <v>10</v>
      </c>
      <c r="F102">
        <v>4</v>
      </c>
      <c r="G102">
        <v>11</v>
      </c>
      <c r="H102">
        <v>12</v>
      </c>
      <c r="I102">
        <v>11</v>
      </c>
      <c r="J102">
        <v>15</v>
      </c>
      <c r="K102">
        <v>23</v>
      </c>
      <c r="L102">
        <v>20</v>
      </c>
      <c r="M102">
        <v>25</v>
      </c>
      <c r="N102">
        <v>19</v>
      </c>
      <c r="O102">
        <v>27</v>
      </c>
      <c r="P102">
        <v>21</v>
      </c>
      <c r="Q102">
        <v>17</v>
      </c>
      <c r="R102">
        <v>20</v>
      </c>
      <c r="S102">
        <v>235</v>
      </c>
    </row>
    <row r="103" spans="1:20" x14ac:dyDescent="0.25">
      <c r="A103" t="s">
        <v>1161</v>
      </c>
      <c r="B103" t="s">
        <v>1269</v>
      </c>
      <c r="C103" t="s">
        <v>205</v>
      </c>
      <c r="F103">
        <v>3</v>
      </c>
      <c r="G103">
        <v>6</v>
      </c>
      <c r="S103">
        <v>9</v>
      </c>
    </row>
    <row r="104" spans="1:20" x14ac:dyDescent="0.25">
      <c r="A104" t="s">
        <v>400</v>
      </c>
      <c r="B104" t="s">
        <v>1270</v>
      </c>
      <c r="C104" t="s">
        <v>205</v>
      </c>
      <c r="F104">
        <v>2</v>
      </c>
      <c r="G104">
        <v>4</v>
      </c>
      <c r="H104">
        <v>4</v>
      </c>
      <c r="I104">
        <v>6</v>
      </c>
      <c r="J104">
        <v>5</v>
      </c>
      <c r="S104">
        <v>21</v>
      </c>
    </row>
    <row r="105" spans="1:20" x14ac:dyDescent="0.25">
      <c r="A105" t="s">
        <v>401</v>
      </c>
      <c r="B105" t="s">
        <v>1271</v>
      </c>
      <c r="C105" t="s">
        <v>205</v>
      </c>
      <c r="F105">
        <v>2</v>
      </c>
      <c r="G105">
        <v>4</v>
      </c>
      <c r="H105">
        <v>2</v>
      </c>
      <c r="S105">
        <v>8</v>
      </c>
    </row>
    <row r="106" spans="1:20" x14ac:dyDescent="0.25">
      <c r="A106" t="s">
        <v>403</v>
      </c>
      <c r="B106" t="s">
        <v>935</v>
      </c>
      <c r="C106" t="s">
        <v>194</v>
      </c>
      <c r="F106">
        <v>1</v>
      </c>
      <c r="G106">
        <v>3</v>
      </c>
      <c r="H106">
        <v>1</v>
      </c>
      <c r="I106">
        <v>1</v>
      </c>
      <c r="J106">
        <v>2</v>
      </c>
      <c r="K106">
        <v>5</v>
      </c>
      <c r="L106">
        <v>2</v>
      </c>
      <c r="M106">
        <v>2</v>
      </c>
      <c r="N106">
        <v>3</v>
      </c>
      <c r="O106">
        <v>2</v>
      </c>
      <c r="P106">
        <v>1</v>
      </c>
      <c r="Q106">
        <v>1</v>
      </c>
      <c r="R106">
        <v>1</v>
      </c>
      <c r="S106">
        <v>25</v>
      </c>
    </row>
    <row r="107" spans="1:20" x14ac:dyDescent="0.25">
      <c r="A107" t="s">
        <v>405</v>
      </c>
      <c r="B107" t="s">
        <v>936</v>
      </c>
      <c r="C107" t="s">
        <v>197</v>
      </c>
      <c r="F107">
        <v>0</v>
      </c>
      <c r="H107">
        <v>1</v>
      </c>
      <c r="I107">
        <v>2</v>
      </c>
      <c r="M107">
        <v>1</v>
      </c>
      <c r="S107">
        <v>4</v>
      </c>
    </row>
    <row r="108" spans="1:20" x14ac:dyDescent="0.25">
      <c r="A108" t="s">
        <v>407</v>
      </c>
      <c r="B108" t="s">
        <v>937</v>
      </c>
      <c r="C108" t="s">
        <v>205</v>
      </c>
      <c r="E108">
        <v>120</v>
      </c>
      <c r="F108">
        <v>72</v>
      </c>
      <c r="G108">
        <v>86</v>
      </c>
      <c r="H108">
        <v>85</v>
      </c>
      <c r="I108">
        <v>106</v>
      </c>
      <c r="J108">
        <v>110</v>
      </c>
      <c r="K108">
        <v>130</v>
      </c>
      <c r="L108">
        <v>145</v>
      </c>
      <c r="M108">
        <v>153</v>
      </c>
      <c r="N108">
        <v>115</v>
      </c>
      <c r="O108">
        <v>128</v>
      </c>
      <c r="P108">
        <v>123</v>
      </c>
      <c r="Q108">
        <v>125</v>
      </c>
      <c r="R108">
        <v>163</v>
      </c>
      <c r="S108">
        <v>1661</v>
      </c>
    </row>
    <row r="109" spans="1:20" s="374" customFormat="1" hidden="1" x14ac:dyDescent="0.25">
      <c r="A109" s="374" t="s">
        <v>1272</v>
      </c>
      <c r="B109" s="374" t="s">
        <v>1273</v>
      </c>
      <c r="C109" s="374" t="s">
        <v>205</v>
      </c>
      <c r="F109" s="374">
        <v>0</v>
      </c>
      <c r="M109" s="374">
        <v>1</v>
      </c>
      <c r="N109" s="374">
        <v>1</v>
      </c>
      <c r="O109" s="374">
        <v>8</v>
      </c>
      <c r="P109" s="374">
        <v>9</v>
      </c>
      <c r="Q109" s="374">
        <v>9</v>
      </c>
      <c r="R109" s="374">
        <v>2</v>
      </c>
      <c r="S109" s="374">
        <v>30</v>
      </c>
      <c r="T109" s="374" t="s">
        <v>1256</v>
      </c>
    </row>
    <row r="110" spans="1:20" x14ac:dyDescent="0.25">
      <c r="A110" t="s">
        <v>409</v>
      </c>
      <c r="B110" t="s">
        <v>938</v>
      </c>
      <c r="C110" t="s">
        <v>202</v>
      </c>
      <c r="D110" t="s">
        <v>819</v>
      </c>
      <c r="E110">
        <v>1</v>
      </c>
      <c r="F110">
        <v>1</v>
      </c>
      <c r="H110">
        <v>1</v>
      </c>
      <c r="I110">
        <v>1</v>
      </c>
      <c r="J110">
        <v>1</v>
      </c>
      <c r="S110">
        <v>5</v>
      </c>
    </row>
    <row r="111" spans="1:20" x14ac:dyDescent="0.25">
      <c r="A111" t="s">
        <v>411</v>
      </c>
      <c r="B111" t="s">
        <v>1274</v>
      </c>
      <c r="C111" t="s">
        <v>210</v>
      </c>
      <c r="D111" t="s">
        <v>819</v>
      </c>
      <c r="E111">
        <v>13</v>
      </c>
      <c r="F111">
        <v>14</v>
      </c>
      <c r="G111">
        <v>8</v>
      </c>
      <c r="H111">
        <v>9</v>
      </c>
      <c r="I111">
        <v>19</v>
      </c>
      <c r="J111">
        <v>18</v>
      </c>
      <c r="K111">
        <v>15</v>
      </c>
      <c r="L111">
        <v>16</v>
      </c>
      <c r="M111">
        <v>16</v>
      </c>
      <c r="N111">
        <v>14</v>
      </c>
      <c r="O111">
        <v>16</v>
      </c>
      <c r="P111">
        <v>6</v>
      </c>
      <c r="Q111">
        <v>15</v>
      </c>
      <c r="R111">
        <v>14</v>
      </c>
      <c r="S111">
        <v>193</v>
      </c>
    </row>
    <row r="112" spans="1:20" x14ac:dyDescent="0.25">
      <c r="A112" t="s">
        <v>413</v>
      </c>
      <c r="B112" t="s">
        <v>939</v>
      </c>
      <c r="C112" t="s">
        <v>194</v>
      </c>
      <c r="F112">
        <v>1</v>
      </c>
      <c r="G112">
        <v>1</v>
      </c>
      <c r="H112">
        <v>2</v>
      </c>
      <c r="S112">
        <v>4</v>
      </c>
    </row>
    <row r="113" spans="1:19" x14ac:dyDescent="0.25">
      <c r="A113" t="s">
        <v>415</v>
      </c>
      <c r="B113" t="s">
        <v>940</v>
      </c>
      <c r="C113" t="s">
        <v>210</v>
      </c>
      <c r="E113">
        <v>42</v>
      </c>
      <c r="F113">
        <v>30</v>
      </c>
      <c r="G113">
        <v>44</v>
      </c>
      <c r="H113">
        <v>49</v>
      </c>
      <c r="I113">
        <v>57</v>
      </c>
      <c r="J113">
        <v>50</v>
      </c>
      <c r="K113">
        <v>50</v>
      </c>
      <c r="L113">
        <v>64</v>
      </c>
      <c r="M113">
        <v>63</v>
      </c>
      <c r="N113">
        <v>72</v>
      </c>
      <c r="O113">
        <v>69</v>
      </c>
      <c r="P113">
        <v>44</v>
      </c>
      <c r="Q113">
        <v>43</v>
      </c>
      <c r="R113">
        <v>43</v>
      </c>
      <c r="S113">
        <v>720</v>
      </c>
    </row>
    <row r="114" spans="1:19" x14ac:dyDescent="0.25">
      <c r="A114" t="s">
        <v>417</v>
      </c>
      <c r="B114" t="s">
        <v>941</v>
      </c>
      <c r="C114" t="s">
        <v>202</v>
      </c>
      <c r="E114">
        <v>165</v>
      </c>
      <c r="F114">
        <v>134</v>
      </c>
      <c r="G114">
        <v>185</v>
      </c>
      <c r="H114">
        <v>189</v>
      </c>
      <c r="I114">
        <v>160</v>
      </c>
      <c r="J114">
        <v>198</v>
      </c>
      <c r="K114">
        <v>187</v>
      </c>
      <c r="L114">
        <v>173</v>
      </c>
      <c r="M114">
        <v>170</v>
      </c>
      <c r="N114">
        <v>169</v>
      </c>
      <c r="O114">
        <v>163</v>
      </c>
      <c r="P114">
        <v>148</v>
      </c>
      <c r="Q114">
        <v>131</v>
      </c>
      <c r="R114">
        <v>157</v>
      </c>
      <c r="S114">
        <v>2329</v>
      </c>
    </row>
    <row r="115" spans="1:19" x14ac:dyDescent="0.25">
      <c r="A115" t="s">
        <v>419</v>
      </c>
      <c r="B115" t="s">
        <v>942</v>
      </c>
      <c r="C115" t="s">
        <v>205</v>
      </c>
      <c r="E115">
        <v>204</v>
      </c>
      <c r="F115">
        <v>148</v>
      </c>
      <c r="G115">
        <v>166</v>
      </c>
      <c r="H115">
        <v>190</v>
      </c>
      <c r="I115">
        <v>198</v>
      </c>
      <c r="J115">
        <v>216</v>
      </c>
      <c r="K115">
        <v>211</v>
      </c>
      <c r="L115">
        <v>201</v>
      </c>
      <c r="M115">
        <v>226</v>
      </c>
      <c r="N115">
        <v>230</v>
      </c>
      <c r="O115">
        <v>216</v>
      </c>
      <c r="P115">
        <v>188</v>
      </c>
      <c r="Q115">
        <v>185</v>
      </c>
      <c r="R115">
        <v>290</v>
      </c>
      <c r="S115">
        <v>2869</v>
      </c>
    </row>
    <row r="116" spans="1:19" x14ac:dyDescent="0.25">
      <c r="A116" t="s">
        <v>421</v>
      </c>
      <c r="B116" t="s">
        <v>943</v>
      </c>
      <c r="C116" t="s">
        <v>194</v>
      </c>
      <c r="E116">
        <v>10</v>
      </c>
      <c r="F116">
        <v>11</v>
      </c>
      <c r="G116">
        <v>9</v>
      </c>
      <c r="H116">
        <v>9</v>
      </c>
      <c r="I116">
        <v>7</v>
      </c>
      <c r="J116">
        <v>5</v>
      </c>
      <c r="K116">
        <v>8</v>
      </c>
      <c r="L116">
        <v>6</v>
      </c>
      <c r="M116">
        <v>13</v>
      </c>
      <c r="N116">
        <v>9</v>
      </c>
      <c r="O116">
        <v>19</v>
      </c>
      <c r="P116">
        <v>14</v>
      </c>
      <c r="Q116">
        <v>11</v>
      </c>
      <c r="R116">
        <v>18</v>
      </c>
      <c r="S116">
        <v>149</v>
      </c>
    </row>
    <row r="117" spans="1:19" x14ac:dyDescent="0.25">
      <c r="A117" t="s">
        <v>423</v>
      </c>
      <c r="B117" t="s">
        <v>1226</v>
      </c>
      <c r="C117" t="s">
        <v>202</v>
      </c>
      <c r="E117">
        <v>8</v>
      </c>
      <c r="F117">
        <v>12</v>
      </c>
      <c r="G117">
        <v>6</v>
      </c>
      <c r="H117">
        <v>9</v>
      </c>
      <c r="I117">
        <v>14</v>
      </c>
      <c r="J117">
        <v>12</v>
      </c>
      <c r="K117">
        <v>16</v>
      </c>
      <c r="L117">
        <v>8</v>
      </c>
      <c r="M117">
        <v>20</v>
      </c>
      <c r="N117">
        <v>13</v>
      </c>
      <c r="O117">
        <v>20</v>
      </c>
      <c r="P117">
        <v>17</v>
      </c>
      <c r="Q117">
        <v>11</v>
      </c>
      <c r="R117">
        <v>18</v>
      </c>
      <c r="S117">
        <v>184</v>
      </c>
    </row>
    <row r="118" spans="1:19" x14ac:dyDescent="0.25">
      <c r="A118" t="s">
        <v>425</v>
      </c>
      <c r="B118" t="s">
        <v>945</v>
      </c>
      <c r="C118" t="s">
        <v>221</v>
      </c>
      <c r="E118">
        <v>5</v>
      </c>
      <c r="F118">
        <v>7</v>
      </c>
      <c r="G118">
        <v>4</v>
      </c>
      <c r="H118">
        <v>4</v>
      </c>
      <c r="I118">
        <v>7</v>
      </c>
      <c r="J118">
        <v>11</v>
      </c>
      <c r="K118">
        <v>3</v>
      </c>
      <c r="L118">
        <v>3</v>
      </c>
      <c r="M118">
        <v>8</v>
      </c>
      <c r="N118">
        <v>2</v>
      </c>
      <c r="O118">
        <v>6</v>
      </c>
      <c r="P118">
        <v>7</v>
      </c>
      <c r="Q118">
        <v>5</v>
      </c>
      <c r="R118">
        <v>14</v>
      </c>
      <c r="S118">
        <v>86</v>
      </c>
    </row>
    <row r="119" spans="1:19" x14ac:dyDescent="0.25">
      <c r="A119" t="s">
        <v>427</v>
      </c>
      <c r="B119" t="s">
        <v>1141</v>
      </c>
      <c r="C119" t="s">
        <v>210</v>
      </c>
      <c r="D119" t="s">
        <v>819</v>
      </c>
      <c r="E119">
        <v>3</v>
      </c>
      <c r="F119">
        <v>0</v>
      </c>
      <c r="G119">
        <v>1</v>
      </c>
      <c r="H119">
        <v>1</v>
      </c>
      <c r="I119">
        <v>1</v>
      </c>
      <c r="J119">
        <v>1</v>
      </c>
      <c r="K119">
        <v>2</v>
      </c>
      <c r="L119">
        <v>1</v>
      </c>
      <c r="N119">
        <v>2</v>
      </c>
      <c r="S119">
        <v>12</v>
      </c>
    </row>
    <row r="120" spans="1:19" x14ac:dyDescent="0.25">
      <c r="A120" t="s">
        <v>429</v>
      </c>
      <c r="B120" t="s">
        <v>946</v>
      </c>
      <c r="C120" t="s">
        <v>210</v>
      </c>
      <c r="E120">
        <v>9</v>
      </c>
      <c r="F120">
        <v>6</v>
      </c>
      <c r="G120">
        <v>11</v>
      </c>
      <c r="H120">
        <v>20</v>
      </c>
      <c r="I120">
        <v>18</v>
      </c>
      <c r="J120">
        <v>17</v>
      </c>
      <c r="K120">
        <v>23</v>
      </c>
      <c r="L120">
        <v>19</v>
      </c>
      <c r="M120">
        <v>17</v>
      </c>
      <c r="N120">
        <v>23</v>
      </c>
      <c r="O120">
        <v>13</v>
      </c>
      <c r="P120">
        <v>20</v>
      </c>
      <c r="Q120">
        <v>13</v>
      </c>
      <c r="R120">
        <v>15</v>
      </c>
      <c r="S120">
        <v>224</v>
      </c>
    </row>
    <row r="121" spans="1:19" x14ac:dyDescent="0.25">
      <c r="A121" t="s">
        <v>431</v>
      </c>
      <c r="B121" t="s">
        <v>947</v>
      </c>
      <c r="C121" t="s">
        <v>197</v>
      </c>
      <c r="E121">
        <v>2</v>
      </c>
      <c r="F121">
        <v>4</v>
      </c>
      <c r="G121">
        <v>4</v>
      </c>
      <c r="H121">
        <v>3</v>
      </c>
      <c r="I121">
        <v>7</v>
      </c>
      <c r="J121">
        <v>8</v>
      </c>
      <c r="K121">
        <v>10</v>
      </c>
      <c r="L121">
        <v>5</v>
      </c>
      <c r="M121">
        <v>6</v>
      </c>
      <c r="N121">
        <v>9</v>
      </c>
      <c r="O121">
        <v>8</v>
      </c>
      <c r="P121">
        <v>6</v>
      </c>
      <c r="Q121">
        <v>14</v>
      </c>
      <c r="R121">
        <v>6</v>
      </c>
      <c r="S121">
        <v>92</v>
      </c>
    </row>
    <row r="122" spans="1:19" x14ac:dyDescent="0.25">
      <c r="A122" t="s">
        <v>433</v>
      </c>
      <c r="B122" t="s">
        <v>1142</v>
      </c>
      <c r="C122" t="s">
        <v>194</v>
      </c>
      <c r="E122">
        <v>2</v>
      </c>
      <c r="F122">
        <v>0</v>
      </c>
      <c r="G122">
        <v>1</v>
      </c>
      <c r="H122">
        <v>2</v>
      </c>
      <c r="J122">
        <v>1</v>
      </c>
      <c r="L122">
        <v>1</v>
      </c>
      <c r="M122">
        <v>2</v>
      </c>
      <c r="N122">
        <v>1</v>
      </c>
      <c r="P122">
        <v>1</v>
      </c>
      <c r="R122">
        <v>1</v>
      </c>
      <c r="S122">
        <v>12</v>
      </c>
    </row>
    <row r="123" spans="1:19" x14ac:dyDescent="0.25">
      <c r="A123" t="s">
        <v>435</v>
      </c>
      <c r="B123" t="s">
        <v>948</v>
      </c>
      <c r="C123" t="s">
        <v>231</v>
      </c>
      <c r="E123">
        <v>5</v>
      </c>
      <c r="F123">
        <v>8</v>
      </c>
      <c r="G123">
        <v>8</v>
      </c>
      <c r="H123">
        <v>6</v>
      </c>
      <c r="I123">
        <v>11</v>
      </c>
      <c r="J123">
        <v>10</v>
      </c>
      <c r="K123">
        <v>8</v>
      </c>
      <c r="L123">
        <v>12</v>
      </c>
      <c r="M123">
        <v>9</v>
      </c>
      <c r="N123">
        <v>10</v>
      </c>
      <c r="O123">
        <v>11</v>
      </c>
      <c r="P123">
        <v>12</v>
      </c>
      <c r="Q123">
        <v>10</v>
      </c>
      <c r="R123">
        <v>14</v>
      </c>
      <c r="S123">
        <v>134</v>
      </c>
    </row>
    <row r="124" spans="1:19" x14ac:dyDescent="0.25">
      <c r="A124" t="s">
        <v>437</v>
      </c>
      <c r="B124" t="s">
        <v>1143</v>
      </c>
      <c r="C124" t="s">
        <v>189</v>
      </c>
      <c r="D124" t="s">
        <v>819</v>
      </c>
      <c r="E124">
        <v>1</v>
      </c>
      <c r="F124">
        <v>0</v>
      </c>
      <c r="G124">
        <v>4</v>
      </c>
      <c r="H124">
        <v>2</v>
      </c>
      <c r="I124">
        <v>3</v>
      </c>
      <c r="J124">
        <v>3</v>
      </c>
      <c r="K124">
        <v>4</v>
      </c>
      <c r="L124">
        <v>3</v>
      </c>
      <c r="M124">
        <v>4</v>
      </c>
      <c r="O124">
        <v>3</v>
      </c>
      <c r="P124">
        <v>3</v>
      </c>
      <c r="Q124">
        <v>1</v>
      </c>
      <c r="R124">
        <v>1</v>
      </c>
      <c r="S124">
        <v>32</v>
      </c>
    </row>
    <row r="125" spans="1:19" x14ac:dyDescent="0.25">
      <c r="A125" t="s">
        <v>439</v>
      </c>
      <c r="B125" t="s">
        <v>949</v>
      </c>
      <c r="C125" t="s">
        <v>197</v>
      </c>
      <c r="E125">
        <v>105</v>
      </c>
      <c r="F125">
        <v>85</v>
      </c>
      <c r="G125">
        <v>85</v>
      </c>
      <c r="H125">
        <v>88</v>
      </c>
      <c r="I125">
        <v>96</v>
      </c>
      <c r="J125">
        <v>106</v>
      </c>
      <c r="K125">
        <v>105</v>
      </c>
      <c r="L125">
        <v>114</v>
      </c>
      <c r="M125">
        <v>110</v>
      </c>
      <c r="N125">
        <v>101</v>
      </c>
      <c r="O125">
        <v>122</v>
      </c>
      <c r="P125">
        <v>88</v>
      </c>
      <c r="Q125">
        <v>94</v>
      </c>
      <c r="R125">
        <v>80</v>
      </c>
      <c r="S125">
        <v>1379</v>
      </c>
    </row>
    <row r="126" spans="1:19" x14ac:dyDescent="0.25">
      <c r="A126" t="s">
        <v>441</v>
      </c>
      <c r="B126" t="s">
        <v>950</v>
      </c>
      <c r="C126" t="s">
        <v>205</v>
      </c>
      <c r="E126">
        <v>208</v>
      </c>
      <c r="F126">
        <v>158</v>
      </c>
      <c r="G126">
        <v>154</v>
      </c>
      <c r="H126">
        <v>207</v>
      </c>
      <c r="I126">
        <v>233</v>
      </c>
      <c r="J126">
        <v>241</v>
      </c>
      <c r="K126">
        <v>230</v>
      </c>
      <c r="L126">
        <v>235</v>
      </c>
      <c r="M126">
        <v>225</v>
      </c>
      <c r="N126">
        <v>221</v>
      </c>
      <c r="O126">
        <v>186</v>
      </c>
      <c r="P126">
        <v>199</v>
      </c>
      <c r="Q126">
        <v>200</v>
      </c>
      <c r="R126">
        <v>253</v>
      </c>
      <c r="S126">
        <v>2950</v>
      </c>
    </row>
    <row r="127" spans="1:19" x14ac:dyDescent="0.25">
      <c r="A127" t="s">
        <v>443</v>
      </c>
      <c r="B127" t="s">
        <v>951</v>
      </c>
      <c r="C127" t="s">
        <v>197</v>
      </c>
      <c r="E127">
        <v>29</v>
      </c>
      <c r="F127">
        <v>14</v>
      </c>
      <c r="G127">
        <v>22</v>
      </c>
      <c r="H127">
        <v>28</v>
      </c>
      <c r="I127">
        <v>34</v>
      </c>
      <c r="J127">
        <v>28</v>
      </c>
      <c r="K127">
        <v>39</v>
      </c>
      <c r="L127">
        <v>35</v>
      </c>
      <c r="M127">
        <v>28</v>
      </c>
      <c r="N127">
        <v>40</v>
      </c>
      <c r="O127">
        <v>33</v>
      </c>
      <c r="P127">
        <v>32</v>
      </c>
      <c r="Q127">
        <v>32</v>
      </c>
      <c r="R127">
        <v>33</v>
      </c>
      <c r="S127">
        <v>427</v>
      </c>
    </row>
    <row r="128" spans="1:19" x14ac:dyDescent="0.25">
      <c r="A128" t="s">
        <v>445</v>
      </c>
      <c r="B128" t="s">
        <v>952</v>
      </c>
      <c r="C128" t="s">
        <v>194</v>
      </c>
      <c r="F128">
        <v>0</v>
      </c>
      <c r="K128">
        <v>4</v>
      </c>
      <c r="L128">
        <v>1</v>
      </c>
      <c r="M128">
        <v>1</v>
      </c>
      <c r="N128">
        <v>2</v>
      </c>
      <c r="S128">
        <v>8</v>
      </c>
    </row>
    <row r="129" spans="1:19" x14ac:dyDescent="0.25">
      <c r="A129" t="s">
        <v>447</v>
      </c>
      <c r="B129" t="s">
        <v>953</v>
      </c>
      <c r="C129" t="s">
        <v>194</v>
      </c>
      <c r="E129">
        <v>1</v>
      </c>
      <c r="F129">
        <v>6</v>
      </c>
      <c r="G129">
        <v>7</v>
      </c>
      <c r="H129">
        <v>4</v>
      </c>
      <c r="I129">
        <v>3</v>
      </c>
      <c r="J129">
        <v>6</v>
      </c>
      <c r="K129">
        <v>6</v>
      </c>
      <c r="L129">
        <v>5</v>
      </c>
      <c r="M129">
        <v>4</v>
      </c>
      <c r="N129">
        <v>5</v>
      </c>
      <c r="O129">
        <v>5</v>
      </c>
      <c r="P129">
        <v>6</v>
      </c>
      <c r="Q129">
        <v>1</v>
      </c>
      <c r="R129">
        <v>8</v>
      </c>
      <c r="S129">
        <v>67</v>
      </c>
    </row>
    <row r="130" spans="1:19" x14ac:dyDescent="0.25">
      <c r="A130" t="s">
        <v>449</v>
      </c>
      <c r="B130" t="s">
        <v>954</v>
      </c>
      <c r="C130" t="s">
        <v>194</v>
      </c>
      <c r="E130">
        <v>3</v>
      </c>
      <c r="F130">
        <v>0</v>
      </c>
      <c r="H130">
        <v>3</v>
      </c>
      <c r="I130">
        <v>2</v>
      </c>
      <c r="J130">
        <v>2</v>
      </c>
      <c r="K130">
        <v>2</v>
      </c>
      <c r="L130">
        <v>1</v>
      </c>
      <c r="M130">
        <v>1</v>
      </c>
      <c r="N130">
        <v>2</v>
      </c>
      <c r="O130">
        <v>1</v>
      </c>
      <c r="P130">
        <v>1</v>
      </c>
      <c r="R130">
        <v>1</v>
      </c>
      <c r="S130">
        <v>19</v>
      </c>
    </row>
    <row r="131" spans="1:19" x14ac:dyDescent="0.25">
      <c r="A131" t="s">
        <v>451</v>
      </c>
      <c r="B131" t="s">
        <v>955</v>
      </c>
      <c r="C131" t="s">
        <v>210</v>
      </c>
      <c r="E131">
        <v>97</v>
      </c>
      <c r="F131">
        <v>61</v>
      </c>
      <c r="G131">
        <v>78</v>
      </c>
      <c r="H131">
        <v>80</v>
      </c>
      <c r="I131">
        <v>90</v>
      </c>
      <c r="J131">
        <v>86</v>
      </c>
      <c r="K131">
        <v>79</v>
      </c>
      <c r="L131">
        <v>85</v>
      </c>
      <c r="M131">
        <v>84</v>
      </c>
      <c r="N131">
        <v>77</v>
      </c>
      <c r="O131">
        <v>60</v>
      </c>
      <c r="P131">
        <v>75</v>
      </c>
      <c r="Q131">
        <v>56</v>
      </c>
      <c r="R131">
        <v>77</v>
      </c>
      <c r="S131">
        <v>1085</v>
      </c>
    </row>
    <row r="132" spans="1:19" x14ac:dyDescent="0.25">
      <c r="A132" t="s">
        <v>453</v>
      </c>
      <c r="B132" t="s">
        <v>956</v>
      </c>
      <c r="C132" t="s">
        <v>194</v>
      </c>
      <c r="E132">
        <v>1</v>
      </c>
      <c r="F132">
        <v>1</v>
      </c>
      <c r="G132">
        <v>3</v>
      </c>
      <c r="H132">
        <v>2</v>
      </c>
      <c r="I132">
        <v>3</v>
      </c>
      <c r="J132">
        <v>2</v>
      </c>
      <c r="K132">
        <v>2</v>
      </c>
      <c r="L132">
        <v>4</v>
      </c>
      <c r="S132">
        <v>18</v>
      </c>
    </row>
    <row r="133" spans="1:19" x14ac:dyDescent="0.25">
      <c r="A133" t="s">
        <v>455</v>
      </c>
      <c r="B133" t="s">
        <v>1240</v>
      </c>
      <c r="C133" t="s">
        <v>197</v>
      </c>
      <c r="F133">
        <v>0</v>
      </c>
      <c r="G133">
        <v>1</v>
      </c>
      <c r="H133">
        <v>3</v>
      </c>
      <c r="I133">
        <v>4</v>
      </c>
      <c r="J133">
        <v>5</v>
      </c>
      <c r="K133">
        <v>5</v>
      </c>
      <c r="L133">
        <v>5</v>
      </c>
      <c r="M133">
        <v>3</v>
      </c>
      <c r="N133">
        <v>4</v>
      </c>
      <c r="O133">
        <v>2</v>
      </c>
      <c r="P133">
        <v>8</v>
      </c>
      <c r="Q133">
        <v>3</v>
      </c>
      <c r="R133">
        <v>2</v>
      </c>
      <c r="S133">
        <v>45</v>
      </c>
    </row>
    <row r="134" spans="1:19" x14ac:dyDescent="0.25">
      <c r="A134" t="s">
        <v>457</v>
      </c>
      <c r="B134" t="s">
        <v>1275</v>
      </c>
      <c r="C134" t="s">
        <v>194</v>
      </c>
      <c r="F134">
        <v>0</v>
      </c>
      <c r="O134">
        <v>1</v>
      </c>
      <c r="P134">
        <v>1</v>
      </c>
      <c r="Q134">
        <v>1</v>
      </c>
      <c r="R134">
        <v>4</v>
      </c>
      <c r="S134">
        <v>7</v>
      </c>
    </row>
    <row r="135" spans="1:19" x14ac:dyDescent="0.25">
      <c r="A135" t="s">
        <v>458</v>
      </c>
      <c r="B135" t="s">
        <v>958</v>
      </c>
      <c r="C135" t="s">
        <v>210</v>
      </c>
      <c r="D135" t="s">
        <v>819</v>
      </c>
      <c r="E135">
        <v>2</v>
      </c>
      <c r="F135">
        <v>4</v>
      </c>
      <c r="G135">
        <v>2</v>
      </c>
      <c r="H135">
        <v>1</v>
      </c>
      <c r="I135">
        <v>7</v>
      </c>
      <c r="J135">
        <v>3</v>
      </c>
      <c r="K135">
        <v>5</v>
      </c>
      <c r="L135">
        <v>2</v>
      </c>
      <c r="M135">
        <v>2</v>
      </c>
      <c r="N135">
        <v>2</v>
      </c>
      <c r="O135">
        <v>3</v>
      </c>
      <c r="P135">
        <v>3</v>
      </c>
      <c r="Q135">
        <v>5</v>
      </c>
      <c r="R135">
        <v>2</v>
      </c>
      <c r="S135">
        <v>43</v>
      </c>
    </row>
    <row r="136" spans="1:19" x14ac:dyDescent="0.25">
      <c r="A136" t="s">
        <v>460</v>
      </c>
      <c r="B136" t="s">
        <v>959</v>
      </c>
      <c r="C136" t="s">
        <v>197</v>
      </c>
      <c r="E136">
        <v>49</v>
      </c>
      <c r="F136">
        <v>36</v>
      </c>
      <c r="G136">
        <v>34</v>
      </c>
      <c r="H136">
        <v>32</v>
      </c>
      <c r="I136">
        <v>40</v>
      </c>
      <c r="J136">
        <v>40</v>
      </c>
      <c r="K136">
        <v>35</v>
      </c>
      <c r="L136">
        <v>30</v>
      </c>
      <c r="M136">
        <v>27</v>
      </c>
      <c r="N136">
        <v>40</v>
      </c>
      <c r="O136">
        <v>35</v>
      </c>
      <c r="P136">
        <v>34</v>
      </c>
      <c r="Q136">
        <v>31</v>
      </c>
      <c r="R136">
        <v>37</v>
      </c>
      <c r="S136">
        <v>500</v>
      </c>
    </row>
    <row r="137" spans="1:19" x14ac:dyDescent="0.25">
      <c r="A137" t="s">
        <v>462</v>
      </c>
      <c r="B137" t="s">
        <v>960</v>
      </c>
      <c r="C137" t="s">
        <v>221</v>
      </c>
      <c r="E137">
        <v>3</v>
      </c>
      <c r="F137">
        <v>4</v>
      </c>
      <c r="G137">
        <v>5</v>
      </c>
      <c r="H137">
        <v>5</v>
      </c>
      <c r="I137">
        <v>3</v>
      </c>
      <c r="J137">
        <v>4</v>
      </c>
      <c r="K137">
        <v>9</v>
      </c>
      <c r="L137">
        <v>11</v>
      </c>
      <c r="M137">
        <v>7</v>
      </c>
      <c r="N137">
        <v>4</v>
      </c>
      <c r="O137">
        <v>10</v>
      </c>
      <c r="P137">
        <v>7</v>
      </c>
      <c r="Q137">
        <v>6</v>
      </c>
      <c r="R137">
        <v>10</v>
      </c>
      <c r="S137">
        <v>88</v>
      </c>
    </row>
    <row r="138" spans="1:19" x14ac:dyDescent="0.25">
      <c r="A138" t="s">
        <v>464</v>
      </c>
      <c r="B138" t="s">
        <v>961</v>
      </c>
      <c r="C138" t="s">
        <v>231</v>
      </c>
      <c r="F138">
        <v>3</v>
      </c>
      <c r="G138">
        <v>1</v>
      </c>
      <c r="J138">
        <v>2</v>
      </c>
      <c r="L138">
        <v>1</v>
      </c>
      <c r="M138">
        <v>1</v>
      </c>
      <c r="N138">
        <v>1</v>
      </c>
      <c r="Q138">
        <v>1</v>
      </c>
      <c r="S138">
        <v>10</v>
      </c>
    </row>
    <row r="139" spans="1:19" x14ac:dyDescent="0.25">
      <c r="A139" t="s">
        <v>466</v>
      </c>
      <c r="B139" t="s">
        <v>962</v>
      </c>
      <c r="C139" t="s">
        <v>231</v>
      </c>
      <c r="E139">
        <v>5</v>
      </c>
      <c r="F139">
        <v>5</v>
      </c>
      <c r="G139">
        <v>6</v>
      </c>
      <c r="H139">
        <v>2</v>
      </c>
      <c r="I139">
        <v>3</v>
      </c>
      <c r="J139">
        <v>8</v>
      </c>
      <c r="K139">
        <v>6</v>
      </c>
      <c r="L139">
        <v>6</v>
      </c>
      <c r="M139">
        <v>5</v>
      </c>
      <c r="N139">
        <v>7</v>
      </c>
      <c r="O139">
        <v>8</v>
      </c>
      <c r="P139">
        <v>5</v>
      </c>
      <c r="Q139">
        <v>6</v>
      </c>
      <c r="R139">
        <v>4</v>
      </c>
      <c r="S139">
        <v>76</v>
      </c>
    </row>
    <row r="140" spans="1:19" x14ac:dyDescent="0.25">
      <c r="A140" t="s">
        <v>468</v>
      </c>
      <c r="B140" t="s">
        <v>1235</v>
      </c>
      <c r="C140" t="s">
        <v>189</v>
      </c>
      <c r="F140">
        <v>11</v>
      </c>
      <c r="G140">
        <v>17</v>
      </c>
      <c r="H140">
        <v>29</v>
      </c>
      <c r="I140">
        <v>23</v>
      </c>
      <c r="J140">
        <v>23</v>
      </c>
      <c r="K140">
        <v>33</v>
      </c>
      <c r="L140">
        <v>35</v>
      </c>
      <c r="M140">
        <v>30</v>
      </c>
      <c r="N140">
        <v>35</v>
      </c>
      <c r="O140">
        <v>1</v>
      </c>
      <c r="P140">
        <v>4</v>
      </c>
      <c r="Q140">
        <v>2</v>
      </c>
      <c r="R140">
        <v>2</v>
      </c>
      <c r="S140">
        <v>245</v>
      </c>
    </row>
    <row r="141" spans="1:19" x14ac:dyDescent="0.25">
      <c r="A141" t="s">
        <v>470</v>
      </c>
      <c r="B141" t="s">
        <v>964</v>
      </c>
      <c r="C141" t="s">
        <v>194</v>
      </c>
      <c r="E141">
        <v>2</v>
      </c>
      <c r="F141">
        <v>4</v>
      </c>
      <c r="G141">
        <v>5</v>
      </c>
      <c r="H141">
        <v>2</v>
      </c>
      <c r="I141">
        <v>3</v>
      </c>
      <c r="J141">
        <v>4</v>
      </c>
      <c r="K141">
        <v>10</v>
      </c>
      <c r="L141">
        <v>1</v>
      </c>
      <c r="M141">
        <v>11</v>
      </c>
      <c r="N141">
        <v>2</v>
      </c>
      <c r="O141">
        <v>12</v>
      </c>
      <c r="P141">
        <v>4</v>
      </c>
      <c r="Q141">
        <v>4</v>
      </c>
      <c r="R141">
        <v>8</v>
      </c>
      <c r="S141">
        <v>72</v>
      </c>
    </row>
    <row r="142" spans="1:19" x14ac:dyDescent="0.25">
      <c r="A142" t="s">
        <v>472</v>
      </c>
      <c r="B142" t="s">
        <v>965</v>
      </c>
      <c r="C142" t="s">
        <v>197</v>
      </c>
      <c r="E142">
        <v>132</v>
      </c>
      <c r="F142">
        <v>83</v>
      </c>
      <c r="G142">
        <v>98</v>
      </c>
      <c r="H142">
        <v>103</v>
      </c>
      <c r="I142">
        <v>129</v>
      </c>
      <c r="J142">
        <v>114</v>
      </c>
      <c r="K142">
        <v>122</v>
      </c>
      <c r="L142">
        <v>115</v>
      </c>
      <c r="M142">
        <v>107</v>
      </c>
      <c r="N142">
        <v>120</v>
      </c>
      <c r="O142">
        <v>143</v>
      </c>
      <c r="P142">
        <v>109</v>
      </c>
      <c r="Q142">
        <v>122</v>
      </c>
      <c r="R142">
        <v>143</v>
      </c>
      <c r="S142">
        <v>1640</v>
      </c>
    </row>
    <row r="143" spans="1:19" x14ac:dyDescent="0.25">
      <c r="A143" t="s">
        <v>474</v>
      </c>
      <c r="B143" t="s">
        <v>1229</v>
      </c>
      <c r="C143" t="s">
        <v>189</v>
      </c>
      <c r="E143">
        <v>3</v>
      </c>
      <c r="F143">
        <v>6</v>
      </c>
      <c r="G143">
        <v>7</v>
      </c>
      <c r="H143">
        <v>5</v>
      </c>
      <c r="I143">
        <v>5</v>
      </c>
      <c r="J143">
        <v>15</v>
      </c>
      <c r="K143">
        <v>6</v>
      </c>
      <c r="L143">
        <v>8</v>
      </c>
      <c r="M143">
        <v>5</v>
      </c>
      <c r="N143">
        <v>6</v>
      </c>
      <c r="S143">
        <v>66</v>
      </c>
    </row>
    <row r="144" spans="1:19" x14ac:dyDescent="0.25">
      <c r="A144" t="s">
        <v>476</v>
      </c>
      <c r="B144" t="s">
        <v>967</v>
      </c>
      <c r="C144" t="s">
        <v>194</v>
      </c>
      <c r="E144">
        <v>81</v>
      </c>
      <c r="F144">
        <v>63</v>
      </c>
      <c r="G144">
        <v>96</v>
      </c>
      <c r="H144">
        <v>99</v>
      </c>
      <c r="I144">
        <v>125</v>
      </c>
      <c r="J144">
        <v>104</v>
      </c>
      <c r="K144">
        <v>147</v>
      </c>
      <c r="L144">
        <v>99</v>
      </c>
      <c r="M144">
        <v>114</v>
      </c>
      <c r="N144">
        <v>96</v>
      </c>
      <c r="O144">
        <v>96</v>
      </c>
      <c r="P144">
        <v>111</v>
      </c>
      <c r="Q144">
        <v>93</v>
      </c>
      <c r="R144">
        <v>109</v>
      </c>
      <c r="S144">
        <v>1433</v>
      </c>
    </row>
    <row r="145" spans="1:19" x14ac:dyDescent="0.25">
      <c r="A145" t="s">
        <v>478</v>
      </c>
      <c r="B145" t="s">
        <v>968</v>
      </c>
      <c r="C145" t="s">
        <v>194</v>
      </c>
      <c r="E145">
        <v>21</v>
      </c>
      <c r="F145">
        <v>18</v>
      </c>
      <c r="G145">
        <v>20</v>
      </c>
      <c r="H145">
        <v>22</v>
      </c>
      <c r="I145">
        <v>21</v>
      </c>
      <c r="J145">
        <v>22</v>
      </c>
      <c r="K145">
        <v>24</v>
      </c>
      <c r="L145">
        <v>19</v>
      </c>
      <c r="M145">
        <v>11</v>
      </c>
      <c r="N145">
        <v>11</v>
      </c>
      <c r="O145">
        <v>23</v>
      </c>
      <c r="P145">
        <v>11</v>
      </c>
      <c r="Q145">
        <v>18</v>
      </c>
      <c r="R145">
        <v>14</v>
      </c>
      <c r="S145">
        <v>255</v>
      </c>
    </row>
    <row r="146" spans="1:19" x14ac:dyDescent="0.25">
      <c r="A146" t="s">
        <v>480</v>
      </c>
      <c r="B146" t="s">
        <v>969</v>
      </c>
      <c r="C146" t="s">
        <v>205</v>
      </c>
      <c r="E146">
        <v>19</v>
      </c>
      <c r="F146">
        <v>20</v>
      </c>
      <c r="G146">
        <v>16</v>
      </c>
      <c r="H146">
        <v>23</v>
      </c>
      <c r="I146">
        <v>21</v>
      </c>
      <c r="J146">
        <v>31</v>
      </c>
      <c r="K146">
        <v>24</v>
      </c>
      <c r="L146">
        <v>18</v>
      </c>
      <c r="M146">
        <v>29</v>
      </c>
      <c r="N146">
        <v>39</v>
      </c>
      <c r="O146">
        <v>40</v>
      </c>
      <c r="P146">
        <v>35</v>
      </c>
      <c r="Q146">
        <v>51</v>
      </c>
      <c r="R146">
        <v>42</v>
      </c>
      <c r="S146">
        <v>408</v>
      </c>
    </row>
    <row r="147" spans="1:19" x14ac:dyDescent="0.25">
      <c r="A147" t="s">
        <v>482</v>
      </c>
      <c r="B147" t="s">
        <v>970</v>
      </c>
      <c r="C147" t="s">
        <v>197</v>
      </c>
      <c r="E147">
        <v>13</v>
      </c>
      <c r="F147">
        <v>17</v>
      </c>
      <c r="G147">
        <v>10</v>
      </c>
      <c r="H147">
        <v>25</v>
      </c>
      <c r="I147">
        <v>9</v>
      </c>
      <c r="J147">
        <v>15</v>
      </c>
      <c r="K147">
        <v>21</v>
      </c>
      <c r="L147">
        <v>18</v>
      </c>
      <c r="M147">
        <v>17</v>
      </c>
      <c r="N147">
        <v>10</v>
      </c>
      <c r="O147">
        <v>19</v>
      </c>
      <c r="P147">
        <v>14</v>
      </c>
      <c r="Q147">
        <v>10</v>
      </c>
      <c r="R147">
        <v>8</v>
      </c>
      <c r="S147">
        <v>206</v>
      </c>
    </row>
    <row r="148" spans="1:19" x14ac:dyDescent="0.25">
      <c r="A148" t="s">
        <v>484</v>
      </c>
      <c r="B148" t="s">
        <v>971</v>
      </c>
      <c r="C148" t="s">
        <v>231</v>
      </c>
      <c r="D148" t="s">
        <v>819</v>
      </c>
      <c r="E148">
        <v>8</v>
      </c>
      <c r="F148">
        <v>4</v>
      </c>
      <c r="G148">
        <v>8</v>
      </c>
      <c r="H148">
        <v>5</v>
      </c>
      <c r="I148">
        <v>4</v>
      </c>
      <c r="J148">
        <v>6</v>
      </c>
      <c r="K148">
        <v>3</v>
      </c>
      <c r="L148">
        <v>6</v>
      </c>
      <c r="M148">
        <v>7</v>
      </c>
      <c r="N148">
        <v>9</v>
      </c>
      <c r="O148">
        <v>7</v>
      </c>
      <c r="P148">
        <v>7</v>
      </c>
      <c r="Q148">
        <v>6</v>
      </c>
      <c r="R148">
        <v>4</v>
      </c>
      <c r="S148">
        <v>84</v>
      </c>
    </row>
    <row r="149" spans="1:19" x14ac:dyDescent="0.25">
      <c r="A149" t="s">
        <v>486</v>
      </c>
      <c r="B149" t="s">
        <v>972</v>
      </c>
      <c r="C149" t="s">
        <v>210</v>
      </c>
      <c r="D149" t="s">
        <v>819</v>
      </c>
      <c r="F149">
        <v>1</v>
      </c>
      <c r="G149">
        <v>2</v>
      </c>
      <c r="J149">
        <v>1</v>
      </c>
      <c r="M149">
        <v>1</v>
      </c>
      <c r="S149">
        <v>5</v>
      </c>
    </row>
    <row r="150" spans="1:19" x14ac:dyDescent="0.25">
      <c r="A150" t="s">
        <v>488</v>
      </c>
      <c r="B150" t="s">
        <v>973</v>
      </c>
      <c r="C150" t="s">
        <v>197</v>
      </c>
      <c r="E150">
        <v>46</v>
      </c>
      <c r="F150">
        <v>38</v>
      </c>
      <c r="G150">
        <v>45</v>
      </c>
      <c r="H150">
        <v>51</v>
      </c>
      <c r="I150">
        <v>66</v>
      </c>
      <c r="J150">
        <v>52</v>
      </c>
      <c r="K150">
        <v>59</v>
      </c>
      <c r="L150">
        <v>53</v>
      </c>
      <c r="M150">
        <v>52</v>
      </c>
      <c r="N150">
        <v>51</v>
      </c>
      <c r="O150">
        <v>65</v>
      </c>
      <c r="P150">
        <v>57</v>
      </c>
      <c r="Q150">
        <v>53</v>
      </c>
      <c r="R150">
        <v>76</v>
      </c>
      <c r="S150">
        <v>764</v>
      </c>
    </row>
    <row r="151" spans="1:19" x14ac:dyDescent="0.25">
      <c r="A151" t="s">
        <v>490</v>
      </c>
      <c r="B151" t="s">
        <v>974</v>
      </c>
      <c r="C151" t="s">
        <v>189</v>
      </c>
      <c r="E151">
        <v>25</v>
      </c>
      <c r="F151">
        <v>15</v>
      </c>
      <c r="G151">
        <v>20</v>
      </c>
      <c r="H151">
        <v>19</v>
      </c>
      <c r="I151">
        <v>18</v>
      </c>
      <c r="J151">
        <v>12</v>
      </c>
      <c r="K151">
        <v>22</v>
      </c>
      <c r="L151">
        <v>10</v>
      </c>
      <c r="M151">
        <v>7</v>
      </c>
      <c r="N151">
        <v>10</v>
      </c>
      <c r="O151">
        <v>9</v>
      </c>
      <c r="P151">
        <v>9</v>
      </c>
      <c r="Q151">
        <v>12</v>
      </c>
      <c r="R151">
        <v>31</v>
      </c>
      <c r="S151">
        <v>219</v>
      </c>
    </row>
    <row r="152" spans="1:19" x14ac:dyDescent="0.25">
      <c r="A152" t="s">
        <v>492</v>
      </c>
      <c r="B152" t="s">
        <v>975</v>
      </c>
      <c r="C152" t="s">
        <v>189</v>
      </c>
      <c r="E152">
        <v>4</v>
      </c>
      <c r="F152">
        <v>3</v>
      </c>
      <c r="G152">
        <v>5</v>
      </c>
      <c r="H152">
        <v>6</v>
      </c>
      <c r="I152">
        <v>1</v>
      </c>
      <c r="J152">
        <v>3</v>
      </c>
      <c r="K152">
        <v>2</v>
      </c>
      <c r="L152">
        <v>4</v>
      </c>
      <c r="M152">
        <v>3</v>
      </c>
      <c r="N152">
        <v>4</v>
      </c>
      <c r="O152">
        <v>4</v>
      </c>
      <c r="P152">
        <v>1</v>
      </c>
      <c r="Q152">
        <v>8</v>
      </c>
      <c r="R152">
        <v>2</v>
      </c>
      <c r="S152">
        <v>50</v>
      </c>
    </row>
    <row r="153" spans="1:19" x14ac:dyDescent="0.25">
      <c r="A153" t="s">
        <v>494</v>
      </c>
      <c r="B153" t="s">
        <v>976</v>
      </c>
      <c r="C153" t="s">
        <v>231</v>
      </c>
      <c r="E153">
        <v>99</v>
      </c>
      <c r="F153">
        <v>97</v>
      </c>
      <c r="G153">
        <v>78</v>
      </c>
      <c r="H153">
        <v>99</v>
      </c>
      <c r="I153">
        <v>74</v>
      </c>
      <c r="J153">
        <v>105</v>
      </c>
      <c r="K153">
        <v>85</v>
      </c>
      <c r="L153">
        <v>90</v>
      </c>
      <c r="M153">
        <v>66</v>
      </c>
      <c r="N153">
        <v>83</v>
      </c>
      <c r="O153">
        <v>72</v>
      </c>
      <c r="P153">
        <v>77</v>
      </c>
      <c r="Q153">
        <v>80</v>
      </c>
      <c r="R153">
        <v>110</v>
      </c>
      <c r="S153">
        <v>1215</v>
      </c>
    </row>
    <row r="154" spans="1:19" x14ac:dyDescent="0.25">
      <c r="A154" t="s">
        <v>496</v>
      </c>
      <c r="B154" t="s">
        <v>977</v>
      </c>
      <c r="C154" t="s">
        <v>189</v>
      </c>
      <c r="E154">
        <v>2</v>
      </c>
      <c r="F154">
        <v>6</v>
      </c>
      <c r="G154">
        <v>9</v>
      </c>
      <c r="H154">
        <v>9</v>
      </c>
      <c r="I154">
        <v>6</v>
      </c>
      <c r="J154">
        <v>5</v>
      </c>
      <c r="K154">
        <v>7</v>
      </c>
      <c r="L154">
        <v>7</v>
      </c>
      <c r="M154">
        <v>6</v>
      </c>
      <c r="N154">
        <v>9</v>
      </c>
      <c r="O154">
        <v>8</v>
      </c>
      <c r="P154">
        <v>7</v>
      </c>
      <c r="Q154">
        <v>6</v>
      </c>
      <c r="R154">
        <v>7</v>
      </c>
      <c r="S154">
        <v>94</v>
      </c>
    </row>
    <row r="155" spans="1:19" x14ac:dyDescent="0.25">
      <c r="A155" t="s">
        <v>498</v>
      </c>
      <c r="B155" t="s">
        <v>978</v>
      </c>
      <c r="C155" t="s">
        <v>221</v>
      </c>
      <c r="E155">
        <v>6</v>
      </c>
      <c r="F155">
        <v>5</v>
      </c>
      <c r="G155">
        <v>9</v>
      </c>
      <c r="H155">
        <v>7</v>
      </c>
      <c r="I155">
        <v>8</v>
      </c>
      <c r="J155">
        <v>11</v>
      </c>
      <c r="K155">
        <v>9</v>
      </c>
      <c r="L155">
        <v>12</v>
      </c>
      <c r="M155">
        <v>16</v>
      </c>
      <c r="N155">
        <v>9</v>
      </c>
      <c r="O155">
        <v>9</v>
      </c>
      <c r="P155">
        <v>7</v>
      </c>
      <c r="Q155">
        <v>9</v>
      </c>
      <c r="R155">
        <v>11</v>
      </c>
      <c r="S155">
        <v>128</v>
      </c>
    </row>
    <row r="156" spans="1:19" x14ac:dyDescent="0.25">
      <c r="A156" t="s">
        <v>500</v>
      </c>
      <c r="B156" t="s">
        <v>979</v>
      </c>
      <c r="C156" t="s">
        <v>197</v>
      </c>
      <c r="E156">
        <v>23</v>
      </c>
      <c r="F156">
        <v>13</v>
      </c>
      <c r="G156">
        <v>31</v>
      </c>
      <c r="H156">
        <v>17</v>
      </c>
      <c r="I156">
        <v>24</v>
      </c>
      <c r="J156">
        <v>23</v>
      </c>
      <c r="K156">
        <v>32</v>
      </c>
      <c r="L156">
        <v>19</v>
      </c>
      <c r="M156">
        <v>17</v>
      </c>
      <c r="N156">
        <v>24</v>
      </c>
      <c r="O156">
        <v>22</v>
      </c>
      <c r="P156">
        <v>18</v>
      </c>
      <c r="Q156">
        <v>24</v>
      </c>
      <c r="R156">
        <v>22</v>
      </c>
      <c r="S156">
        <v>309</v>
      </c>
    </row>
    <row r="157" spans="1:19" x14ac:dyDescent="0.25">
      <c r="A157" t="s">
        <v>502</v>
      </c>
      <c r="B157" t="s">
        <v>980</v>
      </c>
      <c r="C157" t="s">
        <v>210</v>
      </c>
      <c r="D157" t="s">
        <v>819</v>
      </c>
      <c r="F157">
        <v>0</v>
      </c>
      <c r="I157">
        <v>2</v>
      </c>
      <c r="J157">
        <v>1</v>
      </c>
      <c r="L157">
        <v>2</v>
      </c>
      <c r="S157">
        <v>5</v>
      </c>
    </row>
    <row r="158" spans="1:19" x14ac:dyDescent="0.25">
      <c r="A158" t="s">
        <v>504</v>
      </c>
      <c r="B158" t="s">
        <v>981</v>
      </c>
      <c r="C158" t="s">
        <v>197</v>
      </c>
      <c r="E158">
        <v>79</v>
      </c>
      <c r="F158">
        <v>64</v>
      </c>
      <c r="G158">
        <v>76</v>
      </c>
      <c r="H158">
        <v>67</v>
      </c>
      <c r="I158">
        <v>62</v>
      </c>
      <c r="J158">
        <v>80</v>
      </c>
      <c r="K158">
        <v>72</v>
      </c>
      <c r="L158">
        <v>59</v>
      </c>
      <c r="M158">
        <v>65</v>
      </c>
      <c r="N158">
        <v>57</v>
      </c>
      <c r="O158">
        <v>61</v>
      </c>
      <c r="P158">
        <v>69</v>
      </c>
      <c r="Q158">
        <v>49</v>
      </c>
      <c r="R158">
        <v>79</v>
      </c>
      <c r="S158">
        <v>939</v>
      </c>
    </row>
    <row r="159" spans="1:19" x14ac:dyDescent="0.25">
      <c r="A159" t="s">
        <v>506</v>
      </c>
      <c r="B159" t="s">
        <v>982</v>
      </c>
      <c r="C159" t="s">
        <v>197</v>
      </c>
      <c r="E159">
        <v>150</v>
      </c>
      <c r="F159">
        <v>112</v>
      </c>
      <c r="G159">
        <v>113</v>
      </c>
      <c r="H159">
        <v>137</v>
      </c>
      <c r="I159">
        <v>135</v>
      </c>
      <c r="J159">
        <v>154</v>
      </c>
      <c r="K159">
        <v>152</v>
      </c>
      <c r="L159">
        <v>180</v>
      </c>
      <c r="M159">
        <v>183</v>
      </c>
      <c r="N159">
        <v>185</v>
      </c>
      <c r="O159">
        <v>161</v>
      </c>
      <c r="P159">
        <v>140</v>
      </c>
      <c r="Q159">
        <v>154</v>
      </c>
      <c r="R159">
        <v>183</v>
      </c>
      <c r="S159">
        <v>2139</v>
      </c>
    </row>
    <row r="160" spans="1:19" x14ac:dyDescent="0.25">
      <c r="A160" t="s">
        <v>508</v>
      </c>
      <c r="B160" t="s">
        <v>983</v>
      </c>
      <c r="C160" t="s">
        <v>221</v>
      </c>
      <c r="E160">
        <v>11</v>
      </c>
      <c r="F160">
        <v>11</v>
      </c>
      <c r="G160">
        <v>14</v>
      </c>
      <c r="H160">
        <v>16</v>
      </c>
      <c r="I160">
        <v>13</v>
      </c>
      <c r="J160">
        <v>8</v>
      </c>
      <c r="K160">
        <v>19</v>
      </c>
      <c r="L160">
        <v>12</v>
      </c>
      <c r="M160">
        <v>12</v>
      </c>
      <c r="N160">
        <v>10</v>
      </c>
      <c r="O160">
        <v>12</v>
      </c>
      <c r="P160">
        <v>12</v>
      </c>
      <c r="Q160">
        <v>6</v>
      </c>
      <c r="R160">
        <v>12</v>
      </c>
      <c r="S160">
        <v>168</v>
      </c>
    </row>
    <row r="161" spans="1:20" x14ac:dyDescent="0.25">
      <c r="A161" t="s">
        <v>510</v>
      </c>
      <c r="B161" t="s">
        <v>984</v>
      </c>
      <c r="C161" t="s">
        <v>189</v>
      </c>
      <c r="E161">
        <v>8</v>
      </c>
      <c r="F161">
        <v>4</v>
      </c>
      <c r="G161">
        <v>8</v>
      </c>
      <c r="H161">
        <v>6</v>
      </c>
      <c r="I161">
        <v>5</v>
      </c>
      <c r="J161">
        <v>4</v>
      </c>
      <c r="K161">
        <v>6</v>
      </c>
      <c r="L161">
        <v>3</v>
      </c>
      <c r="M161">
        <v>6</v>
      </c>
      <c r="N161">
        <v>9</v>
      </c>
      <c r="O161">
        <v>10</v>
      </c>
      <c r="P161">
        <v>3</v>
      </c>
      <c r="Q161">
        <v>4</v>
      </c>
      <c r="R161">
        <v>2</v>
      </c>
      <c r="S161">
        <v>78</v>
      </c>
    </row>
    <row r="162" spans="1:20" x14ac:dyDescent="0.25">
      <c r="A162" t="s">
        <v>512</v>
      </c>
      <c r="B162" t="s">
        <v>985</v>
      </c>
      <c r="C162" t="s">
        <v>210</v>
      </c>
      <c r="D162" t="s">
        <v>819</v>
      </c>
      <c r="E162">
        <v>1</v>
      </c>
      <c r="F162">
        <v>2</v>
      </c>
      <c r="G162">
        <v>4</v>
      </c>
      <c r="H162">
        <v>2</v>
      </c>
      <c r="I162">
        <v>6</v>
      </c>
      <c r="J162">
        <v>2</v>
      </c>
      <c r="K162">
        <v>5</v>
      </c>
      <c r="L162">
        <v>5</v>
      </c>
      <c r="M162">
        <v>1</v>
      </c>
      <c r="N162">
        <v>2</v>
      </c>
      <c r="O162">
        <v>2</v>
      </c>
      <c r="P162">
        <v>5</v>
      </c>
      <c r="Q162">
        <v>5</v>
      </c>
      <c r="R162">
        <v>2</v>
      </c>
      <c r="S162">
        <v>44</v>
      </c>
    </row>
    <row r="163" spans="1:20" s="374" customFormat="1" hidden="1" x14ac:dyDescent="0.25">
      <c r="A163" s="374" t="s">
        <v>1276</v>
      </c>
      <c r="B163" s="374" t="s">
        <v>1277</v>
      </c>
      <c r="C163" s="374" t="s">
        <v>210</v>
      </c>
      <c r="D163" s="374" t="s">
        <v>819</v>
      </c>
      <c r="F163" s="374">
        <v>0</v>
      </c>
      <c r="Q163" s="374">
        <v>2</v>
      </c>
      <c r="R163" s="374">
        <v>12</v>
      </c>
      <c r="S163" s="374">
        <v>14</v>
      </c>
      <c r="T163" s="374" t="s">
        <v>1256</v>
      </c>
    </row>
    <row r="164" spans="1:20" x14ac:dyDescent="0.25">
      <c r="A164" t="s">
        <v>514</v>
      </c>
      <c r="B164" t="s">
        <v>986</v>
      </c>
      <c r="C164" t="s">
        <v>231</v>
      </c>
      <c r="E164">
        <v>1</v>
      </c>
      <c r="F164">
        <v>3</v>
      </c>
      <c r="G164">
        <v>2</v>
      </c>
      <c r="H164">
        <v>2</v>
      </c>
      <c r="I164">
        <v>1</v>
      </c>
      <c r="J164">
        <v>3</v>
      </c>
      <c r="K164">
        <v>4</v>
      </c>
      <c r="L164">
        <v>2</v>
      </c>
      <c r="M164">
        <v>4</v>
      </c>
      <c r="N164">
        <v>6</v>
      </c>
      <c r="S164">
        <v>28</v>
      </c>
    </row>
    <row r="165" spans="1:20" x14ac:dyDescent="0.25">
      <c r="A165" t="s">
        <v>516</v>
      </c>
      <c r="B165" t="s">
        <v>987</v>
      </c>
      <c r="C165" t="s">
        <v>194</v>
      </c>
      <c r="E165">
        <v>6</v>
      </c>
      <c r="F165">
        <v>9</v>
      </c>
      <c r="G165">
        <v>12</v>
      </c>
      <c r="H165">
        <v>10</v>
      </c>
      <c r="I165">
        <v>15</v>
      </c>
      <c r="J165">
        <v>10</v>
      </c>
      <c r="K165">
        <v>13</v>
      </c>
      <c r="L165">
        <v>18</v>
      </c>
      <c r="M165">
        <v>8</v>
      </c>
      <c r="N165">
        <v>12</v>
      </c>
      <c r="O165">
        <v>16</v>
      </c>
      <c r="P165">
        <v>12</v>
      </c>
      <c r="Q165">
        <v>16</v>
      </c>
      <c r="R165">
        <v>17</v>
      </c>
      <c r="S165">
        <v>174</v>
      </c>
    </row>
    <row r="166" spans="1:20" x14ac:dyDescent="0.25">
      <c r="A166" t="s">
        <v>518</v>
      </c>
      <c r="B166" t="s">
        <v>988</v>
      </c>
      <c r="C166" t="s">
        <v>194</v>
      </c>
      <c r="E166">
        <v>7</v>
      </c>
      <c r="F166">
        <v>11</v>
      </c>
      <c r="G166">
        <v>7</v>
      </c>
      <c r="H166">
        <v>13</v>
      </c>
      <c r="I166">
        <v>16</v>
      </c>
      <c r="J166">
        <v>16</v>
      </c>
      <c r="K166">
        <v>21</v>
      </c>
      <c r="L166">
        <v>8</v>
      </c>
      <c r="M166">
        <v>17</v>
      </c>
      <c r="N166">
        <v>14</v>
      </c>
      <c r="O166">
        <v>17</v>
      </c>
      <c r="P166">
        <v>12</v>
      </c>
      <c r="Q166">
        <v>14</v>
      </c>
      <c r="R166">
        <v>21</v>
      </c>
      <c r="S166">
        <v>194</v>
      </c>
    </row>
    <row r="167" spans="1:20" x14ac:dyDescent="0.25">
      <c r="A167" t="s">
        <v>520</v>
      </c>
      <c r="B167" t="s">
        <v>989</v>
      </c>
      <c r="C167" t="s">
        <v>197</v>
      </c>
      <c r="E167">
        <v>27</v>
      </c>
      <c r="F167">
        <v>16</v>
      </c>
      <c r="G167">
        <v>19</v>
      </c>
      <c r="H167">
        <v>29</v>
      </c>
      <c r="I167">
        <v>18</v>
      </c>
      <c r="J167">
        <v>38</v>
      </c>
      <c r="K167">
        <v>30</v>
      </c>
      <c r="L167">
        <v>31</v>
      </c>
      <c r="M167">
        <v>17</v>
      </c>
      <c r="N167">
        <v>20</v>
      </c>
      <c r="O167">
        <v>15</v>
      </c>
      <c r="P167">
        <v>22</v>
      </c>
      <c r="Q167">
        <v>15</v>
      </c>
      <c r="R167">
        <v>14</v>
      </c>
      <c r="S167">
        <v>311</v>
      </c>
    </row>
    <row r="168" spans="1:20" x14ac:dyDescent="0.25">
      <c r="A168" t="s">
        <v>522</v>
      </c>
      <c r="B168" t="s">
        <v>990</v>
      </c>
      <c r="C168" t="s">
        <v>189</v>
      </c>
      <c r="E168">
        <v>2</v>
      </c>
      <c r="F168">
        <v>4</v>
      </c>
      <c r="G168">
        <v>10</v>
      </c>
      <c r="H168">
        <v>8</v>
      </c>
      <c r="I168">
        <v>12</v>
      </c>
      <c r="J168">
        <v>8</v>
      </c>
      <c r="K168">
        <v>9</v>
      </c>
      <c r="L168">
        <v>17</v>
      </c>
      <c r="M168">
        <v>8</v>
      </c>
      <c r="N168">
        <v>5</v>
      </c>
      <c r="O168">
        <v>15</v>
      </c>
      <c r="P168">
        <v>6</v>
      </c>
      <c r="Q168">
        <v>11</v>
      </c>
      <c r="R168">
        <v>13</v>
      </c>
      <c r="S168">
        <v>128</v>
      </c>
    </row>
    <row r="169" spans="1:20" x14ac:dyDescent="0.25">
      <c r="A169" t="s">
        <v>524</v>
      </c>
      <c r="B169" t="s">
        <v>991</v>
      </c>
      <c r="C169" t="s">
        <v>202</v>
      </c>
      <c r="E169">
        <v>27</v>
      </c>
      <c r="F169">
        <v>15</v>
      </c>
      <c r="G169">
        <v>16</v>
      </c>
      <c r="H169">
        <v>32</v>
      </c>
      <c r="I169">
        <v>27</v>
      </c>
      <c r="J169">
        <v>25</v>
      </c>
      <c r="K169">
        <v>18</v>
      </c>
      <c r="L169">
        <v>20</v>
      </c>
      <c r="M169">
        <v>29</v>
      </c>
      <c r="N169">
        <v>19</v>
      </c>
      <c r="O169">
        <v>29</v>
      </c>
      <c r="P169">
        <v>23</v>
      </c>
      <c r="Q169">
        <v>21</v>
      </c>
      <c r="R169">
        <v>18</v>
      </c>
      <c r="S169">
        <v>319</v>
      </c>
    </row>
    <row r="170" spans="1:20" x14ac:dyDescent="0.25">
      <c r="A170" t="s">
        <v>526</v>
      </c>
      <c r="B170" t="s">
        <v>992</v>
      </c>
      <c r="C170" t="s">
        <v>228</v>
      </c>
      <c r="E170">
        <v>59</v>
      </c>
      <c r="F170">
        <v>35</v>
      </c>
      <c r="G170">
        <v>52</v>
      </c>
      <c r="H170">
        <v>58</v>
      </c>
      <c r="I170">
        <v>64</v>
      </c>
      <c r="J170">
        <v>73</v>
      </c>
      <c r="K170">
        <v>54</v>
      </c>
      <c r="L170">
        <v>53</v>
      </c>
      <c r="M170">
        <v>50</v>
      </c>
      <c r="N170">
        <v>53</v>
      </c>
      <c r="O170">
        <v>51</v>
      </c>
      <c r="P170">
        <v>57</v>
      </c>
      <c r="Q170">
        <v>47</v>
      </c>
      <c r="R170">
        <v>61</v>
      </c>
      <c r="S170">
        <v>767</v>
      </c>
    </row>
    <row r="171" spans="1:20" x14ac:dyDescent="0.25">
      <c r="A171" t="s">
        <v>528</v>
      </c>
      <c r="B171" t="s">
        <v>993</v>
      </c>
      <c r="C171" t="s">
        <v>228</v>
      </c>
      <c r="E171">
        <v>30</v>
      </c>
      <c r="F171">
        <v>18</v>
      </c>
      <c r="G171">
        <v>20</v>
      </c>
      <c r="H171">
        <v>26</v>
      </c>
      <c r="I171">
        <v>28</v>
      </c>
      <c r="J171">
        <v>27</v>
      </c>
      <c r="K171">
        <v>28</v>
      </c>
      <c r="L171">
        <v>20</v>
      </c>
      <c r="M171">
        <v>26</v>
      </c>
      <c r="N171">
        <v>28</v>
      </c>
      <c r="O171">
        <v>31</v>
      </c>
      <c r="P171">
        <v>26</v>
      </c>
      <c r="Q171">
        <v>31</v>
      </c>
      <c r="R171">
        <v>28</v>
      </c>
      <c r="S171">
        <v>367</v>
      </c>
    </row>
    <row r="172" spans="1:20" x14ac:dyDescent="0.25">
      <c r="A172" t="s">
        <v>530</v>
      </c>
      <c r="B172" t="s">
        <v>994</v>
      </c>
      <c r="C172" t="s">
        <v>189</v>
      </c>
      <c r="F172">
        <v>1</v>
      </c>
      <c r="G172">
        <v>1</v>
      </c>
      <c r="H172">
        <v>3</v>
      </c>
      <c r="I172">
        <v>1</v>
      </c>
      <c r="L172">
        <v>1</v>
      </c>
      <c r="N172">
        <v>1</v>
      </c>
      <c r="S172">
        <v>8</v>
      </c>
    </row>
    <row r="173" spans="1:20" x14ac:dyDescent="0.25">
      <c r="A173" t="s">
        <v>532</v>
      </c>
      <c r="B173" t="s">
        <v>995</v>
      </c>
      <c r="C173" t="s">
        <v>189</v>
      </c>
      <c r="E173">
        <v>193</v>
      </c>
      <c r="F173">
        <v>131</v>
      </c>
      <c r="G173">
        <v>140</v>
      </c>
      <c r="H173">
        <v>167</v>
      </c>
      <c r="I173">
        <v>181</v>
      </c>
      <c r="J173">
        <v>205</v>
      </c>
      <c r="K173">
        <v>174</v>
      </c>
      <c r="L173">
        <v>186</v>
      </c>
      <c r="M173">
        <v>178</v>
      </c>
      <c r="N173">
        <v>169</v>
      </c>
      <c r="O173">
        <v>172</v>
      </c>
      <c r="P173">
        <v>143</v>
      </c>
      <c r="Q173">
        <v>111</v>
      </c>
      <c r="R173">
        <v>141</v>
      </c>
      <c r="S173">
        <v>2291</v>
      </c>
    </row>
    <row r="174" spans="1:20" x14ac:dyDescent="0.25">
      <c r="A174" t="s">
        <v>534</v>
      </c>
      <c r="B174" t="s">
        <v>996</v>
      </c>
      <c r="C174" t="s">
        <v>194</v>
      </c>
      <c r="F174">
        <v>0</v>
      </c>
      <c r="G174">
        <v>2</v>
      </c>
      <c r="H174">
        <v>4</v>
      </c>
      <c r="I174">
        <v>3</v>
      </c>
      <c r="J174">
        <v>1</v>
      </c>
      <c r="L174">
        <v>4</v>
      </c>
      <c r="M174">
        <v>2</v>
      </c>
      <c r="N174">
        <v>4</v>
      </c>
      <c r="O174">
        <v>1</v>
      </c>
      <c r="Q174">
        <v>1</v>
      </c>
      <c r="R174">
        <v>2</v>
      </c>
      <c r="S174">
        <v>24</v>
      </c>
    </row>
    <row r="175" spans="1:20" x14ac:dyDescent="0.25">
      <c r="A175" t="s">
        <v>536</v>
      </c>
      <c r="B175" t="s">
        <v>997</v>
      </c>
      <c r="C175" t="s">
        <v>205</v>
      </c>
      <c r="E175">
        <v>175</v>
      </c>
      <c r="F175">
        <v>124</v>
      </c>
      <c r="G175">
        <v>156</v>
      </c>
      <c r="H175">
        <v>178</v>
      </c>
      <c r="I175">
        <v>228</v>
      </c>
      <c r="J175">
        <v>213</v>
      </c>
      <c r="K175">
        <v>254</v>
      </c>
      <c r="L175">
        <v>236</v>
      </c>
      <c r="M175">
        <v>214</v>
      </c>
      <c r="N175">
        <v>249</v>
      </c>
      <c r="O175">
        <v>190</v>
      </c>
      <c r="P175">
        <v>196</v>
      </c>
      <c r="Q175">
        <v>161</v>
      </c>
      <c r="R175">
        <v>210</v>
      </c>
      <c r="S175">
        <v>2784</v>
      </c>
    </row>
    <row r="176" spans="1:20" x14ac:dyDescent="0.25">
      <c r="A176" t="s">
        <v>538</v>
      </c>
      <c r="B176" t="s">
        <v>998</v>
      </c>
      <c r="C176" t="s">
        <v>197</v>
      </c>
      <c r="E176">
        <v>122</v>
      </c>
      <c r="F176">
        <v>64</v>
      </c>
      <c r="G176">
        <v>77</v>
      </c>
      <c r="H176">
        <v>73</v>
      </c>
      <c r="I176">
        <v>84</v>
      </c>
      <c r="J176">
        <v>86</v>
      </c>
      <c r="K176">
        <v>83</v>
      </c>
      <c r="L176">
        <v>55</v>
      </c>
      <c r="M176">
        <v>61</v>
      </c>
      <c r="N176">
        <v>68</v>
      </c>
      <c r="O176">
        <v>57</v>
      </c>
      <c r="P176">
        <v>48</v>
      </c>
      <c r="Q176">
        <v>50</v>
      </c>
      <c r="R176">
        <v>82</v>
      </c>
      <c r="S176">
        <v>1010</v>
      </c>
    </row>
    <row r="177" spans="1:20" x14ac:dyDescent="0.25">
      <c r="A177" t="s">
        <v>540</v>
      </c>
      <c r="B177" t="s">
        <v>999</v>
      </c>
      <c r="C177" t="s">
        <v>194</v>
      </c>
      <c r="F177">
        <v>1</v>
      </c>
      <c r="G177">
        <v>3</v>
      </c>
      <c r="I177">
        <v>1</v>
      </c>
      <c r="J177">
        <v>3</v>
      </c>
      <c r="K177">
        <v>1</v>
      </c>
      <c r="M177">
        <v>4</v>
      </c>
      <c r="N177">
        <v>2</v>
      </c>
      <c r="O177">
        <v>1</v>
      </c>
      <c r="P177">
        <v>1</v>
      </c>
      <c r="R177">
        <v>2</v>
      </c>
      <c r="S177">
        <v>19</v>
      </c>
    </row>
    <row r="178" spans="1:20" x14ac:dyDescent="0.25">
      <c r="A178" t="s">
        <v>542</v>
      </c>
      <c r="B178" t="s">
        <v>1000</v>
      </c>
      <c r="C178" t="s">
        <v>189</v>
      </c>
      <c r="E178">
        <v>4</v>
      </c>
      <c r="F178">
        <v>8</v>
      </c>
      <c r="G178">
        <v>4</v>
      </c>
      <c r="H178">
        <v>6</v>
      </c>
      <c r="I178">
        <v>2</v>
      </c>
      <c r="J178">
        <v>4</v>
      </c>
      <c r="K178">
        <v>3</v>
      </c>
      <c r="L178">
        <v>6</v>
      </c>
      <c r="M178">
        <v>2</v>
      </c>
      <c r="N178">
        <v>1</v>
      </c>
      <c r="O178">
        <v>5</v>
      </c>
      <c r="P178">
        <v>6</v>
      </c>
      <c r="Q178">
        <v>8</v>
      </c>
      <c r="R178">
        <v>4</v>
      </c>
      <c r="S178">
        <v>63</v>
      </c>
    </row>
    <row r="179" spans="1:20" x14ac:dyDescent="0.25">
      <c r="A179" t="s">
        <v>544</v>
      </c>
      <c r="B179" t="s">
        <v>1001</v>
      </c>
      <c r="C179" t="s">
        <v>210</v>
      </c>
      <c r="D179" t="s">
        <v>819</v>
      </c>
      <c r="E179">
        <v>8</v>
      </c>
      <c r="F179">
        <v>13</v>
      </c>
      <c r="G179">
        <v>31</v>
      </c>
      <c r="H179">
        <v>21</v>
      </c>
      <c r="I179">
        <v>12</v>
      </c>
      <c r="J179">
        <v>18</v>
      </c>
      <c r="K179">
        <v>14</v>
      </c>
      <c r="L179">
        <v>16</v>
      </c>
      <c r="M179">
        <v>17</v>
      </c>
      <c r="N179">
        <v>15</v>
      </c>
      <c r="O179">
        <v>17</v>
      </c>
      <c r="P179">
        <v>17</v>
      </c>
      <c r="Q179">
        <v>18</v>
      </c>
      <c r="R179">
        <v>20</v>
      </c>
      <c r="S179">
        <v>237</v>
      </c>
    </row>
    <row r="180" spans="1:20" x14ac:dyDescent="0.25">
      <c r="A180" t="s">
        <v>546</v>
      </c>
      <c r="B180" t="s">
        <v>1002</v>
      </c>
      <c r="C180" t="s">
        <v>189</v>
      </c>
      <c r="E180">
        <v>4</v>
      </c>
      <c r="F180">
        <v>8</v>
      </c>
      <c r="G180">
        <v>5</v>
      </c>
      <c r="H180">
        <v>8</v>
      </c>
      <c r="I180">
        <v>5</v>
      </c>
      <c r="J180">
        <v>5</v>
      </c>
      <c r="K180">
        <v>7</v>
      </c>
      <c r="L180">
        <v>1</v>
      </c>
      <c r="M180">
        <v>4</v>
      </c>
      <c r="N180">
        <v>2</v>
      </c>
      <c r="O180">
        <v>4</v>
      </c>
      <c r="P180">
        <v>6</v>
      </c>
      <c r="Q180">
        <v>7</v>
      </c>
      <c r="R180">
        <v>7</v>
      </c>
      <c r="S180">
        <v>73</v>
      </c>
    </row>
    <row r="181" spans="1:20" x14ac:dyDescent="0.25">
      <c r="A181" t="s">
        <v>548</v>
      </c>
      <c r="B181" t="s">
        <v>1003</v>
      </c>
      <c r="C181" t="s">
        <v>194</v>
      </c>
      <c r="E181">
        <v>4</v>
      </c>
      <c r="F181">
        <v>4</v>
      </c>
      <c r="H181">
        <v>1</v>
      </c>
      <c r="I181">
        <v>2</v>
      </c>
      <c r="J181">
        <v>3</v>
      </c>
      <c r="K181">
        <v>3</v>
      </c>
      <c r="L181">
        <v>2</v>
      </c>
      <c r="M181">
        <v>1</v>
      </c>
      <c r="N181">
        <v>1</v>
      </c>
      <c r="P181">
        <v>2</v>
      </c>
      <c r="Q181">
        <v>2</v>
      </c>
      <c r="R181">
        <v>1</v>
      </c>
      <c r="S181">
        <v>26</v>
      </c>
    </row>
    <row r="182" spans="1:20" x14ac:dyDescent="0.25">
      <c r="A182" t="s">
        <v>550</v>
      </c>
      <c r="B182" t="s">
        <v>1004</v>
      </c>
      <c r="C182" t="s">
        <v>231</v>
      </c>
      <c r="E182">
        <v>9</v>
      </c>
      <c r="F182">
        <v>7</v>
      </c>
      <c r="G182">
        <v>6</v>
      </c>
      <c r="H182">
        <v>6</v>
      </c>
      <c r="I182">
        <v>12</v>
      </c>
      <c r="J182">
        <v>20</v>
      </c>
      <c r="K182">
        <v>13</v>
      </c>
      <c r="L182">
        <v>13</v>
      </c>
      <c r="M182">
        <v>11</v>
      </c>
      <c r="N182">
        <v>14</v>
      </c>
      <c r="O182">
        <v>14</v>
      </c>
      <c r="P182">
        <v>10</v>
      </c>
      <c r="Q182">
        <v>13</v>
      </c>
      <c r="R182">
        <v>17</v>
      </c>
      <c r="S182">
        <v>165</v>
      </c>
    </row>
    <row r="183" spans="1:20" x14ac:dyDescent="0.25">
      <c r="A183" t="s">
        <v>552</v>
      </c>
      <c r="B183" t="s">
        <v>1005</v>
      </c>
      <c r="C183" t="s">
        <v>189</v>
      </c>
      <c r="E183">
        <v>84</v>
      </c>
      <c r="F183">
        <v>65</v>
      </c>
      <c r="G183">
        <v>96</v>
      </c>
      <c r="H183">
        <v>119</v>
      </c>
      <c r="I183">
        <v>143</v>
      </c>
      <c r="J183">
        <v>134</v>
      </c>
      <c r="K183">
        <v>141</v>
      </c>
      <c r="L183">
        <v>128</v>
      </c>
      <c r="M183">
        <v>132</v>
      </c>
      <c r="N183">
        <v>113</v>
      </c>
      <c r="O183">
        <v>108</v>
      </c>
      <c r="P183">
        <v>87</v>
      </c>
      <c r="Q183">
        <v>106</v>
      </c>
      <c r="R183">
        <v>119</v>
      </c>
      <c r="S183">
        <v>1575</v>
      </c>
    </row>
    <row r="184" spans="1:20" s="374" customFormat="1" hidden="1" x14ac:dyDescent="0.25">
      <c r="A184" s="374" t="s">
        <v>1278</v>
      </c>
      <c r="B184" s="374" t="s">
        <v>1279</v>
      </c>
      <c r="C184" s="374" t="s">
        <v>228</v>
      </c>
      <c r="F184" s="374">
        <v>0</v>
      </c>
      <c r="P184" s="374">
        <v>1</v>
      </c>
      <c r="Q184" s="374">
        <v>1</v>
      </c>
      <c r="R184" s="374">
        <v>2</v>
      </c>
      <c r="S184" s="374">
        <v>4</v>
      </c>
      <c r="T184" s="374" t="s">
        <v>1256</v>
      </c>
    </row>
    <row r="185" spans="1:20" x14ac:dyDescent="0.25">
      <c r="A185" t="s">
        <v>554</v>
      </c>
      <c r="B185" t="s">
        <v>1006</v>
      </c>
      <c r="C185" t="s">
        <v>231</v>
      </c>
      <c r="E185">
        <v>27</v>
      </c>
      <c r="F185">
        <v>33</v>
      </c>
      <c r="G185">
        <v>42</v>
      </c>
      <c r="H185">
        <v>60</v>
      </c>
      <c r="I185">
        <v>70</v>
      </c>
      <c r="J185">
        <v>70</v>
      </c>
      <c r="K185">
        <v>58</v>
      </c>
      <c r="L185">
        <v>92</v>
      </c>
      <c r="M185">
        <v>93</v>
      </c>
      <c r="N185">
        <v>100</v>
      </c>
      <c r="O185">
        <v>79</v>
      </c>
      <c r="P185">
        <v>75</v>
      </c>
      <c r="Q185">
        <v>62</v>
      </c>
      <c r="R185">
        <v>67</v>
      </c>
      <c r="S185">
        <v>928</v>
      </c>
    </row>
    <row r="186" spans="1:20" x14ac:dyDescent="0.25">
      <c r="A186" t="s">
        <v>556</v>
      </c>
      <c r="B186" t="s">
        <v>1007</v>
      </c>
      <c r="C186" t="s">
        <v>189</v>
      </c>
      <c r="E186">
        <v>7</v>
      </c>
      <c r="F186">
        <v>7</v>
      </c>
      <c r="G186">
        <v>5</v>
      </c>
      <c r="H186">
        <v>8</v>
      </c>
      <c r="I186">
        <v>9</v>
      </c>
      <c r="J186">
        <v>11</v>
      </c>
      <c r="K186">
        <v>17</v>
      </c>
      <c r="L186">
        <v>11</v>
      </c>
      <c r="M186">
        <v>8</v>
      </c>
      <c r="N186">
        <v>8</v>
      </c>
      <c r="O186">
        <v>21</v>
      </c>
      <c r="P186">
        <v>14</v>
      </c>
      <c r="Q186">
        <v>10</v>
      </c>
      <c r="R186">
        <v>10</v>
      </c>
      <c r="S186">
        <v>146</v>
      </c>
    </row>
    <row r="187" spans="1:20" x14ac:dyDescent="0.25">
      <c r="A187" t="s">
        <v>558</v>
      </c>
      <c r="B187" t="s">
        <v>1008</v>
      </c>
      <c r="C187" t="s">
        <v>194</v>
      </c>
      <c r="F187">
        <v>1</v>
      </c>
      <c r="G187">
        <v>1</v>
      </c>
      <c r="H187">
        <v>1</v>
      </c>
      <c r="I187">
        <v>1</v>
      </c>
      <c r="L187">
        <v>1</v>
      </c>
      <c r="M187">
        <v>2</v>
      </c>
      <c r="S187">
        <v>7</v>
      </c>
    </row>
    <row r="188" spans="1:20" x14ac:dyDescent="0.25">
      <c r="A188" t="s">
        <v>560</v>
      </c>
      <c r="B188" t="s">
        <v>1009</v>
      </c>
      <c r="C188" t="s">
        <v>197</v>
      </c>
      <c r="E188">
        <v>7</v>
      </c>
      <c r="F188">
        <v>3</v>
      </c>
      <c r="H188">
        <v>7</v>
      </c>
      <c r="I188">
        <v>5</v>
      </c>
      <c r="J188">
        <v>6</v>
      </c>
      <c r="K188">
        <v>7</v>
      </c>
      <c r="L188">
        <v>8</v>
      </c>
      <c r="M188">
        <v>7</v>
      </c>
      <c r="N188">
        <v>6</v>
      </c>
      <c r="O188">
        <v>4</v>
      </c>
      <c r="P188">
        <v>4</v>
      </c>
      <c r="Q188">
        <v>9</v>
      </c>
      <c r="R188">
        <v>11</v>
      </c>
      <c r="S188">
        <v>84</v>
      </c>
    </row>
    <row r="189" spans="1:20" x14ac:dyDescent="0.25">
      <c r="A189" t="s">
        <v>562</v>
      </c>
      <c r="B189" t="s">
        <v>1010</v>
      </c>
      <c r="C189" t="s">
        <v>194</v>
      </c>
      <c r="F189">
        <v>1</v>
      </c>
      <c r="H189">
        <v>2</v>
      </c>
      <c r="J189">
        <v>1</v>
      </c>
      <c r="M189">
        <v>1</v>
      </c>
      <c r="S189">
        <v>5</v>
      </c>
    </row>
    <row r="190" spans="1:20" x14ac:dyDescent="0.25">
      <c r="A190" t="s">
        <v>564</v>
      </c>
      <c r="B190" t="s">
        <v>1011</v>
      </c>
      <c r="C190" t="s">
        <v>194</v>
      </c>
      <c r="F190">
        <v>0</v>
      </c>
      <c r="H190">
        <v>1</v>
      </c>
      <c r="K190">
        <v>1</v>
      </c>
      <c r="L190">
        <v>2</v>
      </c>
      <c r="N190">
        <v>2</v>
      </c>
      <c r="S190">
        <v>6</v>
      </c>
    </row>
    <row r="191" spans="1:20" x14ac:dyDescent="0.25">
      <c r="A191" t="s">
        <v>566</v>
      </c>
      <c r="B191" t="s">
        <v>1012</v>
      </c>
      <c r="C191" t="s">
        <v>231</v>
      </c>
      <c r="D191" t="s">
        <v>819</v>
      </c>
      <c r="E191">
        <v>2</v>
      </c>
      <c r="F191">
        <v>2</v>
      </c>
      <c r="G191">
        <v>1</v>
      </c>
      <c r="H191">
        <v>5</v>
      </c>
      <c r="I191">
        <v>1</v>
      </c>
      <c r="K191">
        <v>3</v>
      </c>
      <c r="L191">
        <v>1</v>
      </c>
      <c r="M191">
        <v>2</v>
      </c>
      <c r="N191">
        <v>1</v>
      </c>
      <c r="S191">
        <v>18</v>
      </c>
    </row>
    <row r="192" spans="1:20" x14ac:dyDescent="0.25">
      <c r="A192" t="s">
        <v>568</v>
      </c>
      <c r="B192" t="s">
        <v>1013</v>
      </c>
      <c r="C192" t="s">
        <v>231</v>
      </c>
      <c r="E192">
        <v>3</v>
      </c>
      <c r="F192">
        <v>3</v>
      </c>
      <c r="G192">
        <v>4</v>
      </c>
      <c r="H192">
        <v>4</v>
      </c>
      <c r="I192">
        <v>3</v>
      </c>
      <c r="J192">
        <v>8</v>
      </c>
      <c r="K192">
        <v>6</v>
      </c>
      <c r="L192">
        <v>5</v>
      </c>
      <c r="M192">
        <v>3</v>
      </c>
      <c r="N192">
        <v>4</v>
      </c>
      <c r="O192">
        <v>5</v>
      </c>
      <c r="P192">
        <v>8</v>
      </c>
      <c r="Q192">
        <v>5</v>
      </c>
      <c r="R192">
        <v>6</v>
      </c>
      <c r="S192">
        <v>67</v>
      </c>
    </row>
    <row r="193" spans="1:19" x14ac:dyDescent="0.25">
      <c r="A193" t="s">
        <v>570</v>
      </c>
      <c r="B193" t="s">
        <v>1014</v>
      </c>
      <c r="C193" t="s">
        <v>205</v>
      </c>
      <c r="E193">
        <v>27</v>
      </c>
      <c r="F193">
        <v>25</v>
      </c>
      <c r="G193">
        <v>23</v>
      </c>
      <c r="H193">
        <v>25</v>
      </c>
      <c r="I193">
        <v>22</v>
      </c>
      <c r="J193">
        <v>37</v>
      </c>
      <c r="K193">
        <v>41</v>
      </c>
      <c r="L193">
        <v>42</v>
      </c>
      <c r="M193">
        <v>19</v>
      </c>
      <c r="N193">
        <v>33</v>
      </c>
      <c r="O193">
        <v>31</v>
      </c>
      <c r="P193">
        <v>37</v>
      </c>
      <c r="Q193">
        <v>24</v>
      </c>
      <c r="R193">
        <v>33</v>
      </c>
      <c r="S193">
        <v>419</v>
      </c>
    </row>
    <row r="194" spans="1:19" x14ac:dyDescent="0.25">
      <c r="A194" t="s">
        <v>572</v>
      </c>
      <c r="B194" t="s">
        <v>1015</v>
      </c>
      <c r="C194" t="s">
        <v>202</v>
      </c>
      <c r="E194">
        <v>48</v>
      </c>
      <c r="F194">
        <v>36</v>
      </c>
      <c r="G194">
        <v>48</v>
      </c>
      <c r="H194">
        <v>26</v>
      </c>
      <c r="I194">
        <v>38</v>
      </c>
      <c r="J194">
        <v>39</v>
      </c>
      <c r="K194">
        <v>42</v>
      </c>
      <c r="L194">
        <v>43</v>
      </c>
      <c r="M194">
        <v>51</v>
      </c>
      <c r="N194">
        <v>49</v>
      </c>
      <c r="O194">
        <v>53</v>
      </c>
      <c r="P194">
        <v>55</v>
      </c>
      <c r="Q194">
        <v>45</v>
      </c>
      <c r="R194">
        <v>41</v>
      </c>
      <c r="S194">
        <v>614</v>
      </c>
    </row>
    <row r="195" spans="1:19" x14ac:dyDescent="0.25">
      <c r="A195" t="s">
        <v>574</v>
      </c>
      <c r="B195" t="s">
        <v>1016</v>
      </c>
      <c r="C195" t="s">
        <v>231</v>
      </c>
      <c r="E195">
        <v>2</v>
      </c>
      <c r="F195">
        <v>0</v>
      </c>
      <c r="G195">
        <v>1</v>
      </c>
      <c r="H195">
        <v>1</v>
      </c>
      <c r="I195">
        <v>1</v>
      </c>
      <c r="L195">
        <v>1</v>
      </c>
      <c r="S195">
        <v>6</v>
      </c>
    </row>
    <row r="196" spans="1:19" x14ac:dyDescent="0.25">
      <c r="A196" t="s">
        <v>576</v>
      </c>
      <c r="B196" t="s">
        <v>1017</v>
      </c>
      <c r="C196" t="s">
        <v>194</v>
      </c>
      <c r="F196">
        <v>1</v>
      </c>
      <c r="G196">
        <v>2</v>
      </c>
      <c r="H196">
        <v>3</v>
      </c>
      <c r="I196">
        <v>1</v>
      </c>
      <c r="J196">
        <v>3</v>
      </c>
      <c r="K196">
        <v>2</v>
      </c>
      <c r="L196">
        <v>1</v>
      </c>
      <c r="M196">
        <v>2</v>
      </c>
      <c r="N196">
        <v>1</v>
      </c>
      <c r="O196">
        <v>1</v>
      </c>
      <c r="P196">
        <v>2</v>
      </c>
      <c r="R196">
        <v>1</v>
      </c>
      <c r="S196">
        <v>20</v>
      </c>
    </row>
    <row r="197" spans="1:19" x14ac:dyDescent="0.25">
      <c r="A197" t="s">
        <v>578</v>
      </c>
      <c r="B197" t="s">
        <v>1018</v>
      </c>
      <c r="C197" t="s">
        <v>202</v>
      </c>
      <c r="E197">
        <v>119</v>
      </c>
      <c r="F197">
        <v>112</v>
      </c>
      <c r="G197">
        <v>119</v>
      </c>
      <c r="H197">
        <v>155</v>
      </c>
      <c r="I197">
        <v>186</v>
      </c>
      <c r="J197">
        <v>170</v>
      </c>
      <c r="K197">
        <v>186</v>
      </c>
      <c r="L197">
        <v>168</v>
      </c>
      <c r="M197">
        <v>206</v>
      </c>
      <c r="N197">
        <v>218</v>
      </c>
      <c r="O197">
        <v>176</v>
      </c>
      <c r="P197">
        <v>189</v>
      </c>
      <c r="Q197">
        <v>183</v>
      </c>
      <c r="R197">
        <v>200</v>
      </c>
      <c r="S197">
        <v>2387</v>
      </c>
    </row>
    <row r="198" spans="1:19" x14ac:dyDescent="0.25">
      <c r="A198" t="s">
        <v>580</v>
      </c>
      <c r="B198" t="s">
        <v>1019</v>
      </c>
      <c r="C198" t="s">
        <v>231</v>
      </c>
      <c r="E198">
        <v>2</v>
      </c>
      <c r="F198">
        <v>5</v>
      </c>
      <c r="H198">
        <v>3</v>
      </c>
      <c r="I198">
        <v>1</v>
      </c>
      <c r="J198">
        <v>3</v>
      </c>
      <c r="K198">
        <v>6</v>
      </c>
      <c r="L198">
        <v>5</v>
      </c>
      <c r="M198">
        <v>1</v>
      </c>
      <c r="N198">
        <v>5</v>
      </c>
      <c r="O198">
        <v>3</v>
      </c>
      <c r="P198">
        <v>2</v>
      </c>
      <c r="Q198">
        <v>3</v>
      </c>
      <c r="R198">
        <v>2</v>
      </c>
      <c r="S198">
        <v>41</v>
      </c>
    </row>
    <row r="199" spans="1:19" x14ac:dyDescent="0.25">
      <c r="A199" t="s">
        <v>582</v>
      </c>
      <c r="B199" t="s">
        <v>1144</v>
      </c>
      <c r="C199" t="s">
        <v>202</v>
      </c>
      <c r="F199">
        <v>0</v>
      </c>
      <c r="G199">
        <v>3</v>
      </c>
      <c r="H199">
        <v>7</v>
      </c>
      <c r="I199">
        <v>5</v>
      </c>
      <c r="J199">
        <v>3</v>
      </c>
      <c r="L199">
        <v>2</v>
      </c>
      <c r="S199">
        <v>20</v>
      </c>
    </row>
    <row r="200" spans="1:19" x14ac:dyDescent="0.25">
      <c r="A200" t="s">
        <v>584</v>
      </c>
      <c r="B200" t="s">
        <v>1020</v>
      </c>
      <c r="C200" t="s">
        <v>189</v>
      </c>
      <c r="E200">
        <v>5</v>
      </c>
      <c r="F200">
        <v>1</v>
      </c>
      <c r="G200">
        <v>5</v>
      </c>
      <c r="H200">
        <v>4</v>
      </c>
      <c r="I200">
        <v>3</v>
      </c>
      <c r="J200">
        <v>8</v>
      </c>
      <c r="K200">
        <v>4</v>
      </c>
      <c r="L200">
        <v>4</v>
      </c>
      <c r="M200">
        <v>5</v>
      </c>
      <c r="N200">
        <v>3</v>
      </c>
      <c r="P200">
        <v>2</v>
      </c>
      <c r="Q200">
        <v>1</v>
      </c>
      <c r="R200">
        <v>7</v>
      </c>
      <c r="S200">
        <v>52</v>
      </c>
    </row>
    <row r="201" spans="1:19" x14ac:dyDescent="0.25">
      <c r="A201" t="s">
        <v>586</v>
      </c>
      <c r="B201" t="s">
        <v>1021</v>
      </c>
      <c r="C201" t="s">
        <v>205</v>
      </c>
      <c r="E201">
        <v>76</v>
      </c>
      <c r="F201">
        <v>87</v>
      </c>
      <c r="G201">
        <v>79</v>
      </c>
      <c r="H201">
        <v>109</v>
      </c>
      <c r="I201">
        <v>94</v>
      </c>
      <c r="J201">
        <v>78</v>
      </c>
      <c r="K201">
        <v>101</v>
      </c>
      <c r="L201">
        <v>78</v>
      </c>
      <c r="M201">
        <v>84</v>
      </c>
      <c r="N201">
        <v>64</v>
      </c>
      <c r="O201">
        <v>86</v>
      </c>
      <c r="P201">
        <v>64</v>
      </c>
      <c r="Q201">
        <v>72</v>
      </c>
      <c r="R201">
        <v>102</v>
      </c>
      <c r="S201">
        <v>1174</v>
      </c>
    </row>
    <row r="202" spans="1:19" x14ac:dyDescent="0.25">
      <c r="A202" t="s">
        <v>1165</v>
      </c>
      <c r="B202" t="s">
        <v>1280</v>
      </c>
      <c r="C202" t="s">
        <v>231</v>
      </c>
      <c r="F202">
        <v>0</v>
      </c>
      <c r="L202">
        <v>5</v>
      </c>
      <c r="M202">
        <v>6</v>
      </c>
      <c r="S202">
        <v>11</v>
      </c>
    </row>
    <row r="203" spans="1:19" x14ac:dyDescent="0.25">
      <c r="A203" t="s">
        <v>588</v>
      </c>
      <c r="B203" t="s">
        <v>1022</v>
      </c>
      <c r="C203" t="s">
        <v>189</v>
      </c>
      <c r="E203">
        <v>12</v>
      </c>
      <c r="F203">
        <v>11</v>
      </c>
      <c r="G203">
        <v>12</v>
      </c>
      <c r="H203">
        <v>12</v>
      </c>
      <c r="I203">
        <v>16</v>
      </c>
      <c r="J203">
        <v>12</v>
      </c>
      <c r="K203">
        <v>17</v>
      </c>
      <c r="L203">
        <v>8</v>
      </c>
      <c r="M203">
        <v>14</v>
      </c>
      <c r="N203">
        <v>8</v>
      </c>
      <c r="S203">
        <v>122</v>
      </c>
    </row>
    <row r="204" spans="1:19" x14ac:dyDescent="0.25">
      <c r="A204" t="s">
        <v>590</v>
      </c>
      <c r="B204" t="s">
        <v>1023</v>
      </c>
      <c r="C204" t="s">
        <v>202</v>
      </c>
      <c r="E204">
        <v>5</v>
      </c>
      <c r="F204">
        <v>8</v>
      </c>
      <c r="G204">
        <v>8</v>
      </c>
      <c r="H204">
        <v>2</v>
      </c>
      <c r="I204">
        <v>5</v>
      </c>
      <c r="J204">
        <v>7</v>
      </c>
      <c r="K204">
        <v>3</v>
      </c>
      <c r="M204">
        <v>5</v>
      </c>
      <c r="N204">
        <v>2</v>
      </c>
      <c r="O204">
        <v>3</v>
      </c>
      <c r="P204">
        <v>4</v>
      </c>
      <c r="Q204">
        <v>4</v>
      </c>
      <c r="R204">
        <v>1</v>
      </c>
      <c r="S204">
        <v>57</v>
      </c>
    </row>
    <row r="205" spans="1:19" x14ac:dyDescent="0.25">
      <c r="A205" t="s">
        <v>592</v>
      </c>
      <c r="B205" t="s">
        <v>1024</v>
      </c>
      <c r="C205" t="s">
        <v>228</v>
      </c>
      <c r="E205">
        <v>21</v>
      </c>
      <c r="F205">
        <v>48</v>
      </c>
      <c r="G205">
        <v>36</v>
      </c>
      <c r="H205">
        <v>41</v>
      </c>
      <c r="I205">
        <v>51</v>
      </c>
      <c r="J205">
        <v>39</v>
      </c>
      <c r="K205">
        <v>49</v>
      </c>
      <c r="L205">
        <v>46</v>
      </c>
      <c r="M205">
        <v>28</v>
      </c>
      <c r="N205">
        <v>36</v>
      </c>
      <c r="O205">
        <v>47</v>
      </c>
      <c r="P205">
        <v>41</v>
      </c>
      <c r="Q205">
        <v>39</v>
      </c>
      <c r="R205">
        <v>43</v>
      </c>
      <c r="S205">
        <v>565</v>
      </c>
    </row>
    <row r="206" spans="1:19" x14ac:dyDescent="0.25">
      <c r="A206" t="s">
        <v>594</v>
      </c>
      <c r="B206" t="s">
        <v>1025</v>
      </c>
      <c r="C206" t="s">
        <v>228</v>
      </c>
      <c r="E206">
        <v>12</v>
      </c>
      <c r="F206">
        <v>2</v>
      </c>
      <c r="G206">
        <v>13</v>
      </c>
      <c r="H206">
        <v>5</v>
      </c>
      <c r="I206">
        <v>11</v>
      </c>
      <c r="J206">
        <v>12</v>
      </c>
      <c r="K206">
        <v>9</v>
      </c>
      <c r="L206">
        <v>12</v>
      </c>
      <c r="M206">
        <v>11</v>
      </c>
      <c r="N206">
        <v>17</v>
      </c>
      <c r="O206">
        <v>7</v>
      </c>
      <c r="P206">
        <v>14</v>
      </c>
      <c r="Q206">
        <v>12</v>
      </c>
      <c r="R206">
        <v>19</v>
      </c>
      <c r="S206">
        <v>156</v>
      </c>
    </row>
    <row r="207" spans="1:19" x14ac:dyDescent="0.25">
      <c r="A207" t="s">
        <v>596</v>
      </c>
      <c r="B207" t="s">
        <v>1026</v>
      </c>
      <c r="C207" t="s">
        <v>202</v>
      </c>
      <c r="F207">
        <v>1</v>
      </c>
      <c r="G207">
        <v>6</v>
      </c>
      <c r="H207">
        <v>1</v>
      </c>
      <c r="I207">
        <v>2</v>
      </c>
      <c r="J207">
        <v>5</v>
      </c>
      <c r="K207">
        <v>3</v>
      </c>
      <c r="L207">
        <v>1</v>
      </c>
      <c r="N207">
        <v>3</v>
      </c>
      <c r="O207">
        <v>3</v>
      </c>
      <c r="P207">
        <v>2</v>
      </c>
      <c r="Q207">
        <v>3</v>
      </c>
      <c r="R207">
        <v>3</v>
      </c>
      <c r="S207">
        <v>33</v>
      </c>
    </row>
    <row r="208" spans="1:19" x14ac:dyDescent="0.25">
      <c r="A208" t="s">
        <v>598</v>
      </c>
      <c r="B208" t="s">
        <v>1245</v>
      </c>
      <c r="C208" t="s">
        <v>194</v>
      </c>
      <c r="F208">
        <v>0</v>
      </c>
      <c r="L208">
        <v>7</v>
      </c>
      <c r="M208">
        <v>17</v>
      </c>
      <c r="N208">
        <v>16</v>
      </c>
      <c r="O208">
        <v>18</v>
      </c>
      <c r="P208">
        <v>10</v>
      </c>
      <c r="Q208">
        <v>24</v>
      </c>
      <c r="R208">
        <v>11</v>
      </c>
      <c r="S208">
        <v>103</v>
      </c>
    </row>
    <row r="209" spans="1:19" x14ac:dyDescent="0.25">
      <c r="A209" t="s">
        <v>600</v>
      </c>
      <c r="B209" t="s">
        <v>1028</v>
      </c>
      <c r="C209" t="s">
        <v>202</v>
      </c>
      <c r="E209">
        <v>14</v>
      </c>
      <c r="F209">
        <v>9</v>
      </c>
      <c r="G209">
        <v>14</v>
      </c>
      <c r="H209">
        <v>26</v>
      </c>
      <c r="I209">
        <v>33</v>
      </c>
      <c r="J209">
        <v>25</v>
      </c>
      <c r="K209">
        <v>32</v>
      </c>
      <c r="L209">
        <v>19</v>
      </c>
      <c r="M209">
        <v>23</v>
      </c>
      <c r="N209">
        <v>27</v>
      </c>
      <c r="O209">
        <v>28</v>
      </c>
      <c r="P209">
        <v>23</v>
      </c>
      <c r="Q209">
        <v>22</v>
      </c>
      <c r="R209">
        <v>33</v>
      </c>
      <c r="S209">
        <v>328</v>
      </c>
    </row>
    <row r="210" spans="1:19" x14ac:dyDescent="0.25">
      <c r="A210" t="s">
        <v>602</v>
      </c>
      <c r="B210" t="s">
        <v>1029</v>
      </c>
      <c r="C210" t="s">
        <v>194</v>
      </c>
      <c r="E210">
        <v>42</v>
      </c>
      <c r="F210">
        <v>17</v>
      </c>
      <c r="G210">
        <v>24</v>
      </c>
      <c r="H210">
        <v>23</v>
      </c>
      <c r="I210">
        <v>26</v>
      </c>
      <c r="J210">
        <v>23</v>
      </c>
      <c r="K210">
        <v>30</v>
      </c>
      <c r="L210">
        <v>30</v>
      </c>
      <c r="M210">
        <v>24</v>
      </c>
      <c r="N210">
        <v>24</v>
      </c>
      <c r="O210">
        <v>30</v>
      </c>
      <c r="P210">
        <v>25</v>
      </c>
      <c r="Q210">
        <v>14</v>
      </c>
      <c r="R210">
        <v>28</v>
      </c>
      <c r="S210">
        <v>360</v>
      </c>
    </row>
    <row r="211" spans="1:19" x14ac:dyDescent="0.25">
      <c r="A211" t="s">
        <v>1167</v>
      </c>
      <c r="B211" t="s">
        <v>1281</v>
      </c>
      <c r="C211" t="s">
        <v>194</v>
      </c>
      <c r="F211">
        <v>1</v>
      </c>
      <c r="H211">
        <v>1</v>
      </c>
      <c r="J211">
        <v>3</v>
      </c>
      <c r="K211">
        <v>1</v>
      </c>
      <c r="S211">
        <v>6</v>
      </c>
    </row>
    <row r="212" spans="1:19" x14ac:dyDescent="0.25">
      <c r="A212" t="s">
        <v>604</v>
      </c>
      <c r="B212" t="s">
        <v>1030</v>
      </c>
      <c r="C212" t="s">
        <v>205</v>
      </c>
      <c r="E212">
        <v>206</v>
      </c>
      <c r="F212">
        <v>175</v>
      </c>
      <c r="G212">
        <v>184</v>
      </c>
      <c r="H212">
        <v>206</v>
      </c>
      <c r="I212">
        <v>186</v>
      </c>
      <c r="J212">
        <v>175</v>
      </c>
      <c r="K212">
        <v>188</v>
      </c>
      <c r="L212">
        <v>205</v>
      </c>
      <c r="M212">
        <v>203</v>
      </c>
      <c r="N212">
        <v>211</v>
      </c>
      <c r="O212">
        <v>184</v>
      </c>
      <c r="P212">
        <v>199</v>
      </c>
      <c r="Q212">
        <v>178</v>
      </c>
      <c r="R212">
        <v>230</v>
      </c>
      <c r="S212">
        <v>2730</v>
      </c>
    </row>
    <row r="213" spans="1:19" x14ac:dyDescent="0.25">
      <c r="A213" t="s">
        <v>606</v>
      </c>
      <c r="B213" t="s">
        <v>1031</v>
      </c>
      <c r="C213" t="s">
        <v>228</v>
      </c>
      <c r="E213">
        <v>1</v>
      </c>
      <c r="F213">
        <v>0</v>
      </c>
      <c r="J213">
        <v>3</v>
      </c>
      <c r="L213">
        <v>2</v>
      </c>
      <c r="M213">
        <v>2</v>
      </c>
      <c r="N213">
        <v>2</v>
      </c>
      <c r="S213">
        <v>10</v>
      </c>
    </row>
    <row r="214" spans="1:19" x14ac:dyDescent="0.25">
      <c r="A214" t="s">
        <v>608</v>
      </c>
      <c r="B214" t="s">
        <v>1032</v>
      </c>
      <c r="C214" t="s">
        <v>228</v>
      </c>
      <c r="F214">
        <v>0</v>
      </c>
      <c r="G214">
        <v>2</v>
      </c>
      <c r="H214">
        <v>4</v>
      </c>
      <c r="I214">
        <v>5</v>
      </c>
      <c r="J214">
        <v>5</v>
      </c>
      <c r="K214">
        <v>5</v>
      </c>
      <c r="L214">
        <v>6</v>
      </c>
      <c r="M214">
        <v>5</v>
      </c>
      <c r="N214">
        <v>5</v>
      </c>
      <c r="O214">
        <v>3</v>
      </c>
      <c r="P214">
        <v>5</v>
      </c>
      <c r="Q214">
        <v>4</v>
      </c>
      <c r="R214">
        <v>7</v>
      </c>
      <c r="S214">
        <v>56</v>
      </c>
    </row>
    <row r="215" spans="1:19" x14ac:dyDescent="0.25">
      <c r="A215" t="s">
        <v>612</v>
      </c>
      <c r="B215" t="s">
        <v>1033</v>
      </c>
      <c r="C215" t="s">
        <v>228</v>
      </c>
      <c r="E215">
        <v>9</v>
      </c>
      <c r="F215">
        <v>10</v>
      </c>
      <c r="G215">
        <v>7</v>
      </c>
      <c r="H215">
        <v>8</v>
      </c>
      <c r="I215">
        <v>17</v>
      </c>
      <c r="J215">
        <v>22</v>
      </c>
      <c r="K215">
        <v>21</v>
      </c>
      <c r="L215">
        <v>30</v>
      </c>
      <c r="M215">
        <v>34</v>
      </c>
      <c r="N215">
        <v>37</v>
      </c>
      <c r="O215">
        <v>52</v>
      </c>
      <c r="P215">
        <v>55</v>
      </c>
      <c r="Q215">
        <v>83</v>
      </c>
      <c r="R215">
        <v>157</v>
      </c>
      <c r="S215">
        <v>542</v>
      </c>
    </row>
    <row r="216" spans="1:19" x14ac:dyDescent="0.25">
      <c r="A216" t="s">
        <v>614</v>
      </c>
      <c r="B216" t="s">
        <v>1034</v>
      </c>
      <c r="C216" t="s">
        <v>231</v>
      </c>
      <c r="E216">
        <v>11</v>
      </c>
      <c r="F216">
        <v>23</v>
      </c>
      <c r="G216">
        <v>31</v>
      </c>
      <c r="H216">
        <v>33</v>
      </c>
      <c r="I216">
        <v>36</v>
      </c>
      <c r="J216">
        <v>43</v>
      </c>
      <c r="K216">
        <v>51</v>
      </c>
      <c r="L216">
        <v>35</v>
      </c>
      <c r="M216">
        <v>31</v>
      </c>
      <c r="N216">
        <v>40</v>
      </c>
      <c r="O216">
        <v>19</v>
      </c>
      <c r="P216">
        <v>24</v>
      </c>
      <c r="Q216">
        <v>26</v>
      </c>
      <c r="R216">
        <v>39</v>
      </c>
      <c r="S216">
        <v>442</v>
      </c>
    </row>
    <row r="217" spans="1:19" x14ac:dyDescent="0.25">
      <c r="A217" t="s">
        <v>616</v>
      </c>
      <c r="B217" t="s">
        <v>1035</v>
      </c>
      <c r="C217" t="s">
        <v>189</v>
      </c>
      <c r="E217">
        <v>5</v>
      </c>
      <c r="F217">
        <v>7</v>
      </c>
      <c r="G217">
        <v>7</v>
      </c>
      <c r="H217">
        <v>17</v>
      </c>
      <c r="I217">
        <v>11</v>
      </c>
      <c r="J217">
        <v>13</v>
      </c>
      <c r="K217">
        <v>10</v>
      </c>
      <c r="L217">
        <v>8</v>
      </c>
      <c r="M217">
        <v>15</v>
      </c>
      <c r="N217">
        <v>9</v>
      </c>
      <c r="O217">
        <v>8</v>
      </c>
      <c r="P217">
        <v>6</v>
      </c>
      <c r="Q217">
        <v>11</v>
      </c>
      <c r="R217">
        <v>8</v>
      </c>
      <c r="S217">
        <v>135</v>
      </c>
    </row>
    <row r="218" spans="1:19" x14ac:dyDescent="0.25">
      <c r="A218" t="s">
        <v>618</v>
      </c>
      <c r="B218" t="s">
        <v>1036</v>
      </c>
      <c r="C218" t="s">
        <v>205</v>
      </c>
      <c r="F218">
        <v>0</v>
      </c>
      <c r="K218">
        <v>5</v>
      </c>
      <c r="L218">
        <v>3</v>
      </c>
      <c r="M218">
        <v>7</v>
      </c>
      <c r="N218">
        <v>9</v>
      </c>
      <c r="S218">
        <v>24</v>
      </c>
    </row>
    <row r="219" spans="1:19" x14ac:dyDescent="0.25">
      <c r="A219" t="s">
        <v>620</v>
      </c>
      <c r="B219" t="s">
        <v>1232</v>
      </c>
      <c r="C219" t="s">
        <v>205</v>
      </c>
      <c r="F219">
        <v>0</v>
      </c>
      <c r="L219">
        <v>3</v>
      </c>
      <c r="M219">
        <v>3</v>
      </c>
      <c r="N219">
        <v>9</v>
      </c>
      <c r="O219">
        <v>6</v>
      </c>
      <c r="P219">
        <v>10</v>
      </c>
      <c r="Q219">
        <v>3</v>
      </c>
      <c r="R219">
        <v>3</v>
      </c>
      <c r="S219">
        <v>37</v>
      </c>
    </row>
    <row r="220" spans="1:19" x14ac:dyDescent="0.25">
      <c r="A220" t="s">
        <v>621</v>
      </c>
      <c r="B220" t="s">
        <v>1263</v>
      </c>
      <c r="C220" t="s">
        <v>189</v>
      </c>
      <c r="E220">
        <v>1</v>
      </c>
      <c r="F220">
        <v>3</v>
      </c>
      <c r="G220">
        <v>8</v>
      </c>
      <c r="H220">
        <v>1</v>
      </c>
      <c r="I220">
        <v>4</v>
      </c>
      <c r="J220">
        <v>4</v>
      </c>
      <c r="K220">
        <v>3</v>
      </c>
      <c r="L220">
        <v>8</v>
      </c>
      <c r="M220">
        <v>6</v>
      </c>
      <c r="N220">
        <v>11</v>
      </c>
      <c r="O220">
        <v>7</v>
      </c>
      <c r="P220">
        <v>5</v>
      </c>
      <c r="Q220">
        <v>8</v>
      </c>
      <c r="R220">
        <v>8</v>
      </c>
      <c r="S220">
        <v>77</v>
      </c>
    </row>
    <row r="221" spans="1:19" x14ac:dyDescent="0.25">
      <c r="A221" t="s">
        <v>623</v>
      </c>
      <c r="B221" t="s">
        <v>1037</v>
      </c>
      <c r="C221" t="s">
        <v>194</v>
      </c>
      <c r="E221">
        <v>1</v>
      </c>
      <c r="F221">
        <v>5</v>
      </c>
      <c r="G221">
        <v>3</v>
      </c>
      <c r="H221">
        <v>8</v>
      </c>
      <c r="I221">
        <v>2</v>
      </c>
      <c r="J221">
        <v>4</v>
      </c>
      <c r="K221">
        <v>11</v>
      </c>
      <c r="L221">
        <v>3</v>
      </c>
      <c r="M221">
        <v>5</v>
      </c>
      <c r="N221">
        <v>6</v>
      </c>
      <c r="O221">
        <v>9</v>
      </c>
      <c r="P221">
        <v>7</v>
      </c>
      <c r="Q221">
        <v>5</v>
      </c>
      <c r="R221">
        <v>12</v>
      </c>
      <c r="S221">
        <v>81</v>
      </c>
    </row>
    <row r="222" spans="1:19" x14ac:dyDescent="0.25">
      <c r="A222" t="s">
        <v>625</v>
      </c>
      <c r="B222" t="s">
        <v>1038</v>
      </c>
      <c r="C222" t="s">
        <v>205</v>
      </c>
      <c r="E222">
        <v>174</v>
      </c>
      <c r="F222">
        <v>112</v>
      </c>
      <c r="G222">
        <v>131</v>
      </c>
      <c r="H222">
        <v>149</v>
      </c>
      <c r="I222">
        <v>169</v>
      </c>
      <c r="J222">
        <v>139</v>
      </c>
      <c r="K222">
        <v>180</v>
      </c>
      <c r="L222">
        <v>176</v>
      </c>
      <c r="M222">
        <v>173</v>
      </c>
      <c r="N222">
        <v>170</v>
      </c>
      <c r="O222">
        <v>166</v>
      </c>
      <c r="P222">
        <v>136</v>
      </c>
      <c r="Q222">
        <v>112</v>
      </c>
      <c r="R222">
        <v>146</v>
      </c>
      <c r="S222">
        <v>2133</v>
      </c>
    </row>
    <row r="223" spans="1:19" x14ac:dyDescent="0.25">
      <c r="A223" t="s">
        <v>627</v>
      </c>
      <c r="B223" t="s">
        <v>1039</v>
      </c>
      <c r="C223" t="s">
        <v>194</v>
      </c>
      <c r="F223">
        <v>2</v>
      </c>
      <c r="G223">
        <v>3</v>
      </c>
      <c r="H223">
        <v>2</v>
      </c>
      <c r="I223">
        <v>4</v>
      </c>
      <c r="J223">
        <v>6</v>
      </c>
      <c r="K223">
        <v>11</v>
      </c>
      <c r="L223">
        <v>5</v>
      </c>
      <c r="M223">
        <v>7</v>
      </c>
      <c r="N223">
        <v>5</v>
      </c>
      <c r="O223">
        <v>6</v>
      </c>
      <c r="P223">
        <v>2</v>
      </c>
      <c r="Q223">
        <v>4</v>
      </c>
      <c r="R223">
        <v>3</v>
      </c>
      <c r="S223">
        <v>60</v>
      </c>
    </row>
    <row r="224" spans="1:19" x14ac:dyDescent="0.25">
      <c r="A224" t="s">
        <v>629</v>
      </c>
      <c r="B224" t="s">
        <v>1040</v>
      </c>
      <c r="C224" t="s">
        <v>202</v>
      </c>
      <c r="E224">
        <v>114</v>
      </c>
      <c r="F224">
        <v>100</v>
      </c>
      <c r="G224">
        <v>117</v>
      </c>
      <c r="H224">
        <v>127</v>
      </c>
      <c r="I224">
        <v>129</v>
      </c>
      <c r="J224">
        <v>127</v>
      </c>
      <c r="K224">
        <v>155</v>
      </c>
      <c r="L224">
        <v>121</v>
      </c>
      <c r="M224">
        <v>113</v>
      </c>
      <c r="N224">
        <v>122</v>
      </c>
      <c r="O224">
        <v>130</v>
      </c>
      <c r="P224">
        <v>110</v>
      </c>
      <c r="Q224">
        <v>94</v>
      </c>
      <c r="R224">
        <v>146</v>
      </c>
      <c r="S224">
        <v>1705</v>
      </c>
    </row>
    <row r="225" spans="1:19" x14ac:dyDescent="0.25">
      <c r="A225" t="s">
        <v>631</v>
      </c>
      <c r="B225" t="s">
        <v>1041</v>
      </c>
      <c r="C225" t="s">
        <v>210</v>
      </c>
      <c r="E225">
        <v>28</v>
      </c>
      <c r="F225">
        <v>18</v>
      </c>
      <c r="G225">
        <v>25</v>
      </c>
      <c r="H225">
        <v>47</v>
      </c>
      <c r="I225">
        <v>28</v>
      </c>
      <c r="J225">
        <v>39</v>
      </c>
      <c r="K225">
        <v>41</v>
      </c>
      <c r="L225">
        <v>34</v>
      </c>
      <c r="M225">
        <v>30</v>
      </c>
      <c r="N225">
        <v>27</v>
      </c>
      <c r="O225">
        <v>26</v>
      </c>
      <c r="P225">
        <v>27</v>
      </c>
      <c r="Q225">
        <v>25</v>
      </c>
      <c r="R225">
        <v>30</v>
      </c>
      <c r="S225">
        <v>425</v>
      </c>
    </row>
    <row r="226" spans="1:19" x14ac:dyDescent="0.25">
      <c r="A226" t="s">
        <v>633</v>
      </c>
      <c r="B226" t="s">
        <v>1042</v>
      </c>
      <c r="C226" t="s">
        <v>194</v>
      </c>
      <c r="E226">
        <v>1</v>
      </c>
      <c r="F226">
        <v>1</v>
      </c>
      <c r="G226">
        <v>1</v>
      </c>
      <c r="H226">
        <v>5</v>
      </c>
      <c r="I226">
        <v>2</v>
      </c>
      <c r="J226">
        <v>7</v>
      </c>
      <c r="K226">
        <v>3</v>
      </c>
      <c r="L226">
        <v>3</v>
      </c>
      <c r="M226">
        <v>2</v>
      </c>
      <c r="N226">
        <v>2</v>
      </c>
      <c r="O226">
        <v>3</v>
      </c>
      <c r="P226">
        <v>1</v>
      </c>
      <c r="R226">
        <v>2</v>
      </c>
      <c r="S226">
        <v>33</v>
      </c>
    </row>
    <row r="227" spans="1:19" x14ac:dyDescent="0.25">
      <c r="A227" t="s">
        <v>635</v>
      </c>
      <c r="B227" t="s">
        <v>1043</v>
      </c>
      <c r="C227" t="s">
        <v>194</v>
      </c>
      <c r="E227">
        <v>11</v>
      </c>
      <c r="F227">
        <v>14</v>
      </c>
      <c r="G227">
        <v>9</v>
      </c>
      <c r="H227">
        <v>19</v>
      </c>
      <c r="I227">
        <v>15</v>
      </c>
      <c r="J227">
        <v>16</v>
      </c>
      <c r="K227">
        <v>14</v>
      </c>
      <c r="L227">
        <v>14</v>
      </c>
      <c r="M227">
        <v>15</v>
      </c>
      <c r="N227">
        <v>10</v>
      </c>
      <c r="O227">
        <v>16</v>
      </c>
      <c r="P227">
        <v>15</v>
      </c>
      <c r="Q227">
        <v>14</v>
      </c>
      <c r="R227">
        <v>18</v>
      </c>
      <c r="S227">
        <v>200</v>
      </c>
    </row>
    <row r="228" spans="1:19" x14ac:dyDescent="0.25">
      <c r="A228" t="s">
        <v>637</v>
      </c>
      <c r="B228" t="s">
        <v>1044</v>
      </c>
      <c r="C228" t="s">
        <v>205</v>
      </c>
      <c r="E228">
        <v>18</v>
      </c>
      <c r="F228">
        <v>23</v>
      </c>
      <c r="G228">
        <v>27</v>
      </c>
      <c r="H228">
        <v>25</v>
      </c>
      <c r="I228">
        <v>27</v>
      </c>
      <c r="J228">
        <v>21</v>
      </c>
      <c r="K228">
        <v>17</v>
      </c>
      <c r="L228">
        <v>24</v>
      </c>
      <c r="M228">
        <v>23</v>
      </c>
      <c r="N228">
        <v>22</v>
      </c>
      <c r="O228">
        <v>22</v>
      </c>
      <c r="P228">
        <v>24</v>
      </c>
      <c r="Q228">
        <v>30</v>
      </c>
      <c r="R228">
        <v>29</v>
      </c>
      <c r="S228">
        <v>332</v>
      </c>
    </row>
    <row r="229" spans="1:19" x14ac:dyDescent="0.25">
      <c r="A229" t="s">
        <v>639</v>
      </c>
      <c r="B229" t="s">
        <v>1045</v>
      </c>
      <c r="C229" t="s">
        <v>189</v>
      </c>
      <c r="E229">
        <v>17</v>
      </c>
      <c r="F229">
        <v>23</v>
      </c>
      <c r="G229">
        <v>16</v>
      </c>
      <c r="H229">
        <v>11</v>
      </c>
      <c r="I229">
        <v>15</v>
      </c>
      <c r="J229">
        <v>18</v>
      </c>
      <c r="K229">
        <v>25</v>
      </c>
      <c r="L229">
        <v>26</v>
      </c>
      <c r="M229">
        <v>21</v>
      </c>
      <c r="N229">
        <v>20</v>
      </c>
      <c r="O229">
        <v>29</v>
      </c>
      <c r="P229">
        <v>16</v>
      </c>
      <c r="Q229">
        <v>26</v>
      </c>
      <c r="R229">
        <v>21</v>
      </c>
      <c r="S229">
        <v>284</v>
      </c>
    </row>
    <row r="230" spans="1:19" x14ac:dyDescent="0.25">
      <c r="A230" t="s">
        <v>641</v>
      </c>
      <c r="B230" t="s">
        <v>1046</v>
      </c>
      <c r="C230" t="s">
        <v>210</v>
      </c>
      <c r="D230" t="s">
        <v>819</v>
      </c>
      <c r="F230">
        <v>0</v>
      </c>
      <c r="I230">
        <v>1</v>
      </c>
      <c r="J230">
        <v>3</v>
      </c>
      <c r="L230">
        <v>1</v>
      </c>
      <c r="S230">
        <v>5</v>
      </c>
    </row>
    <row r="231" spans="1:19" x14ac:dyDescent="0.25">
      <c r="A231" t="s">
        <v>643</v>
      </c>
      <c r="B231" t="s">
        <v>1047</v>
      </c>
      <c r="C231" t="s">
        <v>194</v>
      </c>
      <c r="E231">
        <v>1</v>
      </c>
      <c r="F231">
        <v>0</v>
      </c>
      <c r="H231">
        <v>1</v>
      </c>
      <c r="J231">
        <v>2</v>
      </c>
      <c r="K231">
        <v>4</v>
      </c>
      <c r="L231">
        <v>2</v>
      </c>
      <c r="M231">
        <v>1</v>
      </c>
      <c r="N231">
        <v>1</v>
      </c>
      <c r="O231">
        <v>1</v>
      </c>
      <c r="P231">
        <v>2</v>
      </c>
      <c r="Q231">
        <v>1</v>
      </c>
      <c r="R231">
        <v>2</v>
      </c>
      <c r="S231">
        <v>18</v>
      </c>
    </row>
    <row r="232" spans="1:19" x14ac:dyDescent="0.25">
      <c r="A232" t="s">
        <v>645</v>
      </c>
      <c r="B232" t="s">
        <v>1048</v>
      </c>
      <c r="C232" t="s">
        <v>221</v>
      </c>
      <c r="E232">
        <v>10</v>
      </c>
      <c r="F232">
        <v>11</v>
      </c>
      <c r="G232">
        <v>12</v>
      </c>
      <c r="H232">
        <v>15</v>
      </c>
      <c r="I232">
        <v>15</v>
      </c>
      <c r="J232">
        <v>26</v>
      </c>
      <c r="K232">
        <v>21</v>
      </c>
      <c r="L232">
        <v>16</v>
      </c>
      <c r="M232">
        <v>27</v>
      </c>
      <c r="N232">
        <v>21</v>
      </c>
      <c r="O232">
        <v>19</v>
      </c>
      <c r="P232">
        <v>21</v>
      </c>
      <c r="Q232">
        <v>12</v>
      </c>
      <c r="R232">
        <v>20</v>
      </c>
      <c r="S232">
        <v>246</v>
      </c>
    </row>
    <row r="233" spans="1:19" x14ac:dyDescent="0.25">
      <c r="A233" t="s">
        <v>647</v>
      </c>
      <c r="B233" t="s">
        <v>1241</v>
      </c>
      <c r="C233" t="s">
        <v>197</v>
      </c>
      <c r="E233">
        <v>4</v>
      </c>
      <c r="F233">
        <v>7</v>
      </c>
      <c r="G233">
        <v>7</v>
      </c>
      <c r="H233">
        <v>5</v>
      </c>
      <c r="I233">
        <v>7</v>
      </c>
      <c r="J233">
        <v>10</v>
      </c>
      <c r="K233">
        <v>13</v>
      </c>
      <c r="L233">
        <v>18</v>
      </c>
      <c r="M233">
        <v>14</v>
      </c>
      <c r="N233">
        <v>9</v>
      </c>
      <c r="O233">
        <v>13</v>
      </c>
      <c r="P233">
        <v>11</v>
      </c>
      <c r="Q233">
        <v>17</v>
      </c>
      <c r="R233">
        <v>8</v>
      </c>
      <c r="S233">
        <v>143</v>
      </c>
    </row>
    <row r="234" spans="1:19" x14ac:dyDescent="0.25">
      <c r="A234" t="s">
        <v>649</v>
      </c>
      <c r="B234" t="s">
        <v>1050</v>
      </c>
      <c r="C234" t="s">
        <v>189</v>
      </c>
      <c r="F234">
        <v>0</v>
      </c>
      <c r="G234">
        <v>1</v>
      </c>
      <c r="H234">
        <v>1</v>
      </c>
      <c r="I234">
        <v>3</v>
      </c>
      <c r="J234">
        <v>3</v>
      </c>
      <c r="K234">
        <v>1</v>
      </c>
      <c r="S234">
        <v>9</v>
      </c>
    </row>
    <row r="235" spans="1:19" x14ac:dyDescent="0.25">
      <c r="A235" t="s">
        <v>651</v>
      </c>
      <c r="B235" t="s">
        <v>1249</v>
      </c>
      <c r="C235" t="s">
        <v>1250</v>
      </c>
      <c r="F235">
        <v>0</v>
      </c>
      <c r="L235">
        <v>1</v>
      </c>
      <c r="M235">
        <v>6</v>
      </c>
      <c r="N235">
        <v>6</v>
      </c>
      <c r="O235">
        <v>8</v>
      </c>
      <c r="P235">
        <v>12</v>
      </c>
      <c r="Q235">
        <v>10</v>
      </c>
      <c r="R235">
        <v>8</v>
      </c>
      <c r="S235">
        <v>51</v>
      </c>
    </row>
    <row r="236" spans="1:19" x14ac:dyDescent="0.25">
      <c r="A236" t="s">
        <v>655</v>
      </c>
      <c r="B236" t="s">
        <v>1051</v>
      </c>
      <c r="C236" t="s">
        <v>205</v>
      </c>
      <c r="E236">
        <v>326</v>
      </c>
      <c r="F236">
        <v>265</v>
      </c>
      <c r="G236">
        <v>314</v>
      </c>
      <c r="H236">
        <v>447</v>
      </c>
      <c r="I236">
        <v>511</v>
      </c>
      <c r="J236">
        <v>610</v>
      </c>
      <c r="K236">
        <v>744</v>
      </c>
      <c r="L236">
        <v>562</v>
      </c>
      <c r="M236">
        <v>633</v>
      </c>
      <c r="N236">
        <v>565</v>
      </c>
      <c r="O236">
        <v>560</v>
      </c>
      <c r="P236">
        <v>467</v>
      </c>
      <c r="Q236">
        <v>461</v>
      </c>
      <c r="R236">
        <v>634</v>
      </c>
      <c r="S236">
        <v>7099</v>
      </c>
    </row>
    <row r="237" spans="1:19" x14ac:dyDescent="0.25">
      <c r="A237" t="s">
        <v>657</v>
      </c>
      <c r="B237" t="s">
        <v>1052</v>
      </c>
      <c r="C237" t="s">
        <v>197</v>
      </c>
      <c r="E237">
        <v>49</v>
      </c>
      <c r="F237">
        <v>32</v>
      </c>
      <c r="G237">
        <v>52</v>
      </c>
      <c r="H237">
        <v>55</v>
      </c>
      <c r="I237">
        <v>57</v>
      </c>
      <c r="J237">
        <v>62</v>
      </c>
      <c r="K237">
        <v>55</v>
      </c>
      <c r="L237">
        <v>65</v>
      </c>
      <c r="M237">
        <v>56</v>
      </c>
      <c r="N237">
        <v>62</v>
      </c>
      <c r="O237">
        <v>56</v>
      </c>
      <c r="P237">
        <v>60</v>
      </c>
      <c r="Q237">
        <v>62</v>
      </c>
      <c r="R237">
        <v>81</v>
      </c>
      <c r="S237">
        <v>804</v>
      </c>
    </row>
    <row r="238" spans="1:19" x14ac:dyDescent="0.25">
      <c r="A238" t="s">
        <v>659</v>
      </c>
      <c r="B238" t="s">
        <v>1053</v>
      </c>
      <c r="C238" t="s">
        <v>221</v>
      </c>
      <c r="E238">
        <v>29</v>
      </c>
      <c r="F238">
        <v>29</v>
      </c>
      <c r="G238">
        <v>18</v>
      </c>
      <c r="H238">
        <v>33</v>
      </c>
      <c r="I238">
        <v>19</v>
      </c>
      <c r="J238">
        <v>31</v>
      </c>
      <c r="K238">
        <v>39</v>
      </c>
      <c r="L238">
        <v>43</v>
      </c>
      <c r="M238">
        <v>33</v>
      </c>
      <c r="N238">
        <v>45</v>
      </c>
      <c r="O238">
        <v>36</v>
      </c>
      <c r="P238">
        <v>38</v>
      </c>
      <c r="Q238">
        <v>31</v>
      </c>
      <c r="R238">
        <v>44</v>
      </c>
      <c r="S238">
        <v>468</v>
      </c>
    </row>
    <row r="239" spans="1:19" x14ac:dyDescent="0.25">
      <c r="A239" t="s">
        <v>661</v>
      </c>
      <c r="B239" t="s">
        <v>1054</v>
      </c>
      <c r="C239" t="s">
        <v>194</v>
      </c>
      <c r="E239">
        <v>7</v>
      </c>
      <c r="F239">
        <v>4</v>
      </c>
      <c r="G239">
        <v>4</v>
      </c>
      <c r="H239">
        <v>4</v>
      </c>
      <c r="I239">
        <v>2</v>
      </c>
      <c r="J239">
        <v>6</v>
      </c>
      <c r="K239">
        <v>2</v>
      </c>
      <c r="L239">
        <v>5</v>
      </c>
      <c r="M239">
        <v>5</v>
      </c>
      <c r="N239">
        <v>4</v>
      </c>
      <c r="O239">
        <v>1</v>
      </c>
      <c r="P239">
        <v>4</v>
      </c>
      <c r="R239">
        <v>2</v>
      </c>
      <c r="S239">
        <v>50</v>
      </c>
    </row>
    <row r="240" spans="1:19" x14ac:dyDescent="0.25">
      <c r="A240" t="s">
        <v>663</v>
      </c>
      <c r="B240" t="s">
        <v>1055</v>
      </c>
      <c r="C240" t="s">
        <v>228</v>
      </c>
      <c r="E240">
        <v>34</v>
      </c>
      <c r="F240">
        <v>22</v>
      </c>
      <c r="G240">
        <v>25</v>
      </c>
      <c r="H240">
        <v>24</v>
      </c>
      <c r="I240">
        <v>37</v>
      </c>
      <c r="J240">
        <v>40</v>
      </c>
      <c r="K240">
        <v>31</v>
      </c>
      <c r="L240">
        <v>34</v>
      </c>
      <c r="M240">
        <v>31</v>
      </c>
      <c r="N240">
        <v>30</v>
      </c>
      <c r="O240">
        <v>30</v>
      </c>
      <c r="P240">
        <v>36</v>
      </c>
      <c r="Q240">
        <v>19</v>
      </c>
      <c r="R240">
        <v>32</v>
      </c>
      <c r="S240">
        <v>425</v>
      </c>
    </row>
    <row r="241" spans="1:19" x14ac:dyDescent="0.25">
      <c r="A241" t="s">
        <v>667</v>
      </c>
      <c r="B241" t="s">
        <v>1056</v>
      </c>
      <c r="C241" t="s">
        <v>189</v>
      </c>
      <c r="E241">
        <v>64</v>
      </c>
      <c r="F241">
        <v>27</v>
      </c>
      <c r="G241">
        <v>43</v>
      </c>
      <c r="H241">
        <v>41</v>
      </c>
      <c r="I241">
        <v>42</v>
      </c>
      <c r="J241">
        <v>37</v>
      </c>
      <c r="K241">
        <v>32</v>
      </c>
      <c r="L241">
        <v>33</v>
      </c>
      <c r="M241">
        <v>39</v>
      </c>
      <c r="N241">
        <v>38</v>
      </c>
      <c r="O241">
        <v>63</v>
      </c>
      <c r="P241">
        <v>55</v>
      </c>
      <c r="Q241">
        <v>52</v>
      </c>
      <c r="R241">
        <v>58</v>
      </c>
      <c r="S241">
        <v>624</v>
      </c>
    </row>
    <row r="242" spans="1:19" x14ac:dyDescent="0.25">
      <c r="A242" t="s">
        <v>669</v>
      </c>
      <c r="B242" t="s">
        <v>1057</v>
      </c>
      <c r="C242" t="s">
        <v>205</v>
      </c>
      <c r="E242">
        <v>70</v>
      </c>
      <c r="F242">
        <v>71</v>
      </c>
      <c r="G242">
        <v>69</v>
      </c>
      <c r="H242">
        <v>80</v>
      </c>
      <c r="I242">
        <v>76</v>
      </c>
      <c r="J242">
        <v>93</v>
      </c>
      <c r="K242">
        <v>82</v>
      </c>
      <c r="L242">
        <v>80</v>
      </c>
      <c r="M242">
        <v>67</v>
      </c>
      <c r="N242">
        <v>79</v>
      </c>
      <c r="O242">
        <v>93</v>
      </c>
      <c r="P242">
        <v>76</v>
      </c>
      <c r="Q242">
        <v>60</v>
      </c>
      <c r="R242">
        <v>105</v>
      </c>
      <c r="S242">
        <v>1101</v>
      </c>
    </row>
    <row r="243" spans="1:19" x14ac:dyDescent="0.25">
      <c r="A243" t="s">
        <v>671</v>
      </c>
      <c r="B243" t="s">
        <v>1058</v>
      </c>
      <c r="C243" t="s">
        <v>210</v>
      </c>
      <c r="D243" t="s">
        <v>819</v>
      </c>
      <c r="F243">
        <v>3</v>
      </c>
      <c r="G243">
        <v>1</v>
      </c>
      <c r="J243">
        <v>4</v>
      </c>
      <c r="N243">
        <v>1</v>
      </c>
      <c r="S243">
        <v>9</v>
      </c>
    </row>
    <row r="244" spans="1:19" x14ac:dyDescent="0.25">
      <c r="A244" t="s">
        <v>673</v>
      </c>
      <c r="B244" t="s">
        <v>1059</v>
      </c>
      <c r="C244" t="s">
        <v>205</v>
      </c>
      <c r="E244">
        <v>1</v>
      </c>
      <c r="F244">
        <v>0</v>
      </c>
      <c r="G244">
        <v>1</v>
      </c>
      <c r="I244">
        <v>1</v>
      </c>
      <c r="J244">
        <v>1</v>
      </c>
      <c r="K244">
        <v>2</v>
      </c>
      <c r="M244">
        <v>1</v>
      </c>
      <c r="O244">
        <v>3</v>
      </c>
      <c r="P244">
        <v>2</v>
      </c>
      <c r="R244">
        <v>2</v>
      </c>
      <c r="S244">
        <v>14</v>
      </c>
    </row>
    <row r="245" spans="1:19" x14ac:dyDescent="0.25">
      <c r="A245" t="s">
        <v>675</v>
      </c>
      <c r="B245" t="s">
        <v>1060</v>
      </c>
      <c r="C245" t="s">
        <v>197</v>
      </c>
      <c r="E245">
        <v>84</v>
      </c>
      <c r="F245">
        <v>54</v>
      </c>
      <c r="G245">
        <v>64</v>
      </c>
      <c r="H245">
        <v>74</v>
      </c>
      <c r="I245">
        <v>78</v>
      </c>
      <c r="J245">
        <v>63</v>
      </c>
      <c r="K245">
        <v>87</v>
      </c>
      <c r="L245">
        <v>87</v>
      </c>
      <c r="M245">
        <v>91</v>
      </c>
      <c r="N245">
        <v>117</v>
      </c>
      <c r="O245">
        <v>86</v>
      </c>
      <c r="P245">
        <v>92</v>
      </c>
      <c r="Q245">
        <v>92</v>
      </c>
      <c r="R245">
        <v>121</v>
      </c>
      <c r="S245">
        <v>1190</v>
      </c>
    </row>
    <row r="246" spans="1:19" x14ac:dyDescent="0.25">
      <c r="A246" t="s">
        <v>677</v>
      </c>
      <c r="B246" t="s">
        <v>1061</v>
      </c>
      <c r="C246" t="s">
        <v>205</v>
      </c>
      <c r="E246">
        <v>59</v>
      </c>
      <c r="F246">
        <v>34</v>
      </c>
      <c r="G246">
        <v>26</v>
      </c>
      <c r="H246">
        <v>51</v>
      </c>
      <c r="I246">
        <v>51</v>
      </c>
      <c r="J246">
        <v>48</v>
      </c>
      <c r="K246">
        <v>55</v>
      </c>
      <c r="L246">
        <v>52</v>
      </c>
      <c r="M246">
        <v>64</v>
      </c>
      <c r="N246">
        <v>49</v>
      </c>
      <c r="O246">
        <v>68</v>
      </c>
      <c r="P246">
        <v>59</v>
      </c>
      <c r="Q246">
        <v>40</v>
      </c>
      <c r="R246">
        <v>59</v>
      </c>
      <c r="S246">
        <v>715</v>
      </c>
    </row>
    <row r="247" spans="1:19" x14ac:dyDescent="0.25">
      <c r="A247" t="s">
        <v>679</v>
      </c>
      <c r="B247" t="s">
        <v>1062</v>
      </c>
      <c r="C247" t="s">
        <v>231</v>
      </c>
      <c r="E247">
        <v>2</v>
      </c>
      <c r="F247">
        <v>17</v>
      </c>
      <c r="G247">
        <v>8</v>
      </c>
      <c r="H247">
        <v>9</v>
      </c>
      <c r="I247">
        <v>5</v>
      </c>
      <c r="J247">
        <v>6</v>
      </c>
      <c r="K247">
        <v>5</v>
      </c>
      <c r="L247">
        <v>8</v>
      </c>
      <c r="M247">
        <v>5</v>
      </c>
      <c r="N247">
        <v>7</v>
      </c>
      <c r="O247">
        <v>9</v>
      </c>
      <c r="P247">
        <v>11</v>
      </c>
      <c r="Q247">
        <v>5</v>
      </c>
      <c r="R247">
        <v>10</v>
      </c>
      <c r="S247">
        <v>107</v>
      </c>
    </row>
    <row r="248" spans="1:19" x14ac:dyDescent="0.25">
      <c r="A248" t="s">
        <v>682</v>
      </c>
      <c r="B248" t="s">
        <v>1063</v>
      </c>
      <c r="C248" t="s">
        <v>189</v>
      </c>
      <c r="E248">
        <v>4</v>
      </c>
      <c r="F248">
        <v>6</v>
      </c>
      <c r="G248">
        <v>5</v>
      </c>
      <c r="H248">
        <v>2</v>
      </c>
      <c r="I248">
        <v>4</v>
      </c>
      <c r="J248">
        <v>4</v>
      </c>
      <c r="K248">
        <v>5</v>
      </c>
      <c r="L248">
        <v>6</v>
      </c>
      <c r="M248">
        <v>6</v>
      </c>
      <c r="N248">
        <v>9</v>
      </c>
      <c r="O248">
        <v>9</v>
      </c>
      <c r="P248">
        <v>8</v>
      </c>
      <c r="Q248">
        <v>7</v>
      </c>
      <c r="R248">
        <v>5</v>
      </c>
      <c r="S248">
        <v>80</v>
      </c>
    </row>
    <row r="249" spans="1:19" x14ac:dyDescent="0.25">
      <c r="A249" t="s">
        <v>684</v>
      </c>
      <c r="B249" t="s">
        <v>1064</v>
      </c>
      <c r="C249" t="s">
        <v>228</v>
      </c>
      <c r="E249">
        <v>102</v>
      </c>
      <c r="F249">
        <v>83</v>
      </c>
      <c r="G249">
        <v>81</v>
      </c>
      <c r="H249">
        <v>96</v>
      </c>
      <c r="I249">
        <v>117</v>
      </c>
      <c r="J249">
        <v>114</v>
      </c>
      <c r="K249">
        <v>107</v>
      </c>
      <c r="L249">
        <v>96</v>
      </c>
      <c r="M249">
        <v>101</v>
      </c>
      <c r="N249">
        <v>122</v>
      </c>
      <c r="O249">
        <v>124</v>
      </c>
      <c r="P249">
        <v>124</v>
      </c>
      <c r="Q249">
        <v>104</v>
      </c>
      <c r="R249">
        <v>145</v>
      </c>
      <c r="S249">
        <v>1516</v>
      </c>
    </row>
    <row r="250" spans="1:19" x14ac:dyDescent="0.25">
      <c r="A250" t="s">
        <v>686</v>
      </c>
      <c r="B250" t="s">
        <v>1065</v>
      </c>
      <c r="C250" t="s">
        <v>197</v>
      </c>
      <c r="E250">
        <v>5</v>
      </c>
      <c r="F250">
        <v>9</v>
      </c>
      <c r="G250">
        <v>6</v>
      </c>
      <c r="H250">
        <v>16</v>
      </c>
      <c r="I250">
        <v>15</v>
      </c>
      <c r="J250">
        <v>16</v>
      </c>
      <c r="K250">
        <v>10</v>
      </c>
      <c r="L250">
        <v>19</v>
      </c>
      <c r="M250">
        <v>14</v>
      </c>
      <c r="N250">
        <v>5</v>
      </c>
      <c r="O250">
        <v>17</v>
      </c>
      <c r="P250">
        <v>13</v>
      </c>
      <c r="Q250">
        <v>14</v>
      </c>
      <c r="R250">
        <v>24</v>
      </c>
      <c r="S250">
        <v>183</v>
      </c>
    </row>
    <row r="251" spans="1:19" x14ac:dyDescent="0.25">
      <c r="A251" t="s">
        <v>688</v>
      </c>
      <c r="B251" t="s">
        <v>1066</v>
      </c>
      <c r="C251" t="s">
        <v>189</v>
      </c>
      <c r="F251">
        <v>3</v>
      </c>
      <c r="G251">
        <v>4</v>
      </c>
      <c r="H251">
        <v>4</v>
      </c>
      <c r="I251">
        <v>3</v>
      </c>
      <c r="J251">
        <v>3</v>
      </c>
      <c r="K251">
        <v>3</v>
      </c>
      <c r="L251">
        <v>4</v>
      </c>
      <c r="M251">
        <v>7</v>
      </c>
      <c r="S251">
        <v>31</v>
      </c>
    </row>
    <row r="252" spans="1:19" x14ac:dyDescent="0.25">
      <c r="A252" t="s">
        <v>690</v>
      </c>
      <c r="B252" t="s">
        <v>1067</v>
      </c>
      <c r="C252" t="s">
        <v>194</v>
      </c>
      <c r="E252">
        <v>244</v>
      </c>
      <c r="F252">
        <v>268</v>
      </c>
      <c r="G252">
        <v>323</v>
      </c>
      <c r="H252">
        <v>379</v>
      </c>
      <c r="I252">
        <v>364</v>
      </c>
      <c r="J252">
        <v>381</v>
      </c>
      <c r="K252">
        <v>371</v>
      </c>
      <c r="L252">
        <v>374</v>
      </c>
      <c r="M252">
        <v>340</v>
      </c>
      <c r="N252">
        <v>375</v>
      </c>
      <c r="O252">
        <v>343</v>
      </c>
      <c r="P252">
        <v>303</v>
      </c>
      <c r="Q252">
        <v>279</v>
      </c>
      <c r="R252">
        <v>379</v>
      </c>
      <c r="S252">
        <v>4723</v>
      </c>
    </row>
    <row r="253" spans="1:19" x14ac:dyDescent="0.25">
      <c r="A253" t="s">
        <v>692</v>
      </c>
      <c r="B253" t="s">
        <v>1244</v>
      </c>
      <c r="C253" t="s">
        <v>194</v>
      </c>
      <c r="F253">
        <v>5</v>
      </c>
      <c r="G253">
        <v>13</v>
      </c>
      <c r="H253">
        <v>11</v>
      </c>
      <c r="I253">
        <v>9</v>
      </c>
      <c r="J253">
        <v>8</v>
      </c>
      <c r="K253">
        <v>5</v>
      </c>
      <c r="L253">
        <v>7</v>
      </c>
      <c r="M253">
        <v>12</v>
      </c>
      <c r="N253">
        <v>5</v>
      </c>
      <c r="O253">
        <v>3</v>
      </c>
      <c r="S253">
        <v>78</v>
      </c>
    </row>
    <row r="254" spans="1:19" x14ac:dyDescent="0.25">
      <c r="A254" t="s">
        <v>694</v>
      </c>
      <c r="B254" t="s">
        <v>1069</v>
      </c>
      <c r="C254" t="s">
        <v>194</v>
      </c>
      <c r="F254">
        <v>1</v>
      </c>
      <c r="H254">
        <v>2</v>
      </c>
      <c r="I254">
        <v>2</v>
      </c>
      <c r="J254">
        <v>2</v>
      </c>
      <c r="O254">
        <v>4</v>
      </c>
      <c r="P254">
        <v>2</v>
      </c>
      <c r="R254">
        <v>1</v>
      </c>
      <c r="S254">
        <v>14</v>
      </c>
    </row>
    <row r="255" spans="1:19" x14ac:dyDescent="0.25">
      <c r="A255" t="s">
        <v>696</v>
      </c>
      <c r="B255" t="s">
        <v>1253</v>
      </c>
      <c r="C255" t="s">
        <v>194</v>
      </c>
      <c r="F255">
        <v>3</v>
      </c>
      <c r="G255">
        <v>1</v>
      </c>
      <c r="I255">
        <v>2</v>
      </c>
      <c r="K255">
        <v>4</v>
      </c>
      <c r="O255">
        <v>2</v>
      </c>
      <c r="P255">
        <v>2</v>
      </c>
      <c r="S255">
        <v>14</v>
      </c>
    </row>
    <row r="256" spans="1:19" x14ac:dyDescent="0.25">
      <c r="A256" t="s">
        <v>698</v>
      </c>
      <c r="B256" t="s">
        <v>1071</v>
      </c>
      <c r="C256" t="s">
        <v>197</v>
      </c>
      <c r="E256">
        <v>57</v>
      </c>
      <c r="F256">
        <v>35</v>
      </c>
      <c r="G256">
        <v>41</v>
      </c>
      <c r="H256">
        <v>50</v>
      </c>
      <c r="I256">
        <v>50</v>
      </c>
      <c r="J256">
        <v>51</v>
      </c>
      <c r="K256">
        <v>62</v>
      </c>
      <c r="L256">
        <v>48</v>
      </c>
      <c r="M256">
        <v>54</v>
      </c>
      <c r="N256">
        <v>33</v>
      </c>
      <c r="O256">
        <v>41</v>
      </c>
      <c r="P256">
        <v>42</v>
      </c>
      <c r="Q256">
        <v>49</v>
      </c>
      <c r="R256">
        <v>70</v>
      </c>
      <c r="S256">
        <v>683</v>
      </c>
    </row>
    <row r="257" spans="1:19" x14ac:dyDescent="0.25">
      <c r="A257" t="s">
        <v>702</v>
      </c>
      <c r="B257" t="s">
        <v>1072</v>
      </c>
      <c r="C257" t="s">
        <v>202</v>
      </c>
      <c r="F257">
        <v>0</v>
      </c>
      <c r="G257">
        <v>1</v>
      </c>
      <c r="S257">
        <v>1</v>
      </c>
    </row>
    <row r="258" spans="1:19" x14ac:dyDescent="0.25">
      <c r="A258" t="s">
        <v>706</v>
      </c>
      <c r="B258" t="s">
        <v>1236</v>
      </c>
      <c r="C258" t="s">
        <v>205</v>
      </c>
      <c r="E258">
        <v>24</v>
      </c>
      <c r="F258">
        <v>30</v>
      </c>
      <c r="G258">
        <v>34</v>
      </c>
      <c r="H258">
        <v>29</v>
      </c>
      <c r="I258">
        <v>42</v>
      </c>
      <c r="J258">
        <v>32</v>
      </c>
      <c r="K258">
        <v>27</v>
      </c>
      <c r="L258">
        <v>23</v>
      </c>
      <c r="M258">
        <v>39</v>
      </c>
      <c r="N258">
        <v>37</v>
      </c>
      <c r="O258">
        <v>23</v>
      </c>
      <c r="P258">
        <v>32</v>
      </c>
      <c r="Q258">
        <v>18</v>
      </c>
      <c r="R258">
        <v>38</v>
      </c>
      <c r="S258">
        <v>428</v>
      </c>
    </row>
    <row r="259" spans="1:19" x14ac:dyDescent="0.25">
      <c r="A259" t="s">
        <v>708</v>
      </c>
      <c r="B259" t="s">
        <v>1074</v>
      </c>
      <c r="C259" t="s">
        <v>194</v>
      </c>
      <c r="E259">
        <v>1</v>
      </c>
      <c r="F259">
        <v>0</v>
      </c>
      <c r="H259">
        <v>1</v>
      </c>
      <c r="K259">
        <v>1</v>
      </c>
      <c r="L259">
        <v>2</v>
      </c>
      <c r="M259">
        <v>1</v>
      </c>
      <c r="N259">
        <v>1</v>
      </c>
      <c r="S259">
        <v>7</v>
      </c>
    </row>
    <row r="260" spans="1:19" x14ac:dyDescent="0.25">
      <c r="A260" t="s">
        <v>710</v>
      </c>
      <c r="B260" t="s">
        <v>1075</v>
      </c>
      <c r="C260" t="s">
        <v>210</v>
      </c>
      <c r="D260" t="s">
        <v>819</v>
      </c>
      <c r="E260">
        <v>10</v>
      </c>
      <c r="F260">
        <v>6</v>
      </c>
      <c r="G260">
        <v>6</v>
      </c>
      <c r="H260">
        <v>8</v>
      </c>
      <c r="I260">
        <v>9</v>
      </c>
      <c r="J260">
        <v>7</v>
      </c>
      <c r="K260">
        <v>10</v>
      </c>
      <c r="L260">
        <v>10</v>
      </c>
      <c r="M260">
        <v>14</v>
      </c>
      <c r="N260">
        <v>14</v>
      </c>
      <c r="O260">
        <v>12</v>
      </c>
      <c r="P260">
        <v>8</v>
      </c>
      <c r="Q260">
        <v>8</v>
      </c>
      <c r="R260">
        <v>13</v>
      </c>
      <c r="S260">
        <v>135</v>
      </c>
    </row>
    <row r="261" spans="1:19" x14ac:dyDescent="0.25">
      <c r="A261" t="s">
        <v>712</v>
      </c>
      <c r="B261" t="s">
        <v>1076</v>
      </c>
      <c r="C261" t="s">
        <v>197</v>
      </c>
      <c r="E261">
        <v>19</v>
      </c>
      <c r="F261">
        <v>16</v>
      </c>
      <c r="G261">
        <v>17</v>
      </c>
      <c r="H261">
        <v>27</v>
      </c>
      <c r="I261">
        <v>30</v>
      </c>
      <c r="J261">
        <v>30</v>
      </c>
      <c r="K261">
        <v>28</v>
      </c>
      <c r="L261">
        <v>25</v>
      </c>
      <c r="M261">
        <v>29</v>
      </c>
      <c r="N261">
        <v>24</v>
      </c>
      <c r="O261">
        <v>26</v>
      </c>
      <c r="P261">
        <v>28</v>
      </c>
      <c r="Q261">
        <v>16</v>
      </c>
      <c r="R261">
        <v>22</v>
      </c>
      <c r="S261">
        <v>337</v>
      </c>
    </row>
    <row r="262" spans="1:19" x14ac:dyDescent="0.25">
      <c r="A262" t="s">
        <v>716</v>
      </c>
      <c r="B262" t="s">
        <v>1239</v>
      </c>
      <c r="C262" t="s">
        <v>205</v>
      </c>
      <c r="F262">
        <v>0</v>
      </c>
      <c r="O262">
        <v>4</v>
      </c>
      <c r="P262">
        <v>10</v>
      </c>
      <c r="Q262">
        <v>6</v>
      </c>
      <c r="R262">
        <v>8</v>
      </c>
      <c r="S262">
        <v>28</v>
      </c>
    </row>
    <row r="263" spans="1:19" x14ac:dyDescent="0.25">
      <c r="A263" t="s">
        <v>714</v>
      </c>
      <c r="B263" t="s">
        <v>1231</v>
      </c>
      <c r="C263" t="s">
        <v>205</v>
      </c>
      <c r="F263">
        <v>0</v>
      </c>
      <c r="L263">
        <v>8</v>
      </c>
      <c r="M263">
        <v>10</v>
      </c>
      <c r="N263">
        <v>9</v>
      </c>
      <c r="O263">
        <v>19</v>
      </c>
      <c r="P263">
        <v>20</v>
      </c>
      <c r="Q263">
        <v>11</v>
      </c>
      <c r="R263">
        <v>9</v>
      </c>
      <c r="S263">
        <v>86</v>
      </c>
    </row>
    <row r="264" spans="1:19" x14ac:dyDescent="0.25">
      <c r="A264" t="s">
        <v>718</v>
      </c>
      <c r="B264" t="s">
        <v>1230</v>
      </c>
      <c r="C264" t="s">
        <v>205</v>
      </c>
      <c r="F264">
        <v>0</v>
      </c>
      <c r="O264">
        <v>15</v>
      </c>
      <c r="P264">
        <v>13</v>
      </c>
      <c r="Q264">
        <v>15</v>
      </c>
      <c r="R264">
        <v>17</v>
      </c>
      <c r="S264">
        <v>60</v>
      </c>
    </row>
    <row r="265" spans="1:19" x14ac:dyDescent="0.25">
      <c r="A265" t="s">
        <v>720</v>
      </c>
      <c r="B265" t="s">
        <v>1080</v>
      </c>
      <c r="C265" t="s">
        <v>194</v>
      </c>
      <c r="F265">
        <v>0</v>
      </c>
      <c r="H265">
        <v>1</v>
      </c>
      <c r="I265">
        <v>1</v>
      </c>
      <c r="J265">
        <v>1</v>
      </c>
      <c r="K265">
        <v>3</v>
      </c>
      <c r="N265">
        <v>2</v>
      </c>
      <c r="S265">
        <v>8</v>
      </c>
    </row>
    <row r="266" spans="1:19" x14ac:dyDescent="0.25">
      <c r="A266" t="s">
        <v>722</v>
      </c>
      <c r="B266" t="s">
        <v>1238</v>
      </c>
      <c r="C266" t="s">
        <v>205</v>
      </c>
      <c r="E266">
        <v>91</v>
      </c>
      <c r="F266">
        <v>74</v>
      </c>
      <c r="G266">
        <v>74</v>
      </c>
      <c r="H266">
        <v>87</v>
      </c>
      <c r="I266">
        <v>94</v>
      </c>
      <c r="J266">
        <v>84</v>
      </c>
      <c r="K266">
        <v>78</v>
      </c>
      <c r="L266">
        <v>98</v>
      </c>
      <c r="M266">
        <v>86</v>
      </c>
      <c r="N266">
        <v>97</v>
      </c>
      <c r="O266">
        <v>100</v>
      </c>
      <c r="P266">
        <v>101</v>
      </c>
      <c r="Q266">
        <v>85</v>
      </c>
      <c r="R266">
        <v>98</v>
      </c>
      <c r="S266">
        <v>1247</v>
      </c>
    </row>
    <row r="267" spans="1:19" x14ac:dyDescent="0.25">
      <c r="A267" t="s">
        <v>724</v>
      </c>
      <c r="B267" t="s">
        <v>1082</v>
      </c>
      <c r="C267" t="s">
        <v>221</v>
      </c>
      <c r="E267">
        <v>35</v>
      </c>
      <c r="F267">
        <v>46</v>
      </c>
      <c r="G267">
        <v>49</v>
      </c>
      <c r="H267">
        <v>69</v>
      </c>
      <c r="I267">
        <v>64</v>
      </c>
      <c r="J267">
        <v>74</v>
      </c>
      <c r="K267">
        <v>79</v>
      </c>
      <c r="L267">
        <v>56</v>
      </c>
      <c r="M267">
        <v>74</v>
      </c>
      <c r="N267">
        <v>84</v>
      </c>
      <c r="O267">
        <v>69</v>
      </c>
      <c r="P267">
        <v>78</v>
      </c>
      <c r="Q267">
        <v>54</v>
      </c>
      <c r="R267">
        <v>72</v>
      </c>
      <c r="S267">
        <v>903</v>
      </c>
    </row>
    <row r="268" spans="1:19" x14ac:dyDescent="0.25">
      <c r="A268" t="s">
        <v>726</v>
      </c>
      <c r="B268" t="s">
        <v>1234</v>
      </c>
      <c r="C268" t="s">
        <v>228</v>
      </c>
      <c r="F268">
        <v>0</v>
      </c>
      <c r="L268">
        <v>1</v>
      </c>
      <c r="M268">
        <v>5</v>
      </c>
      <c r="N268">
        <v>1</v>
      </c>
      <c r="O268">
        <v>3</v>
      </c>
      <c r="P268">
        <v>2</v>
      </c>
      <c r="Q268">
        <v>2</v>
      </c>
      <c r="R268">
        <v>4</v>
      </c>
      <c r="S268">
        <v>18</v>
      </c>
    </row>
    <row r="269" spans="1:19" x14ac:dyDescent="0.25">
      <c r="A269" t="s">
        <v>728</v>
      </c>
      <c r="B269" t="s">
        <v>1084</v>
      </c>
      <c r="C269" t="s">
        <v>205</v>
      </c>
      <c r="E269">
        <v>254</v>
      </c>
      <c r="F269">
        <v>228</v>
      </c>
      <c r="G269">
        <v>230</v>
      </c>
      <c r="H269">
        <v>275</v>
      </c>
      <c r="I269">
        <v>312</v>
      </c>
      <c r="J269">
        <v>297</v>
      </c>
      <c r="K269">
        <v>331</v>
      </c>
      <c r="L269">
        <v>324</v>
      </c>
      <c r="M269">
        <v>342</v>
      </c>
      <c r="N269">
        <v>330</v>
      </c>
      <c r="O269">
        <v>324</v>
      </c>
      <c r="P269">
        <v>296</v>
      </c>
      <c r="Q269">
        <v>302</v>
      </c>
      <c r="R269">
        <v>369</v>
      </c>
      <c r="S269">
        <v>4214</v>
      </c>
    </row>
    <row r="270" spans="1:19" x14ac:dyDescent="0.25">
      <c r="A270" t="s">
        <v>730</v>
      </c>
      <c r="B270" t="s">
        <v>1148</v>
      </c>
      <c r="C270" t="s">
        <v>189</v>
      </c>
      <c r="F270">
        <v>1</v>
      </c>
      <c r="H270">
        <v>1</v>
      </c>
      <c r="I270">
        <v>4</v>
      </c>
      <c r="J270">
        <v>4</v>
      </c>
      <c r="K270">
        <v>4</v>
      </c>
      <c r="L270">
        <v>1</v>
      </c>
      <c r="M270">
        <v>6</v>
      </c>
      <c r="N270">
        <v>2</v>
      </c>
      <c r="O270">
        <v>1</v>
      </c>
      <c r="P270">
        <v>10</v>
      </c>
      <c r="Q270">
        <v>5</v>
      </c>
      <c r="R270">
        <v>4</v>
      </c>
      <c r="S270">
        <v>43</v>
      </c>
    </row>
    <row r="271" spans="1:19" x14ac:dyDescent="0.25">
      <c r="A271" t="s">
        <v>732</v>
      </c>
      <c r="B271" t="s">
        <v>1085</v>
      </c>
      <c r="C271" t="s">
        <v>205</v>
      </c>
      <c r="E271">
        <v>95</v>
      </c>
      <c r="F271">
        <v>52</v>
      </c>
      <c r="G271">
        <v>79</v>
      </c>
      <c r="H271">
        <v>93</v>
      </c>
      <c r="I271">
        <v>76</v>
      </c>
      <c r="J271">
        <v>83</v>
      </c>
      <c r="K271">
        <v>85</v>
      </c>
      <c r="L271">
        <v>72</v>
      </c>
      <c r="M271">
        <v>78</v>
      </c>
      <c r="N271">
        <v>69</v>
      </c>
      <c r="O271">
        <v>74</v>
      </c>
      <c r="P271">
        <v>73</v>
      </c>
      <c r="Q271">
        <v>85</v>
      </c>
      <c r="R271">
        <v>79</v>
      </c>
      <c r="S271">
        <v>1093</v>
      </c>
    </row>
    <row r="272" spans="1:19" x14ac:dyDescent="0.25">
      <c r="A272" t="s">
        <v>734</v>
      </c>
      <c r="B272" t="s">
        <v>1086</v>
      </c>
      <c r="C272" t="s">
        <v>194</v>
      </c>
      <c r="E272">
        <v>3</v>
      </c>
      <c r="F272">
        <v>2</v>
      </c>
      <c r="G272">
        <v>1</v>
      </c>
      <c r="H272">
        <v>2</v>
      </c>
      <c r="I272">
        <v>5</v>
      </c>
      <c r="J272">
        <v>4</v>
      </c>
      <c r="K272">
        <v>4</v>
      </c>
      <c r="L272">
        <v>1</v>
      </c>
      <c r="M272">
        <v>1</v>
      </c>
      <c r="N272">
        <v>4</v>
      </c>
      <c r="P272">
        <v>4</v>
      </c>
      <c r="Q272">
        <v>7</v>
      </c>
      <c r="R272">
        <v>3</v>
      </c>
      <c r="S272">
        <v>41</v>
      </c>
    </row>
    <row r="273" spans="1:19" x14ac:dyDescent="0.25">
      <c r="A273" t="s">
        <v>736</v>
      </c>
      <c r="B273" t="s">
        <v>1087</v>
      </c>
      <c r="C273" t="s">
        <v>189</v>
      </c>
      <c r="E273">
        <v>10</v>
      </c>
      <c r="F273">
        <v>9</v>
      </c>
      <c r="G273">
        <v>11</v>
      </c>
      <c r="H273">
        <v>21</v>
      </c>
      <c r="I273">
        <v>16</v>
      </c>
      <c r="J273">
        <v>17</v>
      </c>
      <c r="K273">
        <v>14</v>
      </c>
      <c r="L273">
        <v>14</v>
      </c>
      <c r="M273">
        <v>13</v>
      </c>
      <c r="N273">
        <v>15</v>
      </c>
      <c r="O273">
        <v>12</v>
      </c>
      <c r="P273">
        <v>16</v>
      </c>
      <c r="Q273">
        <v>13</v>
      </c>
      <c r="R273">
        <v>22</v>
      </c>
      <c r="S273">
        <v>203</v>
      </c>
    </row>
    <row r="274" spans="1:19" x14ac:dyDescent="0.25">
      <c r="A274" t="s">
        <v>738</v>
      </c>
      <c r="B274" t="s">
        <v>1088</v>
      </c>
      <c r="C274" t="s">
        <v>221</v>
      </c>
      <c r="E274">
        <v>3</v>
      </c>
      <c r="F274">
        <v>5</v>
      </c>
      <c r="G274">
        <v>2</v>
      </c>
      <c r="H274">
        <v>3</v>
      </c>
      <c r="I274">
        <v>4</v>
      </c>
      <c r="J274">
        <v>4</v>
      </c>
      <c r="K274">
        <v>2</v>
      </c>
      <c r="L274">
        <v>2</v>
      </c>
      <c r="M274">
        <v>1</v>
      </c>
      <c r="N274">
        <v>3</v>
      </c>
      <c r="O274">
        <v>3</v>
      </c>
      <c r="Q274">
        <v>1</v>
      </c>
      <c r="R274">
        <v>2</v>
      </c>
      <c r="S274">
        <v>35</v>
      </c>
    </row>
    <row r="275" spans="1:19" x14ac:dyDescent="0.25">
      <c r="A275" t="s">
        <v>740</v>
      </c>
      <c r="B275" t="s">
        <v>1089</v>
      </c>
      <c r="C275" t="s">
        <v>189</v>
      </c>
      <c r="E275">
        <v>8</v>
      </c>
      <c r="F275">
        <v>6</v>
      </c>
      <c r="G275">
        <v>5</v>
      </c>
      <c r="H275">
        <v>12</v>
      </c>
      <c r="I275">
        <v>14</v>
      </c>
      <c r="J275">
        <v>11</v>
      </c>
      <c r="K275">
        <v>6</v>
      </c>
      <c r="L275">
        <v>7</v>
      </c>
      <c r="M275">
        <v>10</v>
      </c>
      <c r="N275">
        <v>7</v>
      </c>
      <c r="O275">
        <v>12</v>
      </c>
      <c r="P275">
        <v>15</v>
      </c>
      <c r="Q275">
        <v>7</v>
      </c>
      <c r="R275">
        <v>13</v>
      </c>
      <c r="S275">
        <v>133</v>
      </c>
    </row>
    <row r="276" spans="1:19" x14ac:dyDescent="0.25">
      <c r="A276" t="s">
        <v>742</v>
      </c>
      <c r="B276" t="s">
        <v>1090</v>
      </c>
      <c r="C276" t="s">
        <v>231</v>
      </c>
      <c r="E276">
        <v>8</v>
      </c>
      <c r="F276">
        <v>4</v>
      </c>
      <c r="G276">
        <v>6</v>
      </c>
      <c r="H276">
        <v>7</v>
      </c>
      <c r="I276">
        <v>13</v>
      </c>
      <c r="J276">
        <v>8</v>
      </c>
      <c r="K276">
        <v>13</v>
      </c>
      <c r="L276">
        <v>11</v>
      </c>
      <c r="M276">
        <v>9</v>
      </c>
      <c r="N276">
        <v>8</v>
      </c>
      <c r="O276">
        <v>12</v>
      </c>
      <c r="P276">
        <v>9</v>
      </c>
      <c r="Q276">
        <v>14</v>
      </c>
      <c r="R276">
        <v>10</v>
      </c>
      <c r="S276">
        <v>132</v>
      </c>
    </row>
    <row r="277" spans="1:19" x14ac:dyDescent="0.25">
      <c r="A277" t="s">
        <v>744</v>
      </c>
      <c r="B277" t="s">
        <v>1091</v>
      </c>
      <c r="C277" t="s">
        <v>221</v>
      </c>
      <c r="E277">
        <v>28</v>
      </c>
      <c r="F277">
        <v>19</v>
      </c>
      <c r="G277">
        <v>28</v>
      </c>
      <c r="H277">
        <v>31</v>
      </c>
      <c r="I277">
        <v>26</v>
      </c>
      <c r="J277">
        <v>29</v>
      </c>
      <c r="K277">
        <v>42</v>
      </c>
      <c r="L277">
        <v>50</v>
      </c>
      <c r="M277">
        <v>52</v>
      </c>
      <c r="N277">
        <v>53</v>
      </c>
      <c r="O277">
        <v>40</v>
      </c>
      <c r="P277">
        <v>43</v>
      </c>
      <c r="Q277">
        <v>42</v>
      </c>
      <c r="R277">
        <v>73</v>
      </c>
      <c r="S277">
        <v>556</v>
      </c>
    </row>
    <row r="278" spans="1:19" x14ac:dyDescent="0.25">
      <c r="A278" t="s">
        <v>746</v>
      </c>
      <c r="B278" t="s">
        <v>1092</v>
      </c>
      <c r="C278" t="s">
        <v>202</v>
      </c>
      <c r="F278">
        <v>1</v>
      </c>
      <c r="G278">
        <v>2</v>
      </c>
      <c r="I278">
        <v>1</v>
      </c>
      <c r="J278">
        <v>2</v>
      </c>
      <c r="L278">
        <v>3</v>
      </c>
      <c r="M278">
        <v>1</v>
      </c>
      <c r="N278">
        <v>1</v>
      </c>
      <c r="O278">
        <v>2</v>
      </c>
      <c r="P278">
        <v>2</v>
      </c>
      <c r="Q278">
        <v>6</v>
      </c>
      <c r="R278">
        <v>2</v>
      </c>
      <c r="S278">
        <v>23</v>
      </c>
    </row>
    <row r="279" spans="1:19" x14ac:dyDescent="0.25">
      <c r="A279" t="s">
        <v>748</v>
      </c>
      <c r="B279" t="s">
        <v>1093</v>
      </c>
      <c r="C279" t="s">
        <v>210</v>
      </c>
      <c r="D279" t="s">
        <v>819</v>
      </c>
      <c r="E279">
        <v>5</v>
      </c>
      <c r="F279">
        <v>7</v>
      </c>
      <c r="G279">
        <v>4</v>
      </c>
      <c r="H279">
        <v>7</v>
      </c>
      <c r="I279">
        <v>7</v>
      </c>
      <c r="J279">
        <v>14</v>
      </c>
      <c r="K279">
        <v>16</v>
      </c>
      <c r="L279">
        <v>8</v>
      </c>
      <c r="M279">
        <v>3</v>
      </c>
      <c r="N279">
        <v>7</v>
      </c>
      <c r="O279">
        <v>7</v>
      </c>
      <c r="P279">
        <v>10</v>
      </c>
      <c r="Q279">
        <v>5</v>
      </c>
      <c r="R279">
        <v>8</v>
      </c>
      <c r="S279">
        <v>108</v>
      </c>
    </row>
    <row r="280" spans="1:19" x14ac:dyDescent="0.25">
      <c r="A280" t="s">
        <v>750</v>
      </c>
      <c r="B280" t="s">
        <v>1094</v>
      </c>
      <c r="C280" t="s">
        <v>210</v>
      </c>
      <c r="D280" t="s">
        <v>819</v>
      </c>
      <c r="E280">
        <v>1</v>
      </c>
      <c r="F280">
        <v>0</v>
      </c>
      <c r="H280">
        <v>1</v>
      </c>
      <c r="I280">
        <v>2</v>
      </c>
      <c r="K280">
        <v>2</v>
      </c>
      <c r="L280">
        <v>2</v>
      </c>
      <c r="M280">
        <v>2</v>
      </c>
      <c r="N280">
        <v>1</v>
      </c>
      <c r="O280">
        <v>3</v>
      </c>
      <c r="P280">
        <v>2</v>
      </c>
      <c r="Q280">
        <v>1</v>
      </c>
      <c r="R280">
        <v>1</v>
      </c>
      <c r="S280">
        <v>18</v>
      </c>
    </row>
    <row r="281" spans="1:19" x14ac:dyDescent="0.25">
      <c r="A281" t="s">
        <v>752</v>
      </c>
      <c r="B281" t="s">
        <v>1095</v>
      </c>
      <c r="C281" t="s">
        <v>205</v>
      </c>
      <c r="E281">
        <v>19</v>
      </c>
      <c r="F281">
        <v>6</v>
      </c>
      <c r="G281">
        <v>15</v>
      </c>
      <c r="H281">
        <v>26</v>
      </c>
      <c r="I281">
        <v>29</v>
      </c>
      <c r="J281">
        <v>26</v>
      </c>
      <c r="K281">
        <v>31</v>
      </c>
      <c r="L281">
        <v>22</v>
      </c>
      <c r="M281">
        <v>24</v>
      </c>
      <c r="N281">
        <v>29</v>
      </c>
      <c r="O281">
        <v>27</v>
      </c>
      <c r="P281">
        <v>19</v>
      </c>
      <c r="Q281">
        <v>18</v>
      </c>
      <c r="R281">
        <v>17</v>
      </c>
      <c r="S281">
        <v>308</v>
      </c>
    </row>
    <row r="282" spans="1:19" x14ac:dyDescent="0.25">
      <c r="A282" t="s">
        <v>754</v>
      </c>
      <c r="B282" t="s">
        <v>1096</v>
      </c>
      <c r="C282" t="s">
        <v>189</v>
      </c>
      <c r="E282">
        <v>46</v>
      </c>
      <c r="F282">
        <v>56</v>
      </c>
      <c r="G282">
        <v>58</v>
      </c>
      <c r="H282">
        <v>59</v>
      </c>
      <c r="I282">
        <v>76</v>
      </c>
      <c r="J282">
        <v>89</v>
      </c>
      <c r="K282">
        <v>84</v>
      </c>
      <c r="L282">
        <v>72</v>
      </c>
      <c r="M282">
        <v>49</v>
      </c>
      <c r="N282">
        <v>64</v>
      </c>
      <c r="O282">
        <v>51</v>
      </c>
      <c r="P282">
        <v>53</v>
      </c>
      <c r="Q282">
        <v>57</v>
      </c>
      <c r="R282">
        <v>71</v>
      </c>
      <c r="S282">
        <v>885</v>
      </c>
    </row>
    <row r="283" spans="1:19" x14ac:dyDescent="0.25">
      <c r="A283" t="s">
        <v>756</v>
      </c>
      <c r="B283" t="s">
        <v>1097</v>
      </c>
      <c r="C283" t="s">
        <v>221</v>
      </c>
      <c r="E283">
        <v>6</v>
      </c>
      <c r="F283">
        <v>7</v>
      </c>
      <c r="G283">
        <v>6</v>
      </c>
      <c r="H283">
        <v>8</v>
      </c>
      <c r="I283">
        <v>7</v>
      </c>
      <c r="J283">
        <v>6</v>
      </c>
      <c r="K283">
        <v>6</v>
      </c>
      <c r="L283">
        <v>10</v>
      </c>
      <c r="M283">
        <v>9</v>
      </c>
      <c r="N283">
        <v>9</v>
      </c>
      <c r="S283">
        <v>74</v>
      </c>
    </row>
    <row r="284" spans="1:19" x14ac:dyDescent="0.25">
      <c r="A284" t="s">
        <v>758</v>
      </c>
      <c r="B284" t="s">
        <v>1098</v>
      </c>
      <c r="C284" t="s">
        <v>205</v>
      </c>
      <c r="E284">
        <v>38</v>
      </c>
      <c r="F284">
        <v>30</v>
      </c>
      <c r="G284">
        <v>48</v>
      </c>
      <c r="H284">
        <v>44</v>
      </c>
      <c r="I284">
        <v>51</v>
      </c>
      <c r="J284">
        <v>54</v>
      </c>
      <c r="K284">
        <v>30</v>
      </c>
      <c r="L284">
        <v>46</v>
      </c>
      <c r="M284">
        <v>53</v>
      </c>
      <c r="N284">
        <v>32</v>
      </c>
      <c r="O284">
        <v>47</v>
      </c>
      <c r="P284">
        <v>30</v>
      </c>
      <c r="Q284">
        <v>31</v>
      </c>
      <c r="R284">
        <v>49</v>
      </c>
      <c r="S284">
        <v>583</v>
      </c>
    </row>
    <row r="285" spans="1:19" x14ac:dyDescent="0.25">
      <c r="A285" t="s">
        <v>760</v>
      </c>
      <c r="B285" t="s">
        <v>1246</v>
      </c>
      <c r="C285" t="s">
        <v>194</v>
      </c>
      <c r="E285">
        <v>4</v>
      </c>
      <c r="F285">
        <v>7</v>
      </c>
      <c r="G285">
        <v>7</v>
      </c>
      <c r="H285">
        <v>7</v>
      </c>
      <c r="I285">
        <v>10</v>
      </c>
      <c r="J285">
        <v>12</v>
      </c>
      <c r="K285">
        <v>16</v>
      </c>
      <c r="L285">
        <v>15</v>
      </c>
      <c r="M285">
        <v>13</v>
      </c>
      <c r="N285">
        <v>14</v>
      </c>
      <c r="O285">
        <v>7</v>
      </c>
      <c r="P285">
        <v>1</v>
      </c>
      <c r="Q285">
        <v>2</v>
      </c>
      <c r="R285">
        <v>2</v>
      </c>
      <c r="S285">
        <v>117</v>
      </c>
    </row>
    <row r="286" spans="1:19" x14ac:dyDescent="0.25">
      <c r="A286" t="s">
        <v>762</v>
      </c>
      <c r="B286" t="s">
        <v>1100</v>
      </c>
      <c r="C286" t="s">
        <v>210</v>
      </c>
      <c r="E286">
        <v>177</v>
      </c>
      <c r="F286">
        <v>158</v>
      </c>
      <c r="G286">
        <v>176</v>
      </c>
      <c r="H286">
        <v>233</v>
      </c>
      <c r="I286">
        <v>250</v>
      </c>
      <c r="J286">
        <v>253</v>
      </c>
      <c r="K286">
        <v>230</v>
      </c>
      <c r="L286">
        <v>216</v>
      </c>
      <c r="M286">
        <v>255</v>
      </c>
      <c r="N286">
        <v>238</v>
      </c>
      <c r="O286">
        <v>215</v>
      </c>
      <c r="P286">
        <v>189</v>
      </c>
      <c r="Q286">
        <v>175</v>
      </c>
      <c r="R286">
        <v>257</v>
      </c>
      <c r="S286">
        <v>3022</v>
      </c>
    </row>
    <row r="287" spans="1:19" x14ac:dyDescent="0.25">
      <c r="A287" t="s">
        <v>764</v>
      </c>
      <c r="B287" t="s">
        <v>1101</v>
      </c>
      <c r="C287" t="s">
        <v>205</v>
      </c>
      <c r="E287">
        <v>12</v>
      </c>
      <c r="F287">
        <v>6</v>
      </c>
      <c r="G287">
        <v>4</v>
      </c>
      <c r="H287">
        <v>10</v>
      </c>
      <c r="I287">
        <v>15</v>
      </c>
      <c r="J287">
        <v>9</v>
      </c>
      <c r="K287">
        <v>13</v>
      </c>
      <c r="L287">
        <v>17</v>
      </c>
      <c r="M287">
        <v>18</v>
      </c>
      <c r="N287">
        <v>17</v>
      </c>
      <c r="O287">
        <v>16</v>
      </c>
      <c r="P287">
        <v>17</v>
      </c>
      <c r="Q287">
        <v>14</v>
      </c>
      <c r="R287">
        <v>10</v>
      </c>
      <c r="S287">
        <v>178</v>
      </c>
    </row>
    <row r="288" spans="1:19" x14ac:dyDescent="0.25">
      <c r="A288" t="s">
        <v>766</v>
      </c>
      <c r="B288" t="s">
        <v>1102</v>
      </c>
      <c r="C288" t="s">
        <v>210</v>
      </c>
      <c r="D288" t="s">
        <v>819</v>
      </c>
      <c r="E288">
        <v>3</v>
      </c>
      <c r="F288">
        <v>1</v>
      </c>
      <c r="G288">
        <v>3</v>
      </c>
      <c r="H288">
        <v>6</v>
      </c>
      <c r="I288">
        <v>4</v>
      </c>
      <c r="J288">
        <v>8</v>
      </c>
      <c r="K288">
        <v>4</v>
      </c>
      <c r="L288">
        <v>4</v>
      </c>
      <c r="M288">
        <v>8</v>
      </c>
      <c r="N288">
        <v>3</v>
      </c>
      <c r="O288">
        <v>9</v>
      </c>
      <c r="P288">
        <v>5</v>
      </c>
      <c r="Q288">
        <v>14</v>
      </c>
      <c r="R288">
        <v>10</v>
      </c>
      <c r="S288">
        <v>82</v>
      </c>
    </row>
    <row r="289" spans="1:20" x14ac:dyDescent="0.25">
      <c r="A289" t="s">
        <v>768</v>
      </c>
      <c r="B289" t="s">
        <v>1103</v>
      </c>
      <c r="C289" t="s">
        <v>221</v>
      </c>
      <c r="E289">
        <v>22</v>
      </c>
      <c r="F289">
        <v>11</v>
      </c>
      <c r="G289">
        <v>22</v>
      </c>
      <c r="H289">
        <v>8</v>
      </c>
      <c r="I289">
        <v>18</v>
      </c>
      <c r="J289">
        <v>16</v>
      </c>
      <c r="K289">
        <v>25</v>
      </c>
      <c r="L289">
        <v>22</v>
      </c>
      <c r="M289">
        <v>19</v>
      </c>
      <c r="N289">
        <v>37</v>
      </c>
      <c r="O289">
        <v>24</v>
      </c>
      <c r="P289">
        <v>18</v>
      </c>
      <c r="Q289">
        <v>44</v>
      </c>
      <c r="R289">
        <v>27</v>
      </c>
      <c r="S289">
        <v>313</v>
      </c>
    </row>
    <row r="290" spans="1:20" x14ac:dyDescent="0.25">
      <c r="A290" t="s">
        <v>770</v>
      </c>
      <c r="B290" t="s">
        <v>1104</v>
      </c>
      <c r="C290" t="s">
        <v>202</v>
      </c>
      <c r="E290">
        <v>3</v>
      </c>
      <c r="F290">
        <v>2</v>
      </c>
      <c r="G290">
        <v>3</v>
      </c>
      <c r="H290">
        <v>1</v>
      </c>
      <c r="I290">
        <v>1</v>
      </c>
      <c r="J290">
        <v>2</v>
      </c>
      <c r="K290">
        <v>1</v>
      </c>
      <c r="L290">
        <v>2</v>
      </c>
      <c r="N290">
        <v>3</v>
      </c>
      <c r="O290">
        <v>1</v>
      </c>
      <c r="P290">
        <v>2</v>
      </c>
      <c r="Q290">
        <v>2</v>
      </c>
      <c r="R290">
        <v>1</v>
      </c>
      <c r="S290">
        <v>24</v>
      </c>
    </row>
    <row r="291" spans="1:20" x14ac:dyDescent="0.25">
      <c r="A291" t="s">
        <v>772</v>
      </c>
      <c r="B291" t="s">
        <v>1105</v>
      </c>
      <c r="C291" t="s">
        <v>202</v>
      </c>
      <c r="E291">
        <v>26</v>
      </c>
      <c r="F291">
        <v>44</v>
      </c>
      <c r="G291">
        <v>50</v>
      </c>
      <c r="H291">
        <v>54</v>
      </c>
      <c r="I291">
        <v>53</v>
      </c>
      <c r="J291">
        <v>56</v>
      </c>
      <c r="K291">
        <v>68</v>
      </c>
      <c r="L291">
        <v>67</v>
      </c>
      <c r="M291">
        <v>83</v>
      </c>
      <c r="N291">
        <v>61</v>
      </c>
      <c r="O291">
        <v>68</v>
      </c>
      <c r="P291">
        <v>54</v>
      </c>
      <c r="Q291">
        <v>60</v>
      </c>
      <c r="R291">
        <v>77</v>
      </c>
      <c r="S291">
        <v>821</v>
      </c>
    </row>
    <row r="292" spans="1:20" x14ac:dyDescent="0.25">
      <c r="A292" t="s">
        <v>774</v>
      </c>
      <c r="B292" t="s">
        <v>1106</v>
      </c>
      <c r="C292" t="s">
        <v>221</v>
      </c>
      <c r="E292">
        <v>22</v>
      </c>
      <c r="F292">
        <v>27</v>
      </c>
      <c r="G292">
        <v>20</v>
      </c>
      <c r="H292">
        <v>31</v>
      </c>
      <c r="I292">
        <v>28</v>
      </c>
      <c r="J292">
        <v>29</v>
      </c>
      <c r="K292">
        <v>38</v>
      </c>
      <c r="L292">
        <v>38</v>
      </c>
      <c r="M292">
        <v>45</v>
      </c>
      <c r="N292">
        <v>37</v>
      </c>
      <c r="O292">
        <v>23</v>
      </c>
      <c r="P292">
        <v>33</v>
      </c>
      <c r="Q292">
        <v>23</v>
      </c>
      <c r="R292">
        <v>24</v>
      </c>
      <c r="S292">
        <v>418</v>
      </c>
    </row>
    <row r="293" spans="1:20" x14ac:dyDescent="0.25">
      <c r="A293" t="s">
        <v>776</v>
      </c>
      <c r="B293" t="s">
        <v>1107</v>
      </c>
      <c r="C293" t="s">
        <v>231</v>
      </c>
      <c r="E293">
        <v>6</v>
      </c>
      <c r="F293">
        <v>5</v>
      </c>
      <c r="G293">
        <v>8</v>
      </c>
      <c r="H293">
        <v>4</v>
      </c>
      <c r="I293">
        <v>5</v>
      </c>
      <c r="J293">
        <v>9</v>
      </c>
      <c r="K293">
        <v>11</v>
      </c>
      <c r="L293">
        <v>12</v>
      </c>
      <c r="M293">
        <v>10</v>
      </c>
      <c r="N293">
        <v>7</v>
      </c>
      <c r="O293">
        <v>15</v>
      </c>
      <c r="P293">
        <v>13</v>
      </c>
      <c r="Q293">
        <v>9</v>
      </c>
      <c r="R293">
        <v>15</v>
      </c>
      <c r="S293">
        <v>129</v>
      </c>
    </row>
    <row r="294" spans="1:20" x14ac:dyDescent="0.25">
      <c r="A294" t="s">
        <v>653</v>
      </c>
      <c r="B294" t="s">
        <v>1251</v>
      </c>
      <c r="C294" t="s">
        <v>1250</v>
      </c>
      <c r="E294">
        <v>3</v>
      </c>
      <c r="F294">
        <v>4</v>
      </c>
      <c r="G294">
        <v>1</v>
      </c>
      <c r="H294">
        <v>2</v>
      </c>
      <c r="I294">
        <v>3</v>
      </c>
      <c r="J294">
        <v>4</v>
      </c>
      <c r="K294">
        <v>10</v>
      </c>
      <c r="L294">
        <v>5</v>
      </c>
      <c r="M294">
        <v>12</v>
      </c>
      <c r="N294">
        <v>10</v>
      </c>
      <c r="O294">
        <v>10</v>
      </c>
      <c r="P294">
        <v>15</v>
      </c>
      <c r="Q294">
        <v>3</v>
      </c>
      <c r="R294">
        <v>18</v>
      </c>
      <c r="S294">
        <v>100</v>
      </c>
    </row>
    <row r="295" spans="1:20" s="374" customFormat="1" hidden="1" x14ac:dyDescent="0.25">
      <c r="A295" s="374" t="s">
        <v>1282</v>
      </c>
      <c r="B295" s="374" t="s">
        <v>1283</v>
      </c>
      <c r="C295" s="374" t="s">
        <v>189</v>
      </c>
      <c r="F295" s="374">
        <v>0</v>
      </c>
      <c r="O295" s="374">
        <v>5</v>
      </c>
      <c r="P295" s="374">
        <v>13</v>
      </c>
      <c r="Q295" s="374">
        <v>5</v>
      </c>
      <c r="R295" s="374">
        <v>3</v>
      </c>
      <c r="S295" s="374">
        <v>26</v>
      </c>
      <c r="T295" s="374" t="s">
        <v>1256</v>
      </c>
    </row>
    <row r="296" spans="1:20" x14ac:dyDescent="0.25">
      <c r="A296" t="s">
        <v>778</v>
      </c>
      <c r="B296" t="s">
        <v>1108</v>
      </c>
      <c r="C296" t="s">
        <v>210</v>
      </c>
      <c r="E296">
        <v>35</v>
      </c>
      <c r="F296">
        <v>30</v>
      </c>
      <c r="G296">
        <v>24</v>
      </c>
      <c r="H296">
        <v>31</v>
      </c>
      <c r="I296">
        <v>34</v>
      </c>
      <c r="J296">
        <v>28</v>
      </c>
      <c r="K296">
        <v>30</v>
      </c>
      <c r="L296">
        <v>40</v>
      </c>
      <c r="M296">
        <v>45</v>
      </c>
      <c r="N296">
        <v>36</v>
      </c>
      <c r="O296">
        <v>30</v>
      </c>
      <c r="P296">
        <v>38</v>
      </c>
      <c r="Q296">
        <v>27</v>
      </c>
      <c r="R296">
        <v>43</v>
      </c>
      <c r="S296">
        <v>471</v>
      </c>
    </row>
    <row r="297" spans="1:20" x14ac:dyDescent="0.25">
      <c r="A297" t="s">
        <v>780</v>
      </c>
      <c r="B297" t="s">
        <v>1109</v>
      </c>
      <c r="C297" t="s">
        <v>194</v>
      </c>
      <c r="F297">
        <v>2</v>
      </c>
      <c r="G297">
        <v>1</v>
      </c>
      <c r="H297">
        <v>1</v>
      </c>
      <c r="I297">
        <v>1</v>
      </c>
      <c r="K297">
        <v>1</v>
      </c>
      <c r="L297">
        <v>1</v>
      </c>
      <c r="M297">
        <v>1</v>
      </c>
      <c r="O297">
        <v>1</v>
      </c>
      <c r="R297">
        <v>1</v>
      </c>
      <c r="S297">
        <v>10</v>
      </c>
    </row>
    <row r="298" spans="1:20" x14ac:dyDescent="0.25">
      <c r="A298" t="s">
        <v>782</v>
      </c>
      <c r="B298" t="s">
        <v>1110</v>
      </c>
      <c r="C298" t="s">
        <v>231</v>
      </c>
      <c r="D298" t="s">
        <v>819</v>
      </c>
      <c r="E298">
        <v>1</v>
      </c>
      <c r="F298">
        <v>7</v>
      </c>
      <c r="H298">
        <v>3</v>
      </c>
      <c r="I298">
        <v>2</v>
      </c>
      <c r="J298">
        <v>3</v>
      </c>
      <c r="K298">
        <v>1</v>
      </c>
      <c r="L298">
        <v>1</v>
      </c>
      <c r="M298">
        <v>3</v>
      </c>
      <c r="N298">
        <v>2</v>
      </c>
      <c r="O298">
        <v>8</v>
      </c>
      <c r="P298">
        <v>5</v>
      </c>
      <c r="Q298">
        <v>5</v>
      </c>
      <c r="R298">
        <v>2</v>
      </c>
      <c r="S298">
        <v>43</v>
      </c>
    </row>
    <row r="299" spans="1:20" x14ac:dyDescent="0.25">
      <c r="A299" t="s">
        <v>784</v>
      </c>
      <c r="B299" t="s">
        <v>1111</v>
      </c>
      <c r="C299" t="s">
        <v>194</v>
      </c>
      <c r="E299">
        <v>4</v>
      </c>
      <c r="F299">
        <v>0</v>
      </c>
      <c r="G299">
        <v>4</v>
      </c>
      <c r="H299">
        <v>4</v>
      </c>
      <c r="I299">
        <v>4</v>
      </c>
      <c r="J299">
        <v>6</v>
      </c>
      <c r="K299">
        <v>7</v>
      </c>
      <c r="L299">
        <v>3</v>
      </c>
      <c r="M299">
        <v>2</v>
      </c>
      <c r="N299">
        <v>2</v>
      </c>
      <c r="O299">
        <v>8</v>
      </c>
      <c r="P299">
        <v>7</v>
      </c>
      <c r="Q299">
        <v>10</v>
      </c>
      <c r="R299">
        <v>10</v>
      </c>
      <c r="S299">
        <v>71</v>
      </c>
    </row>
    <row r="300" spans="1:20" x14ac:dyDescent="0.25">
      <c r="A300" t="s">
        <v>786</v>
      </c>
      <c r="B300" t="s">
        <v>1112</v>
      </c>
      <c r="C300" t="s">
        <v>231</v>
      </c>
      <c r="E300">
        <v>77</v>
      </c>
      <c r="F300">
        <v>49</v>
      </c>
      <c r="G300">
        <v>70</v>
      </c>
      <c r="H300">
        <v>86</v>
      </c>
      <c r="I300">
        <v>62</v>
      </c>
      <c r="J300">
        <v>69</v>
      </c>
      <c r="K300">
        <v>74</v>
      </c>
      <c r="L300">
        <v>79</v>
      </c>
      <c r="M300">
        <v>81</v>
      </c>
      <c r="N300">
        <v>69</v>
      </c>
      <c r="O300">
        <v>72</v>
      </c>
      <c r="P300">
        <v>74</v>
      </c>
      <c r="Q300">
        <v>70</v>
      </c>
      <c r="R300">
        <v>97</v>
      </c>
      <c r="S300">
        <v>1029</v>
      </c>
    </row>
    <row r="301" spans="1:20" x14ac:dyDescent="0.25">
      <c r="A301" t="s">
        <v>788</v>
      </c>
      <c r="B301" t="s">
        <v>1255</v>
      </c>
      <c r="C301" t="s">
        <v>221</v>
      </c>
      <c r="E301">
        <v>54</v>
      </c>
      <c r="F301">
        <v>45</v>
      </c>
      <c r="G301">
        <v>59</v>
      </c>
      <c r="H301">
        <v>69</v>
      </c>
      <c r="I301">
        <v>71</v>
      </c>
      <c r="J301">
        <v>76</v>
      </c>
      <c r="K301">
        <v>54</v>
      </c>
      <c r="L301">
        <v>49</v>
      </c>
      <c r="M301">
        <v>48</v>
      </c>
      <c r="N301">
        <v>55</v>
      </c>
      <c r="O301">
        <v>47</v>
      </c>
      <c r="P301">
        <v>54</v>
      </c>
      <c r="Q301">
        <v>36</v>
      </c>
      <c r="R301">
        <v>54</v>
      </c>
      <c r="S301">
        <v>771</v>
      </c>
    </row>
    <row r="302" spans="1:20" x14ac:dyDescent="0.25">
      <c r="A302" t="s">
        <v>790</v>
      </c>
      <c r="B302" t="s">
        <v>1243</v>
      </c>
      <c r="C302" t="s">
        <v>194</v>
      </c>
      <c r="E302">
        <v>34</v>
      </c>
      <c r="F302">
        <v>24</v>
      </c>
      <c r="G302">
        <v>28</v>
      </c>
      <c r="H302">
        <v>27</v>
      </c>
      <c r="I302">
        <v>27</v>
      </c>
      <c r="J302">
        <v>21</v>
      </c>
      <c r="K302">
        <v>37</v>
      </c>
      <c r="L302">
        <v>35</v>
      </c>
      <c r="M302">
        <v>33</v>
      </c>
      <c r="N302">
        <v>35</v>
      </c>
      <c r="O302">
        <v>37</v>
      </c>
      <c r="P302">
        <v>46</v>
      </c>
      <c r="Q302">
        <v>46</v>
      </c>
      <c r="R302">
        <v>41</v>
      </c>
      <c r="S302">
        <v>471</v>
      </c>
    </row>
    <row r="303" spans="1:20" x14ac:dyDescent="0.25">
      <c r="A303" t="s">
        <v>1169</v>
      </c>
      <c r="B303" t="s">
        <v>1284</v>
      </c>
      <c r="C303" t="s">
        <v>197</v>
      </c>
      <c r="F303">
        <v>0</v>
      </c>
      <c r="O303">
        <v>2</v>
      </c>
      <c r="P303">
        <v>1</v>
      </c>
      <c r="S303">
        <v>3</v>
      </c>
    </row>
    <row r="304" spans="1:20" x14ac:dyDescent="0.25">
      <c r="A304" t="s">
        <v>792</v>
      </c>
      <c r="B304" t="s">
        <v>1115</v>
      </c>
      <c r="C304" t="s">
        <v>189</v>
      </c>
      <c r="E304">
        <v>1</v>
      </c>
      <c r="F304">
        <v>5</v>
      </c>
      <c r="G304">
        <v>6</v>
      </c>
      <c r="H304">
        <v>3</v>
      </c>
      <c r="I304">
        <v>6</v>
      </c>
      <c r="J304">
        <v>4</v>
      </c>
      <c r="K304">
        <v>5</v>
      </c>
      <c r="L304">
        <v>6</v>
      </c>
      <c r="M304">
        <v>5</v>
      </c>
      <c r="N304">
        <v>5</v>
      </c>
      <c r="O304">
        <v>2</v>
      </c>
      <c r="P304">
        <v>4</v>
      </c>
      <c r="Q304">
        <v>7</v>
      </c>
      <c r="R304">
        <v>4</v>
      </c>
      <c r="S304">
        <v>63</v>
      </c>
    </row>
    <row r="305" spans="1:20" x14ac:dyDescent="0.25">
      <c r="A305" t="s">
        <v>794</v>
      </c>
      <c r="B305" t="s">
        <v>1116</v>
      </c>
      <c r="C305" t="s">
        <v>205</v>
      </c>
      <c r="E305">
        <v>41</v>
      </c>
      <c r="F305">
        <v>47</v>
      </c>
      <c r="G305">
        <v>30</v>
      </c>
      <c r="H305">
        <v>51</v>
      </c>
      <c r="I305">
        <v>38</v>
      </c>
      <c r="J305">
        <v>36</v>
      </c>
      <c r="K305">
        <v>52</v>
      </c>
      <c r="L305">
        <v>41</v>
      </c>
      <c r="M305">
        <v>39</v>
      </c>
      <c r="N305">
        <v>41</v>
      </c>
      <c r="O305">
        <v>50</v>
      </c>
      <c r="P305">
        <v>43</v>
      </c>
      <c r="Q305">
        <v>40</v>
      </c>
      <c r="R305">
        <v>53</v>
      </c>
      <c r="S305">
        <v>602</v>
      </c>
    </row>
    <row r="306" spans="1:20" x14ac:dyDescent="0.25">
      <c r="A306" t="s">
        <v>796</v>
      </c>
      <c r="B306" t="s">
        <v>1117</v>
      </c>
      <c r="C306" t="s">
        <v>210</v>
      </c>
      <c r="D306" t="s">
        <v>819</v>
      </c>
      <c r="E306">
        <v>4</v>
      </c>
      <c r="F306">
        <v>10</v>
      </c>
      <c r="G306">
        <v>10</v>
      </c>
      <c r="H306">
        <v>11</v>
      </c>
      <c r="I306">
        <v>14</v>
      </c>
      <c r="J306">
        <v>15</v>
      </c>
      <c r="K306">
        <v>10</v>
      </c>
      <c r="L306">
        <v>9</v>
      </c>
      <c r="M306">
        <v>6</v>
      </c>
      <c r="N306">
        <v>5</v>
      </c>
      <c r="O306">
        <v>15</v>
      </c>
      <c r="P306">
        <v>10</v>
      </c>
      <c r="Q306">
        <v>5</v>
      </c>
      <c r="R306">
        <v>23</v>
      </c>
      <c r="S306">
        <v>147</v>
      </c>
    </row>
    <row r="307" spans="1:20" x14ac:dyDescent="0.25">
      <c r="A307" s="363" t="s">
        <v>247</v>
      </c>
      <c r="B307" t="s">
        <v>1285</v>
      </c>
      <c r="C307" s="363" t="s">
        <v>205</v>
      </c>
      <c r="O307">
        <v>19</v>
      </c>
      <c r="S307">
        <v>19</v>
      </c>
    </row>
    <row r="308" spans="1:20" x14ac:dyDescent="0.25">
      <c r="A308" t="s">
        <v>798</v>
      </c>
      <c r="B308" t="s">
        <v>1118</v>
      </c>
      <c r="C308" t="s">
        <v>194</v>
      </c>
      <c r="F308">
        <v>2</v>
      </c>
      <c r="G308">
        <v>2</v>
      </c>
      <c r="H308">
        <v>2</v>
      </c>
      <c r="I308">
        <v>5</v>
      </c>
      <c r="J308">
        <v>5</v>
      </c>
      <c r="K308">
        <v>1</v>
      </c>
      <c r="L308">
        <v>1</v>
      </c>
      <c r="M308">
        <v>3</v>
      </c>
      <c r="N308">
        <v>3</v>
      </c>
      <c r="O308">
        <v>1</v>
      </c>
      <c r="P308">
        <v>5</v>
      </c>
      <c r="Q308">
        <v>3</v>
      </c>
      <c r="R308">
        <v>6</v>
      </c>
      <c r="S308">
        <v>39</v>
      </c>
    </row>
    <row r="309" spans="1:20" x14ac:dyDescent="0.25">
      <c r="A309" t="s">
        <v>800</v>
      </c>
      <c r="B309" t="s">
        <v>1119</v>
      </c>
      <c r="C309" t="s">
        <v>189</v>
      </c>
      <c r="F309">
        <v>2</v>
      </c>
      <c r="G309">
        <v>3</v>
      </c>
      <c r="I309">
        <v>2</v>
      </c>
      <c r="J309">
        <v>2</v>
      </c>
      <c r="K309">
        <v>5</v>
      </c>
      <c r="L309">
        <v>5</v>
      </c>
      <c r="M309">
        <v>2</v>
      </c>
      <c r="N309">
        <v>4</v>
      </c>
      <c r="O309">
        <v>3</v>
      </c>
      <c r="P309">
        <v>2</v>
      </c>
      <c r="Q309">
        <v>6</v>
      </c>
      <c r="R309">
        <v>6</v>
      </c>
      <c r="S309">
        <v>42</v>
      </c>
    </row>
    <row r="310" spans="1:20" x14ac:dyDescent="0.25">
      <c r="A310" t="s">
        <v>802</v>
      </c>
      <c r="B310" t="s">
        <v>1149</v>
      </c>
      <c r="C310" t="s">
        <v>231</v>
      </c>
      <c r="F310">
        <v>0</v>
      </c>
      <c r="G310">
        <v>3</v>
      </c>
      <c r="H310">
        <v>2</v>
      </c>
      <c r="J310">
        <v>3</v>
      </c>
      <c r="L310">
        <v>2</v>
      </c>
      <c r="O310">
        <v>2</v>
      </c>
      <c r="P310">
        <v>1</v>
      </c>
      <c r="Q310">
        <v>2</v>
      </c>
      <c r="S310">
        <v>15</v>
      </c>
    </row>
    <row r="311" spans="1:20" x14ac:dyDescent="0.25">
      <c r="A311" t="s">
        <v>804</v>
      </c>
      <c r="B311" t="s">
        <v>1120</v>
      </c>
      <c r="C311" t="s">
        <v>189</v>
      </c>
      <c r="E311">
        <v>6</v>
      </c>
      <c r="F311">
        <v>2</v>
      </c>
      <c r="G311">
        <v>9</v>
      </c>
      <c r="H311">
        <v>11</v>
      </c>
      <c r="I311">
        <v>7</v>
      </c>
      <c r="J311">
        <v>10</v>
      </c>
      <c r="K311">
        <v>9</v>
      </c>
      <c r="L311">
        <v>7</v>
      </c>
      <c r="M311">
        <v>7</v>
      </c>
      <c r="N311">
        <v>9</v>
      </c>
      <c r="O311">
        <v>4</v>
      </c>
      <c r="P311">
        <v>8</v>
      </c>
      <c r="Q311">
        <v>11</v>
      </c>
      <c r="R311">
        <v>10</v>
      </c>
      <c r="S311">
        <v>110</v>
      </c>
    </row>
    <row r="312" spans="1:20" x14ac:dyDescent="0.25">
      <c r="A312" t="s">
        <v>806</v>
      </c>
      <c r="B312" t="s">
        <v>1121</v>
      </c>
      <c r="C312" t="s">
        <v>189</v>
      </c>
      <c r="F312">
        <v>1</v>
      </c>
      <c r="I312">
        <v>1</v>
      </c>
      <c r="K312">
        <v>5</v>
      </c>
      <c r="L312">
        <v>4</v>
      </c>
      <c r="M312">
        <v>5</v>
      </c>
      <c r="Q312">
        <v>2</v>
      </c>
      <c r="S312">
        <v>18</v>
      </c>
    </row>
    <row r="313" spans="1:20" x14ac:dyDescent="0.25">
      <c r="A313" t="s">
        <v>808</v>
      </c>
      <c r="B313" t="s">
        <v>1122</v>
      </c>
      <c r="C313" t="s">
        <v>210</v>
      </c>
      <c r="D313" t="s">
        <v>819</v>
      </c>
      <c r="E313">
        <v>1</v>
      </c>
      <c r="F313">
        <v>0</v>
      </c>
      <c r="J313">
        <v>1</v>
      </c>
      <c r="M313">
        <v>1</v>
      </c>
      <c r="N313">
        <v>2</v>
      </c>
      <c r="P313">
        <v>1</v>
      </c>
      <c r="Q313">
        <v>1</v>
      </c>
      <c r="S313">
        <v>7</v>
      </c>
    </row>
    <row r="314" spans="1:20" x14ac:dyDescent="0.25">
      <c r="A314" t="s">
        <v>810</v>
      </c>
      <c r="B314" t="s">
        <v>1123</v>
      </c>
      <c r="C314" t="s">
        <v>210</v>
      </c>
      <c r="E314">
        <v>22</v>
      </c>
      <c r="F314">
        <v>8</v>
      </c>
      <c r="G314">
        <v>19</v>
      </c>
      <c r="H314">
        <v>22</v>
      </c>
      <c r="I314">
        <v>22</v>
      </c>
      <c r="J314">
        <v>20</v>
      </c>
      <c r="K314">
        <v>29</v>
      </c>
      <c r="L314">
        <v>26</v>
      </c>
      <c r="M314">
        <v>22</v>
      </c>
      <c r="N314">
        <v>30</v>
      </c>
      <c r="O314">
        <v>22</v>
      </c>
      <c r="P314">
        <v>13</v>
      </c>
      <c r="Q314">
        <v>39</v>
      </c>
      <c r="R314">
        <v>43</v>
      </c>
      <c r="S314">
        <v>337</v>
      </c>
    </row>
    <row r="315" spans="1:20" x14ac:dyDescent="0.25">
      <c r="A315" t="s">
        <v>812</v>
      </c>
      <c r="B315" t="s">
        <v>1124</v>
      </c>
      <c r="C315" t="s">
        <v>221</v>
      </c>
      <c r="E315">
        <v>185</v>
      </c>
      <c r="F315">
        <v>132</v>
      </c>
      <c r="G315">
        <v>160</v>
      </c>
      <c r="H315">
        <v>151</v>
      </c>
      <c r="I315">
        <v>163</v>
      </c>
      <c r="J315">
        <v>152</v>
      </c>
      <c r="K315">
        <v>142</v>
      </c>
      <c r="L315">
        <v>156</v>
      </c>
      <c r="M315">
        <v>144</v>
      </c>
      <c r="N315">
        <v>163</v>
      </c>
      <c r="O315">
        <v>181</v>
      </c>
      <c r="P315">
        <v>158</v>
      </c>
      <c r="Q315">
        <v>139</v>
      </c>
      <c r="R315">
        <v>193</v>
      </c>
      <c r="S315">
        <v>2219</v>
      </c>
    </row>
    <row r="316" spans="1:20" x14ac:dyDescent="0.25">
      <c r="A316" t="s">
        <v>814</v>
      </c>
      <c r="B316" t="s">
        <v>1125</v>
      </c>
      <c r="C316" t="s">
        <v>189</v>
      </c>
      <c r="E316">
        <v>36</v>
      </c>
      <c r="F316">
        <v>48</v>
      </c>
      <c r="G316">
        <v>49</v>
      </c>
      <c r="H316">
        <v>60</v>
      </c>
      <c r="I316">
        <v>61</v>
      </c>
      <c r="J316">
        <v>66</v>
      </c>
      <c r="K316">
        <v>60</v>
      </c>
      <c r="L316">
        <v>55</v>
      </c>
      <c r="M316">
        <v>60</v>
      </c>
      <c r="N316">
        <v>57</v>
      </c>
      <c r="O316">
        <v>55</v>
      </c>
      <c r="P316">
        <v>61</v>
      </c>
      <c r="Q316">
        <v>57</v>
      </c>
      <c r="R316">
        <v>63</v>
      </c>
      <c r="S316">
        <v>788</v>
      </c>
    </row>
    <row r="317" spans="1:20" ht="15.75" thickBot="1" x14ac:dyDescent="0.3">
      <c r="A317" s="370" t="s">
        <v>816</v>
      </c>
      <c r="B317" s="370" t="s">
        <v>1126</v>
      </c>
      <c r="C317" s="370" t="s">
        <v>221</v>
      </c>
      <c r="D317" s="370"/>
      <c r="E317" s="370">
        <v>6</v>
      </c>
      <c r="F317" s="370">
        <v>12</v>
      </c>
      <c r="G317" s="370">
        <v>6</v>
      </c>
      <c r="H317" s="370">
        <v>9</v>
      </c>
      <c r="I317" s="370">
        <v>11</v>
      </c>
      <c r="J317" s="370">
        <v>11</v>
      </c>
      <c r="K317" s="370">
        <v>7</v>
      </c>
      <c r="L317" s="370">
        <v>15</v>
      </c>
      <c r="M317" s="370">
        <v>15</v>
      </c>
      <c r="N317" s="370">
        <v>4</v>
      </c>
      <c r="O317" s="370">
        <v>12</v>
      </c>
      <c r="P317" s="370">
        <v>10</v>
      </c>
      <c r="Q317" s="370">
        <v>10</v>
      </c>
      <c r="R317" s="370">
        <v>6</v>
      </c>
      <c r="S317" s="370">
        <v>134</v>
      </c>
    </row>
    <row r="318" spans="1:20" s="369" customFormat="1" x14ac:dyDescent="0.25">
      <c r="A318" s="369" t="s">
        <v>1225</v>
      </c>
      <c r="E318" s="369">
        <v>9486</v>
      </c>
      <c r="F318" s="369">
        <v>7815</v>
      </c>
      <c r="G318" s="369">
        <v>8766</v>
      </c>
      <c r="H318" s="369">
        <v>10133</v>
      </c>
      <c r="I318" s="369">
        <v>10856</v>
      </c>
      <c r="J318" s="369">
        <v>11106</v>
      </c>
      <c r="K318" s="369">
        <v>11545</v>
      </c>
      <c r="L318" s="369">
        <v>11103</v>
      </c>
      <c r="M318" s="369">
        <v>11329</v>
      </c>
      <c r="N318" s="369">
        <v>11219</v>
      </c>
      <c r="O318" s="369">
        <v>10867</v>
      </c>
      <c r="P318" s="369">
        <v>10229</v>
      </c>
      <c r="Q318" s="369">
        <v>9679</v>
      </c>
      <c r="R318" s="369">
        <v>12623</v>
      </c>
      <c r="S318" s="369">
        <f>SUBTOTAL(9,S3:S317)</f>
        <v>146756</v>
      </c>
      <c r="T318" s="385"/>
    </row>
    <row r="319" spans="1:20" x14ac:dyDescent="0.25">
      <c r="T319" s="386"/>
    </row>
  </sheetData>
  <autoFilter ref="A2:T319" xr:uid="{97DEC117-733A-47D9-8009-04BC612469FD}"/>
  <sortState xmlns:xlrd2="http://schemas.microsoft.com/office/spreadsheetml/2017/richdata2" ref="A3:U314">
    <sortCondition ref="B3:B314"/>
  </sortState>
  <mergeCells count="1">
    <mergeCell ref="U2:Y2"/>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3485E-7934-419B-9366-18701F2BCAE7}">
  <dimension ref="A1:V320"/>
  <sheetViews>
    <sheetView topLeftCell="A287" workbookViewId="0">
      <selection activeCell="A262" sqref="A262:XFD262"/>
    </sheetView>
  </sheetViews>
  <sheetFormatPr defaultColWidth="9.5703125" defaultRowHeight="15" x14ac:dyDescent="0.25"/>
  <cols>
    <col min="1" max="1" width="9.5703125" style="416"/>
    <col min="2" max="2" width="33.140625" style="416" customWidth="1"/>
    <col min="3" max="3" width="9.42578125" style="416" customWidth="1"/>
    <col min="4" max="21" width="9.5703125" style="416" customWidth="1"/>
    <col min="22" max="22" width="12.7109375" style="416" customWidth="1"/>
    <col min="23" max="16384" width="9.5703125" style="416"/>
  </cols>
  <sheetData>
    <row r="1" spans="1:22" x14ac:dyDescent="0.25">
      <c r="A1" s="417" t="s">
        <v>1352</v>
      </c>
    </row>
    <row r="2" spans="1:22" x14ac:dyDescent="0.25">
      <c r="B2" s="416">
        <v>1</v>
      </c>
      <c r="C2" s="416">
        <v>2</v>
      </c>
      <c r="D2" s="416">
        <v>3</v>
      </c>
      <c r="E2" s="416">
        <v>4</v>
      </c>
      <c r="F2" s="416">
        <v>5</v>
      </c>
      <c r="G2" s="416">
        <v>6</v>
      </c>
      <c r="H2" s="416">
        <v>7</v>
      </c>
      <c r="I2" s="416">
        <v>8</v>
      </c>
      <c r="J2" s="416">
        <v>9</v>
      </c>
      <c r="K2" s="416">
        <v>10</v>
      </c>
      <c r="L2" s="416">
        <v>11</v>
      </c>
      <c r="M2" s="416">
        <v>12</v>
      </c>
      <c r="N2" s="416">
        <v>13</v>
      </c>
      <c r="O2" s="416">
        <v>14</v>
      </c>
      <c r="P2" s="416">
        <v>15</v>
      </c>
      <c r="Q2" s="416">
        <v>16</v>
      </c>
      <c r="R2" s="416">
        <v>17</v>
      </c>
      <c r="S2" s="416">
        <v>18</v>
      </c>
      <c r="T2" s="416">
        <v>19</v>
      </c>
      <c r="U2" s="416">
        <v>20</v>
      </c>
      <c r="V2" s="416">
        <v>21</v>
      </c>
    </row>
    <row r="3" spans="1:22" x14ac:dyDescent="0.25">
      <c r="A3" s="416" t="s">
        <v>1264</v>
      </c>
      <c r="B3" s="416" t="s">
        <v>1354</v>
      </c>
      <c r="C3" s="416" t="s">
        <v>1355</v>
      </c>
      <c r="D3" s="416" t="s">
        <v>819</v>
      </c>
      <c r="E3" s="416" t="s">
        <v>1211</v>
      </c>
      <c r="F3" s="416" t="s">
        <v>1212</v>
      </c>
      <c r="G3" s="416" t="s">
        <v>1213</v>
      </c>
      <c r="H3" s="416" t="s">
        <v>1214</v>
      </c>
      <c r="I3" s="416" t="s">
        <v>1215</v>
      </c>
      <c r="J3" s="416" t="s">
        <v>1216</v>
      </c>
      <c r="K3" s="416" t="s">
        <v>1217</v>
      </c>
      <c r="L3" s="416" t="s">
        <v>1218</v>
      </c>
      <c r="M3" s="416" t="s">
        <v>1219</v>
      </c>
      <c r="N3" s="416" t="s">
        <v>1220</v>
      </c>
      <c r="O3" s="416" t="s">
        <v>1221</v>
      </c>
      <c r="P3" s="416" t="s">
        <v>1222</v>
      </c>
      <c r="Q3" s="416" t="s">
        <v>1223</v>
      </c>
      <c r="R3" s="416" t="s">
        <v>1224</v>
      </c>
      <c r="T3" s="416" t="s">
        <v>1356</v>
      </c>
      <c r="V3" s="416" t="s">
        <v>1357</v>
      </c>
    </row>
    <row r="4" spans="1:22" x14ac:dyDescent="0.25">
      <c r="A4" s="416" t="s">
        <v>188</v>
      </c>
      <c r="B4" s="416" t="s">
        <v>831</v>
      </c>
      <c r="C4" s="416" t="s">
        <v>189</v>
      </c>
      <c r="E4" s="416">
        <v>59</v>
      </c>
      <c r="F4" s="416">
        <v>30</v>
      </c>
      <c r="G4" s="416">
        <v>44</v>
      </c>
      <c r="H4" s="416">
        <v>37</v>
      </c>
      <c r="I4" s="416">
        <v>42</v>
      </c>
      <c r="J4" s="416">
        <v>49</v>
      </c>
      <c r="K4" s="416">
        <v>31</v>
      </c>
      <c r="L4" s="416">
        <v>41</v>
      </c>
      <c r="M4" s="416">
        <v>40</v>
      </c>
      <c r="N4" s="416">
        <v>43</v>
      </c>
      <c r="O4" s="416">
        <v>44</v>
      </c>
      <c r="P4" s="416">
        <v>45</v>
      </c>
      <c r="Q4" s="416">
        <v>36</v>
      </c>
      <c r="R4" s="416">
        <v>49</v>
      </c>
      <c r="T4" s="416">
        <v>590</v>
      </c>
      <c r="V4" s="416">
        <f t="shared" ref="V4:V67" si="0">T4</f>
        <v>590</v>
      </c>
    </row>
    <row r="5" spans="1:22" x14ac:dyDescent="0.25">
      <c r="A5" s="416" t="s">
        <v>191</v>
      </c>
      <c r="B5" s="416" t="s">
        <v>832</v>
      </c>
      <c r="C5" s="416" t="s">
        <v>189</v>
      </c>
      <c r="E5" s="416">
        <v>3</v>
      </c>
      <c r="F5" s="416">
        <v>4</v>
      </c>
      <c r="G5" s="416">
        <v>6</v>
      </c>
      <c r="H5" s="416">
        <v>9</v>
      </c>
      <c r="I5" s="416">
        <v>12</v>
      </c>
      <c r="J5" s="416">
        <v>6</v>
      </c>
      <c r="K5" s="416">
        <v>6</v>
      </c>
      <c r="L5" s="416">
        <v>6</v>
      </c>
      <c r="M5" s="416">
        <v>4</v>
      </c>
      <c r="N5" s="416">
        <v>7</v>
      </c>
      <c r="O5" s="416">
        <v>4</v>
      </c>
      <c r="P5" s="416">
        <v>8</v>
      </c>
      <c r="Q5" s="416">
        <v>4</v>
      </c>
      <c r="R5" s="416">
        <v>1</v>
      </c>
      <c r="T5" s="416">
        <v>80</v>
      </c>
      <c r="V5" s="416">
        <f t="shared" si="0"/>
        <v>80</v>
      </c>
    </row>
    <row r="6" spans="1:22" x14ac:dyDescent="0.25">
      <c r="A6" s="416" t="s">
        <v>193</v>
      </c>
      <c r="B6" s="416" t="s">
        <v>1135</v>
      </c>
      <c r="C6" s="416" t="s">
        <v>194</v>
      </c>
      <c r="G6" s="416">
        <v>2</v>
      </c>
      <c r="H6" s="416">
        <v>2</v>
      </c>
      <c r="I6" s="416">
        <v>3</v>
      </c>
      <c r="J6" s="416">
        <v>3</v>
      </c>
      <c r="L6" s="416">
        <v>3</v>
      </c>
      <c r="M6" s="416">
        <v>3</v>
      </c>
      <c r="N6" s="416">
        <v>4</v>
      </c>
      <c r="T6" s="416">
        <v>20</v>
      </c>
      <c r="V6" s="416">
        <f t="shared" si="0"/>
        <v>20</v>
      </c>
    </row>
    <row r="7" spans="1:22" x14ac:dyDescent="0.25">
      <c r="A7" s="416" t="s">
        <v>196</v>
      </c>
      <c r="B7" s="416" t="s">
        <v>840</v>
      </c>
      <c r="C7" s="416" t="s">
        <v>197</v>
      </c>
      <c r="E7" s="416">
        <v>30</v>
      </c>
      <c r="F7" s="416">
        <v>24</v>
      </c>
      <c r="G7" s="416">
        <v>30</v>
      </c>
      <c r="H7" s="416">
        <v>29</v>
      </c>
      <c r="I7" s="416">
        <v>21</v>
      </c>
      <c r="J7" s="416">
        <v>24</v>
      </c>
      <c r="K7" s="416">
        <v>26</v>
      </c>
      <c r="L7" s="416">
        <v>14</v>
      </c>
      <c r="M7" s="416">
        <v>26</v>
      </c>
      <c r="N7" s="416">
        <v>19</v>
      </c>
      <c r="O7" s="416">
        <v>15</v>
      </c>
      <c r="P7" s="416">
        <v>19</v>
      </c>
      <c r="Q7" s="416">
        <v>12</v>
      </c>
      <c r="R7" s="416">
        <v>27</v>
      </c>
      <c r="T7" s="416">
        <v>316</v>
      </c>
      <c r="V7" s="416">
        <f t="shared" si="0"/>
        <v>316</v>
      </c>
    </row>
    <row r="8" spans="1:22" x14ac:dyDescent="0.25">
      <c r="A8" s="416" t="s">
        <v>199</v>
      </c>
      <c r="B8" s="416" t="s">
        <v>841</v>
      </c>
      <c r="C8" s="416" t="s">
        <v>197</v>
      </c>
      <c r="E8" s="416">
        <v>55</v>
      </c>
      <c r="F8" s="416">
        <v>34</v>
      </c>
      <c r="G8" s="416">
        <v>59</v>
      </c>
      <c r="H8" s="416">
        <v>62</v>
      </c>
      <c r="I8" s="416">
        <v>78</v>
      </c>
      <c r="J8" s="416">
        <v>65</v>
      </c>
      <c r="K8" s="416">
        <v>58</v>
      </c>
      <c r="L8" s="416">
        <v>60</v>
      </c>
      <c r="M8" s="416">
        <v>57</v>
      </c>
      <c r="N8" s="416">
        <v>70</v>
      </c>
      <c r="O8" s="416">
        <v>64</v>
      </c>
      <c r="P8" s="416">
        <v>62</v>
      </c>
      <c r="Q8" s="416">
        <v>50</v>
      </c>
      <c r="R8" s="416">
        <v>82</v>
      </c>
      <c r="T8" s="416">
        <v>856</v>
      </c>
      <c r="V8" s="416">
        <f t="shared" si="0"/>
        <v>856</v>
      </c>
    </row>
    <row r="9" spans="1:22" x14ac:dyDescent="0.25">
      <c r="A9" s="416" t="s">
        <v>201</v>
      </c>
      <c r="B9" s="416" t="s">
        <v>842</v>
      </c>
      <c r="C9" s="416" t="s">
        <v>202</v>
      </c>
      <c r="E9" s="416">
        <v>4</v>
      </c>
      <c r="F9" s="416">
        <v>8</v>
      </c>
      <c r="G9" s="416">
        <v>2</v>
      </c>
      <c r="H9" s="416">
        <v>10</v>
      </c>
      <c r="I9" s="416">
        <v>4</v>
      </c>
      <c r="J9" s="416">
        <v>13</v>
      </c>
      <c r="K9" s="416">
        <v>4</v>
      </c>
      <c r="L9" s="416">
        <v>11</v>
      </c>
      <c r="M9" s="416">
        <v>5</v>
      </c>
      <c r="N9" s="416">
        <v>11</v>
      </c>
      <c r="O9" s="416">
        <v>12</v>
      </c>
      <c r="P9" s="416">
        <v>2</v>
      </c>
      <c r="Q9" s="416">
        <v>5</v>
      </c>
      <c r="R9" s="416">
        <v>5</v>
      </c>
      <c r="T9" s="416">
        <v>96</v>
      </c>
      <c r="V9" s="416">
        <f t="shared" si="0"/>
        <v>96</v>
      </c>
    </row>
    <row r="10" spans="1:22" x14ac:dyDescent="0.25">
      <c r="A10" s="416" t="s">
        <v>204</v>
      </c>
      <c r="B10" s="416" t="s">
        <v>843</v>
      </c>
      <c r="C10" s="416" t="s">
        <v>205</v>
      </c>
      <c r="E10" s="416">
        <v>186</v>
      </c>
      <c r="F10" s="416">
        <v>141</v>
      </c>
      <c r="G10" s="416">
        <v>148</v>
      </c>
      <c r="H10" s="416">
        <v>153</v>
      </c>
      <c r="I10" s="416">
        <v>174</v>
      </c>
      <c r="J10" s="416">
        <v>173</v>
      </c>
      <c r="K10" s="416">
        <v>143</v>
      </c>
      <c r="L10" s="416">
        <v>124</v>
      </c>
      <c r="M10" s="416">
        <v>148</v>
      </c>
      <c r="N10" s="416">
        <v>111</v>
      </c>
      <c r="O10" s="416">
        <v>128</v>
      </c>
      <c r="P10" s="416">
        <v>117</v>
      </c>
      <c r="Q10" s="416">
        <v>114</v>
      </c>
      <c r="R10" s="416">
        <v>161</v>
      </c>
      <c r="T10" s="416">
        <v>2021</v>
      </c>
      <c r="V10" s="416">
        <f t="shared" si="0"/>
        <v>2021</v>
      </c>
    </row>
    <row r="11" spans="1:22" x14ac:dyDescent="0.25">
      <c r="A11" s="416" t="s">
        <v>207</v>
      </c>
      <c r="B11" s="416" t="s">
        <v>844</v>
      </c>
      <c r="C11" s="416" t="s">
        <v>205</v>
      </c>
      <c r="E11" s="416">
        <v>32</v>
      </c>
      <c r="F11" s="416">
        <v>18</v>
      </c>
      <c r="G11" s="416">
        <v>29</v>
      </c>
      <c r="H11" s="416">
        <v>31</v>
      </c>
      <c r="I11" s="416">
        <v>48</v>
      </c>
      <c r="J11" s="416">
        <v>46</v>
      </c>
      <c r="K11" s="416">
        <v>38</v>
      </c>
      <c r="L11" s="416">
        <v>40</v>
      </c>
      <c r="M11" s="416">
        <v>24</v>
      </c>
      <c r="N11" s="416">
        <v>22</v>
      </c>
      <c r="O11" s="416">
        <v>31</v>
      </c>
      <c r="P11" s="416">
        <v>27</v>
      </c>
      <c r="Q11" s="416">
        <v>32</v>
      </c>
      <c r="R11" s="416">
        <v>40</v>
      </c>
      <c r="T11" s="416">
        <v>458</v>
      </c>
      <c r="V11" s="416">
        <f t="shared" si="0"/>
        <v>458</v>
      </c>
    </row>
    <row r="12" spans="1:22" x14ac:dyDescent="0.25">
      <c r="A12" s="416" t="s">
        <v>209</v>
      </c>
      <c r="B12" s="416" t="s">
        <v>845</v>
      </c>
      <c r="C12" s="416" t="s">
        <v>210</v>
      </c>
      <c r="E12" s="416">
        <v>72</v>
      </c>
      <c r="F12" s="416">
        <v>74</v>
      </c>
      <c r="G12" s="416">
        <v>110</v>
      </c>
      <c r="H12" s="416">
        <v>107</v>
      </c>
      <c r="I12" s="416">
        <v>107</v>
      </c>
      <c r="J12" s="416">
        <v>147</v>
      </c>
      <c r="K12" s="416">
        <v>138</v>
      </c>
      <c r="L12" s="416">
        <v>127</v>
      </c>
      <c r="M12" s="416">
        <v>130</v>
      </c>
      <c r="N12" s="416">
        <v>146</v>
      </c>
      <c r="O12" s="416">
        <v>145</v>
      </c>
      <c r="P12" s="416">
        <v>138</v>
      </c>
      <c r="Q12" s="416">
        <v>116</v>
      </c>
      <c r="R12" s="416">
        <v>142</v>
      </c>
      <c r="T12" s="416">
        <v>1699</v>
      </c>
      <c r="V12" s="416">
        <f t="shared" si="0"/>
        <v>1699</v>
      </c>
    </row>
    <row r="13" spans="1:22" x14ac:dyDescent="0.25">
      <c r="A13" s="416" t="s">
        <v>212</v>
      </c>
      <c r="B13" s="416" t="s">
        <v>846</v>
      </c>
      <c r="C13" s="416" t="s">
        <v>205</v>
      </c>
      <c r="E13" s="416">
        <v>132</v>
      </c>
      <c r="F13" s="416">
        <v>82</v>
      </c>
      <c r="G13" s="416">
        <v>104</v>
      </c>
      <c r="H13" s="416">
        <v>114</v>
      </c>
      <c r="I13" s="416">
        <v>110</v>
      </c>
      <c r="J13" s="416">
        <v>130</v>
      </c>
      <c r="K13" s="416">
        <v>128</v>
      </c>
      <c r="L13" s="416">
        <v>138</v>
      </c>
      <c r="M13" s="416">
        <v>140</v>
      </c>
      <c r="N13" s="416">
        <v>144</v>
      </c>
      <c r="O13" s="416">
        <v>136</v>
      </c>
      <c r="P13" s="416">
        <v>143</v>
      </c>
      <c r="Q13" s="416">
        <v>140</v>
      </c>
      <c r="R13" s="416">
        <v>179</v>
      </c>
      <c r="T13" s="416">
        <v>1820</v>
      </c>
      <c r="V13" s="416">
        <f t="shared" si="0"/>
        <v>1820</v>
      </c>
    </row>
    <row r="14" spans="1:22" x14ac:dyDescent="0.25">
      <c r="A14" s="416" t="s">
        <v>214</v>
      </c>
      <c r="B14" s="416" t="s">
        <v>847</v>
      </c>
      <c r="C14" s="416" t="s">
        <v>197</v>
      </c>
      <c r="E14" s="416">
        <v>50</v>
      </c>
      <c r="F14" s="416">
        <v>131</v>
      </c>
      <c r="G14" s="416">
        <v>107</v>
      </c>
      <c r="H14" s="416">
        <v>110</v>
      </c>
      <c r="I14" s="416">
        <v>133</v>
      </c>
      <c r="J14" s="416">
        <v>138</v>
      </c>
      <c r="K14" s="416">
        <v>151</v>
      </c>
      <c r="L14" s="416">
        <v>120</v>
      </c>
      <c r="M14" s="416">
        <v>138</v>
      </c>
      <c r="N14" s="416">
        <v>151</v>
      </c>
      <c r="O14" s="416">
        <v>125</v>
      </c>
      <c r="P14" s="416">
        <v>123</v>
      </c>
      <c r="Q14" s="416">
        <v>102</v>
      </c>
      <c r="R14" s="416">
        <v>205</v>
      </c>
      <c r="T14" s="416">
        <v>1784</v>
      </c>
      <c r="V14" s="416">
        <f t="shared" si="0"/>
        <v>1784</v>
      </c>
    </row>
    <row r="15" spans="1:22" x14ac:dyDescent="0.25">
      <c r="A15" s="416" t="s">
        <v>216</v>
      </c>
      <c r="B15" s="416" t="s">
        <v>848</v>
      </c>
      <c r="C15" s="416" t="s">
        <v>231</v>
      </c>
      <c r="V15" s="416">
        <f t="shared" si="0"/>
        <v>0</v>
      </c>
    </row>
    <row r="16" spans="1:22" x14ac:dyDescent="0.25">
      <c r="A16" s="416" t="s">
        <v>218</v>
      </c>
      <c r="B16" s="416" t="s">
        <v>849</v>
      </c>
      <c r="C16" s="416" t="s">
        <v>205</v>
      </c>
      <c r="E16" s="416">
        <v>180</v>
      </c>
      <c r="F16" s="416">
        <v>177</v>
      </c>
      <c r="G16" s="416">
        <v>184</v>
      </c>
      <c r="H16" s="416">
        <v>159</v>
      </c>
      <c r="I16" s="416">
        <v>193</v>
      </c>
      <c r="J16" s="416">
        <v>190</v>
      </c>
      <c r="K16" s="416">
        <v>201</v>
      </c>
      <c r="L16" s="416">
        <v>213</v>
      </c>
      <c r="M16" s="416">
        <v>201</v>
      </c>
      <c r="N16" s="416">
        <v>232</v>
      </c>
      <c r="O16" s="416">
        <v>259</v>
      </c>
      <c r="P16" s="416">
        <v>192</v>
      </c>
      <c r="Q16" s="416">
        <v>201</v>
      </c>
      <c r="R16" s="416">
        <v>276</v>
      </c>
      <c r="T16" s="416">
        <v>2858</v>
      </c>
      <c r="V16" s="416">
        <f t="shared" si="0"/>
        <v>2858</v>
      </c>
    </row>
    <row r="17" spans="1:22" x14ac:dyDescent="0.25">
      <c r="A17" s="416" t="s">
        <v>220</v>
      </c>
      <c r="B17" s="416" t="s">
        <v>850</v>
      </c>
      <c r="C17" s="416" t="s">
        <v>221</v>
      </c>
      <c r="D17" s="416" t="s">
        <v>819</v>
      </c>
      <c r="G17" s="416">
        <v>5</v>
      </c>
      <c r="H17" s="416">
        <v>1</v>
      </c>
      <c r="I17" s="416">
        <v>1</v>
      </c>
      <c r="K17" s="416">
        <v>3</v>
      </c>
      <c r="L17" s="416">
        <v>2</v>
      </c>
      <c r="M17" s="416">
        <v>1</v>
      </c>
      <c r="N17" s="416">
        <v>2</v>
      </c>
      <c r="O17" s="416">
        <v>1</v>
      </c>
      <c r="Q17" s="416">
        <v>1</v>
      </c>
      <c r="R17" s="416">
        <v>1</v>
      </c>
      <c r="T17" s="416">
        <v>18</v>
      </c>
      <c r="V17" s="416">
        <f t="shared" si="0"/>
        <v>18</v>
      </c>
    </row>
    <row r="18" spans="1:22" x14ac:dyDescent="0.25">
      <c r="A18" s="416" t="s">
        <v>223</v>
      </c>
      <c r="B18" s="416" t="s">
        <v>851</v>
      </c>
      <c r="C18" s="416" t="s">
        <v>197</v>
      </c>
      <c r="E18" s="416">
        <v>25</v>
      </c>
      <c r="F18" s="416">
        <v>28</v>
      </c>
      <c r="G18" s="416">
        <v>23</v>
      </c>
      <c r="H18" s="416">
        <v>23</v>
      </c>
      <c r="I18" s="416">
        <v>21</v>
      </c>
      <c r="J18" s="416">
        <v>23</v>
      </c>
      <c r="K18" s="416">
        <v>26</v>
      </c>
      <c r="L18" s="416">
        <v>23</v>
      </c>
      <c r="M18" s="416">
        <v>27</v>
      </c>
      <c r="N18" s="416">
        <v>27</v>
      </c>
      <c r="O18" s="416">
        <v>18</v>
      </c>
      <c r="P18" s="416">
        <v>20</v>
      </c>
      <c r="Q18" s="416">
        <v>19</v>
      </c>
      <c r="R18" s="416">
        <v>24</v>
      </c>
      <c r="T18" s="416">
        <v>327</v>
      </c>
      <c r="V18" s="416">
        <f t="shared" si="0"/>
        <v>327</v>
      </c>
    </row>
    <row r="19" spans="1:22" x14ac:dyDescent="0.25">
      <c r="A19" s="416" t="s">
        <v>225</v>
      </c>
      <c r="B19" s="416" t="s">
        <v>852</v>
      </c>
      <c r="C19" s="416" t="s">
        <v>189</v>
      </c>
      <c r="E19" s="416">
        <v>4</v>
      </c>
      <c r="F19" s="416">
        <v>1</v>
      </c>
      <c r="I19" s="416">
        <v>3</v>
      </c>
      <c r="J19" s="416">
        <v>3</v>
      </c>
      <c r="K19" s="416">
        <v>1</v>
      </c>
      <c r="L19" s="416">
        <v>5</v>
      </c>
      <c r="M19" s="416">
        <v>2</v>
      </c>
      <c r="N19" s="416">
        <v>2</v>
      </c>
      <c r="T19" s="416">
        <v>21</v>
      </c>
      <c r="V19" s="416">
        <f t="shared" si="0"/>
        <v>21</v>
      </c>
    </row>
    <row r="20" spans="1:22" x14ac:dyDescent="0.25">
      <c r="A20" s="416" t="s">
        <v>227</v>
      </c>
      <c r="B20" s="416" t="s">
        <v>853</v>
      </c>
      <c r="C20" s="416" t="s">
        <v>228</v>
      </c>
      <c r="E20" s="416">
        <v>73</v>
      </c>
      <c r="F20" s="416">
        <v>33</v>
      </c>
      <c r="G20" s="416">
        <v>50</v>
      </c>
      <c r="H20" s="416">
        <v>43</v>
      </c>
      <c r="I20" s="416">
        <v>59</v>
      </c>
      <c r="J20" s="416">
        <v>50</v>
      </c>
      <c r="K20" s="416">
        <v>54</v>
      </c>
      <c r="L20" s="416">
        <v>53</v>
      </c>
      <c r="M20" s="416">
        <v>49</v>
      </c>
      <c r="N20" s="416">
        <v>48</v>
      </c>
      <c r="O20" s="416">
        <v>49</v>
      </c>
      <c r="P20" s="416">
        <v>49</v>
      </c>
      <c r="Q20" s="416">
        <v>51</v>
      </c>
      <c r="R20" s="416">
        <v>70</v>
      </c>
      <c r="T20" s="416">
        <v>731</v>
      </c>
      <c r="V20" s="416">
        <f t="shared" si="0"/>
        <v>731</v>
      </c>
    </row>
    <row r="21" spans="1:22" x14ac:dyDescent="0.25">
      <c r="A21" s="416" t="s">
        <v>230</v>
      </c>
      <c r="B21" s="416" t="s">
        <v>854</v>
      </c>
      <c r="C21" s="416" t="s">
        <v>231</v>
      </c>
      <c r="E21" s="416">
        <v>7</v>
      </c>
      <c r="F21" s="416">
        <v>15</v>
      </c>
      <c r="G21" s="416">
        <v>7</v>
      </c>
      <c r="H21" s="416">
        <v>8</v>
      </c>
      <c r="I21" s="416">
        <v>3</v>
      </c>
      <c r="J21" s="416">
        <v>8</v>
      </c>
      <c r="K21" s="416">
        <v>9</v>
      </c>
      <c r="L21" s="416">
        <v>8</v>
      </c>
      <c r="M21" s="416">
        <v>8</v>
      </c>
      <c r="N21" s="416">
        <v>7</v>
      </c>
      <c r="O21" s="416">
        <v>6</v>
      </c>
      <c r="P21" s="416">
        <v>6</v>
      </c>
      <c r="Q21" s="416">
        <v>9</v>
      </c>
      <c r="R21" s="416">
        <v>9</v>
      </c>
      <c r="T21" s="416">
        <v>110</v>
      </c>
      <c r="V21" s="416">
        <f t="shared" si="0"/>
        <v>110</v>
      </c>
    </row>
    <row r="22" spans="1:22" x14ac:dyDescent="0.25">
      <c r="A22" s="416" t="s">
        <v>233</v>
      </c>
      <c r="B22" s="416" t="s">
        <v>855</v>
      </c>
      <c r="C22" s="416" t="s">
        <v>231</v>
      </c>
      <c r="E22" s="416">
        <v>10</v>
      </c>
      <c r="F22" s="416">
        <v>11</v>
      </c>
      <c r="G22" s="416">
        <v>6</v>
      </c>
      <c r="H22" s="416">
        <v>5</v>
      </c>
      <c r="I22" s="416">
        <v>6</v>
      </c>
      <c r="J22" s="416">
        <v>4</v>
      </c>
      <c r="K22" s="416">
        <v>5</v>
      </c>
      <c r="L22" s="416">
        <v>3</v>
      </c>
      <c r="M22" s="416">
        <v>4</v>
      </c>
      <c r="N22" s="416">
        <v>6</v>
      </c>
      <c r="O22" s="416">
        <v>4</v>
      </c>
      <c r="P22" s="416">
        <v>8</v>
      </c>
      <c r="Q22" s="416">
        <v>5</v>
      </c>
      <c r="R22" s="416">
        <v>6</v>
      </c>
      <c r="T22" s="416">
        <v>83</v>
      </c>
      <c r="V22" s="416">
        <f t="shared" si="0"/>
        <v>83</v>
      </c>
    </row>
    <row r="23" spans="1:22" x14ac:dyDescent="0.25">
      <c r="A23" s="416" t="s">
        <v>235</v>
      </c>
      <c r="B23" s="416" t="s">
        <v>1136</v>
      </c>
      <c r="C23" s="416" t="s">
        <v>228</v>
      </c>
      <c r="F23" s="416">
        <v>2</v>
      </c>
      <c r="H23" s="416">
        <v>2</v>
      </c>
      <c r="I23" s="416">
        <v>2</v>
      </c>
      <c r="J23" s="416">
        <v>1</v>
      </c>
      <c r="L23" s="416">
        <v>1</v>
      </c>
      <c r="T23" s="416">
        <v>8</v>
      </c>
      <c r="V23" s="416">
        <f t="shared" si="0"/>
        <v>8</v>
      </c>
    </row>
    <row r="24" spans="1:22" x14ac:dyDescent="0.25">
      <c r="A24" s="416" t="s">
        <v>237</v>
      </c>
      <c r="B24" s="416" t="s">
        <v>857</v>
      </c>
      <c r="C24" s="416" t="s">
        <v>197</v>
      </c>
      <c r="E24" s="416">
        <v>29</v>
      </c>
      <c r="F24" s="416">
        <v>22</v>
      </c>
      <c r="G24" s="416">
        <v>42</v>
      </c>
      <c r="H24" s="416">
        <v>39</v>
      </c>
      <c r="I24" s="416">
        <v>43</v>
      </c>
      <c r="J24" s="416">
        <v>43</v>
      </c>
      <c r="K24" s="416">
        <v>44</v>
      </c>
      <c r="L24" s="416">
        <v>37</v>
      </c>
      <c r="M24" s="416">
        <v>45</v>
      </c>
      <c r="N24" s="416">
        <v>39</v>
      </c>
      <c r="O24" s="416">
        <v>42</v>
      </c>
      <c r="P24" s="416">
        <v>32</v>
      </c>
      <c r="Q24" s="416">
        <v>42</v>
      </c>
      <c r="R24" s="416">
        <v>54</v>
      </c>
      <c r="T24" s="416">
        <v>553</v>
      </c>
      <c r="V24" s="416">
        <f t="shared" si="0"/>
        <v>553</v>
      </c>
    </row>
    <row r="25" spans="1:22" x14ac:dyDescent="0.25">
      <c r="A25" s="416" t="s">
        <v>239</v>
      </c>
      <c r="B25" s="416" t="s">
        <v>858</v>
      </c>
      <c r="C25" s="416" t="s">
        <v>210</v>
      </c>
      <c r="E25" s="416">
        <v>51</v>
      </c>
      <c r="F25" s="416">
        <v>43</v>
      </c>
      <c r="G25" s="416">
        <v>56</v>
      </c>
      <c r="H25" s="416">
        <v>55</v>
      </c>
      <c r="I25" s="416">
        <v>67</v>
      </c>
      <c r="J25" s="416">
        <v>71</v>
      </c>
      <c r="K25" s="416">
        <v>51</v>
      </c>
      <c r="L25" s="416">
        <v>67</v>
      </c>
      <c r="M25" s="416">
        <v>69</v>
      </c>
      <c r="N25" s="416">
        <v>56</v>
      </c>
      <c r="O25" s="416">
        <v>63</v>
      </c>
      <c r="P25" s="416">
        <v>69</v>
      </c>
      <c r="Q25" s="416">
        <v>62</v>
      </c>
      <c r="R25" s="416">
        <v>79</v>
      </c>
      <c r="T25" s="416">
        <v>859</v>
      </c>
      <c r="V25" s="416">
        <f t="shared" si="0"/>
        <v>859</v>
      </c>
    </row>
    <row r="26" spans="1:22" x14ac:dyDescent="0.25">
      <c r="A26" s="416" t="s">
        <v>241</v>
      </c>
      <c r="B26" s="416" t="s">
        <v>859</v>
      </c>
      <c r="C26" s="416" t="s">
        <v>228</v>
      </c>
      <c r="E26" s="416">
        <v>3</v>
      </c>
      <c r="F26" s="416">
        <v>3</v>
      </c>
      <c r="G26" s="416">
        <v>5</v>
      </c>
      <c r="H26" s="416">
        <v>6</v>
      </c>
      <c r="I26" s="416">
        <v>4</v>
      </c>
      <c r="J26" s="416">
        <v>8</v>
      </c>
      <c r="K26" s="416">
        <v>12</v>
      </c>
      <c r="L26" s="416">
        <v>4</v>
      </c>
      <c r="M26" s="416">
        <v>5</v>
      </c>
      <c r="N26" s="416">
        <v>7</v>
      </c>
      <c r="O26" s="416">
        <v>8</v>
      </c>
      <c r="P26" s="416">
        <v>5</v>
      </c>
      <c r="Q26" s="416">
        <v>7</v>
      </c>
      <c r="R26" s="416">
        <v>1</v>
      </c>
      <c r="T26" s="416">
        <v>78</v>
      </c>
      <c r="V26" s="416">
        <f t="shared" si="0"/>
        <v>78</v>
      </c>
    </row>
    <row r="27" spans="1:22" x14ac:dyDescent="0.25">
      <c r="A27" s="416" t="s">
        <v>243</v>
      </c>
      <c r="B27" s="416" t="s">
        <v>1237</v>
      </c>
      <c r="C27" s="416" t="s">
        <v>205</v>
      </c>
      <c r="E27" s="416">
        <v>1</v>
      </c>
      <c r="F27" s="416">
        <v>3</v>
      </c>
      <c r="G27" s="416">
        <v>3</v>
      </c>
      <c r="H27" s="416">
        <v>2</v>
      </c>
      <c r="J27" s="416">
        <v>6</v>
      </c>
      <c r="K27" s="416">
        <v>7</v>
      </c>
      <c r="L27" s="416">
        <v>3</v>
      </c>
      <c r="M27" s="416">
        <v>2</v>
      </c>
      <c r="N27" s="416">
        <v>2</v>
      </c>
      <c r="T27" s="416">
        <v>29</v>
      </c>
      <c r="V27" s="416">
        <f t="shared" si="0"/>
        <v>29</v>
      </c>
    </row>
    <row r="28" spans="1:22" x14ac:dyDescent="0.25">
      <c r="A28" s="416" t="s">
        <v>245</v>
      </c>
      <c r="B28" s="416" t="s">
        <v>861</v>
      </c>
      <c r="C28" s="416" t="s">
        <v>231</v>
      </c>
      <c r="E28" s="416">
        <v>6</v>
      </c>
      <c r="F28" s="416">
        <v>8</v>
      </c>
      <c r="G28" s="416">
        <v>9</v>
      </c>
      <c r="H28" s="416">
        <v>11</v>
      </c>
      <c r="I28" s="416">
        <v>7</v>
      </c>
      <c r="J28" s="416">
        <v>5</v>
      </c>
      <c r="K28" s="416">
        <v>12</v>
      </c>
      <c r="L28" s="416">
        <v>9</v>
      </c>
      <c r="M28" s="416">
        <v>13</v>
      </c>
      <c r="N28" s="416">
        <v>8</v>
      </c>
      <c r="O28" s="416">
        <v>16</v>
      </c>
      <c r="P28" s="416">
        <v>6</v>
      </c>
      <c r="Q28" s="416">
        <v>4</v>
      </c>
      <c r="R28" s="416">
        <v>10</v>
      </c>
      <c r="T28" s="416">
        <v>124</v>
      </c>
      <c r="V28" s="416">
        <f t="shared" si="0"/>
        <v>124</v>
      </c>
    </row>
    <row r="29" spans="1:22" x14ac:dyDescent="0.25">
      <c r="A29" s="416" t="s">
        <v>248</v>
      </c>
      <c r="B29" s="416" t="s">
        <v>862</v>
      </c>
      <c r="C29" s="416" t="s">
        <v>231</v>
      </c>
      <c r="E29" s="416">
        <v>16</v>
      </c>
      <c r="F29" s="416">
        <v>16</v>
      </c>
      <c r="G29" s="416">
        <v>14</v>
      </c>
      <c r="H29" s="416">
        <v>13</v>
      </c>
      <c r="I29" s="416">
        <v>11</v>
      </c>
      <c r="J29" s="416">
        <v>14</v>
      </c>
      <c r="K29" s="416">
        <v>15</v>
      </c>
      <c r="L29" s="416">
        <v>16</v>
      </c>
      <c r="M29" s="416">
        <v>10</v>
      </c>
      <c r="N29" s="416">
        <v>14</v>
      </c>
      <c r="O29" s="416">
        <v>15</v>
      </c>
      <c r="P29" s="416">
        <v>13</v>
      </c>
      <c r="Q29" s="416">
        <v>12</v>
      </c>
      <c r="R29" s="416">
        <v>13</v>
      </c>
      <c r="T29" s="416">
        <v>192</v>
      </c>
      <c r="V29" s="416">
        <f t="shared" si="0"/>
        <v>192</v>
      </c>
    </row>
    <row r="30" spans="1:22" x14ac:dyDescent="0.25">
      <c r="A30" s="416" t="s">
        <v>254</v>
      </c>
      <c r="B30" s="416" t="s">
        <v>864</v>
      </c>
      <c r="C30" s="416" t="s">
        <v>210</v>
      </c>
      <c r="D30" s="416" t="s">
        <v>819</v>
      </c>
      <c r="F30" s="416">
        <v>1</v>
      </c>
      <c r="G30" s="416">
        <v>1</v>
      </c>
      <c r="J30" s="416">
        <v>2</v>
      </c>
      <c r="L30" s="416">
        <v>1</v>
      </c>
      <c r="M30" s="416">
        <v>1</v>
      </c>
      <c r="N30" s="416">
        <v>2</v>
      </c>
      <c r="T30" s="416">
        <v>8</v>
      </c>
      <c r="V30" s="416">
        <f t="shared" si="0"/>
        <v>8</v>
      </c>
    </row>
    <row r="31" spans="1:22" x14ac:dyDescent="0.25">
      <c r="A31" s="416" t="s">
        <v>250</v>
      </c>
      <c r="B31" s="416" t="s">
        <v>863</v>
      </c>
      <c r="C31" s="416" t="s">
        <v>210</v>
      </c>
      <c r="E31" s="416">
        <v>15</v>
      </c>
      <c r="F31" s="416">
        <v>12</v>
      </c>
      <c r="G31" s="416">
        <v>13</v>
      </c>
      <c r="H31" s="416">
        <v>14</v>
      </c>
      <c r="I31" s="416">
        <v>15</v>
      </c>
      <c r="J31" s="416">
        <v>18</v>
      </c>
      <c r="K31" s="416">
        <v>13</v>
      </c>
      <c r="L31" s="416">
        <v>25</v>
      </c>
      <c r="M31" s="416">
        <v>20</v>
      </c>
      <c r="N31" s="416">
        <v>19</v>
      </c>
      <c r="O31" s="416">
        <v>28</v>
      </c>
      <c r="P31" s="416">
        <v>15</v>
      </c>
      <c r="Q31" s="416">
        <v>17</v>
      </c>
      <c r="R31" s="416">
        <v>18</v>
      </c>
      <c r="T31" s="416">
        <v>242</v>
      </c>
      <c r="V31" s="416">
        <f t="shared" si="0"/>
        <v>242</v>
      </c>
    </row>
    <row r="32" spans="1:22" x14ac:dyDescent="0.25">
      <c r="A32" s="416" t="s">
        <v>252</v>
      </c>
      <c r="B32" s="416" t="s">
        <v>1233</v>
      </c>
      <c r="C32" s="416" t="s">
        <v>228</v>
      </c>
      <c r="F32" s="416">
        <v>2</v>
      </c>
      <c r="G32" s="416">
        <v>5</v>
      </c>
      <c r="H32" s="416">
        <v>6</v>
      </c>
      <c r="I32" s="416">
        <v>8</v>
      </c>
      <c r="J32" s="416">
        <v>6</v>
      </c>
      <c r="K32" s="416">
        <v>4</v>
      </c>
      <c r="L32" s="416">
        <v>7</v>
      </c>
      <c r="M32" s="416">
        <v>6</v>
      </c>
      <c r="N32" s="416">
        <v>8</v>
      </c>
      <c r="T32" s="416">
        <v>52</v>
      </c>
      <c r="V32" s="416">
        <f t="shared" si="0"/>
        <v>52</v>
      </c>
    </row>
    <row r="33" spans="1:22" x14ac:dyDescent="0.25">
      <c r="A33" s="416" t="s">
        <v>256</v>
      </c>
      <c r="B33" s="416" t="s">
        <v>865</v>
      </c>
      <c r="C33" s="416" t="s">
        <v>228</v>
      </c>
      <c r="E33" s="416">
        <v>154</v>
      </c>
      <c r="F33" s="416">
        <v>82</v>
      </c>
      <c r="G33" s="416">
        <v>131</v>
      </c>
      <c r="H33" s="416">
        <v>126</v>
      </c>
      <c r="I33" s="416">
        <v>158</v>
      </c>
      <c r="J33" s="416">
        <v>161</v>
      </c>
      <c r="K33" s="416">
        <v>137</v>
      </c>
      <c r="L33" s="416">
        <v>117</v>
      </c>
      <c r="M33" s="416">
        <v>110</v>
      </c>
      <c r="N33" s="416">
        <v>102</v>
      </c>
      <c r="O33" s="416">
        <v>120</v>
      </c>
      <c r="P33" s="416">
        <v>108</v>
      </c>
      <c r="Q33" s="416">
        <v>88</v>
      </c>
      <c r="R33" s="416">
        <v>149</v>
      </c>
      <c r="T33" s="416">
        <v>1743</v>
      </c>
      <c r="V33" s="416">
        <f t="shared" si="0"/>
        <v>1743</v>
      </c>
    </row>
    <row r="34" spans="1:22" x14ac:dyDescent="0.25">
      <c r="A34" s="416" t="s">
        <v>258</v>
      </c>
      <c r="B34" s="416" t="s">
        <v>866</v>
      </c>
      <c r="C34" s="416" t="s">
        <v>194</v>
      </c>
      <c r="E34" s="416">
        <v>170</v>
      </c>
      <c r="F34" s="416">
        <v>112</v>
      </c>
      <c r="G34" s="416">
        <v>153</v>
      </c>
      <c r="H34" s="416">
        <v>161</v>
      </c>
      <c r="I34" s="416">
        <v>198</v>
      </c>
      <c r="J34" s="416">
        <v>195</v>
      </c>
      <c r="K34" s="416">
        <v>162</v>
      </c>
      <c r="L34" s="416">
        <v>157</v>
      </c>
      <c r="M34" s="416">
        <v>172</v>
      </c>
      <c r="N34" s="416">
        <v>151</v>
      </c>
      <c r="O34" s="416">
        <v>149</v>
      </c>
      <c r="P34" s="416">
        <v>158</v>
      </c>
      <c r="Q34" s="416">
        <v>137</v>
      </c>
      <c r="R34" s="416">
        <v>159</v>
      </c>
      <c r="T34" s="416">
        <v>2234</v>
      </c>
      <c r="V34" s="416">
        <f t="shared" si="0"/>
        <v>2234</v>
      </c>
    </row>
    <row r="35" spans="1:22" x14ac:dyDescent="0.25">
      <c r="A35" s="416" t="s">
        <v>260</v>
      </c>
      <c r="B35" s="416" t="s">
        <v>867</v>
      </c>
      <c r="C35" s="416" t="s">
        <v>189</v>
      </c>
      <c r="E35" s="416">
        <v>32</v>
      </c>
      <c r="F35" s="416">
        <v>22</v>
      </c>
      <c r="G35" s="416">
        <v>28</v>
      </c>
      <c r="H35" s="416">
        <v>47</v>
      </c>
      <c r="I35" s="416">
        <v>29</v>
      </c>
      <c r="J35" s="416">
        <v>40</v>
      </c>
      <c r="K35" s="416">
        <v>39</v>
      </c>
      <c r="L35" s="416">
        <v>34</v>
      </c>
      <c r="M35" s="416">
        <v>40</v>
      </c>
      <c r="N35" s="416">
        <v>36</v>
      </c>
      <c r="O35" s="416">
        <v>25</v>
      </c>
      <c r="P35" s="416">
        <v>40</v>
      </c>
      <c r="Q35" s="416">
        <v>27</v>
      </c>
      <c r="R35" s="416">
        <v>43</v>
      </c>
      <c r="T35" s="416">
        <v>482</v>
      </c>
      <c r="V35" s="416">
        <f t="shared" si="0"/>
        <v>482</v>
      </c>
    </row>
    <row r="36" spans="1:22" x14ac:dyDescent="0.25">
      <c r="A36" s="416" t="s">
        <v>262</v>
      </c>
      <c r="B36" s="416" t="s">
        <v>868</v>
      </c>
      <c r="C36" s="416" t="s">
        <v>189</v>
      </c>
      <c r="E36" s="416">
        <v>20</v>
      </c>
      <c r="F36" s="416">
        <v>12</v>
      </c>
      <c r="G36" s="416">
        <v>26</v>
      </c>
      <c r="H36" s="416">
        <v>23</v>
      </c>
      <c r="I36" s="416">
        <v>25</v>
      </c>
      <c r="J36" s="416">
        <v>28</v>
      </c>
      <c r="K36" s="416">
        <v>27</v>
      </c>
      <c r="L36" s="416">
        <v>29</v>
      </c>
      <c r="M36" s="416">
        <v>33</v>
      </c>
      <c r="N36" s="416">
        <v>28</v>
      </c>
      <c r="O36" s="416">
        <v>33</v>
      </c>
      <c r="P36" s="416">
        <v>31</v>
      </c>
      <c r="Q36" s="416">
        <v>28</v>
      </c>
      <c r="R36" s="416">
        <v>48</v>
      </c>
      <c r="T36" s="416">
        <v>391</v>
      </c>
      <c r="V36" s="416">
        <f t="shared" si="0"/>
        <v>391</v>
      </c>
    </row>
    <row r="37" spans="1:22" x14ac:dyDescent="0.25">
      <c r="A37" s="416" t="s">
        <v>264</v>
      </c>
      <c r="B37" s="416" t="s">
        <v>869</v>
      </c>
      <c r="C37" s="416" t="s">
        <v>194</v>
      </c>
      <c r="E37" s="416">
        <v>81</v>
      </c>
      <c r="F37" s="416">
        <v>59</v>
      </c>
      <c r="G37" s="416">
        <v>86</v>
      </c>
      <c r="H37" s="416">
        <v>66</v>
      </c>
      <c r="I37" s="416">
        <v>70</v>
      </c>
      <c r="J37" s="416">
        <v>77</v>
      </c>
      <c r="K37" s="416">
        <v>56</v>
      </c>
      <c r="L37" s="416">
        <v>59</v>
      </c>
      <c r="M37" s="416">
        <v>70</v>
      </c>
      <c r="N37" s="416">
        <v>50</v>
      </c>
      <c r="O37" s="416">
        <v>46</v>
      </c>
      <c r="P37" s="416">
        <v>54</v>
      </c>
      <c r="Q37" s="416">
        <v>40</v>
      </c>
      <c r="R37" s="416">
        <v>42</v>
      </c>
      <c r="T37" s="416">
        <v>856</v>
      </c>
      <c r="V37" s="416">
        <f t="shared" si="0"/>
        <v>856</v>
      </c>
    </row>
    <row r="38" spans="1:22" x14ac:dyDescent="0.25">
      <c r="A38" s="416" t="s">
        <v>266</v>
      </c>
      <c r="B38" s="416" t="s">
        <v>870</v>
      </c>
      <c r="C38" s="416" t="s">
        <v>194</v>
      </c>
      <c r="E38" s="416">
        <v>2</v>
      </c>
      <c r="F38" s="416">
        <v>5</v>
      </c>
      <c r="G38" s="416">
        <v>10</v>
      </c>
      <c r="H38" s="416">
        <v>5</v>
      </c>
      <c r="I38" s="416">
        <v>9</v>
      </c>
      <c r="J38" s="416">
        <v>16</v>
      </c>
      <c r="K38" s="416">
        <v>8</v>
      </c>
      <c r="L38" s="416">
        <v>14</v>
      </c>
      <c r="M38" s="416">
        <v>11</v>
      </c>
      <c r="N38" s="416">
        <v>5</v>
      </c>
      <c r="O38" s="416">
        <v>7</v>
      </c>
      <c r="P38" s="416">
        <v>9</v>
      </c>
      <c r="Q38" s="416">
        <v>9</v>
      </c>
      <c r="R38" s="416">
        <v>17</v>
      </c>
      <c r="T38" s="416">
        <v>127</v>
      </c>
      <c r="V38" s="416">
        <f t="shared" si="0"/>
        <v>127</v>
      </c>
    </row>
    <row r="39" spans="1:22" x14ac:dyDescent="0.25">
      <c r="A39" s="416" t="s">
        <v>268</v>
      </c>
      <c r="B39" s="416" t="s">
        <v>871</v>
      </c>
      <c r="C39" s="416" t="s">
        <v>228</v>
      </c>
      <c r="E39" s="416">
        <v>13</v>
      </c>
      <c r="F39" s="416">
        <v>10</v>
      </c>
      <c r="G39" s="416">
        <v>14</v>
      </c>
      <c r="H39" s="416">
        <v>6</v>
      </c>
      <c r="I39" s="416">
        <v>10</v>
      </c>
      <c r="J39" s="416">
        <v>8</v>
      </c>
      <c r="K39" s="416">
        <v>8</v>
      </c>
      <c r="L39" s="416">
        <v>9</v>
      </c>
      <c r="M39" s="416">
        <v>5</v>
      </c>
      <c r="N39" s="416">
        <v>7</v>
      </c>
      <c r="O39" s="416">
        <v>9</v>
      </c>
      <c r="P39" s="416">
        <v>5</v>
      </c>
      <c r="Q39" s="416">
        <v>8</v>
      </c>
      <c r="R39" s="416">
        <v>10</v>
      </c>
      <c r="T39" s="416">
        <v>122</v>
      </c>
      <c r="V39" s="416">
        <f t="shared" si="0"/>
        <v>122</v>
      </c>
    </row>
    <row r="40" spans="1:22" x14ac:dyDescent="0.25">
      <c r="A40" s="416" t="s">
        <v>270</v>
      </c>
      <c r="B40" s="416" t="s">
        <v>872</v>
      </c>
      <c r="C40" s="416" t="s">
        <v>202</v>
      </c>
      <c r="E40" s="416">
        <v>28</v>
      </c>
      <c r="F40" s="416">
        <v>29</v>
      </c>
      <c r="G40" s="416">
        <v>26</v>
      </c>
      <c r="H40" s="416">
        <v>43</v>
      </c>
      <c r="I40" s="416">
        <v>37</v>
      </c>
      <c r="J40" s="416">
        <v>39</v>
      </c>
      <c r="K40" s="416">
        <v>42</v>
      </c>
      <c r="L40" s="416">
        <v>31</v>
      </c>
      <c r="M40" s="416">
        <v>32</v>
      </c>
      <c r="N40" s="416">
        <v>32</v>
      </c>
      <c r="O40" s="416">
        <v>26</v>
      </c>
      <c r="P40" s="416">
        <v>35</v>
      </c>
      <c r="Q40" s="416">
        <v>34</v>
      </c>
      <c r="R40" s="416">
        <v>39</v>
      </c>
      <c r="T40" s="416">
        <v>473</v>
      </c>
      <c r="V40" s="416">
        <f t="shared" si="0"/>
        <v>473</v>
      </c>
    </row>
    <row r="41" spans="1:22" x14ac:dyDescent="0.25">
      <c r="A41" s="416" t="s">
        <v>272</v>
      </c>
      <c r="B41" s="416" t="s">
        <v>873</v>
      </c>
      <c r="C41" s="416" t="s">
        <v>221</v>
      </c>
      <c r="E41" s="416">
        <v>12</v>
      </c>
      <c r="F41" s="416">
        <v>7</v>
      </c>
      <c r="G41" s="416">
        <v>8</v>
      </c>
      <c r="H41" s="416">
        <v>8</v>
      </c>
      <c r="I41" s="416">
        <v>8</v>
      </c>
      <c r="J41" s="416">
        <v>10</v>
      </c>
      <c r="K41" s="416">
        <v>10</v>
      </c>
      <c r="L41" s="416">
        <v>14</v>
      </c>
      <c r="M41" s="416">
        <v>13</v>
      </c>
      <c r="N41" s="416">
        <v>12</v>
      </c>
      <c r="O41" s="416">
        <v>13</v>
      </c>
      <c r="P41" s="416">
        <v>9</v>
      </c>
      <c r="Q41" s="416">
        <v>8</v>
      </c>
      <c r="R41" s="416">
        <v>5</v>
      </c>
      <c r="T41" s="416">
        <v>137</v>
      </c>
      <c r="V41" s="416">
        <f t="shared" si="0"/>
        <v>137</v>
      </c>
    </row>
    <row r="42" spans="1:22" x14ac:dyDescent="0.25">
      <c r="A42" s="416" t="s">
        <v>274</v>
      </c>
      <c r="B42" s="416" t="s">
        <v>874</v>
      </c>
      <c r="C42" s="416" t="s">
        <v>205</v>
      </c>
      <c r="E42" s="416">
        <v>197</v>
      </c>
      <c r="F42" s="416">
        <v>151</v>
      </c>
      <c r="G42" s="416">
        <v>180</v>
      </c>
      <c r="H42" s="416">
        <v>150</v>
      </c>
      <c r="I42" s="416">
        <v>149</v>
      </c>
      <c r="J42" s="416">
        <v>161</v>
      </c>
      <c r="K42" s="416">
        <v>161</v>
      </c>
      <c r="L42" s="416">
        <v>140</v>
      </c>
      <c r="M42" s="416">
        <v>139</v>
      </c>
      <c r="N42" s="416">
        <v>113</v>
      </c>
      <c r="O42" s="416">
        <v>133</v>
      </c>
      <c r="P42" s="416">
        <v>125</v>
      </c>
      <c r="Q42" s="416">
        <v>120</v>
      </c>
      <c r="R42" s="416">
        <v>113</v>
      </c>
      <c r="T42" s="416">
        <v>2032</v>
      </c>
      <c r="V42" s="416">
        <f t="shared" si="0"/>
        <v>2032</v>
      </c>
    </row>
    <row r="43" spans="1:22" x14ac:dyDescent="0.25">
      <c r="A43" s="416" t="s">
        <v>276</v>
      </c>
      <c r="B43" s="416" t="s">
        <v>875</v>
      </c>
      <c r="C43" s="416" t="s">
        <v>194</v>
      </c>
      <c r="E43" s="416">
        <v>3</v>
      </c>
      <c r="F43" s="416">
        <v>6</v>
      </c>
      <c r="G43" s="416">
        <v>4</v>
      </c>
      <c r="H43" s="416">
        <v>5</v>
      </c>
      <c r="I43" s="416">
        <v>6</v>
      </c>
      <c r="J43" s="416">
        <v>5</v>
      </c>
      <c r="K43" s="416">
        <v>6</v>
      </c>
      <c r="L43" s="416">
        <v>6</v>
      </c>
      <c r="M43" s="416">
        <v>4</v>
      </c>
      <c r="N43" s="416">
        <v>5</v>
      </c>
      <c r="O43" s="416">
        <v>10</v>
      </c>
      <c r="P43" s="416">
        <v>5</v>
      </c>
      <c r="Q43" s="416">
        <v>5</v>
      </c>
      <c r="R43" s="416">
        <v>8</v>
      </c>
      <c r="T43" s="416">
        <v>78</v>
      </c>
      <c r="V43" s="416">
        <f t="shared" si="0"/>
        <v>78</v>
      </c>
    </row>
    <row r="44" spans="1:22" x14ac:dyDescent="0.25">
      <c r="A44" s="416" t="s">
        <v>278</v>
      </c>
      <c r="B44" s="416" t="s">
        <v>876</v>
      </c>
      <c r="C44" s="416" t="s">
        <v>202</v>
      </c>
      <c r="E44" s="416">
        <v>24</v>
      </c>
      <c r="F44" s="416">
        <v>12</v>
      </c>
      <c r="G44" s="416">
        <v>22</v>
      </c>
      <c r="H44" s="416">
        <v>12</v>
      </c>
      <c r="I44" s="416">
        <v>23</v>
      </c>
      <c r="J44" s="416">
        <v>11</v>
      </c>
      <c r="K44" s="416">
        <v>18</v>
      </c>
      <c r="L44" s="416">
        <v>14</v>
      </c>
      <c r="M44" s="416">
        <v>14</v>
      </c>
      <c r="N44" s="416">
        <v>18</v>
      </c>
      <c r="O44" s="416">
        <v>16</v>
      </c>
      <c r="P44" s="416">
        <v>12</v>
      </c>
      <c r="Q44" s="416">
        <v>10</v>
      </c>
      <c r="R44" s="416">
        <v>8</v>
      </c>
      <c r="T44" s="416">
        <v>214</v>
      </c>
      <c r="V44" s="416">
        <f t="shared" si="0"/>
        <v>214</v>
      </c>
    </row>
    <row r="45" spans="1:22" x14ac:dyDescent="0.25">
      <c r="A45" s="416" t="s">
        <v>280</v>
      </c>
      <c r="B45" s="416" t="s">
        <v>877</v>
      </c>
      <c r="C45" s="416" t="s">
        <v>194</v>
      </c>
      <c r="E45" s="416">
        <v>1</v>
      </c>
      <c r="F45" s="416">
        <v>2</v>
      </c>
      <c r="G45" s="416">
        <v>1</v>
      </c>
      <c r="H45" s="416">
        <v>1</v>
      </c>
      <c r="I45" s="416">
        <v>3</v>
      </c>
      <c r="J45" s="416">
        <v>5</v>
      </c>
      <c r="K45" s="416">
        <v>3</v>
      </c>
      <c r="L45" s="416">
        <v>3</v>
      </c>
      <c r="M45" s="416">
        <v>2</v>
      </c>
      <c r="N45" s="416">
        <v>2</v>
      </c>
      <c r="O45" s="416">
        <v>3</v>
      </c>
      <c r="P45" s="416">
        <v>1</v>
      </c>
      <c r="Q45" s="416">
        <v>1</v>
      </c>
      <c r="T45" s="416">
        <v>28</v>
      </c>
      <c r="V45" s="416">
        <f t="shared" si="0"/>
        <v>28</v>
      </c>
    </row>
    <row r="46" spans="1:22" x14ac:dyDescent="0.25">
      <c r="A46" s="416" t="s">
        <v>282</v>
      </c>
      <c r="B46" s="416" t="s">
        <v>1248</v>
      </c>
      <c r="C46" s="416" t="s">
        <v>194</v>
      </c>
      <c r="E46" s="416">
        <v>1</v>
      </c>
      <c r="F46" s="416">
        <v>2</v>
      </c>
      <c r="H46" s="416">
        <v>1</v>
      </c>
      <c r="I46" s="416">
        <v>2</v>
      </c>
      <c r="J46" s="416">
        <v>2</v>
      </c>
      <c r="K46" s="416">
        <v>3</v>
      </c>
      <c r="M46" s="416">
        <v>1</v>
      </c>
      <c r="N46" s="416">
        <v>3</v>
      </c>
      <c r="O46" s="416">
        <v>2</v>
      </c>
      <c r="P46" s="416">
        <v>2</v>
      </c>
      <c r="Q46" s="416">
        <v>1</v>
      </c>
      <c r="R46" s="416">
        <v>3</v>
      </c>
      <c r="T46" s="416">
        <v>23</v>
      </c>
      <c r="V46" s="416">
        <f t="shared" si="0"/>
        <v>23</v>
      </c>
    </row>
    <row r="47" spans="1:22" x14ac:dyDescent="0.25">
      <c r="A47" s="416" t="s">
        <v>284</v>
      </c>
      <c r="B47" s="416" t="s">
        <v>1252</v>
      </c>
      <c r="C47" s="416" t="s">
        <v>202</v>
      </c>
      <c r="E47" s="416">
        <v>10</v>
      </c>
      <c r="F47" s="416">
        <v>6</v>
      </c>
      <c r="G47" s="416">
        <v>13</v>
      </c>
      <c r="H47" s="416">
        <v>9</v>
      </c>
      <c r="I47" s="416">
        <v>8</v>
      </c>
      <c r="J47" s="416">
        <v>8</v>
      </c>
      <c r="K47" s="416">
        <v>6</v>
      </c>
      <c r="L47" s="416">
        <v>10</v>
      </c>
      <c r="M47" s="416">
        <v>10</v>
      </c>
      <c r="N47" s="416">
        <v>7</v>
      </c>
      <c r="O47" s="416">
        <v>4</v>
      </c>
      <c r="P47" s="416">
        <v>7</v>
      </c>
      <c r="Q47" s="416">
        <v>9</v>
      </c>
      <c r="R47" s="416">
        <v>3</v>
      </c>
      <c r="T47" s="416">
        <v>110</v>
      </c>
      <c r="V47" s="416">
        <f t="shared" si="0"/>
        <v>110</v>
      </c>
    </row>
    <row r="48" spans="1:22" x14ac:dyDescent="0.25">
      <c r="A48" s="416" t="s">
        <v>286</v>
      </c>
      <c r="B48" s="416" t="s">
        <v>1137</v>
      </c>
      <c r="C48" s="416" t="s">
        <v>194</v>
      </c>
      <c r="E48" s="416">
        <v>17</v>
      </c>
      <c r="F48" s="416">
        <v>22</v>
      </c>
      <c r="G48" s="416">
        <v>17</v>
      </c>
      <c r="H48" s="416">
        <v>24</v>
      </c>
      <c r="I48" s="416">
        <v>27</v>
      </c>
      <c r="J48" s="416">
        <v>32</v>
      </c>
      <c r="K48" s="416">
        <v>28</v>
      </c>
      <c r="L48" s="416">
        <v>22</v>
      </c>
      <c r="M48" s="416">
        <v>20</v>
      </c>
      <c r="N48" s="416">
        <v>18</v>
      </c>
      <c r="O48" s="416">
        <v>15</v>
      </c>
      <c r="P48" s="416">
        <v>13</v>
      </c>
      <c r="Q48" s="416">
        <v>10</v>
      </c>
      <c r="R48" s="416">
        <v>15</v>
      </c>
      <c r="T48" s="416">
        <v>280</v>
      </c>
      <c r="V48" s="416">
        <f t="shared" si="0"/>
        <v>280</v>
      </c>
    </row>
    <row r="49" spans="1:22" x14ac:dyDescent="0.25">
      <c r="A49" s="416" t="s">
        <v>288</v>
      </c>
      <c r="B49" s="416" t="s">
        <v>881</v>
      </c>
      <c r="C49" s="416" t="s">
        <v>197</v>
      </c>
      <c r="E49" s="416">
        <v>1</v>
      </c>
      <c r="F49" s="416">
        <v>6</v>
      </c>
      <c r="G49" s="416">
        <v>7</v>
      </c>
      <c r="H49" s="416">
        <v>10</v>
      </c>
      <c r="I49" s="416">
        <v>6</v>
      </c>
      <c r="J49" s="416">
        <v>5</v>
      </c>
      <c r="K49" s="416">
        <v>14</v>
      </c>
      <c r="L49" s="416">
        <v>8</v>
      </c>
      <c r="M49" s="416">
        <v>11</v>
      </c>
      <c r="N49" s="416">
        <v>11</v>
      </c>
      <c r="O49" s="416">
        <v>8</v>
      </c>
      <c r="P49" s="416">
        <v>4</v>
      </c>
      <c r="Q49" s="416">
        <v>5</v>
      </c>
      <c r="R49" s="416">
        <v>1</v>
      </c>
      <c r="T49" s="416">
        <v>97</v>
      </c>
      <c r="V49" s="416">
        <f t="shared" si="0"/>
        <v>97</v>
      </c>
    </row>
    <row r="50" spans="1:22" x14ac:dyDescent="0.25">
      <c r="A50" s="416" t="s">
        <v>290</v>
      </c>
      <c r="B50" s="416" t="s">
        <v>882</v>
      </c>
      <c r="C50" s="416" t="s">
        <v>197</v>
      </c>
      <c r="F50" s="416">
        <v>1</v>
      </c>
      <c r="G50" s="416">
        <v>4</v>
      </c>
      <c r="H50" s="416">
        <v>6</v>
      </c>
      <c r="I50" s="416">
        <v>3</v>
      </c>
      <c r="J50" s="416">
        <v>2</v>
      </c>
      <c r="K50" s="416">
        <v>7</v>
      </c>
      <c r="L50" s="416">
        <v>5</v>
      </c>
      <c r="M50" s="416">
        <v>4</v>
      </c>
      <c r="N50" s="416">
        <v>6</v>
      </c>
      <c r="T50" s="416">
        <v>38</v>
      </c>
      <c r="V50" s="416">
        <f t="shared" si="0"/>
        <v>38</v>
      </c>
    </row>
    <row r="51" spans="1:22" x14ac:dyDescent="0.25">
      <c r="A51" s="416" t="s">
        <v>292</v>
      </c>
      <c r="B51" s="416" t="s">
        <v>883</v>
      </c>
      <c r="C51" s="416" t="s">
        <v>189</v>
      </c>
      <c r="E51" s="416">
        <v>1</v>
      </c>
      <c r="G51" s="416">
        <v>4</v>
      </c>
      <c r="H51" s="416">
        <v>5</v>
      </c>
      <c r="I51" s="416">
        <v>2</v>
      </c>
      <c r="J51" s="416">
        <v>3</v>
      </c>
      <c r="K51" s="416">
        <v>1</v>
      </c>
      <c r="L51" s="416">
        <v>4</v>
      </c>
      <c r="T51" s="416">
        <v>20</v>
      </c>
      <c r="V51" s="416">
        <f t="shared" si="0"/>
        <v>20</v>
      </c>
    </row>
    <row r="52" spans="1:22" x14ac:dyDescent="0.25">
      <c r="A52" s="416" t="s">
        <v>294</v>
      </c>
      <c r="B52" s="416" t="s">
        <v>1228</v>
      </c>
      <c r="C52" s="416" t="s">
        <v>231</v>
      </c>
      <c r="F52" s="416">
        <v>1</v>
      </c>
      <c r="G52" s="416">
        <v>2</v>
      </c>
      <c r="I52" s="416">
        <v>1</v>
      </c>
      <c r="J52" s="416">
        <v>2</v>
      </c>
      <c r="K52" s="416">
        <v>1</v>
      </c>
      <c r="O52" s="416">
        <v>1</v>
      </c>
      <c r="P52" s="416">
        <v>2</v>
      </c>
      <c r="Q52" s="416">
        <v>4</v>
      </c>
      <c r="R52" s="416">
        <v>2</v>
      </c>
      <c r="T52" s="416">
        <v>16</v>
      </c>
      <c r="V52" s="416">
        <f t="shared" si="0"/>
        <v>16</v>
      </c>
    </row>
    <row r="53" spans="1:22" x14ac:dyDescent="0.25">
      <c r="A53" s="416" t="s">
        <v>296</v>
      </c>
      <c r="B53" s="416" t="s">
        <v>885</v>
      </c>
      <c r="C53" s="416" t="s">
        <v>197</v>
      </c>
      <c r="E53" s="416">
        <v>6</v>
      </c>
      <c r="F53" s="416">
        <v>13</v>
      </c>
      <c r="G53" s="416">
        <v>7</v>
      </c>
      <c r="H53" s="416">
        <v>16</v>
      </c>
      <c r="I53" s="416">
        <v>8</v>
      </c>
      <c r="J53" s="416">
        <v>7</v>
      </c>
      <c r="K53" s="416">
        <v>10</v>
      </c>
      <c r="L53" s="416">
        <v>10</v>
      </c>
      <c r="M53" s="416">
        <v>17</v>
      </c>
      <c r="N53" s="416">
        <v>10</v>
      </c>
      <c r="O53" s="416">
        <v>7</v>
      </c>
      <c r="P53" s="416">
        <v>11</v>
      </c>
      <c r="Q53" s="416">
        <v>17</v>
      </c>
      <c r="R53" s="416">
        <v>23</v>
      </c>
      <c r="T53" s="416">
        <v>162</v>
      </c>
      <c r="V53" s="416">
        <f t="shared" si="0"/>
        <v>162</v>
      </c>
    </row>
    <row r="54" spans="1:22" x14ac:dyDescent="0.25">
      <c r="A54" s="416" t="s">
        <v>298</v>
      </c>
      <c r="B54" s="416" t="s">
        <v>886</v>
      </c>
      <c r="C54" s="416" t="s">
        <v>228</v>
      </c>
      <c r="F54" s="416">
        <v>1</v>
      </c>
      <c r="G54" s="416">
        <v>1</v>
      </c>
      <c r="H54" s="416">
        <v>1</v>
      </c>
      <c r="I54" s="416">
        <v>3</v>
      </c>
      <c r="J54" s="416">
        <v>5</v>
      </c>
      <c r="K54" s="416">
        <v>5</v>
      </c>
      <c r="L54" s="416">
        <v>4</v>
      </c>
      <c r="M54" s="416">
        <v>3</v>
      </c>
      <c r="O54" s="416">
        <v>3</v>
      </c>
      <c r="P54" s="416">
        <v>4</v>
      </c>
      <c r="Q54" s="416">
        <v>3</v>
      </c>
      <c r="R54" s="416">
        <v>5</v>
      </c>
      <c r="T54" s="416">
        <v>38</v>
      </c>
      <c r="V54" s="416">
        <f t="shared" si="0"/>
        <v>38</v>
      </c>
    </row>
    <row r="55" spans="1:22" x14ac:dyDescent="0.25">
      <c r="A55" s="416" t="s">
        <v>300</v>
      </c>
      <c r="B55" s="416" t="s">
        <v>887</v>
      </c>
      <c r="C55" s="416" t="s">
        <v>194</v>
      </c>
      <c r="E55" s="416">
        <v>1</v>
      </c>
      <c r="F55" s="416">
        <v>2</v>
      </c>
      <c r="G55" s="416">
        <v>1</v>
      </c>
      <c r="H55" s="416">
        <v>1</v>
      </c>
      <c r="I55" s="416">
        <v>2</v>
      </c>
      <c r="K55" s="416">
        <v>2</v>
      </c>
      <c r="L55" s="416">
        <v>3</v>
      </c>
      <c r="M55" s="416">
        <v>3</v>
      </c>
      <c r="N55" s="416">
        <v>1</v>
      </c>
      <c r="Q55" s="416">
        <v>3</v>
      </c>
      <c r="R55" s="416">
        <v>3</v>
      </c>
      <c r="T55" s="416">
        <v>22</v>
      </c>
      <c r="V55" s="416">
        <f t="shared" si="0"/>
        <v>22</v>
      </c>
    </row>
    <row r="56" spans="1:22" x14ac:dyDescent="0.25">
      <c r="A56" s="416" t="s">
        <v>302</v>
      </c>
      <c r="B56" s="416" t="s">
        <v>888</v>
      </c>
      <c r="C56" s="416" t="s">
        <v>194</v>
      </c>
      <c r="G56" s="416">
        <v>1</v>
      </c>
      <c r="H56" s="416">
        <v>4</v>
      </c>
      <c r="J56" s="416">
        <v>3</v>
      </c>
      <c r="K56" s="416">
        <v>2</v>
      </c>
      <c r="L56" s="416">
        <v>2</v>
      </c>
      <c r="M56" s="416">
        <v>6</v>
      </c>
      <c r="N56" s="416">
        <v>2</v>
      </c>
      <c r="O56" s="416">
        <v>7</v>
      </c>
      <c r="P56" s="416">
        <v>2</v>
      </c>
      <c r="R56" s="416">
        <v>2</v>
      </c>
      <c r="T56" s="416">
        <v>31</v>
      </c>
      <c r="V56" s="416">
        <f t="shared" si="0"/>
        <v>31</v>
      </c>
    </row>
    <row r="57" spans="1:22" x14ac:dyDescent="0.25">
      <c r="A57" s="416" t="s">
        <v>304</v>
      </c>
      <c r="B57" s="416" t="s">
        <v>889</v>
      </c>
      <c r="C57" s="416" t="s">
        <v>194</v>
      </c>
      <c r="E57" s="416">
        <v>6</v>
      </c>
      <c r="F57" s="416">
        <v>2</v>
      </c>
      <c r="G57" s="416">
        <v>3</v>
      </c>
      <c r="H57" s="416">
        <v>2</v>
      </c>
      <c r="I57" s="416">
        <v>3</v>
      </c>
      <c r="J57" s="416">
        <v>4</v>
      </c>
      <c r="K57" s="416">
        <v>4</v>
      </c>
      <c r="L57" s="416">
        <v>3</v>
      </c>
      <c r="M57" s="416">
        <v>3</v>
      </c>
      <c r="N57" s="416">
        <v>1</v>
      </c>
      <c r="O57" s="416">
        <v>5</v>
      </c>
      <c r="P57" s="416">
        <v>7</v>
      </c>
      <c r="Q57" s="416">
        <v>4</v>
      </c>
      <c r="R57" s="416">
        <v>5</v>
      </c>
      <c r="T57" s="416">
        <v>52</v>
      </c>
      <c r="V57" s="416">
        <f t="shared" si="0"/>
        <v>52</v>
      </c>
    </row>
    <row r="58" spans="1:22" x14ac:dyDescent="0.25">
      <c r="A58" s="416" t="s">
        <v>306</v>
      </c>
      <c r="B58" s="416" t="s">
        <v>1138</v>
      </c>
      <c r="C58" s="416" t="s">
        <v>221</v>
      </c>
      <c r="E58" s="416">
        <v>1</v>
      </c>
      <c r="F58" s="416">
        <v>1</v>
      </c>
      <c r="G58" s="416">
        <v>2</v>
      </c>
      <c r="I58" s="416">
        <v>2</v>
      </c>
      <c r="J58" s="416">
        <v>2</v>
      </c>
      <c r="T58" s="416">
        <v>8</v>
      </c>
      <c r="V58" s="416">
        <f t="shared" si="0"/>
        <v>8</v>
      </c>
    </row>
    <row r="59" spans="1:22" x14ac:dyDescent="0.25">
      <c r="A59" s="416" t="s">
        <v>312</v>
      </c>
      <c r="B59" s="416" t="s">
        <v>894</v>
      </c>
      <c r="C59" s="416" t="s">
        <v>202</v>
      </c>
      <c r="D59" s="416" t="s">
        <v>819</v>
      </c>
      <c r="E59" s="416">
        <v>3</v>
      </c>
      <c r="F59" s="416">
        <v>5</v>
      </c>
      <c r="G59" s="416">
        <v>6</v>
      </c>
      <c r="H59" s="416">
        <v>2</v>
      </c>
      <c r="I59" s="416">
        <v>8</v>
      </c>
      <c r="J59" s="416">
        <v>5</v>
      </c>
      <c r="K59" s="416">
        <v>3</v>
      </c>
      <c r="L59" s="416">
        <v>3</v>
      </c>
      <c r="M59" s="416">
        <v>1</v>
      </c>
      <c r="N59" s="416">
        <v>1</v>
      </c>
      <c r="O59" s="416">
        <v>2</v>
      </c>
      <c r="P59" s="416">
        <v>2</v>
      </c>
      <c r="Q59" s="416">
        <v>4</v>
      </c>
      <c r="R59" s="416">
        <v>6</v>
      </c>
      <c r="T59" s="416">
        <v>51</v>
      </c>
      <c r="V59" s="416">
        <f t="shared" si="0"/>
        <v>51</v>
      </c>
    </row>
    <row r="60" spans="1:22" x14ac:dyDescent="0.25">
      <c r="A60" s="416" t="s">
        <v>308</v>
      </c>
      <c r="B60" s="416" t="s">
        <v>892</v>
      </c>
      <c r="C60" s="416" t="s">
        <v>197</v>
      </c>
      <c r="E60" s="416">
        <v>1</v>
      </c>
      <c r="F60" s="416">
        <v>6</v>
      </c>
      <c r="G60" s="416">
        <v>2</v>
      </c>
      <c r="H60" s="416">
        <v>1</v>
      </c>
      <c r="I60" s="416">
        <v>5</v>
      </c>
      <c r="J60" s="416">
        <v>8</v>
      </c>
      <c r="K60" s="416">
        <v>5</v>
      </c>
      <c r="L60" s="416">
        <v>6</v>
      </c>
      <c r="M60" s="416">
        <v>9</v>
      </c>
      <c r="N60" s="416">
        <v>3</v>
      </c>
      <c r="O60" s="416">
        <v>8</v>
      </c>
      <c r="P60" s="416">
        <v>3</v>
      </c>
      <c r="Q60" s="416">
        <v>6</v>
      </c>
      <c r="R60" s="416">
        <v>6</v>
      </c>
      <c r="T60" s="416">
        <v>69</v>
      </c>
      <c r="V60" s="416">
        <f t="shared" si="0"/>
        <v>69</v>
      </c>
    </row>
    <row r="61" spans="1:22" x14ac:dyDescent="0.25">
      <c r="A61" s="416" t="s">
        <v>310</v>
      </c>
      <c r="B61" s="416" t="s">
        <v>893</v>
      </c>
      <c r="C61" s="416" t="s">
        <v>194</v>
      </c>
      <c r="E61" s="416">
        <v>4</v>
      </c>
      <c r="F61" s="416">
        <v>6</v>
      </c>
      <c r="G61" s="416">
        <v>9</v>
      </c>
      <c r="H61" s="416">
        <v>4</v>
      </c>
      <c r="I61" s="416">
        <v>7</v>
      </c>
      <c r="J61" s="416">
        <v>10</v>
      </c>
      <c r="K61" s="416">
        <v>4</v>
      </c>
      <c r="L61" s="416">
        <v>3</v>
      </c>
      <c r="M61" s="416">
        <v>4</v>
      </c>
      <c r="N61" s="416">
        <v>8</v>
      </c>
      <c r="O61" s="416">
        <v>4</v>
      </c>
      <c r="P61" s="416">
        <v>5</v>
      </c>
      <c r="Q61" s="416">
        <v>1</v>
      </c>
      <c r="R61" s="416">
        <v>7</v>
      </c>
      <c r="T61" s="416">
        <v>76</v>
      </c>
      <c r="V61" s="416">
        <f t="shared" si="0"/>
        <v>76</v>
      </c>
    </row>
    <row r="62" spans="1:22" x14ac:dyDescent="0.25">
      <c r="A62" s="416" t="s">
        <v>318</v>
      </c>
      <c r="B62" s="416" t="s">
        <v>897</v>
      </c>
      <c r="C62" s="416" t="s">
        <v>202</v>
      </c>
      <c r="D62" s="416" t="s">
        <v>819</v>
      </c>
      <c r="F62" s="416">
        <v>2</v>
      </c>
      <c r="J62" s="416">
        <v>1</v>
      </c>
      <c r="T62" s="416">
        <v>3</v>
      </c>
      <c r="V62" s="416">
        <f t="shared" si="0"/>
        <v>3</v>
      </c>
    </row>
    <row r="63" spans="1:22" x14ac:dyDescent="0.25">
      <c r="A63" s="416" t="s">
        <v>314</v>
      </c>
      <c r="B63" s="416" t="s">
        <v>895</v>
      </c>
      <c r="C63" s="416" t="s">
        <v>194</v>
      </c>
      <c r="E63" s="416">
        <v>25</v>
      </c>
      <c r="F63" s="416">
        <v>21</v>
      </c>
      <c r="G63" s="416">
        <v>25</v>
      </c>
      <c r="H63" s="416">
        <v>20</v>
      </c>
      <c r="I63" s="416">
        <v>26</v>
      </c>
      <c r="J63" s="416">
        <v>33</v>
      </c>
      <c r="K63" s="416">
        <v>24</v>
      </c>
      <c r="L63" s="416">
        <v>26</v>
      </c>
      <c r="M63" s="416">
        <v>21</v>
      </c>
      <c r="N63" s="416">
        <v>26</v>
      </c>
      <c r="O63" s="416">
        <v>19</v>
      </c>
      <c r="P63" s="416">
        <v>25</v>
      </c>
      <c r="Q63" s="416">
        <v>17</v>
      </c>
      <c r="R63" s="416">
        <v>24</v>
      </c>
      <c r="T63" s="416">
        <v>332</v>
      </c>
      <c r="V63" s="416">
        <f t="shared" si="0"/>
        <v>332</v>
      </c>
    </row>
    <row r="64" spans="1:22" x14ac:dyDescent="0.25">
      <c r="A64" s="416" t="s">
        <v>316</v>
      </c>
      <c r="B64" s="416" t="s">
        <v>896</v>
      </c>
      <c r="C64" s="416" t="s">
        <v>205</v>
      </c>
      <c r="E64" s="416">
        <v>22</v>
      </c>
      <c r="F64" s="416">
        <v>12</v>
      </c>
      <c r="G64" s="416">
        <v>20</v>
      </c>
      <c r="H64" s="416">
        <v>15</v>
      </c>
      <c r="I64" s="416">
        <v>11</v>
      </c>
      <c r="J64" s="416">
        <v>17</v>
      </c>
      <c r="K64" s="416">
        <v>17</v>
      </c>
      <c r="L64" s="416">
        <v>21</v>
      </c>
      <c r="M64" s="416">
        <v>22</v>
      </c>
      <c r="N64" s="416">
        <v>19</v>
      </c>
      <c r="T64" s="416">
        <v>176</v>
      </c>
      <c r="V64" s="416">
        <f t="shared" si="0"/>
        <v>176</v>
      </c>
    </row>
    <row r="65" spans="1:22" x14ac:dyDescent="0.25">
      <c r="A65" s="416" t="s">
        <v>320</v>
      </c>
      <c r="B65" s="416" t="s">
        <v>1242</v>
      </c>
      <c r="C65" s="416" t="s">
        <v>194</v>
      </c>
      <c r="E65" s="416">
        <v>61</v>
      </c>
      <c r="F65" s="416">
        <v>34</v>
      </c>
      <c r="G65" s="416">
        <v>37</v>
      </c>
      <c r="H65" s="416">
        <v>34</v>
      </c>
      <c r="I65" s="416">
        <v>49</v>
      </c>
      <c r="J65" s="416">
        <v>37</v>
      </c>
      <c r="K65" s="416">
        <v>47</v>
      </c>
      <c r="L65" s="416">
        <v>39</v>
      </c>
      <c r="M65" s="416">
        <v>41</v>
      </c>
      <c r="N65" s="416">
        <v>40</v>
      </c>
      <c r="O65" s="416">
        <v>47</v>
      </c>
      <c r="P65" s="416">
        <v>44</v>
      </c>
      <c r="Q65" s="416">
        <v>32</v>
      </c>
      <c r="R65" s="416">
        <v>60</v>
      </c>
      <c r="T65" s="416">
        <v>602</v>
      </c>
      <c r="V65" s="416">
        <f t="shared" si="0"/>
        <v>602</v>
      </c>
    </row>
    <row r="66" spans="1:22" x14ac:dyDescent="0.25">
      <c r="A66" s="416" t="s">
        <v>322</v>
      </c>
      <c r="B66" s="416" t="s">
        <v>1254</v>
      </c>
      <c r="C66" s="416" t="s">
        <v>221</v>
      </c>
      <c r="E66" s="416">
        <v>39</v>
      </c>
      <c r="F66" s="416">
        <v>23</v>
      </c>
      <c r="G66" s="416">
        <v>35</v>
      </c>
      <c r="H66" s="416">
        <v>29</v>
      </c>
      <c r="I66" s="416">
        <v>33</v>
      </c>
      <c r="J66" s="416">
        <v>39</v>
      </c>
      <c r="K66" s="416">
        <v>40</v>
      </c>
      <c r="L66" s="416">
        <v>31</v>
      </c>
      <c r="M66" s="416">
        <v>35</v>
      </c>
      <c r="N66" s="416">
        <v>30</v>
      </c>
      <c r="O66" s="416">
        <v>28</v>
      </c>
      <c r="P66" s="416">
        <v>24</v>
      </c>
      <c r="Q66" s="416">
        <v>19</v>
      </c>
      <c r="R66" s="416">
        <v>31</v>
      </c>
      <c r="T66" s="416">
        <v>436</v>
      </c>
      <c r="V66" s="416">
        <f t="shared" si="0"/>
        <v>436</v>
      </c>
    </row>
    <row r="67" spans="1:22" x14ac:dyDescent="0.25">
      <c r="A67" s="416" t="s">
        <v>324</v>
      </c>
      <c r="B67" s="416" t="s">
        <v>900</v>
      </c>
      <c r="C67" s="416" t="s">
        <v>231</v>
      </c>
      <c r="E67" s="416">
        <v>62</v>
      </c>
      <c r="F67" s="416">
        <v>44</v>
      </c>
      <c r="G67" s="416">
        <v>71</v>
      </c>
      <c r="H67" s="416">
        <v>43</v>
      </c>
      <c r="I67" s="416">
        <v>62</v>
      </c>
      <c r="J67" s="416">
        <v>49</v>
      </c>
      <c r="K67" s="416">
        <v>51</v>
      </c>
      <c r="L67" s="416">
        <v>49</v>
      </c>
      <c r="M67" s="416">
        <v>50</v>
      </c>
      <c r="N67" s="416">
        <v>48</v>
      </c>
      <c r="O67" s="416">
        <v>52</v>
      </c>
      <c r="P67" s="416">
        <v>58</v>
      </c>
      <c r="Q67" s="416">
        <v>42</v>
      </c>
      <c r="R67" s="416">
        <v>56</v>
      </c>
      <c r="T67" s="416">
        <v>737</v>
      </c>
      <c r="V67" s="416">
        <f t="shared" si="0"/>
        <v>737</v>
      </c>
    </row>
    <row r="68" spans="1:22" x14ac:dyDescent="0.25">
      <c r="A68" s="416" t="s">
        <v>326</v>
      </c>
      <c r="B68" s="416" t="s">
        <v>901</v>
      </c>
      <c r="C68" s="416" t="s">
        <v>221</v>
      </c>
      <c r="E68" s="416">
        <v>5</v>
      </c>
      <c r="J68" s="416">
        <v>1</v>
      </c>
      <c r="K68" s="416">
        <v>2</v>
      </c>
      <c r="L68" s="416">
        <v>2</v>
      </c>
      <c r="M68" s="416">
        <v>1</v>
      </c>
      <c r="N68" s="416">
        <v>1</v>
      </c>
      <c r="O68" s="416">
        <v>1</v>
      </c>
      <c r="Q68" s="416">
        <v>1</v>
      </c>
      <c r="R68" s="416">
        <v>1</v>
      </c>
      <c r="T68" s="416">
        <v>15</v>
      </c>
      <c r="V68" s="416">
        <f t="shared" ref="V68:V131" si="1">T68</f>
        <v>15</v>
      </c>
    </row>
    <row r="69" spans="1:22" x14ac:dyDescent="0.25">
      <c r="A69" s="416" t="s">
        <v>328</v>
      </c>
      <c r="B69" s="416" t="s">
        <v>902</v>
      </c>
      <c r="C69" s="416" t="s">
        <v>205</v>
      </c>
      <c r="E69" s="416">
        <v>14</v>
      </c>
      <c r="F69" s="416">
        <v>17</v>
      </c>
      <c r="G69" s="416">
        <v>24</v>
      </c>
      <c r="H69" s="416">
        <v>16</v>
      </c>
      <c r="I69" s="416">
        <v>7</v>
      </c>
      <c r="J69" s="416">
        <v>21</v>
      </c>
      <c r="K69" s="416">
        <v>21</v>
      </c>
      <c r="L69" s="416">
        <v>15</v>
      </c>
      <c r="M69" s="416">
        <v>19</v>
      </c>
      <c r="N69" s="416">
        <v>18</v>
      </c>
      <c r="O69" s="416">
        <v>20</v>
      </c>
      <c r="P69" s="416">
        <v>15</v>
      </c>
      <c r="Q69" s="416">
        <v>12</v>
      </c>
      <c r="R69" s="416">
        <v>13</v>
      </c>
      <c r="T69" s="416">
        <v>232</v>
      </c>
      <c r="V69" s="416">
        <f t="shared" si="1"/>
        <v>232</v>
      </c>
    </row>
    <row r="70" spans="1:22" x14ac:dyDescent="0.25">
      <c r="A70" s="416" t="s">
        <v>330</v>
      </c>
      <c r="B70" s="416" t="s">
        <v>903</v>
      </c>
      <c r="C70" s="416" t="s">
        <v>197</v>
      </c>
      <c r="E70" s="416">
        <v>243</v>
      </c>
      <c r="F70" s="416">
        <v>174</v>
      </c>
      <c r="G70" s="416">
        <v>206</v>
      </c>
      <c r="H70" s="416">
        <v>205</v>
      </c>
      <c r="I70" s="416">
        <v>211</v>
      </c>
      <c r="J70" s="416">
        <v>251</v>
      </c>
      <c r="K70" s="416">
        <v>228</v>
      </c>
      <c r="L70" s="416">
        <v>216</v>
      </c>
      <c r="M70" s="416">
        <v>222</v>
      </c>
      <c r="N70" s="416">
        <v>227</v>
      </c>
      <c r="O70" s="416">
        <v>227</v>
      </c>
      <c r="P70" s="416">
        <v>199</v>
      </c>
      <c r="Q70" s="416">
        <v>189</v>
      </c>
      <c r="R70" s="416">
        <v>264</v>
      </c>
      <c r="T70" s="416">
        <v>3062</v>
      </c>
      <c r="V70" s="416">
        <f t="shared" si="1"/>
        <v>3062</v>
      </c>
    </row>
    <row r="71" spans="1:22" x14ac:dyDescent="0.25">
      <c r="A71" s="416" t="s">
        <v>332</v>
      </c>
      <c r="B71" s="416" t="s">
        <v>904</v>
      </c>
      <c r="C71" s="416" t="s">
        <v>221</v>
      </c>
      <c r="E71" s="416">
        <v>20</v>
      </c>
      <c r="F71" s="416">
        <v>14</v>
      </c>
      <c r="G71" s="416">
        <v>35</v>
      </c>
      <c r="H71" s="416">
        <v>27</v>
      </c>
      <c r="I71" s="416">
        <v>31</v>
      </c>
      <c r="J71" s="416">
        <v>32</v>
      </c>
      <c r="K71" s="416">
        <v>34</v>
      </c>
      <c r="L71" s="416">
        <v>38</v>
      </c>
      <c r="M71" s="416">
        <v>38</v>
      </c>
      <c r="N71" s="416">
        <v>40</v>
      </c>
      <c r="O71" s="416">
        <v>31</v>
      </c>
      <c r="P71" s="416">
        <v>24</v>
      </c>
      <c r="Q71" s="416">
        <v>32</v>
      </c>
      <c r="R71" s="416">
        <v>19</v>
      </c>
      <c r="T71" s="416">
        <v>415</v>
      </c>
      <c r="V71" s="416">
        <f t="shared" si="1"/>
        <v>415</v>
      </c>
    </row>
    <row r="72" spans="1:22" x14ac:dyDescent="0.25">
      <c r="A72" s="416" t="s">
        <v>334</v>
      </c>
      <c r="B72" s="416" t="s">
        <v>905</v>
      </c>
      <c r="C72" s="416" t="s">
        <v>189</v>
      </c>
      <c r="E72" s="416">
        <v>16</v>
      </c>
      <c r="F72" s="416">
        <v>10</v>
      </c>
      <c r="G72" s="416">
        <v>16</v>
      </c>
      <c r="H72" s="416">
        <v>17</v>
      </c>
      <c r="I72" s="416">
        <v>23</v>
      </c>
      <c r="J72" s="416">
        <v>20</v>
      </c>
      <c r="K72" s="416">
        <v>20</v>
      </c>
      <c r="L72" s="416">
        <v>8</v>
      </c>
      <c r="M72" s="416">
        <v>18</v>
      </c>
      <c r="N72" s="416">
        <v>18</v>
      </c>
      <c r="O72" s="416">
        <v>22</v>
      </c>
      <c r="P72" s="416">
        <v>20</v>
      </c>
      <c r="Q72" s="416">
        <v>21</v>
      </c>
      <c r="R72" s="416">
        <v>41</v>
      </c>
      <c r="T72" s="416">
        <v>270</v>
      </c>
      <c r="V72" s="416">
        <f t="shared" si="1"/>
        <v>270</v>
      </c>
    </row>
    <row r="73" spans="1:22" x14ac:dyDescent="0.25">
      <c r="A73" s="416" t="s">
        <v>336</v>
      </c>
      <c r="B73" s="416" t="s">
        <v>906</v>
      </c>
      <c r="C73" s="416" t="s">
        <v>194</v>
      </c>
      <c r="E73" s="416">
        <v>1</v>
      </c>
      <c r="F73" s="416">
        <v>1</v>
      </c>
      <c r="H73" s="416">
        <v>3</v>
      </c>
      <c r="I73" s="416">
        <v>1</v>
      </c>
      <c r="J73" s="416">
        <v>1</v>
      </c>
      <c r="K73" s="416">
        <v>2</v>
      </c>
      <c r="L73" s="416">
        <v>5</v>
      </c>
      <c r="M73" s="416">
        <v>5</v>
      </c>
      <c r="N73" s="416">
        <v>3</v>
      </c>
      <c r="T73" s="416">
        <v>22</v>
      </c>
      <c r="V73" s="416">
        <f t="shared" si="1"/>
        <v>22</v>
      </c>
    </row>
    <row r="74" spans="1:22" x14ac:dyDescent="0.25">
      <c r="A74" s="416" t="s">
        <v>338</v>
      </c>
      <c r="B74" s="416" t="s">
        <v>907</v>
      </c>
      <c r="C74" s="416" t="s">
        <v>231</v>
      </c>
      <c r="E74" s="416">
        <v>4</v>
      </c>
      <c r="F74" s="416">
        <v>1</v>
      </c>
      <c r="G74" s="416">
        <v>5</v>
      </c>
      <c r="H74" s="416">
        <v>1</v>
      </c>
      <c r="I74" s="416">
        <v>2</v>
      </c>
      <c r="J74" s="416">
        <v>4</v>
      </c>
      <c r="K74" s="416">
        <v>1</v>
      </c>
      <c r="M74" s="416">
        <v>1</v>
      </c>
      <c r="N74" s="416">
        <v>1</v>
      </c>
      <c r="O74" s="416">
        <v>2</v>
      </c>
      <c r="Q74" s="416">
        <v>1</v>
      </c>
      <c r="T74" s="416">
        <v>23</v>
      </c>
      <c r="V74" s="416">
        <f t="shared" si="1"/>
        <v>23</v>
      </c>
    </row>
    <row r="75" spans="1:22" x14ac:dyDescent="0.25">
      <c r="A75" s="416" t="s">
        <v>340</v>
      </c>
      <c r="B75" s="416" t="s">
        <v>908</v>
      </c>
      <c r="C75" s="416" t="s">
        <v>205</v>
      </c>
      <c r="E75" s="416">
        <v>71</v>
      </c>
      <c r="F75" s="416">
        <v>58</v>
      </c>
      <c r="G75" s="416">
        <v>55</v>
      </c>
      <c r="H75" s="416">
        <v>42</v>
      </c>
      <c r="I75" s="416">
        <v>53</v>
      </c>
      <c r="J75" s="416">
        <v>57</v>
      </c>
      <c r="K75" s="416">
        <v>44</v>
      </c>
      <c r="L75" s="416">
        <v>41</v>
      </c>
      <c r="M75" s="416">
        <v>42</v>
      </c>
      <c r="N75" s="416">
        <v>57</v>
      </c>
      <c r="O75" s="416">
        <v>52</v>
      </c>
      <c r="P75" s="416">
        <v>39</v>
      </c>
      <c r="Q75" s="416">
        <v>47</v>
      </c>
      <c r="R75" s="416">
        <v>54</v>
      </c>
      <c r="T75" s="416">
        <v>712</v>
      </c>
      <c r="V75" s="416">
        <f t="shared" si="1"/>
        <v>712</v>
      </c>
    </row>
    <row r="76" spans="1:22" x14ac:dyDescent="0.25">
      <c r="A76" s="416" t="s">
        <v>342</v>
      </c>
      <c r="B76" s="416" t="s">
        <v>909</v>
      </c>
      <c r="C76" s="416" t="s">
        <v>231</v>
      </c>
      <c r="E76" s="416">
        <v>16</v>
      </c>
      <c r="F76" s="416">
        <v>22</v>
      </c>
      <c r="G76" s="416">
        <v>26</v>
      </c>
      <c r="H76" s="416">
        <v>34</v>
      </c>
      <c r="I76" s="416">
        <v>24</v>
      </c>
      <c r="J76" s="416">
        <v>29</v>
      </c>
      <c r="K76" s="416">
        <v>29</v>
      </c>
      <c r="L76" s="416">
        <v>19</v>
      </c>
      <c r="M76" s="416">
        <v>27</v>
      </c>
      <c r="N76" s="416">
        <v>28</v>
      </c>
      <c r="O76" s="416">
        <v>15</v>
      </c>
      <c r="P76" s="416">
        <v>14</v>
      </c>
      <c r="Q76" s="416">
        <v>20</v>
      </c>
      <c r="R76" s="416">
        <v>37</v>
      </c>
      <c r="T76" s="416">
        <v>340</v>
      </c>
      <c r="V76" s="416">
        <f t="shared" si="1"/>
        <v>340</v>
      </c>
    </row>
    <row r="77" spans="1:22" x14ac:dyDescent="0.25">
      <c r="A77" s="418" t="s">
        <v>818</v>
      </c>
      <c r="B77" s="416" t="s">
        <v>819</v>
      </c>
      <c r="C77" s="418" t="s">
        <v>210</v>
      </c>
      <c r="E77" s="416">
        <v>55</v>
      </c>
      <c r="F77" s="416">
        <v>97</v>
      </c>
      <c r="G77" s="416">
        <v>131</v>
      </c>
      <c r="H77" s="416">
        <v>127</v>
      </c>
      <c r="I77" s="416">
        <v>114</v>
      </c>
      <c r="J77" s="416">
        <v>135</v>
      </c>
      <c r="K77" s="416">
        <v>140</v>
      </c>
      <c r="L77" s="416">
        <v>146</v>
      </c>
      <c r="M77" s="416">
        <v>121</v>
      </c>
      <c r="N77" s="416">
        <v>152</v>
      </c>
      <c r="O77" s="416">
        <v>149</v>
      </c>
      <c r="P77" s="416">
        <v>167</v>
      </c>
      <c r="Q77" s="416">
        <v>126</v>
      </c>
      <c r="R77" s="416">
        <v>124</v>
      </c>
      <c r="T77" s="416">
        <v>1784</v>
      </c>
      <c r="V77" s="416">
        <f t="shared" si="1"/>
        <v>1784</v>
      </c>
    </row>
    <row r="78" spans="1:22" x14ac:dyDescent="0.25">
      <c r="A78" s="416" t="s">
        <v>344</v>
      </c>
      <c r="B78" s="416" t="s">
        <v>1139</v>
      </c>
      <c r="C78" s="416" t="s">
        <v>189</v>
      </c>
      <c r="J78" s="416">
        <v>1</v>
      </c>
      <c r="K78" s="416">
        <v>1</v>
      </c>
      <c r="L78" s="416">
        <v>2</v>
      </c>
      <c r="T78" s="416">
        <v>4</v>
      </c>
      <c r="V78" s="416">
        <f t="shared" si="1"/>
        <v>4</v>
      </c>
    </row>
    <row r="79" spans="1:22" x14ac:dyDescent="0.25">
      <c r="A79" s="416" t="s">
        <v>346</v>
      </c>
      <c r="B79" s="416" t="s">
        <v>910</v>
      </c>
      <c r="C79" s="416" t="s">
        <v>197</v>
      </c>
      <c r="E79" s="416">
        <v>200</v>
      </c>
      <c r="F79" s="416">
        <v>136</v>
      </c>
      <c r="G79" s="416">
        <v>192</v>
      </c>
      <c r="H79" s="416">
        <v>180</v>
      </c>
      <c r="I79" s="416">
        <v>245</v>
      </c>
      <c r="J79" s="416">
        <v>212</v>
      </c>
      <c r="K79" s="416">
        <v>220</v>
      </c>
      <c r="L79" s="416">
        <v>196</v>
      </c>
      <c r="M79" s="416">
        <v>171</v>
      </c>
      <c r="N79" s="416">
        <v>184</v>
      </c>
      <c r="O79" s="416">
        <v>182</v>
      </c>
      <c r="P79" s="416">
        <v>139</v>
      </c>
      <c r="Q79" s="416">
        <v>166</v>
      </c>
      <c r="R79" s="416">
        <v>207</v>
      </c>
      <c r="T79" s="416">
        <v>2630</v>
      </c>
      <c r="V79" s="416">
        <f t="shared" si="1"/>
        <v>2630</v>
      </c>
    </row>
    <row r="80" spans="1:22" x14ac:dyDescent="0.25">
      <c r="A80" s="416" t="s">
        <v>348</v>
      </c>
      <c r="B80" s="416" t="s">
        <v>1227</v>
      </c>
      <c r="C80" s="416" t="s">
        <v>210</v>
      </c>
      <c r="E80" s="416">
        <v>169</v>
      </c>
      <c r="F80" s="416">
        <v>143</v>
      </c>
      <c r="G80" s="416">
        <v>201</v>
      </c>
      <c r="H80" s="416">
        <v>224</v>
      </c>
      <c r="I80" s="416">
        <v>248</v>
      </c>
      <c r="J80" s="416">
        <v>250</v>
      </c>
      <c r="K80" s="416">
        <v>249</v>
      </c>
      <c r="L80" s="416">
        <v>217</v>
      </c>
      <c r="M80" s="416">
        <v>255</v>
      </c>
      <c r="N80" s="416">
        <v>283</v>
      </c>
      <c r="O80" s="416">
        <v>230</v>
      </c>
      <c r="P80" s="416">
        <v>256</v>
      </c>
      <c r="Q80" s="416">
        <v>247</v>
      </c>
      <c r="R80" s="416">
        <v>295</v>
      </c>
      <c r="T80" s="416">
        <v>3267</v>
      </c>
      <c r="V80" s="416">
        <f t="shared" si="1"/>
        <v>3267</v>
      </c>
    </row>
    <row r="81" spans="1:22" x14ac:dyDescent="0.25">
      <c r="A81" s="416" t="s">
        <v>350</v>
      </c>
      <c r="B81" s="416" t="s">
        <v>1247</v>
      </c>
      <c r="C81" s="416" t="s">
        <v>194</v>
      </c>
      <c r="H81" s="416">
        <v>1</v>
      </c>
      <c r="I81" s="416">
        <v>1</v>
      </c>
      <c r="T81" s="416">
        <v>2</v>
      </c>
      <c r="V81" s="416">
        <f t="shared" si="1"/>
        <v>2</v>
      </c>
    </row>
    <row r="82" spans="1:22" x14ac:dyDescent="0.25">
      <c r="A82" s="416" t="s">
        <v>352</v>
      </c>
      <c r="B82" s="416" t="s">
        <v>913</v>
      </c>
      <c r="C82" s="416" t="s">
        <v>205</v>
      </c>
      <c r="E82" s="416">
        <v>230</v>
      </c>
      <c r="F82" s="416">
        <v>168</v>
      </c>
      <c r="G82" s="416">
        <v>217</v>
      </c>
      <c r="H82" s="416">
        <v>185</v>
      </c>
      <c r="I82" s="416">
        <v>171</v>
      </c>
      <c r="J82" s="416">
        <v>215</v>
      </c>
      <c r="K82" s="416">
        <v>207</v>
      </c>
      <c r="L82" s="416">
        <v>201</v>
      </c>
      <c r="M82" s="416">
        <v>204</v>
      </c>
      <c r="N82" s="416">
        <v>220</v>
      </c>
      <c r="O82" s="416">
        <v>221</v>
      </c>
      <c r="P82" s="416">
        <v>193</v>
      </c>
      <c r="Q82" s="416">
        <v>209</v>
      </c>
      <c r="R82" s="416">
        <v>238</v>
      </c>
      <c r="T82" s="416">
        <v>2879</v>
      </c>
      <c r="V82" s="416">
        <f t="shared" si="1"/>
        <v>2879</v>
      </c>
    </row>
    <row r="83" spans="1:22" x14ac:dyDescent="0.25">
      <c r="A83" s="416" t="s">
        <v>354</v>
      </c>
      <c r="B83" s="416" t="s">
        <v>914</v>
      </c>
      <c r="C83" s="416" t="s">
        <v>197</v>
      </c>
      <c r="E83" s="416">
        <v>32</v>
      </c>
      <c r="F83" s="416">
        <v>53</v>
      </c>
      <c r="G83" s="416">
        <v>50</v>
      </c>
      <c r="H83" s="416">
        <v>49</v>
      </c>
      <c r="I83" s="416">
        <v>44</v>
      </c>
      <c r="J83" s="416">
        <v>50</v>
      </c>
      <c r="K83" s="416">
        <v>55</v>
      </c>
      <c r="L83" s="416">
        <v>56</v>
      </c>
      <c r="M83" s="416">
        <v>47</v>
      </c>
      <c r="N83" s="416">
        <v>57</v>
      </c>
      <c r="O83" s="416">
        <v>40</v>
      </c>
      <c r="P83" s="416">
        <v>51</v>
      </c>
      <c r="Q83" s="416">
        <v>31</v>
      </c>
      <c r="R83" s="416">
        <v>69</v>
      </c>
      <c r="T83" s="416">
        <v>684</v>
      </c>
      <c r="V83" s="416">
        <f t="shared" si="1"/>
        <v>684</v>
      </c>
    </row>
    <row r="84" spans="1:22" x14ac:dyDescent="0.25">
      <c r="A84" s="416" t="s">
        <v>356</v>
      </c>
      <c r="B84" s="416" t="s">
        <v>915</v>
      </c>
      <c r="C84" s="416" t="s">
        <v>205</v>
      </c>
      <c r="E84" s="416">
        <v>33</v>
      </c>
      <c r="F84" s="416">
        <v>26</v>
      </c>
      <c r="G84" s="416">
        <v>32</v>
      </c>
      <c r="H84" s="416">
        <v>25</v>
      </c>
      <c r="I84" s="416">
        <v>44</v>
      </c>
      <c r="J84" s="416">
        <v>30</v>
      </c>
      <c r="K84" s="416">
        <v>25</v>
      </c>
      <c r="L84" s="416">
        <v>36</v>
      </c>
      <c r="M84" s="416">
        <v>27</v>
      </c>
      <c r="N84" s="416">
        <v>36</v>
      </c>
      <c r="O84" s="416">
        <v>33</v>
      </c>
      <c r="P84" s="416">
        <v>40</v>
      </c>
      <c r="Q84" s="416">
        <v>27</v>
      </c>
      <c r="R84" s="416">
        <v>24</v>
      </c>
      <c r="T84" s="416">
        <v>438</v>
      </c>
      <c r="V84" s="416">
        <f t="shared" si="1"/>
        <v>438</v>
      </c>
    </row>
    <row r="85" spans="1:22" x14ac:dyDescent="0.25">
      <c r="A85" s="416" t="s">
        <v>358</v>
      </c>
      <c r="B85" s="416" t="s">
        <v>916</v>
      </c>
      <c r="C85" s="416" t="s">
        <v>202</v>
      </c>
      <c r="E85" s="416">
        <v>4</v>
      </c>
      <c r="F85" s="416">
        <v>10</v>
      </c>
      <c r="G85" s="416">
        <v>5</v>
      </c>
      <c r="H85" s="416">
        <v>7</v>
      </c>
      <c r="I85" s="416">
        <v>5</v>
      </c>
      <c r="J85" s="416">
        <v>7</v>
      </c>
      <c r="K85" s="416">
        <v>6</v>
      </c>
      <c r="L85" s="416">
        <v>11</v>
      </c>
      <c r="M85" s="416">
        <v>7</v>
      </c>
      <c r="N85" s="416">
        <v>7</v>
      </c>
      <c r="O85" s="416">
        <v>13</v>
      </c>
      <c r="P85" s="416">
        <v>10</v>
      </c>
      <c r="Q85" s="416">
        <v>9</v>
      </c>
      <c r="R85" s="416">
        <v>14</v>
      </c>
      <c r="T85" s="416">
        <v>115</v>
      </c>
      <c r="V85" s="416">
        <f t="shared" si="1"/>
        <v>115</v>
      </c>
    </row>
    <row r="86" spans="1:22" x14ac:dyDescent="0.25">
      <c r="A86" s="416" t="s">
        <v>360</v>
      </c>
      <c r="B86" s="416" t="s">
        <v>917</v>
      </c>
      <c r="C86" s="416" t="s">
        <v>205</v>
      </c>
      <c r="E86" s="416">
        <v>76</v>
      </c>
      <c r="F86" s="416">
        <v>56</v>
      </c>
      <c r="G86" s="416">
        <v>69</v>
      </c>
      <c r="H86" s="416">
        <v>76</v>
      </c>
      <c r="I86" s="416">
        <v>80</v>
      </c>
      <c r="J86" s="416">
        <v>88</v>
      </c>
      <c r="K86" s="416">
        <v>73</v>
      </c>
      <c r="L86" s="416">
        <v>74</v>
      </c>
      <c r="M86" s="416">
        <v>75</v>
      </c>
      <c r="N86" s="416">
        <v>79</v>
      </c>
      <c r="O86" s="416">
        <v>66</v>
      </c>
      <c r="P86" s="416">
        <v>71</v>
      </c>
      <c r="Q86" s="416">
        <v>77</v>
      </c>
      <c r="R86" s="416">
        <v>67</v>
      </c>
      <c r="T86" s="416">
        <v>1027</v>
      </c>
      <c r="V86" s="416">
        <f t="shared" si="1"/>
        <v>1027</v>
      </c>
    </row>
    <row r="87" spans="1:22" x14ac:dyDescent="0.25">
      <c r="A87" s="416" t="s">
        <v>366</v>
      </c>
      <c r="B87" s="416" t="s">
        <v>920</v>
      </c>
      <c r="C87" s="416" t="s">
        <v>210</v>
      </c>
      <c r="D87" s="416" t="s">
        <v>819</v>
      </c>
      <c r="G87" s="416">
        <v>1</v>
      </c>
      <c r="J87" s="416">
        <v>1</v>
      </c>
      <c r="L87" s="416">
        <v>1</v>
      </c>
      <c r="M87" s="416">
        <v>1</v>
      </c>
      <c r="O87" s="416">
        <v>1</v>
      </c>
      <c r="P87" s="416">
        <v>5</v>
      </c>
      <c r="R87" s="416">
        <v>1</v>
      </c>
      <c r="T87" s="416">
        <v>11</v>
      </c>
      <c r="V87" s="416">
        <f t="shared" si="1"/>
        <v>11</v>
      </c>
    </row>
    <row r="88" spans="1:22" x14ac:dyDescent="0.25">
      <c r="A88" s="416" t="s">
        <v>368</v>
      </c>
      <c r="B88" s="416" t="s">
        <v>921</v>
      </c>
      <c r="C88" s="416" t="s">
        <v>221</v>
      </c>
      <c r="D88" s="416" t="s">
        <v>819</v>
      </c>
      <c r="E88" s="416">
        <v>6</v>
      </c>
      <c r="F88" s="416">
        <v>9</v>
      </c>
      <c r="G88" s="416">
        <v>12</v>
      </c>
      <c r="H88" s="416">
        <v>20</v>
      </c>
      <c r="I88" s="416">
        <v>18</v>
      </c>
      <c r="J88" s="416">
        <v>19</v>
      </c>
      <c r="K88" s="416">
        <v>22</v>
      </c>
      <c r="L88" s="416">
        <v>38</v>
      </c>
      <c r="M88" s="416">
        <v>25</v>
      </c>
      <c r="N88" s="416">
        <v>51</v>
      </c>
      <c r="O88" s="416">
        <v>55</v>
      </c>
      <c r="P88" s="416">
        <v>59</v>
      </c>
      <c r="Q88" s="416">
        <v>53</v>
      </c>
      <c r="R88" s="416">
        <v>33</v>
      </c>
      <c r="T88" s="416">
        <v>420</v>
      </c>
      <c r="V88" s="416">
        <f t="shared" si="1"/>
        <v>420</v>
      </c>
    </row>
    <row r="89" spans="1:22" x14ac:dyDescent="0.25">
      <c r="A89" s="416" t="s">
        <v>362</v>
      </c>
      <c r="B89" s="416" t="s">
        <v>918</v>
      </c>
      <c r="C89" s="416" t="s">
        <v>194</v>
      </c>
      <c r="F89" s="416">
        <v>5</v>
      </c>
      <c r="G89" s="416">
        <v>6</v>
      </c>
      <c r="H89" s="416">
        <v>6</v>
      </c>
      <c r="I89" s="416">
        <v>5</v>
      </c>
      <c r="J89" s="416">
        <v>11</v>
      </c>
      <c r="K89" s="416">
        <v>17</v>
      </c>
      <c r="L89" s="416">
        <v>7</v>
      </c>
      <c r="M89" s="416">
        <v>9</v>
      </c>
      <c r="N89" s="416">
        <v>9</v>
      </c>
      <c r="O89" s="416">
        <v>7</v>
      </c>
      <c r="P89" s="416">
        <v>11</v>
      </c>
      <c r="Q89" s="416">
        <v>8</v>
      </c>
      <c r="R89" s="416">
        <v>10</v>
      </c>
      <c r="T89" s="416">
        <v>111</v>
      </c>
      <c r="V89" s="416">
        <f t="shared" si="1"/>
        <v>111</v>
      </c>
    </row>
    <row r="90" spans="1:22" x14ac:dyDescent="0.25">
      <c r="A90" s="416" t="s">
        <v>364</v>
      </c>
      <c r="B90" s="416" t="s">
        <v>919</v>
      </c>
      <c r="C90" s="416" t="s">
        <v>194</v>
      </c>
      <c r="F90" s="416">
        <v>1</v>
      </c>
      <c r="G90" s="416">
        <v>1</v>
      </c>
      <c r="H90" s="416">
        <v>2</v>
      </c>
      <c r="I90" s="416">
        <v>4</v>
      </c>
      <c r="J90" s="416">
        <v>1</v>
      </c>
      <c r="K90" s="416">
        <v>2</v>
      </c>
      <c r="L90" s="416">
        <v>2</v>
      </c>
      <c r="P90" s="416">
        <v>2</v>
      </c>
      <c r="T90" s="416">
        <v>15</v>
      </c>
      <c r="V90" s="416">
        <f t="shared" si="1"/>
        <v>15</v>
      </c>
    </row>
    <row r="91" spans="1:22" x14ac:dyDescent="0.25">
      <c r="A91" s="416" t="s">
        <v>370</v>
      </c>
      <c r="B91" s="416" t="s">
        <v>922</v>
      </c>
      <c r="C91" s="416" t="s">
        <v>231</v>
      </c>
      <c r="E91" s="416">
        <v>5</v>
      </c>
      <c r="F91" s="416">
        <v>2</v>
      </c>
      <c r="G91" s="416">
        <v>5</v>
      </c>
      <c r="H91" s="416">
        <v>8</v>
      </c>
      <c r="I91" s="416">
        <v>5</v>
      </c>
      <c r="J91" s="416">
        <v>11</v>
      </c>
      <c r="K91" s="416">
        <v>6</v>
      </c>
      <c r="L91" s="416">
        <v>10</v>
      </c>
      <c r="M91" s="416">
        <v>3</v>
      </c>
      <c r="N91" s="416">
        <v>8</v>
      </c>
      <c r="O91" s="416">
        <v>12</v>
      </c>
      <c r="P91" s="416">
        <v>13</v>
      </c>
      <c r="Q91" s="416">
        <v>11</v>
      </c>
      <c r="R91" s="416">
        <v>7</v>
      </c>
      <c r="T91" s="416">
        <v>106</v>
      </c>
      <c r="V91" s="416">
        <f t="shared" si="1"/>
        <v>106</v>
      </c>
    </row>
    <row r="92" spans="1:22" x14ac:dyDescent="0.25">
      <c r="A92" s="416" t="s">
        <v>372</v>
      </c>
      <c r="B92" s="416" t="s">
        <v>923</v>
      </c>
      <c r="C92" s="416" t="s">
        <v>221</v>
      </c>
      <c r="E92" s="416">
        <v>13</v>
      </c>
      <c r="F92" s="416">
        <v>25</v>
      </c>
      <c r="G92" s="416">
        <v>26</v>
      </c>
      <c r="H92" s="416">
        <v>42</v>
      </c>
      <c r="I92" s="416">
        <v>42</v>
      </c>
      <c r="J92" s="416">
        <v>34</v>
      </c>
      <c r="K92" s="416">
        <v>43</v>
      </c>
      <c r="L92" s="416">
        <v>57</v>
      </c>
      <c r="M92" s="416">
        <v>51</v>
      </c>
      <c r="N92" s="416">
        <v>44</v>
      </c>
      <c r="O92" s="416">
        <v>40</v>
      </c>
      <c r="P92" s="416">
        <v>44</v>
      </c>
      <c r="Q92" s="416">
        <v>42</v>
      </c>
      <c r="R92" s="416">
        <v>43</v>
      </c>
      <c r="T92" s="416">
        <v>546</v>
      </c>
      <c r="V92" s="416">
        <f t="shared" si="1"/>
        <v>546</v>
      </c>
    </row>
    <row r="93" spans="1:22" x14ac:dyDescent="0.25">
      <c r="A93" s="416" t="s">
        <v>374</v>
      </c>
      <c r="B93" s="416" t="s">
        <v>924</v>
      </c>
      <c r="C93" s="416" t="s">
        <v>221</v>
      </c>
      <c r="E93" s="416">
        <v>24</v>
      </c>
      <c r="F93" s="416">
        <v>11</v>
      </c>
      <c r="G93" s="416">
        <v>5</v>
      </c>
      <c r="H93" s="416">
        <v>15</v>
      </c>
      <c r="I93" s="416">
        <v>22</v>
      </c>
      <c r="J93" s="416">
        <v>9</v>
      </c>
      <c r="K93" s="416">
        <v>10</v>
      </c>
      <c r="L93" s="416">
        <v>25</v>
      </c>
      <c r="M93" s="416">
        <v>13</v>
      </c>
      <c r="N93" s="416">
        <v>13</v>
      </c>
      <c r="O93" s="416">
        <v>21</v>
      </c>
      <c r="P93" s="416">
        <v>12</v>
      </c>
      <c r="Q93" s="416">
        <v>16</v>
      </c>
      <c r="R93" s="416">
        <v>18</v>
      </c>
      <c r="T93" s="416">
        <v>214</v>
      </c>
      <c r="V93" s="416">
        <f t="shared" si="1"/>
        <v>214</v>
      </c>
    </row>
    <row r="94" spans="1:22" x14ac:dyDescent="0.25">
      <c r="A94" s="416" t="s">
        <v>376</v>
      </c>
      <c r="B94" s="416" t="s">
        <v>925</v>
      </c>
      <c r="C94" s="416" t="s">
        <v>197</v>
      </c>
      <c r="E94" s="416">
        <v>40</v>
      </c>
      <c r="F94" s="416">
        <v>21</v>
      </c>
      <c r="G94" s="416">
        <v>31</v>
      </c>
      <c r="H94" s="416">
        <v>27</v>
      </c>
      <c r="I94" s="416">
        <v>31</v>
      </c>
      <c r="J94" s="416">
        <v>34</v>
      </c>
      <c r="K94" s="416">
        <v>19</v>
      </c>
      <c r="L94" s="416">
        <v>26</v>
      </c>
      <c r="M94" s="416">
        <v>33</v>
      </c>
      <c r="N94" s="416">
        <v>21</v>
      </c>
      <c r="O94" s="416">
        <v>24</v>
      </c>
      <c r="P94" s="416">
        <v>19</v>
      </c>
      <c r="Q94" s="416">
        <v>33</v>
      </c>
      <c r="R94" s="416">
        <v>49</v>
      </c>
      <c r="T94" s="416">
        <v>408</v>
      </c>
      <c r="V94" s="416">
        <f t="shared" si="1"/>
        <v>408</v>
      </c>
    </row>
    <row r="95" spans="1:22" x14ac:dyDescent="0.25">
      <c r="A95" s="416" t="s">
        <v>378</v>
      </c>
      <c r="B95" s="416" t="s">
        <v>1140</v>
      </c>
      <c r="C95" s="416" t="s">
        <v>189</v>
      </c>
      <c r="F95" s="416">
        <v>4</v>
      </c>
      <c r="G95" s="416">
        <v>2</v>
      </c>
      <c r="H95" s="416">
        <v>6</v>
      </c>
      <c r="I95" s="416">
        <v>6</v>
      </c>
      <c r="J95" s="416">
        <v>1</v>
      </c>
      <c r="K95" s="416">
        <v>4</v>
      </c>
      <c r="L95" s="416">
        <v>3</v>
      </c>
      <c r="M95" s="416">
        <v>2</v>
      </c>
      <c r="N95" s="416">
        <v>2</v>
      </c>
      <c r="T95" s="416">
        <v>30</v>
      </c>
      <c r="V95" s="416">
        <f t="shared" si="1"/>
        <v>30</v>
      </c>
    </row>
    <row r="96" spans="1:22" x14ac:dyDescent="0.25">
      <c r="A96" s="416" t="s">
        <v>384</v>
      </c>
      <c r="B96" s="416" t="s">
        <v>927</v>
      </c>
      <c r="C96" s="416" t="s">
        <v>210</v>
      </c>
      <c r="D96" s="416" t="s">
        <v>819</v>
      </c>
      <c r="F96" s="416">
        <v>1</v>
      </c>
      <c r="G96" s="416">
        <v>2</v>
      </c>
      <c r="H96" s="416">
        <v>2</v>
      </c>
      <c r="I96" s="416">
        <v>3</v>
      </c>
      <c r="J96" s="416">
        <v>1</v>
      </c>
      <c r="K96" s="416">
        <v>2</v>
      </c>
      <c r="L96" s="416">
        <v>3</v>
      </c>
      <c r="M96" s="416">
        <v>1</v>
      </c>
      <c r="N96" s="416">
        <v>5</v>
      </c>
      <c r="T96" s="416">
        <v>20</v>
      </c>
      <c r="V96" s="416">
        <f t="shared" si="1"/>
        <v>20</v>
      </c>
    </row>
    <row r="97" spans="1:22" x14ac:dyDescent="0.25">
      <c r="A97" s="416" t="s">
        <v>380</v>
      </c>
      <c r="B97" s="416" t="s">
        <v>926</v>
      </c>
      <c r="C97" s="416" t="s">
        <v>194</v>
      </c>
      <c r="H97" s="416">
        <v>1</v>
      </c>
      <c r="I97" s="416">
        <v>1</v>
      </c>
      <c r="J97" s="416">
        <v>1</v>
      </c>
      <c r="K97" s="416">
        <v>2</v>
      </c>
      <c r="T97" s="416">
        <v>5</v>
      </c>
      <c r="V97" s="416">
        <f t="shared" si="1"/>
        <v>5</v>
      </c>
    </row>
    <row r="98" spans="1:22" x14ac:dyDescent="0.25">
      <c r="A98" s="416" t="s">
        <v>386</v>
      </c>
      <c r="B98" s="416" t="s">
        <v>928</v>
      </c>
      <c r="C98" s="416" t="s">
        <v>189</v>
      </c>
      <c r="E98" s="416">
        <v>1</v>
      </c>
      <c r="F98" s="416">
        <v>18</v>
      </c>
      <c r="G98" s="416">
        <v>14</v>
      </c>
      <c r="H98" s="416">
        <v>12</v>
      </c>
      <c r="I98" s="416">
        <v>8</v>
      </c>
      <c r="J98" s="416">
        <v>11</v>
      </c>
      <c r="K98" s="416">
        <v>10</v>
      </c>
      <c r="L98" s="416">
        <v>4</v>
      </c>
      <c r="M98" s="416">
        <v>5</v>
      </c>
      <c r="N98" s="416">
        <v>6</v>
      </c>
      <c r="T98" s="416">
        <v>89</v>
      </c>
      <c r="V98" s="416">
        <f t="shared" si="1"/>
        <v>89</v>
      </c>
    </row>
    <row r="99" spans="1:22" x14ac:dyDescent="0.25">
      <c r="A99" s="416" t="s">
        <v>388</v>
      </c>
      <c r="B99" s="416" t="s">
        <v>929</v>
      </c>
      <c r="C99" s="416" t="s">
        <v>194</v>
      </c>
      <c r="F99" s="416">
        <v>2</v>
      </c>
      <c r="G99" s="416">
        <v>3</v>
      </c>
      <c r="H99" s="416">
        <v>1</v>
      </c>
      <c r="I99" s="416">
        <v>2</v>
      </c>
      <c r="J99" s="416">
        <v>4</v>
      </c>
      <c r="K99" s="416">
        <v>1</v>
      </c>
      <c r="L99" s="416">
        <v>5</v>
      </c>
      <c r="M99" s="416">
        <v>1</v>
      </c>
      <c r="O99" s="416">
        <v>3</v>
      </c>
      <c r="Q99" s="416">
        <v>1</v>
      </c>
      <c r="R99" s="416">
        <v>3</v>
      </c>
      <c r="T99" s="416">
        <v>26</v>
      </c>
      <c r="V99" s="416">
        <f t="shared" si="1"/>
        <v>26</v>
      </c>
    </row>
    <row r="100" spans="1:22" x14ac:dyDescent="0.25">
      <c r="A100" s="416" t="s">
        <v>390</v>
      </c>
      <c r="B100" s="416" t="s">
        <v>930</v>
      </c>
      <c r="C100" s="416" t="s">
        <v>221</v>
      </c>
      <c r="E100" s="416">
        <v>10</v>
      </c>
      <c r="F100" s="416">
        <v>10</v>
      </c>
      <c r="G100" s="416">
        <v>9</v>
      </c>
      <c r="H100" s="416">
        <v>11</v>
      </c>
      <c r="I100" s="416">
        <v>7</v>
      </c>
      <c r="J100" s="416">
        <v>12</v>
      </c>
      <c r="K100" s="416">
        <v>7</v>
      </c>
      <c r="L100" s="416">
        <v>11</v>
      </c>
      <c r="M100" s="416">
        <v>18</v>
      </c>
      <c r="N100" s="416">
        <v>6</v>
      </c>
      <c r="O100" s="416">
        <v>13</v>
      </c>
      <c r="P100" s="416">
        <v>11</v>
      </c>
      <c r="Q100" s="416">
        <v>7</v>
      </c>
      <c r="R100" s="416">
        <v>12</v>
      </c>
      <c r="T100" s="416">
        <v>144</v>
      </c>
      <c r="V100" s="416">
        <f t="shared" si="1"/>
        <v>144</v>
      </c>
    </row>
    <row r="101" spans="1:22" x14ac:dyDescent="0.25">
      <c r="A101" s="416" t="s">
        <v>392</v>
      </c>
      <c r="B101" s="416" t="s">
        <v>931</v>
      </c>
      <c r="C101" s="416" t="s">
        <v>205</v>
      </c>
      <c r="E101" s="416">
        <v>183</v>
      </c>
      <c r="F101" s="416">
        <v>129</v>
      </c>
      <c r="G101" s="416">
        <v>168</v>
      </c>
      <c r="H101" s="416">
        <v>180</v>
      </c>
      <c r="I101" s="416">
        <v>200</v>
      </c>
      <c r="J101" s="416">
        <v>208</v>
      </c>
      <c r="K101" s="416">
        <v>214</v>
      </c>
      <c r="L101" s="416">
        <v>204</v>
      </c>
      <c r="M101" s="416">
        <v>156</v>
      </c>
      <c r="N101" s="416">
        <v>209</v>
      </c>
      <c r="O101" s="416">
        <v>183</v>
      </c>
      <c r="P101" s="416">
        <v>199</v>
      </c>
      <c r="Q101" s="416">
        <v>154</v>
      </c>
      <c r="R101" s="416">
        <v>289</v>
      </c>
      <c r="T101" s="416">
        <v>2676</v>
      </c>
      <c r="V101" s="416">
        <f t="shared" si="1"/>
        <v>2676</v>
      </c>
    </row>
    <row r="102" spans="1:22" x14ac:dyDescent="0.25">
      <c r="A102" s="416" t="s">
        <v>394</v>
      </c>
      <c r="B102" s="416" t="s">
        <v>932</v>
      </c>
      <c r="C102" s="416" t="s">
        <v>210</v>
      </c>
      <c r="F102" s="416">
        <v>19</v>
      </c>
      <c r="G102" s="416">
        <v>10</v>
      </c>
      <c r="H102" s="416">
        <v>13</v>
      </c>
      <c r="I102" s="416">
        <v>15</v>
      </c>
      <c r="J102" s="416">
        <v>25</v>
      </c>
      <c r="K102" s="416">
        <v>12</v>
      </c>
      <c r="L102" s="416">
        <v>13</v>
      </c>
      <c r="M102" s="416">
        <v>29</v>
      </c>
      <c r="N102" s="416">
        <v>18</v>
      </c>
      <c r="O102" s="416">
        <v>14</v>
      </c>
      <c r="P102" s="416">
        <v>9</v>
      </c>
      <c r="Q102" s="416">
        <v>10</v>
      </c>
      <c r="R102" s="416">
        <v>15</v>
      </c>
      <c r="T102" s="416">
        <v>202</v>
      </c>
      <c r="V102" s="416">
        <f t="shared" si="1"/>
        <v>202</v>
      </c>
    </row>
    <row r="103" spans="1:22" x14ac:dyDescent="0.25">
      <c r="A103" s="416" t="s">
        <v>396</v>
      </c>
      <c r="B103" s="416" t="s">
        <v>933</v>
      </c>
      <c r="C103" s="416" t="s">
        <v>189</v>
      </c>
      <c r="E103" s="416">
        <v>2</v>
      </c>
      <c r="G103" s="416">
        <v>7</v>
      </c>
      <c r="H103" s="416">
        <v>2</v>
      </c>
      <c r="I103" s="416">
        <v>7</v>
      </c>
      <c r="J103" s="416">
        <v>6</v>
      </c>
      <c r="K103" s="416">
        <v>3</v>
      </c>
      <c r="L103" s="416">
        <v>5</v>
      </c>
      <c r="M103" s="416">
        <v>6</v>
      </c>
      <c r="N103" s="416">
        <v>5</v>
      </c>
      <c r="T103" s="416">
        <v>43</v>
      </c>
      <c r="V103" s="416">
        <f t="shared" si="1"/>
        <v>43</v>
      </c>
    </row>
    <row r="104" spans="1:22" x14ac:dyDescent="0.25">
      <c r="A104" s="416" t="s">
        <v>398</v>
      </c>
      <c r="B104" s="416" t="s">
        <v>934</v>
      </c>
      <c r="C104" s="416" t="s">
        <v>189</v>
      </c>
      <c r="E104" s="416">
        <v>8</v>
      </c>
      <c r="F104" s="416">
        <v>11</v>
      </c>
      <c r="G104" s="416">
        <v>17</v>
      </c>
      <c r="H104" s="416">
        <v>13</v>
      </c>
      <c r="I104" s="416">
        <v>15</v>
      </c>
      <c r="J104" s="416">
        <v>15</v>
      </c>
      <c r="K104" s="416">
        <v>20</v>
      </c>
      <c r="L104" s="416">
        <v>24</v>
      </c>
      <c r="M104" s="416">
        <v>22</v>
      </c>
      <c r="N104" s="416">
        <v>24</v>
      </c>
      <c r="O104" s="416">
        <v>21</v>
      </c>
      <c r="P104" s="416">
        <v>29</v>
      </c>
      <c r="Q104" s="416">
        <v>17</v>
      </c>
      <c r="R104" s="416">
        <v>16</v>
      </c>
      <c r="T104" s="416">
        <v>252</v>
      </c>
      <c r="V104" s="416">
        <f t="shared" si="1"/>
        <v>252</v>
      </c>
    </row>
    <row r="105" spans="1:22" x14ac:dyDescent="0.25">
      <c r="A105" s="416" t="s">
        <v>1161</v>
      </c>
      <c r="B105" s="416" t="s">
        <v>1269</v>
      </c>
      <c r="C105" s="416" t="s">
        <v>205</v>
      </c>
      <c r="F105" s="416">
        <v>9</v>
      </c>
      <c r="G105" s="416">
        <v>6</v>
      </c>
      <c r="H105" s="416">
        <v>7</v>
      </c>
      <c r="T105" s="416">
        <v>22</v>
      </c>
      <c r="V105" s="416">
        <f t="shared" si="1"/>
        <v>22</v>
      </c>
    </row>
    <row r="106" spans="1:22" x14ac:dyDescent="0.25">
      <c r="A106" s="416" t="s">
        <v>400</v>
      </c>
      <c r="B106" s="416" t="s">
        <v>1270</v>
      </c>
      <c r="C106" s="416" t="s">
        <v>205</v>
      </c>
      <c r="F106" s="416">
        <v>4</v>
      </c>
      <c r="G106" s="416">
        <v>7</v>
      </c>
      <c r="H106" s="416">
        <v>6</v>
      </c>
      <c r="I106" s="416">
        <v>3</v>
      </c>
      <c r="J106" s="416">
        <v>5</v>
      </c>
      <c r="K106" s="416">
        <v>3</v>
      </c>
      <c r="T106" s="416">
        <v>28</v>
      </c>
      <c r="V106" s="416">
        <f t="shared" si="1"/>
        <v>28</v>
      </c>
    </row>
    <row r="107" spans="1:22" x14ac:dyDescent="0.25">
      <c r="A107" s="416" t="s">
        <v>401</v>
      </c>
      <c r="B107" s="416" t="s">
        <v>1271</v>
      </c>
      <c r="C107" s="416" t="s">
        <v>205</v>
      </c>
      <c r="F107" s="416">
        <v>7</v>
      </c>
      <c r="G107" s="416">
        <v>1</v>
      </c>
      <c r="H107" s="416">
        <v>3</v>
      </c>
      <c r="I107" s="416">
        <v>3</v>
      </c>
      <c r="T107" s="416">
        <v>14</v>
      </c>
      <c r="V107" s="416">
        <f t="shared" si="1"/>
        <v>14</v>
      </c>
    </row>
    <row r="108" spans="1:22" x14ac:dyDescent="0.25">
      <c r="A108" s="416" t="s">
        <v>409</v>
      </c>
      <c r="B108" s="416" t="s">
        <v>938</v>
      </c>
      <c r="C108" s="416" t="s">
        <v>202</v>
      </c>
      <c r="D108" s="416" t="s">
        <v>819</v>
      </c>
      <c r="G108" s="416">
        <v>1</v>
      </c>
      <c r="I108" s="416">
        <v>2</v>
      </c>
      <c r="J108" s="416">
        <v>1</v>
      </c>
      <c r="K108" s="416">
        <v>1</v>
      </c>
      <c r="L108" s="416">
        <v>2</v>
      </c>
      <c r="Q108" s="416">
        <v>1</v>
      </c>
      <c r="T108" s="416">
        <v>8</v>
      </c>
      <c r="V108" s="416">
        <f t="shared" si="1"/>
        <v>8</v>
      </c>
    </row>
    <row r="109" spans="1:22" x14ac:dyDescent="0.25">
      <c r="A109" s="416" t="s">
        <v>411</v>
      </c>
      <c r="B109" s="416" t="s">
        <v>1274</v>
      </c>
      <c r="C109" s="416" t="s">
        <v>210</v>
      </c>
      <c r="D109" s="416" t="s">
        <v>819</v>
      </c>
      <c r="E109" s="416">
        <v>8</v>
      </c>
      <c r="F109" s="416">
        <v>19</v>
      </c>
      <c r="G109" s="416">
        <v>20</v>
      </c>
      <c r="H109" s="416">
        <v>9</v>
      </c>
      <c r="I109" s="416">
        <v>10</v>
      </c>
      <c r="J109" s="416">
        <v>18</v>
      </c>
      <c r="K109" s="416">
        <v>19</v>
      </c>
      <c r="L109" s="416">
        <v>15</v>
      </c>
      <c r="M109" s="416">
        <v>12</v>
      </c>
      <c r="N109" s="416">
        <v>15</v>
      </c>
      <c r="O109" s="416">
        <v>15</v>
      </c>
      <c r="P109" s="416">
        <v>16</v>
      </c>
      <c r="Q109" s="416">
        <v>4</v>
      </c>
      <c r="R109" s="416">
        <v>16</v>
      </c>
      <c r="T109" s="416">
        <v>196</v>
      </c>
      <c r="V109" s="416">
        <f t="shared" si="1"/>
        <v>196</v>
      </c>
    </row>
    <row r="110" spans="1:22" x14ac:dyDescent="0.25">
      <c r="A110" s="416" t="s">
        <v>403</v>
      </c>
      <c r="B110" s="416" t="s">
        <v>935</v>
      </c>
      <c r="C110" s="416" t="s">
        <v>194</v>
      </c>
      <c r="F110" s="416">
        <v>4</v>
      </c>
      <c r="G110" s="416">
        <v>1</v>
      </c>
      <c r="H110" s="416">
        <v>2</v>
      </c>
      <c r="I110" s="416">
        <v>2</v>
      </c>
      <c r="J110" s="416">
        <v>1</v>
      </c>
      <c r="K110" s="416">
        <v>2</v>
      </c>
      <c r="L110" s="416">
        <v>3</v>
      </c>
      <c r="M110" s="416">
        <v>1</v>
      </c>
      <c r="N110" s="416">
        <v>2</v>
      </c>
      <c r="O110" s="416">
        <v>5</v>
      </c>
      <c r="P110" s="416">
        <v>2</v>
      </c>
      <c r="Q110" s="416">
        <v>1</v>
      </c>
      <c r="R110" s="416">
        <v>1</v>
      </c>
      <c r="T110" s="416">
        <v>27</v>
      </c>
      <c r="V110" s="416">
        <f t="shared" si="1"/>
        <v>27</v>
      </c>
    </row>
    <row r="111" spans="1:22" x14ac:dyDescent="0.25">
      <c r="A111" s="416" t="s">
        <v>405</v>
      </c>
      <c r="B111" s="416" t="s">
        <v>936</v>
      </c>
      <c r="C111" s="416" t="s">
        <v>197</v>
      </c>
      <c r="H111" s="416">
        <v>1</v>
      </c>
      <c r="I111" s="416">
        <v>1</v>
      </c>
      <c r="J111" s="416">
        <v>2</v>
      </c>
      <c r="N111" s="416">
        <v>1</v>
      </c>
      <c r="T111" s="416">
        <v>5</v>
      </c>
      <c r="V111" s="416">
        <f t="shared" si="1"/>
        <v>5</v>
      </c>
    </row>
    <row r="112" spans="1:22" x14ac:dyDescent="0.25">
      <c r="A112" s="416" t="s">
        <v>407</v>
      </c>
      <c r="B112" s="416" t="s">
        <v>937</v>
      </c>
      <c r="C112" s="416" t="s">
        <v>205</v>
      </c>
      <c r="E112" s="416">
        <v>123</v>
      </c>
      <c r="F112" s="416">
        <v>80</v>
      </c>
      <c r="G112" s="416">
        <v>108</v>
      </c>
      <c r="H112" s="416">
        <v>105</v>
      </c>
      <c r="I112" s="416">
        <v>118</v>
      </c>
      <c r="J112" s="416">
        <v>127</v>
      </c>
      <c r="K112" s="416">
        <v>132</v>
      </c>
      <c r="L112" s="416">
        <v>142</v>
      </c>
      <c r="M112" s="416">
        <v>147</v>
      </c>
      <c r="N112" s="416">
        <v>149</v>
      </c>
      <c r="O112" s="416">
        <v>125</v>
      </c>
      <c r="P112" s="416">
        <v>139</v>
      </c>
      <c r="Q112" s="416">
        <v>116</v>
      </c>
      <c r="R112" s="416">
        <v>156</v>
      </c>
      <c r="T112" s="416">
        <v>1767</v>
      </c>
      <c r="V112" s="416">
        <f t="shared" si="1"/>
        <v>1767</v>
      </c>
    </row>
    <row r="113" spans="1:22" x14ac:dyDescent="0.25">
      <c r="A113" s="416" t="s">
        <v>413</v>
      </c>
      <c r="B113" s="416" t="s">
        <v>939</v>
      </c>
      <c r="C113" s="416" t="s">
        <v>194</v>
      </c>
      <c r="H113" s="416">
        <v>2</v>
      </c>
      <c r="I113" s="416">
        <v>2</v>
      </c>
      <c r="J113" s="416">
        <v>1</v>
      </c>
      <c r="T113" s="416">
        <v>5</v>
      </c>
      <c r="V113" s="416">
        <f t="shared" si="1"/>
        <v>5</v>
      </c>
    </row>
    <row r="114" spans="1:22" x14ac:dyDescent="0.25">
      <c r="A114" s="416" t="s">
        <v>415</v>
      </c>
      <c r="B114" s="416" t="s">
        <v>940</v>
      </c>
      <c r="C114" s="416" t="s">
        <v>210</v>
      </c>
      <c r="E114" s="416">
        <v>55</v>
      </c>
      <c r="F114" s="416">
        <v>50</v>
      </c>
      <c r="G114" s="416">
        <v>47</v>
      </c>
      <c r="H114" s="416">
        <v>57</v>
      </c>
      <c r="I114" s="416">
        <v>51</v>
      </c>
      <c r="J114" s="416">
        <v>66</v>
      </c>
      <c r="K114" s="416">
        <v>60</v>
      </c>
      <c r="L114" s="416">
        <v>56</v>
      </c>
      <c r="M114" s="416">
        <v>73</v>
      </c>
      <c r="N114" s="416">
        <v>64</v>
      </c>
      <c r="O114" s="416">
        <v>69</v>
      </c>
      <c r="P114" s="416">
        <v>68</v>
      </c>
      <c r="Q114" s="416">
        <v>43</v>
      </c>
      <c r="R114" s="416">
        <v>47</v>
      </c>
      <c r="T114" s="416">
        <v>806</v>
      </c>
      <c r="V114" s="416">
        <f t="shared" si="1"/>
        <v>806</v>
      </c>
    </row>
    <row r="115" spans="1:22" x14ac:dyDescent="0.25">
      <c r="A115" s="416" t="s">
        <v>417</v>
      </c>
      <c r="B115" s="416" t="s">
        <v>941</v>
      </c>
      <c r="C115" s="416" t="s">
        <v>202</v>
      </c>
      <c r="E115" s="416">
        <v>214</v>
      </c>
      <c r="F115" s="416">
        <v>169</v>
      </c>
      <c r="G115" s="416">
        <v>198</v>
      </c>
      <c r="H115" s="416">
        <v>227</v>
      </c>
      <c r="I115" s="416">
        <v>229</v>
      </c>
      <c r="J115" s="416">
        <v>200</v>
      </c>
      <c r="K115" s="416">
        <v>224</v>
      </c>
      <c r="L115" s="416">
        <v>170</v>
      </c>
      <c r="M115" s="416">
        <v>168</v>
      </c>
      <c r="N115" s="416">
        <v>163</v>
      </c>
      <c r="O115" s="416">
        <v>178</v>
      </c>
      <c r="P115" s="416">
        <v>159</v>
      </c>
      <c r="Q115" s="416">
        <v>133</v>
      </c>
      <c r="R115" s="416">
        <v>147</v>
      </c>
      <c r="T115" s="416">
        <v>2579</v>
      </c>
      <c r="V115" s="416">
        <f t="shared" si="1"/>
        <v>2579</v>
      </c>
    </row>
    <row r="116" spans="1:22" x14ac:dyDescent="0.25">
      <c r="A116" s="416" t="s">
        <v>419</v>
      </c>
      <c r="B116" s="416" t="s">
        <v>942</v>
      </c>
      <c r="C116" s="416" t="s">
        <v>205</v>
      </c>
      <c r="E116" s="416">
        <v>233</v>
      </c>
      <c r="F116" s="416">
        <v>157</v>
      </c>
      <c r="G116" s="416">
        <v>204</v>
      </c>
      <c r="H116" s="416">
        <v>215</v>
      </c>
      <c r="I116" s="416">
        <v>218</v>
      </c>
      <c r="J116" s="416">
        <v>229</v>
      </c>
      <c r="K116" s="416">
        <v>252</v>
      </c>
      <c r="L116" s="416">
        <v>240</v>
      </c>
      <c r="M116" s="416">
        <v>219</v>
      </c>
      <c r="N116" s="416">
        <v>231</v>
      </c>
      <c r="O116" s="416">
        <v>225</v>
      </c>
      <c r="P116" s="416">
        <v>216</v>
      </c>
      <c r="Q116" s="416">
        <v>185</v>
      </c>
      <c r="R116" s="416">
        <v>290</v>
      </c>
      <c r="T116" s="416">
        <v>3114</v>
      </c>
      <c r="V116" s="416">
        <f t="shared" si="1"/>
        <v>3114</v>
      </c>
    </row>
    <row r="117" spans="1:22" x14ac:dyDescent="0.25">
      <c r="A117" s="416" t="s">
        <v>427</v>
      </c>
      <c r="B117" s="416" t="s">
        <v>1141</v>
      </c>
      <c r="C117" s="416" t="s">
        <v>210</v>
      </c>
      <c r="D117" s="416" t="s">
        <v>819</v>
      </c>
      <c r="E117" s="416">
        <v>1</v>
      </c>
      <c r="F117" s="416">
        <v>2</v>
      </c>
      <c r="G117" s="416">
        <v>1</v>
      </c>
      <c r="H117" s="416">
        <v>3</v>
      </c>
      <c r="I117" s="416">
        <v>1</v>
      </c>
      <c r="J117" s="416">
        <v>2</v>
      </c>
      <c r="L117" s="416">
        <v>2</v>
      </c>
      <c r="O117" s="416">
        <v>2</v>
      </c>
      <c r="Q117" s="416">
        <v>1</v>
      </c>
      <c r="T117" s="416">
        <v>15</v>
      </c>
      <c r="V117" s="416">
        <f t="shared" si="1"/>
        <v>15</v>
      </c>
    </row>
    <row r="118" spans="1:22" x14ac:dyDescent="0.25">
      <c r="A118" s="416" t="s">
        <v>421</v>
      </c>
      <c r="B118" s="416" t="s">
        <v>943</v>
      </c>
      <c r="C118" s="416" t="s">
        <v>194</v>
      </c>
      <c r="E118" s="416">
        <v>7</v>
      </c>
      <c r="F118" s="416">
        <v>12</v>
      </c>
      <c r="G118" s="416">
        <v>15</v>
      </c>
      <c r="H118" s="416">
        <v>8</v>
      </c>
      <c r="I118" s="416">
        <v>11</v>
      </c>
      <c r="J118" s="416">
        <v>10</v>
      </c>
      <c r="K118" s="416">
        <v>3</v>
      </c>
      <c r="L118" s="416">
        <v>6</v>
      </c>
      <c r="M118" s="416">
        <v>7</v>
      </c>
      <c r="N118" s="416">
        <v>14</v>
      </c>
      <c r="O118" s="416">
        <v>15</v>
      </c>
      <c r="P118" s="416">
        <v>18</v>
      </c>
      <c r="Q118" s="416">
        <v>11</v>
      </c>
      <c r="R118" s="416">
        <v>13</v>
      </c>
      <c r="T118" s="416">
        <v>150</v>
      </c>
      <c r="V118" s="416">
        <f t="shared" si="1"/>
        <v>150</v>
      </c>
    </row>
    <row r="119" spans="1:22" x14ac:dyDescent="0.25">
      <c r="A119" s="416" t="s">
        <v>423</v>
      </c>
      <c r="B119" s="416" t="s">
        <v>1226</v>
      </c>
      <c r="C119" s="416" t="s">
        <v>202</v>
      </c>
      <c r="F119" s="416">
        <v>10</v>
      </c>
      <c r="G119" s="416">
        <v>10</v>
      </c>
      <c r="H119" s="416">
        <v>6</v>
      </c>
      <c r="I119" s="416">
        <v>12</v>
      </c>
      <c r="J119" s="416">
        <v>17</v>
      </c>
      <c r="K119" s="416">
        <v>11</v>
      </c>
      <c r="L119" s="416">
        <v>20</v>
      </c>
      <c r="M119" s="416">
        <v>10</v>
      </c>
      <c r="N119" s="416">
        <v>18</v>
      </c>
      <c r="O119" s="416">
        <v>15</v>
      </c>
      <c r="P119" s="416">
        <v>18</v>
      </c>
      <c r="Q119" s="416">
        <v>15</v>
      </c>
      <c r="R119" s="416">
        <v>9</v>
      </c>
      <c r="T119" s="416">
        <v>171</v>
      </c>
      <c r="V119" s="416">
        <f t="shared" si="1"/>
        <v>171</v>
      </c>
    </row>
    <row r="120" spans="1:22" x14ac:dyDescent="0.25">
      <c r="A120" s="416" t="s">
        <v>425</v>
      </c>
      <c r="B120" s="416" t="s">
        <v>945</v>
      </c>
      <c r="C120" s="416" t="s">
        <v>221</v>
      </c>
      <c r="F120" s="416">
        <v>4</v>
      </c>
      <c r="G120" s="416">
        <v>7</v>
      </c>
      <c r="H120" s="416">
        <v>3</v>
      </c>
      <c r="I120" s="416">
        <v>5</v>
      </c>
      <c r="J120" s="416">
        <v>7</v>
      </c>
      <c r="K120" s="416">
        <v>12</v>
      </c>
      <c r="L120" s="416">
        <v>4</v>
      </c>
      <c r="M120" s="416">
        <v>3</v>
      </c>
      <c r="N120" s="416">
        <v>8</v>
      </c>
      <c r="O120" s="416">
        <v>2</v>
      </c>
      <c r="P120" s="416">
        <v>6</v>
      </c>
      <c r="Q120" s="416">
        <v>7</v>
      </c>
      <c r="R120" s="416">
        <v>9</v>
      </c>
      <c r="T120" s="416">
        <v>77</v>
      </c>
      <c r="V120" s="416">
        <f t="shared" si="1"/>
        <v>77</v>
      </c>
    </row>
    <row r="121" spans="1:22" x14ac:dyDescent="0.25">
      <c r="A121" s="416" t="s">
        <v>429</v>
      </c>
      <c r="B121" s="416" t="s">
        <v>946</v>
      </c>
      <c r="C121" s="416" t="s">
        <v>210</v>
      </c>
      <c r="E121" s="416">
        <v>9</v>
      </c>
      <c r="F121" s="416">
        <v>19</v>
      </c>
      <c r="G121" s="416">
        <v>16</v>
      </c>
      <c r="H121" s="416">
        <v>17</v>
      </c>
      <c r="I121" s="416">
        <v>29</v>
      </c>
      <c r="J121" s="416">
        <v>30</v>
      </c>
      <c r="K121" s="416">
        <v>20</v>
      </c>
      <c r="L121" s="416">
        <v>19</v>
      </c>
      <c r="M121" s="416">
        <v>19</v>
      </c>
      <c r="N121" s="416">
        <v>14</v>
      </c>
      <c r="O121" s="416">
        <v>24</v>
      </c>
      <c r="P121" s="416">
        <v>16</v>
      </c>
      <c r="Q121" s="416">
        <v>17</v>
      </c>
      <c r="R121" s="416">
        <v>13</v>
      </c>
      <c r="T121" s="416">
        <v>262</v>
      </c>
      <c r="V121" s="416">
        <f t="shared" si="1"/>
        <v>262</v>
      </c>
    </row>
    <row r="122" spans="1:22" x14ac:dyDescent="0.25">
      <c r="A122" s="416" t="s">
        <v>437</v>
      </c>
      <c r="B122" s="416" t="s">
        <v>1143</v>
      </c>
      <c r="C122" s="416" t="s">
        <v>189</v>
      </c>
      <c r="D122" s="416" t="s">
        <v>819</v>
      </c>
      <c r="E122" s="416">
        <v>2</v>
      </c>
      <c r="F122" s="416">
        <v>1</v>
      </c>
      <c r="G122" s="416">
        <v>1</v>
      </c>
      <c r="H122" s="416">
        <v>4</v>
      </c>
      <c r="I122" s="416">
        <v>1</v>
      </c>
      <c r="J122" s="416">
        <v>3</v>
      </c>
      <c r="K122" s="416">
        <v>4</v>
      </c>
      <c r="L122" s="416">
        <v>2</v>
      </c>
      <c r="M122" s="416">
        <v>4</v>
      </c>
      <c r="N122" s="416">
        <v>4</v>
      </c>
      <c r="P122" s="416">
        <v>3</v>
      </c>
      <c r="Q122" s="416">
        <v>2</v>
      </c>
      <c r="R122" s="416">
        <v>1</v>
      </c>
      <c r="T122" s="416">
        <v>32</v>
      </c>
      <c r="V122" s="416">
        <f t="shared" si="1"/>
        <v>32</v>
      </c>
    </row>
    <row r="123" spans="1:22" x14ac:dyDescent="0.25">
      <c r="A123" s="416" t="s">
        <v>431</v>
      </c>
      <c r="B123" s="416" t="s">
        <v>947</v>
      </c>
      <c r="C123" s="416" t="s">
        <v>197</v>
      </c>
      <c r="E123" s="416">
        <v>1</v>
      </c>
      <c r="F123" s="416">
        <v>5</v>
      </c>
      <c r="G123" s="416">
        <v>5</v>
      </c>
      <c r="H123" s="416">
        <v>4</v>
      </c>
      <c r="I123" s="416">
        <v>6</v>
      </c>
      <c r="J123" s="416">
        <v>5</v>
      </c>
      <c r="K123" s="416">
        <v>10</v>
      </c>
      <c r="L123" s="416">
        <v>9</v>
      </c>
      <c r="M123" s="416">
        <v>4</v>
      </c>
      <c r="N123" s="416">
        <v>5</v>
      </c>
      <c r="O123" s="416">
        <v>11</v>
      </c>
      <c r="P123" s="416">
        <v>9</v>
      </c>
      <c r="Q123" s="416">
        <v>5</v>
      </c>
      <c r="R123" s="416">
        <v>11</v>
      </c>
      <c r="T123" s="416">
        <v>90</v>
      </c>
      <c r="V123" s="416">
        <f t="shared" si="1"/>
        <v>90</v>
      </c>
    </row>
    <row r="124" spans="1:22" x14ac:dyDescent="0.25">
      <c r="A124" s="416" t="s">
        <v>433</v>
      </c>
      <c r="B124" s="416" t="s">
        <v>1142</v>
      </c>
      <c r="C124" s="416" t="s">
        <v>194</v>
      </c>
      <c r="F124" s="416">
        <v>2</v>
      </c>
      <c r="H124" s="416">
        <v>3</v>
      </c>
      <c r="I124" s="416">
        <v>3</v>
      </c>
      <c r="J124" s="416">
        <v>1</v>
      </c>
      <c r="K124" s="416">
        <v>1</v>
      </c>
      <c r="L124" s="416">
        <v>1</v>
      </c>
      <c r="N124" s="416">
        <v>1</v>
      </c>
      <c r="O124" s="416">
        <v>1</v>
      </c>
      <c r="P124" s="416">
        <v>2</v>
      </c>
      <c r="Q124" s="416">
        <v>1</v>
      </c>
      <c r="T124" s="416">
        <v>16</v>
      </c>
      <c r="V124" s="416">
        <f t="shared" si="1"/>
        <v>16</v>
      </c>
    </row>
    <row r="125" spans="1:22" x14ac:dyDescent="0.25">
      <c r="A125" s="416" t="s">
        <v>435</v>
      </c>
      <c r="B125" s="416" t="s">
        <v>948</v>
      </c>
      <c r="C125" s="416" t="s">
        <v>231</v>
      </c>
      <c r="E125" s="416">
        <v>9</v>
      </c>
      <c r="F125" s="416">
        <v>8</v>
      </c>
      <c r="G125" s="416">
        <v>7</v>
      </c>
      <c r="H125" s="416">
        <v>5</v>
      </c>
      <c r="I125" s="416">
        <v>6</v>
      </c>
      <c r="J125" s="416">
        <v>9</v>
      </c>
      <c r="K125" s="416">
        <v>11</v>
      </c>
      <c r="L125" s="416">
        <v>9</v>
      </c>
      <c r="M125" s="416">
        <v>13</v>
      </c>
      <c r="N125" s="416">
        <v>12</v>
      </c>
      <c r="O125" s="416">
        <v>9</v>
      </c>
      <c r="P125" s="416">
        <v>11</v>
      </c>
      <c r="Q125" s="416">
        <v>13</v>
      </c>
      <c r="R125" s="416">
        <v>14</v>
      </c>
      <c r="T125" s="416">
        <v>136</v>
      </c>
      <c r="V125" s="416">
        <f t="shared" si="1"/>
        <v>136</v>
      </c>
    </row>
    <row r="126" spans="1:22" x14ac:dyDescent="0.25">
      <c r="A126" s="416" t="s">
        <v>439</v>
      </c>
      <c r="B126" s="416" t="s">
        <v>949</v>
      </c>
      <c r="C126" s="416" t="s">
        <v>197</v>
      </c>
      <c r="E126" s="416">
        <v>163</v>
      </c>
      <c r="F126" s="416">
        <v>73</v>
      </c>
      <c r="G126" s="416">
        <v>110</v>
      </c>
      <c r="H126" s="416">
        <v>96</v>
      </c>
      <c r="I126" s="416">
        <v>93</v>
      </c>
      <c r="J126" s="416">
        <v>121</v>
      </c>
      <c r="K126" s="416">
        <v>118</v>
      </c>
      <c r="L126" s="416">
        <v>103</v>
      </c>
      <c r="M126" s="416">
        <v>113</v>
      </c>
      <c r="N126" s="416">
        <v>107</v>
      </c>
      <c r="O126" s="416">
        <v>96</v>
      </c>
      <c r="P126" s="416">
        <v>119</v>
      </c>
      <c r="Q126" s="416">
        <v>83</v>
      </c>
      <c r="R126" s="416">
        <v>108</v>
      </c>
      <c r="T126" s="416">
        <v>1503</v>
      </c>
      <c r="V126" s="416">
        <f t="shared" si="1"/>
        <v>1503</v>
      </c>
    </row>
    <row r="127" spans="1:22" x14ac:dyDescent="0.25">
      <c r="A127" s="416" t="s">
        <v>441</v>
      </c>
      <c r="B127" s="416" t="s">
        <v>950</v>
      </c>
      <c r="C127" s="416" t="s">
        <v>205</v>
      </c>
      <c r="E127" s="416">
        <v>219</v>
      </c>
      <c r="F127" s="416">
        <v>154</v>
      </c>
      <c r="G127" s="416">
        <v>205</v>
      </c>
      <c r="H127" s="416">
        <v>198</v>
      </c>
      <c r="I127" s="416">
        <v>230</v>
      </c>
      <c r="J127" s="416">
        <v>235</v>
      </c>
      <c r="K127" s="416">
        <v>237</v>
      </c>
      <c r="L127" s="416">
        <v>207</v>
      </c>
      <c r="M127" s="416">
        <v>199</v>
      </c>
      <c r="N127" s="416">
        <v>191</v>
      </c>
      <c r="O127" s="416">
        <v>187</v>
      </c>
      <c r="P127" s="416">
        <v>178</v>
      </c>
      <c r="Q127" s="416">
        <v>183</v>
      </c>
      <c r="R127" s="416">
        <v>244</v>
      </c>
      <c r="T127" s="416">
        <v>2867</v>
      </c>
      <c r="V127" s="416">
        <f t="shared" si="1"/>
        <v>2867</v>
      </c>
    </row>
    <row r="128" spans="1:22" x14ac:dyDescent="0.25">
      <c r="A128" s="416" t="s">
        <v>443</v>
      </c>
      <c r="B128" s="416" t="s">
        <v>951</v>
      </c>
      <c r="C128" s="416" t="s">
        <v>197</v>
      </c>
      <c r="E128" s="416">
        <v>36</v>
      </c>
      <c r="F128" s="416">
        <v>19</v>
      </c>
      <c r="G128" s="416">
        <v>26</v>
      </c>
      <c r="H128" s="416">
        <v>27</v>
      </c>
      <c r="I128" s="416">
        <v>39</v>
      </c>
      <c r="J128" s="416">
        <v>46</v>
      </c>
      <c r="K128" s="416">
        <v>33</v>
      </c>
      <c r="L128" s="416">
        <v>45</v>
      </c>
      <c r="M128" s="416">
        <v>39</v>
      </c>
      <c r="N128" s="416">
        <v>27</v>
      </c>
      <c r="O128" s="416">
        <v>39</v>
      </c>
      <c r="P128" s="416">
        <v>29</v>
      </c>
      <c r="Q128" s="416">
        <v>26</v>
      </c>
      <c r="R128" s="416">
        <v>30</v>
      </c>
      <c r="T128" s="416">
        <v>461</v>
      </c>
      <c r="V128" s="416">
        <f t="shared" si="1"/>
        <v>461</v>
      </c>
    </row>
    <row r="129" spans="1:22" x14ac:dyDescent="0.25">
      <c r="A129" s="416" t="s">
        <v>445</v>
      </c>
      <c r="B129" s="416" t="s">
        <v>952</v>
      </c>
      <c r="C129" s="416" t="s">
        <v>194</v>
      </c>
      <c r="K129" s="416">
        <v>2</v>
      </c>
      <c r="L129" s="416">
        <v>3</v>
      </c>
      <c r="M129" s="416">
        <v>1</v>
      </c>
      <c r="N129" s="416">
        <v>1</v>
      </c>
      <c r="T129" s="416">
        <v>7</v>
      </c>
      <c r="V129" s="416">
        <f t="shared" si="1"/>
        <v>7</v>
      </c>
    </row>
    <row r="130" spans="1:22" x14ac:dyDescent="0.25">
      <c r="A130" s="416" t="s">
        <v>447</v>
      </c>
      <c r="B130" s="416" t="s">
        <v>953</v>
      </c>
      <c r="C130" s="416" t="s">
        <v>194</v>
      </c>
      <c r="E130" s="416">
        <v>4</v>
      </c>
      <c r="F130" s="416">
        <v>1</v>
      </c>
      <c r="G130" s="416">
        <v>1</v>
      </c>
      <c r="H130" s="416">
        <v>6</v>
      </c>
      <c r="I130" s="416">
        <v>7</v>
      </c>
      <c r="J130" s="416">
        <v>6</v>
      </c>
      <c r="K130" s="416">
        <v>6</v>
      </c>
      <c r="L130" s="416">
        <v>5</v>
      </c>
      <c r="M130" s="416">
        <v>3</v>
      </c>
      <c r="N130" s="416">
        <v>5</v>
      </c>
      <c r="O130" s="416">
        <v>6</v>
      </c>
      <c r="P130" s="416">
        <v>5</v>
      </c>
      <c r="Q130" s="416">
        <v>8</v>
      </c>
      <c r="R130" s="416">
        <v>3</v>
      </c>
      <c r="T130" s="416">
        <v>66</v>
      </c>
      <c r="V130" s="416">
        <f t="shared" si="1"/>
        <v>66</v>
      </c>
    </row>
    <row r="131" spans="1:22" x14ac:dyDescent="0.25">
      <c r="A131" s="416" t="s">
        <v>449</v>
      </c>
      <c r="B131" s="416" t="s">
        <v>954</v>
      </c>
      <c r="C131" s="416" t="s">
        <v>194</v>
      </c>
      <c r="F131" s="416">
        <v>3</v>
      </c>
      <c r="H131" s="416">
        <v>1</v>
      </c>
      <c r="I131" s="416">
        <v>3</v>
      </c>
      <c r="J131" s="416">
        <v>4</v>
      </c>
      <c r="K131" s="416">
        <v>6</v>
      </c>
      <c r="L131" s="416">
        <v>2</v>
      </c>
      <c r="M131" s="416">
        <v>2</v>
      </c>
      <c r="N131" s="416">
        <v>2</v>
      </c>
      <c r="O131" s="416">
        <v>2</v>
      </c>
      <c r="T131" s="416">
        <v>25</v>
      </c>
      <c r="V131" s="416">
        <f t="shared" si="1"/>
        <v>25</v>
      </c>
    </row>
    <row r="132" spans="1:22" x14ac:dyDescent="0.25">
      <c r="A132" s="416" t="s">
        <v>451</v>
      </c>
      <c r="B132" s="416" t="s">
        <v>955</v>
      </c>
      <c r="C132" s="416" t="s">
        <v>210</v>
      </c>
      <c r="E132" s="416">
        <v>109</v>
      </c>
      <c r="F132" s="416">
        <v>69</v>
      </c>
      <c r="G132" s="416">
        <v>84</v>
      </c>
      <c r="H132" s="416">
        <v>92</v>
      </c>
      <c r="I132" s="416">
        <v>95</v>
      </c>
      <c r="J132" s="416">
        <v>98</v>
      </c>
      <c r="K132" s="416">
        <v>91</v>
      </c>
      <c r="L132" s="416">
        <v>88</v>
      </c>
      <c r="M132" s="416">
        <v>91</v>
      </c>
      <c r="N132" s="416">
        <v>90</v>
      </c>
      <c r="O132" s="416">
        <v>81</v>
      </c>
      <c r="P132" s="416">
        <v>64</v>
      </c>
      <c r="Q132" s="416">
        <v>64</v>
      </c>
      <c r="R132" s="416">
        <v>80</v>
      </c>
      <c r="T132" s="416">
        <v>1196</v>
      </c>
      <c r="V132" s="416">
        <f t="shared" ref="V132:V195" si="2">T132</f>
        <v>1196</v>
      </c>
    </row>
    <row r="133" spans="1:22" x14ac:dyDescent="0.25">
      <c r="A133" s="416" t="s">
        <v>453</v>
      </c>
      <c r="B133" s="416" t="s">
        <v>956</v>
      </c>
      <c r="C133" s="416" t="s">
        <v>194</v>
      </c>
      <c r="F133" s="416">
        <v>1</v>
      </c>
      <c r="H133" s="416">
        <v>3</v>
      </c>
      <c r="I133" s="416">
        <v>1</v>
      </c>
      <c r="J133" s="416">
        <v>3</v>
      </c>
      <c r="K133" s="416">
        <v>3</v>
      </c>
      <c r="L133" s="416">
        <v>4</v>
      </c>
      <c r="T133" s="416">
        <v>15</v>
      </c>
      <c r="V133" s="416">
        <f t="shared" si="2"/>
        <v>15</v>
      </c>
    </row>
    <row r="134" spans="1:22" x14ac:dyDescent="0.25">
      <c r="A134" s="416" t="s">
        <v>455</v>
      </c>
      <c r="B134" s="416" t="s">
        <v>1240</v>
      </c>
      <c r="C134" s="416" t="s">
        <v>197</v>
      </c>
      <c r="E134" s="416">
        <v>2</v>
      </c>
      <c r="F134" s="416">
        <v>3</v>
      </c>
      <c r="G134" s="416">
        <v>1</v>
      </c>
      <c r="H134" s="416">
        <v>3</v>
      </c>
      <c r="I134" s="416">
        <v>2</v>
      </c>
      <c r="J134" s="416">
        <v>7</v>
      </c>
      <c r="K134" s="416">
        <v>4</v>
      </c>
      <c r="L134" s="416">
        <v>4</v>
      </c>
      <c r="M134" s="416">
        <v>6</v>
      </c>
      <c r="N134" s="416">
        <v>5</v>
      </c>
      <c r="O134" s="416">
        <v>4</v>
      </c>
      <c r="P134" s="416">
        <v>1</v>
      </c>
      <c r="Q134" s="416">
        <v>7</v>
      </c>
      <c r="R134" s="416">
        <v>3</v>
      </c>
      <c r="T134" s="416">
        <v>52</v>
      </c>
      <c r="V134" s="416">
        <f t="shared" si="2"/>
        <v>52</v>
      </c>
    </row>
    <row r="135" spans="1:22" x14ac:dyDescent="0.25">
      <c r="A135" s="416" t="s">
        <v>457</v>
      </c>
      <c r="B135" s="416" t="s">
        <v>1275</v>
      </c>
      <c r="C135" s="416" t="s">
        <v>194</v>
      </c>
      <c r="O135" s="416">
        <v>3</v>
      </c>
      <c r="Q135" s="416">
        <v>2</v>
      </c>
      <c r="R135" s="416">
        <v>4</v>
      </c>
      <c r="T135" s="416">
        <v>9</v>
      </c>
      <c r="V135" s="416">
        <f t="shared" si="2"/>
        <v>9</v>
      </c>
    </row>
    <row r="136" spans="1:22" x14ac:dyDescent="0.25">
      <c r="A136" s="416" t="s">
        <v>458</v>
      </c>
      <c r="B136" s="416" t="s">
        <v>958</v>
      </c>
      <c r="C136" s="416" t="s">
        <v>210</v>
      </c>
      <c r="D136" s="416" t="s">
        <v>819</v>
      </c>
      <c r="F136" s="416">
        <v>3</v>
      </c>
      <c r="G136" s="416">
        <v>4</v>
      </c>
      <c r="H136" s="416">
        <v>2</v>
      </c>
      <c r="I136" s="416">
        <v>3</v>
      </c>
      <c r="J136" s="416">
        <v>5</v>
      </c>
      <c r="K136" s="416">
        <v>3</v>
      </c>
      <c r="L136" s="416">
        <v>4</v>
      </c>
      <c r="M136" s="416">
        <v>2</v>
      </c>
      <c r="N136" s="416">
        <v>3</v>
      </c>
      <c r="O136" s="416">
        <v>2</v>
      </c>
      <c r="P136" s="416">
        <v>3</v>
      </c>
      <c r="Q136" s="416">
        <v>3</v>
      </c>
      <c r="R136" s="416">
        <v>2</v>
      </c>
      <c r="T136" s="416">
        <v>39</v>
      </c>
      <c r="V136" s="416">
        <f t="shared" si="2"/>
        <v>39</v>
      </c>
    </row>
    <row r="137" spans="1:22" x14ac:dyDescent="0.25">
      <c r="A137" s="416" t="s">
        <v>460</v>
      </c>
      <c r="B137" s="416" t="s">
        <v>959</v>
      </c>
      <c r="C137" s="416" t="s">
        <v>197</v>
      </c>
      <c r="E137" s="416">
        <v>50</v>
      </c>
      <c r="F137" s="416">
        <v>30</v>
      </c>
      <c r="G137" s="416">
        <v>46</v>
      </c>
      <c r="H137" s="416">
        <v>44</v>
      </c>
      <c r="I137" s="416">
        <v>43</v>
      </c>
      <c r="J137" s="416">
        <v>43</v>
      </c>
      <c r="K137" s="416">
        <v>42</v>
      </c>
      <c r="L137" s="416">
        <v>37</v>
      </c>
      <c r="M137" s="416">
        <v>32</v>
      </c>
      <c r="N137" s="416">
        <v>24</v>
      </c>
      <c r="O137" s="416">
        <v>37</v>
      </c>
      <c r="P137" s="416">
        <v>30</v>
      </c>
      <c r="Q137" s="416">
        <v>34</v>
      </c>
      <c r="R137" s="416">
        <v>29</v>
      </c>
      <c r="T137" s="416">
        <v>521</v>
      </c>
      <c r="V137" s="416">
        <f t="shared" si="2"/>
        <v>521</v>
      </c>
    </row>
    <row r="138" spans="1:22" x14ac:dyDescent="0.25">
      <c r="A138" s="416" t="s">
        <v>462</v>
      </c>
      <c r="B138" s="416" t="s">
        <v>960</v>
      </c>
      <c r="C138" s="416" t="s">
        <v>221</v>
      </c>
      <c r="E138" s="416">
        <v>2</v>
      </c>
      <c r="F138" s="416">
        <v>5</v>
      </c>
      <c r="G138" s="416">
        <v>4</v>
      </c>
      <c r="H138" s="416">
        <v>7</v>
      </c>
      <c r="I138" s="416">
        <v>8</v>
      </c>
      <c r="J138" s="416">
        <v>1</v>
      </c>
      <c r="K138" s="416">
        <v>6</v>
      </c>
      <c r="L138" s="416">
        <v>9</v>
      </c>
      <c r="M138" s="416">
        <v>10</v>
      </c>
      <c r="N138" s="416">
        <v>7</v>
      </c>
      <c r="O138" s="416">
        <v>4</v>
      </c>
      <c r="P138" s="416">
        <v>7</v>
      </c>
      <c r="Q138" s="416">
        <v>5</v>
      </c>
      <c r="R138" s="416">
        <v>7</v>
      </c>
      <c r="T138" s="416">
        <v>82</v>
      </c>
      <c r="V138" s="416">
        <f t="shared" si="2"/>
        <v>82</v>
      </c>
    </row>
    <row r="139" spans="1:22" x14ac:dyDescent="0.25">
      <c r="A139" s="416" t="s">
        <v>464</v>
      </c>
      <c r="B139" s="416" t="s">
        <v>961</v>
      </c>
      <c r="C139" s="416" t="s">
        <v>231</v>
      </c>
      <c r="F139" s="416">
        <v>1</v>
      </c>
      <c r="G139" s="416">
        <v>2</v>
      </c>
      <c r="H139" s="416">
        <v>2</v>
      </c>
      <c r="K139" s="416">
        <v>2</v>
      </c>
      <c r="M139" s="416">
        <v>1</v>
      </c>
      <c r="N139" s="416">
        <v>1</v>
      </c>
      <c r="R139" s="416">
        <v>1</v>
      </c>
      <c r="T139" s="416">
        <v>10</v>
      </c>
      <c r="V139" s="416">
        <f t="shared" si="2"/>
        <v>10</v>
      </c>
    </row>
    <row r="140" spans="1:22" x14ac:dyDescent="0.25">
      <c r="A140" s="416" t="s">
        <v>466</v>
      </c>
      <c r="B140" s="416" t="s">
        <v>962</v>
      </c>
      <c r="C140" s="416" t="s">
        <v>231</v>
      </c>
      <c r="E140" s="416">
        <v>4</v>
      </c>
      <c r="F140" s="416">
        <v>5</v>
      </c>
      <c r="G140" s="416">
        <v>7</v>
      </c>
      <c r="H140" s="416">
        <v>5</v>
      </c>
      <c r="I140" s="416">
        <v>1</v>
      </c>
      <c r="J140" s="416">
        <v>5</v>
      </c>
      <c r="K140" s="416">
        <v>9</v>
      </c>
      <c r="L140" s="416">
        <v>7</v>
      </c>
      <c r="M140" s="416">
        <v>7</v>
      </c>
      <c r="N140" s="416">
        <v>5</v>
      </c>
      <c r="O140" s="416">
        <v>7</v>
      </c>
      <c r="P140" s="416">
        <v>8</v>
      </c>
      <c r="Q140" s="416">
        <v>4</v>
      </c>
      <c r="R140" s="416">
        <v>10</v>
      </c>
      <c r="T140" s="416">
        <v>84</v>
      </c>
      <c r="V140" s="416">
        <f t="shared" si="2"/>
        <v>84</v>
      </c>
    </row>
    <row r="141" spans="1:22" x14ac:dyDescent="0.25">
      <c r="A141" s="416" t="s">
        <v>468</v>
      </c>
      <c r="B141" s="416" t="s">
        <v>1235</v>
      </c>
      <c r="C141" s="416" t="s">
        <v>189</v>
      </c>
      <c r="E141" s="416">
        <v>1</v>
      </c>
      <c r="F141" s="416">
        <v>4</v>
      </c>
      <c r="G141" s="416">
        <v>10</v>
      </c>
      <c r="H141" s="416">
        <v>15</v>
      </c>
      <c r="I141" s="416">
        <v>22</v>
      </c>
      <c r="J141" s="416">
        <v>16</v>
      </c>
      <c r="K141" s="416">
        <v>23</v>
      </c>
      <c r="L141" s="416">
        <v>21</v>
      </c>
      <c r="M141" s="416">
        <v>21</v>
      </c>
      <c r="N141" s="416">
        <v>26</v>
      </c>
      <c r="O141" s="416">
        <v>3</v>
      </c>
      <c r="P141" s="416">
        <v>1</v>
      </c>
      <c r="Q141" s="416">
        <v>3</v>
      </c>
      <c r="R141" s="416">
        <v>2</v>
      </c>
      <c r="T141" s="416">
        <v>168</v>
      </c>
      <c r="V141" s="416">
        <f t="shared" si="2"/>
        <v>168</v>
      </c>
    </row>
    <row r="142" spans="1:22" x14ac:dyDescent="0.25">
      <c r="A142" s="416" t="s">
        <v>470</v>
      </c>
      <c r="B142" s="416" t="s">
        <v>964</v>
      </c>
      <c r="C142" s="416" t="s">
        <v>194</v>
      </c>
      <c r="E142" s="416">
        <v>3</v>
      </c>
      <c r="F142" s="416">
        <v>3</v>
      </c>
      <c r="G142" s="416">
        <v>4</v>
      </c>
      <c r="H142" s="416">
        <v>8</v>
      </c>
      <c r="I142" s="416">
        <v>3</v>
      </c>
      <c r="J142" s="416">
        <v>4</v>
      </c>
      <c r="K142" s="416">
        <v>6</v>
      </c>
      <c r="L142" s="416">
        <v>10</v>
      </c>
      <c r="M142" s="416">
        <v>2</v>
      </c>
      <c r="N142" s="416">
        <v>8</v>
      </c>
      <c r="O142" s="416">
        <v>4</v>
      </c>
      <c r="P142" s="416">
        <v>11</v>
      </c>
      <c r="Q142" s="416">
        <v>6</v>
      </c>
      <c r="R142" s="416">
        <v>8</v>
      </c>
      <c r="T142" s="416">
        <v>80</v>
      </c>
      <c r="V142" s="416">
        <f t="shared" si="2"/>
        <v>80</v>
      </c>
    </row>
    <row r="143" spans="1:22" x14ac:dyDescent="0.25">
      <c r="A143" s="416" t="s">
        <v>472</v>
      </c>
      <c r="B143" s="416" t="s">
        <v>965</v>
      </c>
      <c r="C143" s="416" t="s">
        <v>197</v>
      </c>
      <c r="E143" s="416">
        <v>132</v>
      </c>
      <c r="F143" s="416">
        <v>102</v>
      </c>
      <c r="G143" s="416">
        <v>111</v>
      </c>
      <c r="H143" s="416">
        <v>122</v>
      </c>
      <c r="I143" s="416">
        <v>115</v>
      </c>
      <c r="J143" s="416">
        <v>125</v>
      </c>
      <c r="K143" s="416">
        <v>121</v>
      </c>
      <c r="L143" s="416">
        <v>110</v>
      </c>
      <c r="M143" s="416">
        <v>116</v>
      </c>
      <c r="N143" s="416">
        <v>100</v>
      </c>
      <c r="O143" s="416">
        <v>119</v>
      </c>
      <c r="P143" s="416">
        <v>140</v>
      </c>
      <c r="Q143" s="416">
        <v>101</v>
      </c>
      <c r="R143" s="416">
        <v>160</v>
      </c>
      <c r="T143" s="416">
        <v>1674</v>
      </c>
      <c r="V143" s="416">
        <f t="shared" si="2"/>
        <v>1674</v>
      </c>
    </row>
    <row r="144" spans="1:22" x14ac:dyDescent="0.25">
      <c r="A144" s="416" t="s">
        <v>474</v>
      </c>
      <c r="B144" s="416" t="s">
        <v>1229</v>
      </c>
      <c r="C144" s="416" t="s">
        <v>189</v>
      </c>
      <c r="E144" s="416">
        <v>3</v>
      </c>
      <c r="F144" s="416">
        <v>4</v>
      </c>
      <c r="G144" s="416">
        <v>4</v>
      </c>
      <c r="H144" s="416">
        <v>6</v>
      </c>
      <c r="I144" s="416">
        <v>3</v>
      </c>
      <c r="J144" s="416">
        <v>7</v>
      </c>
      <c r="K144" s="416">
        <v>11</v>
      </c>
      <c r="L144" s="416">
        <v>5</v>
      </c>
      <c r="M144" s="416">
        <v>11</v>
      </c>
      <c r="N144" s="416">
        <v>6</v>
      </c>
      <c r="T144" s="416">
        <v>60</v>
      </c>
      <c r="V144" s="416">
        <f t="shared" si="2"/>
        <v>60</v>
      </c>
    </row>
    <row r="145" spans="1:22" x14ac:dyDescent="0.25">
      <c r="A145" s="416" t="s">
        <v>476</v>
      </c>
      <c r="B145" s="416" t="s">
        <v>967</v>
      </c>
      <c r="C145" s="416" t="s">
        <v>194</v>
      </c>
      <c r="E145" s="416">
        <v>80</v>
      </c>
      <c r="F145" s="416">
        <v>75</v>
      </c>
      <c r="G145" s="416">
        <v>106</v>
      </c>
      <c r="H145" s="416">
        <v>118</v>
      </c>
      <c r="I145" s="416">
        <v>116</v>
      </c>
      <c r="J145" s="416">
        <v>141</v>
      </c>
      <c r="K145" s="416">
        <v>115</v>
      </c>
      <c r="L145" s="416">
        <v>124</v>
      </c>
      <c r="M145" s="416">
        <v>98</v>
      </c>
      <c r="N145" s="416">
        <v>114</v>
      </c>
      <c r="O145" s="416">
        <v>97</v>
      </c>
      <c r="P145" s="416">
        <v>100</v>
      </c>
      <c r="Q145" s="416">
        <v>98</v>
      </c>
      <c r="R145" s="416">
        <v>119</v>
      </c>
      <c r="T145" s="416">
        <v>1501</v>
      </c>
      <c r="V145" s="416">
        <f t="shared" si="2"/>
        <v>1501</v>
      </c>
    </row>
    <row r="146" spans="1:22" x14ac:dyDescent="0.25">
      <c r="A146" s="416" t="s">
        <v>478</v>
      </c>
      <c r="B146" s="416" t="s">
        <v>968</v>
      </c>
      <c r="C146" s="416" t="s">
        <v>194</v>
      </c>
      <c r="E146" s="416">
        <v>16</v>
      </c>
      <c r="F146" s="416">
        <v>15</v>
      </c>
      <c r="G146" s="416">
        <v>19</v>
      </c>
      <c r="H146" s="416">
        <v>19</v>
      </c>
      <c r="I146" s="416">
        <v>20</v>
      </c>
      <c r="J146" s="416">
        <v>21</v>
      </c>
      <c r="K146" s="416">
        <v>21</v>
      </c>
      <c r="L146" s="416">
        <v>20</v>
      </c>
      <c r="M146" s="416">
        <v>19</v>
      </c>
      <c r="N146" s="416">
        <v>16</v>
      </c>
      <c r="O146" s="416">
        <v>9</v>
      </c>
      <c r="P146" s="416">
        <v>21</v>
      </c>
      <c r="Q146" s="416">
        <v>12</v>
      </c>
      <c r="R146" s="416">
        <v>22</v>
      </c>
      <c r="T146" s="416">
        <v>250</v>
      </c>
      <c r="V146" s="416">
        <f t="shared" si="2"/>
        <v>250</v>
      </c>
    </row>
    <row r="147" spans="1:22" x14ac:dyDescent="0.25">
      <c r="A147" s="416" t="s">
        <v>480</v>
      </c>
      <c r="B147" s="416" t="s">
        <v>969</v>
      </c>
      <c r="C147" s="416" t="s">
        <v>205</v>
      </c>
      <c r="E147" s="416">
        <v>16</v>
      </c>
      <c r="F147" s="416">
        <v>18</v>
      </c>
      <c r="G147" s="416">
        <v>26</v>
      </c>
      <c r="H147" s="416">
        <v>23</v>
      </c>
      <c r="I147" s="416">
        <v>33</v>
      </c>
      <c r="J147" s="416">
        <v>30</v>
      </c>
      <c r="K147" s="416">
        <v>33</v>
      </c>
      <c r="L147" s="416">
        <v>26</v>
      </c>
      <c r="M147" s="416">
        <v>20</v>
      </c>
      <c r="N147" s="416">
        <v>26</v>
      </c>
      <c r="O147" s="416">
        <v>46</v>
      </c>
      <c r="P147" s="416">
        <v>40</v>
      </c>
      <c r="Q147" s="416">
        <v>33</v>
      </c>
      <c r="R147" s="416">
        <v>67</v>
      </c>
      <c r="T147" s="416">
        <v>437</v>
      </c>
      <c r="V147" s="416">
        <f t="shared" si="2"/>
        <v>437</v>
      </c>
    </row>
    <row r="148" spans="1:22" x14ac:dyDescent="0.25">
      <c r="A148" s="416" t="s">
        <v>482</v>
      </c>
      <c r="B148" s="416" t="s">
        <v>970</v>
      </c>
      <c r="C148" s="416" t="s">
        <v>197</v>
      </c>
      <c r="E148" s="416">
        <v>13</v>
      </c>
      <c r="F148" s="416">
        <v>18</v>
      </c>
      <c r="G148" s="416">
        <v>14</v>
      </c>
      <c r="H148" s="416">
        <v>13</v>
      </c>
      <c r="I148" s="416">
        <v>22</v>
      </c>
      <c r="J148" s="416">
        <v>11</v>
      </c>
      <c r="K148" s="416">
        <v>16</v>
      </c>
      <c r="L148" s="416">
        <v>25</v>
      </c>
      <c r="M148" s="416">
        <v>16</v>
      </c>
      <c r="N148" s="416">
        <v>20</v>
      </c>
      <c r="O148" s="416">
        <v>11</v>
      </c>
      <c r="P148" s="416">
        <v>18</v>
      </c>
      <c r="Q148" s="416">
        <v>10</v>
      </c>
      <c r="R148" s="416">
        <v>8</v>
      </c>
      <c r="T148" s="416">
        <v>215</v>
      </c>
      <c r="V148" s="416">
        <f t="shared" si="2"/>
        <v>215</v>
      </c>
    </row>
    <row r="149" spans="1:22" x14ac:dyDescent="0.25">
      <c r="A149" s="416" t="s">
        <v>484</v>
      </c>
      <c r="B149" s="416" t="s">
        <v>971</v>
      </c>
      <c r="C149" s="416" t="s">
        <v>231</v>
      </c>
      <c r="D149" s="416" t="s">
        <v>819</v>
      </c>
      <c r="E149" s="416">
        <v>3</v>
      </c>
      <c r="F149" s="416">
        <v>4</v>
      </c>
      <c r="G149" s="416">
        <v>3</v>
      </c>
      <c r="H149" s="416">
        <v>7</v>
      </c>
      <c r="I149" s="416">
        <v>5</v>
      </c>
      <c r="J149" s="416">
        <v>4</v>
      </c>
      <c r="K149" s="416">
        <v>5</v>
      </c>
      <c r="L149" s="416">
        <v>4</v>
      </c>
      <c r="M149" s="416">
        <v>6</v>
      </c>
      <c r="N149" s="416">
        <v>4</v>
      </c>
      <c r="O149" s="416">
        <v>8</v>
      </c>
      <c r="P149" s="416">
        <v>7</v>
      </c>
      <c r="Q149" s="416">
        <v>6</v>
      </c>
      <c r="R149" s="416">
        <v>4</v>
      </c>
      <c r="T149" s="416">
        <v>70</v>
      </c>
      <c r="V149" s="416">
        <f t="shared" si="2"/>
        <v>70</v>
      </c>
    </row>
    <row r="150" spans="1:22" x14ac:dyDescent="0.25">
      <c r="A150" s="416" t="s">
        <v>486</v>
      </c>
      <c r="B150" s="416" t="s">
        <v>972</v>
      </c>
      <c r="C150" s="416" t="s">
        <v>210</v>
      </c>
      <c r="D150" s="416" t="s">
        <v>819</v>
      </c>
      <c r="G150" s="416">
        <v>1</v>
      </c>
      <c r="H150" s="416">
        <v>1</v>
      </c>
      <c r="I150" s="416">
        <v>1</v>
      </c>
      <c r="K150" s="416">
        <v>1</v>
      </c>
      <c r="N150" s="416">
        <v>1</v>
      </c>
      <c r="T150" s="416">
        <v>5</v>
      </c>
      <c r="V150" s="416">
        <f t="shared" si="2"/>
        <v>5</v>
      </c>
    </row>
    <row r="151" spans="1:22" x14ac:dyDescent="0.25">
      <c r="A151" s="416" t="s">
        <v>488</v>
      </c>
      <c r="B151" s="416" t="s">
        <v>973</v>
      </c>
      <c r="C151" s="416" t="s">
        <v>197</v>
      </c>
      <c r="E151" s="416">
        <v>45</v>
      </c>
      <c r="F151" s="416">
        <v>43</v>
      </c>
      <c r="G151" s="416">
        <v>52</v>
      </c>
      <c r="H151" s="416">
        <v>48</v>
      </c>
      <c r="I151" s="416">
        <v>61</v>
      </c>
      <c r="J151" s="416">
        <v>76</v>
      </c>
      <c r="K151" s="416">
        <v>60</v>
      </c>
      <c r="L151" s="416">
        <v>54</v>
      </c>
      <c r="M151" s="416">
        <v>50</v>
      </c>
      <c r="N151" s="416">
        <v>55</v>
      </c>
      <c r="O151" s="416">
        <v>52</v>
      </c>
      <c r="P151" s="416">
        <v>69</v>
      </c>
      <c r="Q151" s="416">
        <v>58</v>
      </c>
      <c r="R151" s="416">
        <v>65</v>
      </c>
      <c r="T151" s="416">
        <v>788</v>
      </c>
      <c r="V151" s="416">
        <f t="shared" si="2"/>
        <v>788</v>
      </c>
    </row>
    <row r="152" spans="1:22" x14ac:dyDescent="0.25">
      <c r="A152" s="416" t="s">
        <v>490</v>
      </c>
      <c r="B152" s="416" t="s">
        <v>974</v>
      </c>
      <c r="C152" s="416" t="s">
        <v>189</v>
      </c>
      <c r="E152" s="416">
        <v>26</v>
      </c>
      <c r="F152" s="416">
        <v>23</v>
      </c>
      <c r="G152" s="416">
        <v>22</v>
      </c>
      <c r="H152" s="416">
        <v>20</v>
      </c>
      <c r="I152" s="416">
        <v>19</v>
      </c>
      <c r="J152" s="416">
        <v>15</v>
      </c>
      <c r="K152" s="416">
        <v>9</v>
      </c>
      <c r="L152" s="416">
        <v>20</v>
      </c>
      <c r="M152" s="416">
        <v>11</v>
      </c>
      <c r="N152" s="416">
        <v>8</v>
      </c>
      <c r="O152" s="416">
        <v>12</v>
      </c>
      <c r="P152" s="416">
        <v>9</v>
      </c>
      <c r="Q152" s="416">
        <v>12</v>
      </c>
      <c r="R152" s="416">
        <v>27</v>
      </c>
      <c r="T152" s="416">
        <v>233</v>
      </c>
      <c r="V152" s="416">
        <f t="shared" si="2"/>
        <v>233</v>
      </c>
    </row>
    <row r="153" spans="1:22" x14ac:dyDescent="0.25">
      <c r="A153" s="416" t="s">
        <v>492</v>
      </c>
      <c r="B153" s="416" t="s">
        <v>975</v>
      </c>
      <c r="C153" s="416" t="s">
        <v>189</v>
      </c>
      <c r="E153" s="416">
        <v>4</v>
      </c>
      <c r="F153" s="416">
        <v>6</v>
      </c>
      <c r="H153" s="416">
        <v>8</v>
      </c>
      <c r="I153" s="416">
        <v>8</v>
      </c>
      <c r="J153" s="416">
        <v>3</v>
      </c>
      <c r="L153" s="416">
        <v>1</v>
      </c>
      <c r="M153" s="416">
        <v>4</v>
      </c>
      <c r="N153" s="416">
        <v>2</v>
      </c>
      <c r="O153" s="416">
        <v>4</v>
      </c>
      <c r="P153" s="416">
        <v>3</v>
      </c>
      <c r="Q153" s="416">
        <v>1</v>
      </c>
      <c r="R153" s="416">
        <v>3</v>
      </c>
      <c r="T153" s="416">
        <v>47</v>
      </c>
      <c r="V153" s="416">
        <f t="shared" si="2"/>
        <v>47</v>
      </c>
    </row>
    <row r="154" spans="1:22" x14ac:dyDescent="0.25">
      <c r="A154" s="416" t="s">
        <v>494</v>
      </c>
      <c r="B154" s="416" t="s">
        <v>976</v>
      </c>
      <c r="C154" s="416" t="s">
        <v>231</v>
      </c>
      <c r="E154" s="416">
        <v>103</v>
      </c>
      <c r="F154" s="416">
        <v>85</v>
      </c>
      <c r="G154" s="416">
        <v>110</v>
      </c>
      <c r="H154" s="416">
        <v>76</v>
      </c>
      <c r="I154" s="416">
        <v>108</v>
      </c>
      <c r="J154" s="416">
        <v>90</v>
      </c>
      <c r="K154" s="416">
        <v>114</v>
      </c>
      <c r="L154" s="416">
        <v>89</v>
      </c>
      <c r="M154" s="416">
        <v>91</v>
      </c>
      <c r="N154" s="416">
        <v>75</v>
      </c>
      <c r="O154" s="416">
        <v>59</v>
      </c>
      <c r="P154" s="416">
        <v>59</v>
      </c>
      <c r="Q154" s="416">
        <v>76</v>
      </c>
      <c r="R154" s="416">
        <v>112</v>
      </c>
      <c r="T154" s="416">
        <v>1247</v>
      </c>
      <c r="V154" s="416">
        <f t="shared" si="2"/>
        <v>1247</v>
      </c>
    </row>
    <row r="155" spans="1:22" x14ac:dyDescent="0.25">
      <c r="A155" s="416" t="s">
        <v>496</v>
      </c>
      <c r="B155" s="416" t="s">
        <v>977</v>
      </c>
      <c r="C155" s="416" t="s">
        <v>189</v>
      </c>
      <c r="E155" s="416">
        <v>2</v>
      </c>
      <c r="F155" s="416">
        <v>3</v>
      </c>
      <c r="G155" s="416">
        <v>7</v>
      </c>
      <c r="H155" s="416">
        <v>12</v>
      </c>
      <c r="I155" s="416">
        <v>11</v>
      </c>
      <c r="J155" s="416">
        <v>10</v>
      </c>
      <c r="K155" s="416">
        <v>8</v>
      </c>
      <c r="L155" s="416">
        <v>6</v>
      </c>
      <c r="M155" s="416">
        <v>8</v>
      </c>
      <c r="N155" s="416">
        <v>6</v>
      </c>
      <c r="O155" s="416">
        <v>9</v>
      </c>
      <c r="P155" s="416">
        <v>8</v>
      </c>
      <c r="Q155" s="416">
        <v>9</v>
      </c>
      <c r="R155" s="416">
        <v>4</v>
      </c>
      <c r="T155" s="416">
        <v>103</v>
      </c>
      <c r="V155" s="416">
        <f t="shared" si="2"/>
        <v>103</v>
      </c>
    </row>
    <row r="156" spans="1:22" x14ac:dyDescent="0.25">
      <c r="A156" s="416" t="s">
        <v>498</v>
      </c>
      <c r="B156" s="416" t="s">
        <v>978</v>
      </c>
      <c r="C156" s="416" t="s">
        <v>221</v>
      </c>
      <c r="E156" s="416">
        <v>5</v>
      </c>
      <c r="F156" s="416">
        <v>4</v>
      </c>
      <c r="G156" s="416">
        <v>5</v>
      </c>
      <c r="H156" s="416">
        <v>11</v>
      </c>
      <c r="I156" s="416">
        <v>8</v>
      </c>
      <c r="J156" s="416">
        <v>8</v>
      </c>
      <c r="K156" s="416">
        <v>11</v>
      </c>
      <c r="L156" s="416">
        <v>11</v>
      </c>
      <c r="M156" s="416">
        <v>10</v>
      </c>
      <c r="N156" s="416">
        <v>16</v>
      </c>
      <c r="O156" s="416">
        <v>9</v>
      </c>
      <c r="P156" s="416">
        <v>6</v>
      </c>
      <c r="Q156" s="416">
        <v>9</v>
      </c>
      <c r="R156" s="416">
        <v>11</v>
      </c>
      <c r="T156" s="416">
        <v>124</v>
      </c>
      <c r="V156" s="416">
        <f t="shared" si="2"/>
        <v>124</v>
      </c>
    </row>
    <row r="157" spans="1:22" x14ac:dyDescent="0.25">
      <c r="A157" s="416" t="s">
        <v>500</v>
      </c>
      <c r="B157" s="416" t="s">
        <v>979</v>
      </c>
      <c r="C157" s="416" t="s">
        <v>197</v>
      </c>
      <c r="E157" s="416">
        <v>25</v>
      </c>
      <c r="F157" s="416">
        <v>15</v>
      </c>
      <c r="G157" s="416">
        <v>22</v>
      </c>
      <c r="H157" s="416">
        <v>36</v>
      </c>
      <c r="I157" s="416">
        <v>19</v>
      </c>
      <c r="J157" s="416">
        <v>30</v>
      </c>
      <c r="K157" s="416">
        <v>27</v>
      </c>
      <c r="L157" s="416">
        <v>31</v>
      </c>
      <c r="M157" s="416">
        <v>18</v>
      </c>
      <c r="N157" s="416">
        <v>18</v>
      </c>
      <c r="O157" s="416">
        <v>25</v>
      </c>
      <c r="P157" s="416">
        <v>18</v>
      </c>
      <c r="Q157" s="416">
        <v>15</v>
      </c>
      <c r="R157" s="416">
        <v>27</v>
      </c>
      <c r="T157" s="416">
        <v>326</v>
      </c>
      <c r="V157" s="416">
        <f t="shared" si="2"/>
        <v>326</v>
      </c>
    </row>
    <row r="158" spans="1:22" x14ac:dyDescent="0.25">
      <c r="A158" s="416" t="s">
        <v>502</v>
      </c>
      <c r="B158" s="416" t="s">
        <v>980</v>
      </c>
      <c r="C158" s="416" t="s">
        <v>210</v>
      </c>
      <c r="D158" s="416" t="s">
        <v>819</v>
      </c>
      <c r="F158" s="416">
        <v>1</v>
      </c>
      <c r="J158" s="416">
        <v>3</v>
      </c>
      <c r="K158" s="416">
        <v>1</v>
      </c>
      <c r="M158" s="416">
        <v>1</v>
      </c>
      <c r="T158" s="416">
        <v>6</v>
      </c>
      <c r="V158" s="416">
        <f t="shared" si="2"/>
        <v>6</v>
      </c>
    </row>
    <row r="159" spans="1:22" x14ac:dyDescent="0.25">
      <c r="A159" s="416" t="s">
        <v>504</v>
      </c>
      <c r="B159" s="416" t="s">
        <v>981</v>
      </c>
      <c r="C159" s="416" t="s">
        <v>197</v>
      </c>
      <c r="E159" s="416">
        <v>99</v>
      </c>
      <c r="F159" s="416">
        <v>67</v>
      </c>
      <c r="G159" s="416">
        <v>73</v>
      </c>
      <c r="H159" s="416">
        <v>70</v>
      </c>
      <c r="I159" s="416">
        <v>74</v>
      </c>
      <c r="J159" s="416">
        <v>58</v>
      </c>
      <c r="K159" s="416">
        <v>80</v>
      </c>
      <c r="L159" s="416">
        <v>65</v>
      </c>
      <c r="M159" s="416">
        <v>56</v>
      </c>
      <c r="N159" s="416">
        <v>57</v>
      </c>
      <c r="O159" s="416">
        <v>62</v>
      </c>
      <c r="P159" s="416">
        <v>56</v>
      </c>
      <c r="Q159" s="416">
        <v>71</v>
      </c>
      <c r="R159" s="416">
        <v>70</v>
      </c>
      <c r="T159" s="416">
        <v>958</v>
      </c>
      <c r="V159" s="416">
        <f t="shared" si="2"/>
        <v>958</v>
      </c>
    </row>
    <row r="160" spans="1:22" x14ac:dyDescent="0.25">
      <c r="A160" s="416" t="s">
        <v>506</v>
      </c>
      <c r="B160" s="416" t="s">
        <v>982</v>
      </c>
      <c r="C160" s="416" t="s">
        <v>197</v>
      </c>
      <c r="E160" s="416">
        <v>166</v>
      </c>
      <c r="F160" s="416">
        <v>106</v>
      </c>
      <c r="G160" s="416">
        <v>151</v>
      </c>
      <c r="H160" s="416">
        <v>121</v>
      </c>
      <c r="I160" s="416">
        <v>164</v>
      </c>
      <c r="J160" s="416">
        <v>154</v>
      </c>
      <c r="K160" s="416">
        <v>162</v>
      </c>
      <c r="L160" s="416">
        <v>163</v>
      </c>
      <c r="M160" s="416">
        <v>162</v>
      </c>
      <c r="N160" s="416">
        <v>177</v>
      </c>
      <c r="O160" s="416">
        <v>171</v>
      </c>
      <c r="P160" s="416">
        <v>152</v>
      </c>
      <c r="Q160" s="416">
        <v>128</v>
      </c>
      <c r="R160" s="416">
        <v>193</v>
      </c>
      <c r="T160" s="416">
        <v>2170</v>
      </c>
      <c r="V160" s="416">
        <f t="shared" si="2"/>
        <v>2170</v>
      </c>
    </row>
    <row r="161" spans="1:22" x14ac:dyDescent="0.25">
      <c r="A161" s="416" t="s">
        <v>508</v>
      </c>
      <c r="B161" s="416" t="s">
        <v>983</v>
      </c>
      <c r="C161" s="416" t="s">
        <v>221</v>
      </c>
      <c r="E161" s="416">
        <v>9</v>
      </c>
      <c r="F161" s="416">
        <v>17</v>
      </c>
      <c r="G161" s="416">
        <v>20</v>
      </c>
      <c r="H161" s="416">
        <v>18</v>
      </c>
      <c r="I161" s="416">
        <v>13</v>
      </c>
      <c r="J161" s="416">
        <v>18</v>
      </c>
      <c r="K161" s="416">
        <v>9</v>
      </c>
      <c r="L161" s="416">
        <v>20</v>
      </c>
      <c r="M161" s="416">
        <v>11</v>
      </c>
      <c r="N161" s="416">
        <v>12</v>
      </c>
      <c r="O161" s="416">
        <v>10</v>
      </c>
      <c r="P161" s="416">
        <v>11</v>
      </c>
      <c r="Q161" s="416">
        <v>10</v>
      </c>
      <c r="R161" s="416">
        <v>6</v>
      </c>
      <c r="T161" s="416">
        <v>184</v>
      </c>
      <c r="V161" s="416">
        <f t="shared" si="2"/>
        <v>184</v>
      </c>
    </row>
    <row r="162" spans="1:22" x14ac:dyDescent="0.25">
      <c r="A162" s="416" t="s">
        <v>510</v>
      </c>
      <c r="B162" s="416" t="s">
        <v>984</v>
      </c>
      <c r="C162" s="416" t="s">
        <v>189</v>
      </c>
      <c r="E162" s="416">
        <v>4</v>
      </c>
      <c r="F162" s="416">
        <v>7</v>
      </c>
      <c r="G162" s="416">
        <v>7</v>
      </c>
      <c r="H162" s="416">
        <v>10</v>
      </c>
      <c r="I162" s="416">
        <v>6</v>
      </c>
      <c r="J162" s="416">
        <v>6</v>
      </c>
      <c r="K162" s="416">
        <v>3</v>
      </c>
      <c r="L162" s="416">
        <v>6</v>
      </c>
      <c r="M162" s="416">
        <v>4</v>
      </c>
      <c r="N162" s="416">
        <v>9</v>
      </c>
      <c r="O162" s="416">
        <v>9</v>
      </c>
      <c r="P162" s="416">
        <v>9</v>
      </c>
      <c r="Q162" s="416">
        <v>1</v>
      </c>
      <c r="R162" s="416">
        <v>2</v>
      </c>
      <c r="T162" s="416">
        <v>83</v>
      </c>
      <c r="V162" s="416">
        <f t="shared" si="2"/>
        <v>83</v>
      </c>
    </row>
    <row r="163" spans="1:22" x14ac:dyDescent="0.25">
      <c r="A163" s="416" t="s">
        <v>512</v>
      </c>
      <c r="B163" s="416" t="s">
        <v>985</v>
      </c>
      <c r="C163" s="416" t="s">
        <v>210</v>
      </c>
      <c r="D163" s="416" t="s">
        <v>819</v>
      </c>
      <c r="E163" s="416">
        <v>2</v>
      </c>
      <c r="F163" s="416">
        <v>1</v>
      </c>
      <c r="G163" s="416">
        <v>1</v>
      </c>
      <c r="H163" s="416">
        <v>5</v>
      </c>
      <c r="I163" s="416">
        <v>4</v>
      </c>
      <c r="J163" s="416">
        <v>5</v>
      </c>
      <c r="K163" s="416">
        <v>3</v>
      </c>
      <c r="L163" s="416">
        <v>6</v>
      </c>
      <c r="M163" s="416">
        <v>4</v>
      </c>
      <c r="N163" s="416">
        <v>3</v>
      </c>
      <c r="O163" s="416">
        <v>3</v>
      </c>
      <c r="P163" s="416">
        <v>2</v>
      </c>
      <c r="Q163" s="416">
        <v>4</v>
      </c>
      <c r="R163" s="416">
        <v>2</v>
      </c>
      <c r="T163" s="416">
        <v>45</v>
      </c>
      <c r="V163" s="416">
        <f t="shared" si="2"/>
        <v>45</v>
      </c>
    </row>
    <row r="164" spans="1:22" x14ac:dyDescent="0.25">
      <c r="A164" s="416" t="s">
        <v>514</v>
      </c>
      <c r="B164" s="416" t="s">
        <v>986</v>
      </c>
      <c r="C164" s="416" t="s">
        <v>231</v>
      </c>
      <c r="E164" s="416">
        <v>1</v>
      </c>
      <c r="G164" s="416">
        <v>3</v>
      </c>
      <c r="H164" s="416">
        <v>2</v>
      </c>
      <c r="I164" s="416">
        <v>4</v>
      </c>
      <c r="J164" s="416">
        <v>1</v>
      </c>
      <c r="K164" s="416">
        <v>3</v>
      </c>
      <c r="L164" s="416">
        <v>3</v>
      </c>
      <c r="N164" s="416">
        <v>2</v>
      </c>
      <c r="T164" s="416">
        <v>19</v>
      </c>
      <c r="V164" s="416">
        <f t="shared" si="2"/>
        <v>19</v>
      </c>
    </row>
    <row r="165" spans="1:22" x14ac:dyDescent="0.25">
      <c r="A165" s="416" t="s">
        <v>516</v>
      </c>
      <c r="B165" s="416" t="s">
        <v>987</v>
      </c>
      <c r="C165" s="416" t="s">
        <v>194</v>
      </c>
      <c r="E165" s="416">
        <v>9</v>
      </c>
      <c r="F165" s="416">
        <v>14</v>
      </c>
      <c r="G165" s="416">
        <v>7</v>
      </c>
      <c r="H165" s="416">
        <v>12</v>
      </c>
      <c r="I165" s="416">
        <v>11</v>
      </c>
      <c r="J165" s="416">
        <v>14</v>
      </c>
      <c r="K165" s="416">
        <v>9</v>
      </c>
      <c r="L165" s="416">
        <v>9</v>
      </c>
      <c r="M165" s="416">
        <v>21</v>
      </c>
      <c r="N165" s="416">
        <v>11</v>
      </c>
      <c r="O165" s="416">
        <v>14</v>
      </c>
      <c r="P165" s="416">
        <v>17</v>
      </c>
      <c r="Q165" s="416">
        <v>10</v>
      </c>
      <c r="R165" s="416">
        <v>18</v>
      </c>
      <c r="T165" s="416">
        <v>176</v>
      </c>
      <c r="V165" s="416">
        <f t="shared" si="2"/>
        <v>176</v>
      </c>
    </row>
    <row r="166" spans="1:22" x14ac:dyDescent="0.25">
      <c r="A166" s="416" t="s">
        <v>518</v>
      </c>
      <c r="B166" s="416" t="s">
        <v>988</v>
      </c>
      <c r="C166" s="416" t="s">
        <v>194</v>
      </c>
      <c r="E166" s="416">
        <v>10</v>
      </c>
      <c r="F166" s="416">
        <v>7</v>
      </c>
      <c r="G166" s="416">
        <v>9</v>
      </c>
      <c r="H166" s="416">
        <v>14</v>
      </c>
      <c r="I166" s="416">
        <v>18</v>
      </c>
      <c r="J166" s="416">
        <v>15</v>
      </c>
      <c r="K166" s="416">
        <v>16</v>
      </c>
      <c r="L166" s="416">
        <v>20</v>
      </c>
      <c r="M166" s="416">
        <v>7</v>
      </c>
      <c r="N166" s="416">
        <v>18</v>
      </c>
      <c r="O166" s="416">
        <v>17</v>
      </c>
      <c r="P166" s="416">
        <v>13</v>
      </c>
      <c r="Q166" s="416">
        <v>10</v>
      </c>
      <c r="R166" s="416">
        <v>16</v>
      </c>
      <c r="T166" s="416">
        <v>190</v>
      </c>
      <c r="V166" s="416">
        <f t="shared" si="2"/>
        <v>190</v>
      </c>
    </row>
    <row r="167" spans="1:22" x14ac:dyDescent="0.25">
      <c r="A167" s="416" t="s">
        <v>520</v>
      </c>
      <c r="B167" s="416" t="s">
        <v>989</v>
      </c>
      <c r="C167" s="416" t="s">
        <v>197</v>
      </c>
      <c r="E167" s="416">
        <v>25</v>
      </c>
      <c r="F167" s="416">
        <v>14</v>
      </c>
      <c r="G167" s="416">
        <v>24</v>
      </c>
      <c r="H167" s="416">
        <v>23</v>
      </c>
      <c r="I167" s="416">
        <v>27</v>
      </c>
      <c r="J167" s="416">
        <v>17</v>
      </c>
      <c r="K167" s="416">
        <v>36</v>
      </c>
      <c r="L167" s="416">
        <v>29</v>
      </c>
      <c r="M167" s="416">
        <v>24</v>
      </c>
      <c r="N167" s="416">
        <v>16</v>
      </c>
      <c r="O167" s="416">
        <v>17</v>
      </c>
      <c r="P167" s="416">
        <v>17</v>
      </c>
      <c r="Q167" s="416">
        <v>17</v>
      </c>
      <c r="R167" s="416">
        <v>16</v>
      </c>
      <c r="T167" s="416">
        <v>302</v>
      </c>
      <c r="V167" s="416">
        <f t="shared" si="2"/>
        <v>302</v>
      </c>
    </row>
    <row r="168" spans="1:22" x14ac:dyDescent="0.25">
      <c r="A168" s="416" t="s">
        <v>522</v>
      </c>
      <c r="B168" s="416" t="s">
        <v>990</v>
      </c>
      <c r="C168" s="416" t="s">
        <v>189</v>
      </c>
      <c r="E168" s="416">
        <v>2</v>
      </c>
      <c r="F168" s="416">
        <v>1</v>
      </c>
      <c r="G168" s="416">
        <v>3</v>
      </c>
      <c r="H168" s="416">
        <v>8</v>
      </c>
      <c r="I168" s="416">
        <v>7</v>
      </c>
      <c r="J168" s="416">
        <v>11</v>
      </c>
      <c r="K168" s="416">
        <v>6</v>
      </c>
      <c r="L168" s="416">
        <v>5</v>
      </c>
      <c r="M168" s="416">
        <v>16</v>
      </c>
      <c r="N168" s="416">
        <v>9</v>
      </c>
      <c r="O168" s="416">
        <v>3</v>
      </c>
      <c r="P168" s="416">
        <v>10</v>
      </c>
      <c r="Q168" s="416">
        <v>6</v>
      </c>
      <c r="R168" s="416">
        <v>9</v>
      </c>
      <c r="T168" s="416">
        <v>96</v>
      </c>
      <c r="V168" s="416">
        <f t="shared" si="2"/>
        <v>96</v>
      </c>
    </row>
    <row r="169" spans="1:22" x14ac:dyDescent="0.25">
      <c r="A169" s="416" t="s">
        <v>524</v>
      </c>
      <c r="B169" s="416" t="s">
        <v>991</v>
      </c>
      <c r="C169" s="416" t="s">
        <v>202</v>
      </c>
      <c r="E169" s="416">
        <v>27</v>
      </c>
      <c r="F169" s="416">
        <v>18</v>
      </c>
      <c r="G169" s="416">
        <v>16</v>
      </c>
      <c r="H169" s="416">
        <v>23</v>
      </c>
      <c r="I169" s="416">
        <v>33</v>
      </c>
      <c r="J169" s="416">
        <v>30</v>
      </c>
      <c r="K169" s="416">
        <v>23</v>
      </c>
      <c r="L169" s="416">
        <v>19</v>
      </c>
      <c r="M169" s="416">
        <v>21</v>
      </c>
      <c r="N169" s="416">
        <v>29</v>
      </c>
      <c r="O169" s="416">
        <v>20</v>
      </c>
      <c r="P169" s="416">
        <v>29</v>
      </c>
      <c r="Q169" s="416">
        <v>18</v>
      </c>
      <c r="R169" s="416">
        <v>16</v>
      </c>
      <c r="T169" s="416">
        <v>322</v>
      </c>
      <c r="V169" s="416">
        <f t="shared" si="2"/>
        <v>322</v>
      </c>
    </row>
    <row r="170" spans="1:22" x14ac:dyDescent="0.25">
      <c r="A170" s="416" t="s">
        <v>526</v>
      </c>
      <c r="B170" s="416" t="s">
        <v>992</v>
      </c>
      <c r="C170" s="416" t="s">
        <v>228</v>
      </c>
      <c r="E170" s="416">
        <v>69</v>
      </c>
      <c r="F170" s="416">
        <v>38</v>
      </c>
      <c r="G170" s="416">
        <v>51</v>
      </c>
      <c r="H170" s="416">
        <v>58</v>
      </c>
      <c r="I170" s="416">
        <v>63</v>
      </c>
      <c r="J170" s="416">
        <v>56</v>
      </c>
      <c r="K170" s="416">
        <v>60</v>
      </c>
      <c r="L170" s="416">
        <v>48</v>
      </c>
      <c r="M170" s="416">
        <v>47</v>
      </c>
      <c r="N170" s="416">
        <v>42</v>
      </c>
      <c r="O170" s="416">
        <v>51</v>
      </c>
      <c r="P170" s="416">
        <v>49</v>
      </c>
      <c r="Q170" s="416">
        <v>48</v>
      </c>
      <c r="R170" s="416">
        <v>53</v>
      </c>
      <c r="T170" s="416">
        <v>733</v>
      </c>
      <c r="V170" s="416">
        <f t="shared" si="2"/>
        <v>733</v>
      </c>
    </row>
    <row r="171" spans="1:22" x14ac:dyDescent="0.25">
      <c r="A171" s="416" t="s">
        <v>528</v>
      </c>
      <c r="B171" s="416" t="s">
        <v>993</v>
      </c>
      <c r="C171" s="416" t="s">
        <v>228</v>
      </c>
      <c r="E171" s="416">
        <v>22</v>
      </c>
      <c r="F171" s="416">
        <v>31</v>
      </c>
      <c r="G171" s="416">
        <v>19</v>
      </c>
      <c r="H171" s="416">
        <v>20</v>
      </c>
      <c r="I171" s="416">
        <v>22</v>
      </c>
      <c r="J171" s="416">
        <v>33</v>
      </c>
      <c r="K171" s="416">
        <v>28</v>
      </c>
      <c r="L171" s="416">
        <v>25</v>
      </c>
      <c r="M171" s="416">
        <v>19</v>
      </c>
      <c r="N171" s="416">
        <v>27</v>
      </c>
      <c r="O171" s="416">
        <v>27</v>
      </c>
      <c r="P171" s="416">
        <v>28</v>
      </c>
      <c r="Q171" s="416">
        <v>29</v>
      </c>
      <c r="R171" s="416">
        <v>26</v>
      </c>
      <c r="T171" s="416">
        <v>356</v>
      </c>
      <c r="V171" s="416">
        <f t="shared" si="2"/>
        <v>356</v>
      </c>
    </row>
    <row r="172" spans="1:22" x14ac:dyDescent="0.25">
      <c r="A172" s="416" t="s">
        <v>530</v>
      </c>
      <c r="B172" s="416" t="s">
        <v>994</v>
      </c>
      <c r="C172" s="416" t="s">
        <v>189</v>
      </c>
      <c r="G172" s="416">
        <v>1</v>
      </c>
      <c r="H172" s="416">
        <v>1</v>
      </c>
      <c r="I172" s="416">
        <v>2</v>
      </c>
      <c r="J172" s="416">
        <v>1</v>
      </c>
      <c r="M172" s="416">
        <v>1</v>
      </c>
      <c r="N172" s="416">
        <v>1</v>
      </c>
      <c r="O172" s="416">
        <v>1</v>
      </c>
      <c r="T172" s="416">
        <v>8</v>
      </c>
      <c r="V172" s="416">
        <f t="shared" si="2"/>
        <v>8</v>
      </c>
    </row>
    <row r="173" spans="1:22" x14ac:dyDescent="0.25">
      <c r="A173" s="416" t="s">
        <v>532</v>
      </c>
      <c r="B173" s="416" t="s">
        <v>995</v>
      </c>
      <c r="C173" s="416" t="s">
        <v>189</v>
      </c>
      <c r="E173" s="416">
        <v>246</v>
      </c>
      <c r="F173" s="416">
        <v>174</v>
      </c>
      <c r="G173" s="416">
        <v>195</v>
      </c>
      <c r="H173" s="416">
        <v>175</v>
      </c>
      <c r="I173" s="416">
        <v>202</v>
      </c>
      <c r="J173" s="416">
        <v>191</v>
      </c>
      <c r="K173" s="416">
        <v>200</v>
      </c>
      <c r="L173" s="416">
        <v>166</v>
      </c>
      <c r="M173" s="416">
        <v>189</v>
      </c>
      <c r="N173" s="416">
        <v>162</v>
      </c>
      <c r="O173" s="416">
        <v>174</v>
      </c>
      <c r="P173" s="416">
        <v>167</v>
      </c>
      <c r="Q173" s="416">
        <v>132</v>
      </c>
      <c r="R173" s="416">
        <v>157</v>
      </c>
      <c r="T173" s="416">
        <v>2530</v>
      </c>
      <c r="V173" s="416">
        <f t="shared" si="2"/>
        <v>2530</v>
      </c>
    </row>
    <row r="174" spans="1:22" x14ac:dyDescent="0.25">
      <c r="A174" s="416" t="s">
        <v>534</v>
      </c>
      <c r="B174" s="416" t="s">
        <v>996</v>
      </c>
      <c r="C174" s="416" t="s">
        <v>194</v>
      </c>
      <c r="F174" s="416">
        <v>1</v>
      </c>
      <c r="G174" s="416">
        <v>2</v>
      </c>
      <c r="I174" s="416">
        <v>1</v>
      </c>
      <c r="J174" s="416">
        <v>3</v>
      </c>
      <c r="K174" s="416">
        <v>1</v>
      </c>
      <c r="M174" s="416">
        <v>5</v>
      </c>
      <c r="N174" s="416">
        <v>3</v>
      </c>
      <c r="O174" s="416">
        <v>4</v>
      </c>
      <c r="P174" s="416">
        <v>2</v>
      </c>
      <c r="R174" s="416">
        <v>1</v>
      </c>
      <c r="T174" s="416">
        <v>23</v>
      </c>
      <c r="V174" s="416">
        <f t="shared" si="2"/>
        <v>23</v>
      </c>
    </row>
    <row r="175" spans="1:22" x14ac:dyDescent="0.25">
      <c r="A175" s="416" t="s">
        <v>536</v>
      </c>
      <c r="B175" s="416" t="s">
        <v>997</v>
      </c>
      <c r="C175" s="416" t="s">
        <v>205</v>
      </c>
      <c r="E175" s="416">
        <v>222</v>
      </c>
      <c r="F175" s="416">
        <v>111</v>
      </c>
      <c r="G175" s="416">
        <v>188</v>
      </c>
      <c r="H175" s="416">
        <v>192</v>
      </c>
      <c r="I175" s="416">
        <v>212</v>
      </c>
      <c r="J175" s="416">
        <v>238</v>
      </c>
      <c r="K175" s="416">
        <v>207</v>
      </c>
      <c r="L175" s="416">
        <v>246</v>
      </c>
      <c r="M175" s="416">
        <v>218</v>
      </c>
      <c r="N175" s="416">
        <v>211</v>
      </c>
      <c r="O175" s="416">
        <v>229</v>
      </c>
      <c r="P175" s="416">
        <v>186</v>
      </c>
      <c r="Q175" s="416">
        <v>192</v>
      </c>
      <c r="R175" s="416">
        <v>209</v>
      </c>
      <c r="T175" s="416">
        <v>2861</v>
      </c>
      <c r="V175" s="416">
        <f t="shared" si="2"/>
        <v>2861</v>
      </c>
    </row>
    <row r="176" spans="1:22" x14ac:dyDescent="0.25">
      <c r="A176" s="416" t="s">
        <v>538</v>
      </c>
      <c r="B176" s="416" t="s">
        <v>998</v>
      </c>
      <c r="C176" s="416" t="s">
        <v>197</v>
      </c>
      <c r="E176" s="416">
        <v>148</v>
      </c>
      <c r="F176" s="416">
        <v>84</v>
      </c>
      <c r="G176" s="416">
        <v>85</v>
      </c>
      <c r="H176" s="416">
        <v>89</v>
      </c>
      <c r="I176" s="416">
        <v>91</v>
      </c>
      <c r="J176" s="416">
        <v>87</v>
      </c>
      <c r="K176" s="416">
        <v>92</v>
      </c>
      <c r="L176" s="416">
        <v>74</v>
      </c>
      <c r="M176" s="416">
        <v>54</v>
      </c>
      <c r="N176" s="416">
        <v>60</v>
      </c>
      <c r="O176" s="416">
        <v>62</v>
      </c>
      <c r="P176" s="416">
        <v>57</v>
      </c>
      <c r="Q176" s="416">
        <v>46</v>
      </c>
      <c r="R176" s="416">
        <v>74</v>
      </c>
      <c r="T176" s="416">
        <v>1103</v>
      </c>
      <c r="V176" s="416">
        <f t="shared" si="2"/>
        <v>1103</v>
      </c>
    </row>
    <row r="177" spans="1:22" x14ac:dyDescent="0.25">
      <c r="A177" s="416" t="s">
        <v>540</v>
      </c>
      <c r="B177" s="416" t="s">
        <v>999</v>
      </c>
      <c r="C177" s="416" t="s">
        <v>194</v>
      </c>
      <c r="G177" s="416">
        <v>3</v>
      </c>
      <c r="H177" s="416">
        <v>2</v>
      </c>
      <c r="J177" s="416">
        <v>1</v>
      </c>
      <c r="L177" s="416">
        <v>1</v>
      </c>
      <c r="M177" s="416">
        <v>1</v>
      </c>
      <c r="N177" s="416">
        <v>3</v>
      </c>
      <c r="O177" s="416">
        <v>3</v>
      </c>
      <c r="P177" s="416">
        <v>1</v>
      </c>
      <c r="Q177" s="416">
        <v>1</v>
      </c>
      <c r="T177" s="416">
        <v>16</v>
      </c>
      <c r="V177" s="416">
        <f t="shared" si="2"/>
        <v>16</v>
      </c>
    </row>
    <row r="178" spans="1:22" x14ac:dyDescent="0.25">
      <c r="A178" s="416" t="s">
        <v>542</v>
      </c>
      <c r="B178" s="416" t="s">
        <v>1000</v>
      </c>
      <c r="C178" s="416" t="s">
        <v>189</v>
      </c>
      <c r="E178" s="416">
        <v>3</v>
      </c>
      <c r="F178" s="416">
        <v>8</v>
      </c>
      <c r="G178" s="416">
        <v>6</v>
      </c>
      <c r="H178" s="416">
        <v>3</v>
      </c>
      <c r="I178" s="416">
        <v>7</v>
      </c>
      <c r="J178" s="416">
        <v>2</v>
      </c>
      <c r="K178" s="416">
        <v>3</v>
      </c>
      <c r="L178" s="416">
        <v>4</v>
      </c>
      <c r="M178" s="416">
        <v>7</v>
      </c>
      <c r="N178" s="416">
        <v>2</v>
      </c>
      <c r="O178" s="416">
        <v>2</v>
      </c>
      <c r="P178" s="416">
        <v>4</v>
      </c>
      <c r="Q178" s="416">
        <v>6</v>
      </c>
      <c r="R178" s="416">
        <v>8</v>
      </c>
      <c r="T178" s="416">
        <v>65</v>
      </c>
      <c r="V178" s="416">
        <f t="shared" si="2"/>
        <v>65</v>
      </c>
    </row>
    <row r="179" spans="1:22" x14ac:dyDescent="0.25">
      <c r="A179" s="416" t="s">
        <v>544</v>
      </c>
      <c r="B179" s="416" t="s">
        <v>1001</v>
      </c>
      <c r="C179" s="416" t="s">
        <v>210</v>
      </c>
      <c r="D179" s="416" t="s">
        <v>819</v>
      </c>
      <c r="E179" s="416">
        <v>6</v>
      </c>
      <c r="F179" s="416">
        <v>16</v>
      </c>
      <c r="G179" s="416">
        <v>14</v>
      </c>
      <c r="H179" s="416">
        <v>23</v>
      </c>
      <c r="I179" s="416">
        <v>17</v>
      </c>
      <c r="J179" s="416">
        <v>16</v>
      </c>
      <c r="K179" s="416">
        <v>15</v>
      </c>
      <c r="L179" s="416">
        <v>20</v>
      </c>
      <c r="M179" s="416">
        <v>17</v>
      </c>
      <c r="N179" s="416">
        <v>15</v>
      </c>
      <c r="O179" s="416">
        <v>16</v>
      </c>
      <c r="P179" s="416">
        <v>17</v>
      </c>
      <c r="Q179" s="416">
        <v>14</v>
      </c>
      <c r="R179" s="416">
        <v>17</v>
      </c>
      <c r="T179" s="416">
        <v>223</v>
      </c>
      <c r="V179" s="416">
        <f t="shared" si="2"/>
        <v>223</v>
      </c>
    </row>
    <row r="180" spans="1:22" x14ac:dyDescent="0.25">
      <c r="A180" s="416" t="s">
        <v>546</v>
      </c>
      <c r="B180" s="416" t="s">
        <v>1002</v>
      </c>
      <c r="C180" s="416" t="s">
        <v>189</v>
      </c>
      <c r="E180" s="416">
        <v>6</v>
      </c>
      <c r="F180" s="416">
        <v>4</v>
      </c>
      <c r="G180" s="416">
        <v>10</v>
      </c>
      <c r="H180" s="416">
        <v>5</v>
      </c>
      <c r="I180" s="416">
        <v>6</v>
      </c>
      <c r="J180" s="416">
        <v>5</v>
      </c>
      <c r="K180" s="416">
        <v>4</v>
      </c>
      <c r="L180" s="416">
        <v>8</v>
      </c>
      <c r="M180" s="416">
        <v>2</v>
      </c>
      <c r="N180" s="416">
        <v>4</v>
      </c>
      <c r="O180" s="416">
        <v>4</v>
      </c>
      <c r="P180" s="416">
        <v>5</v>
      </c>
      <c r="Q180" s="416">
        <v>6</v>
      </c>
      <c r="R180" s="416">
        <v>8</v>
      </c>
      <c r="T180" s="416">
        <v>77</v>
      </c>
      <c r="V180" s="416">
        <f t="shared" si="2"/>
        <v>77</v>
      </c>
    </row>
    <row r="181" spans="1:22" x14ac:dyDescent="0.25">
      <c r="A181" s="416" t="s">
        <v>548</v>
      </c>
      <c r="B181" s="416" t="s">
        <v>1003</v>
      </c>
      <c r="C181" s="416" t="s">
        <v>194</v>
      </c>
      <c r="E181" s="416">
        <v>2</v>
      </c>
      <c r="F181" s="416">
        <v>4</v>
      </c>
      <c r="G181" s="416">
        <v>5</v>
      </c>
      <c r="H181" s="416">
        <v>3</v>
      </c>
      <c r="I181" s="416">
        <v>1</v>
      </c>
      <c r="J181" s="416">
        <v>1</v>
      </c>
      <c r="K181" s="416">
        <v>2</v>
      </c>
      <c r="L181" s="416">
        <v>1</v>
      </c>
      <c r="M181" s="416">
        <v>3</v>
      </c>
      <c r="N181" s="416">
        <v>3</v>
      </c>
      <c r="O181" s="416">
        <v>2</v>
      </c>
      <c r="P181" s="416">
        <v>1</v>
      </c>
      <c r="Q181" s="416">
        <v>2</v>
      </c>
      <c r="R181" s="416">
        <v>2</v>
      </c>
      <c r="T181" s="416">
        <v>32</v>
      </c>
      <c r="V181" s="416">
        <f t="shared" si="2"/>
        <v>32</v>
      </c>
    </row>
    <row r="182" spans="1:22" x14ac:dyDescent="0.25">
      <c r="A182" s="416" t="s">
        <v>550</v>
      </c>
      <c r="B182" s="416" t="s">
        <v>1004</v>
      </c>
      <c r="C182" s="416" t="s">
        <v>231</v>
      </c>
      <c r="E182" s="416">
        <v>10</v>
      </c>
      <c r="F182" s="416">
        <v>7</v>
      </c>
      <c r="G182" s="416">
        <v>9</v>
      </c>
      <c r="H182" s="416">
        <v>8</v>
      </c>
      <c r="I182" s="416">
        <v>9</v>
      </c>
      <c r="J182" s="416">
        <v>13</v>
      </c>
      <c r="K182" s="416">
        <v>18</v>
      </c>
      <c r="L182" s="416">
        <v>11</v>
      </c>
      <c r="M182" s="416">
        <v>11</v>
      </c>
      <c r="N182" s="416">
        <v>9</v>
      </c>
      <c r="O182" s="416">
        <v>12</v>
      </c>
      <c r="P182" s="416">
        <v>12</v>
      </c>
      <c r="Q182" s="416">
        <v>10</v>
      </c>
      <c r="R182" s="416">
        <v>12</v>
      </c>
      <c r="T182" s="416">
        <v>151</v>
      </c>
      <c r="V182" s="416">
        <f t="shared" si="2"/>
        <v>151</v>
      </c>
    </row>
    <row r="183" spans="1:22" x14ac:dyDescent="0.25">
      <c r="A183" s="416" t="s">
        <v>552</v>
      </c>
      <c r="B183" s="416" t="s">
        <v>1005</v>
      </c>
      <c r="C183" s="416" t="s">
        <v>189</v>
      </c>
      <c r="E183" s="416">
        <v>112</v>
      </c>
      <c r="F183" s="416">
        <v>68</v>
      </c>
      <c r="G183" s="416">
        <v>97</v>
      </c>
      <c r="H183" s="416">
        <v>133</v>
      </c>
      <c r="I183" s="416">
        <v>140</v>
      </c>
      <c r="J183" s="416">
        <v>162</v>
      </c>
      <c r="K183" s="416">
        <v>146</v>
      </c>
      <c r="L183" s="416">
        <v>136</v>
      </c>
      <c r="M183" s="416">
        <v>130</v>
      </c>
      <c r="N183" s="416">
        <v>122</v>
      </c>
      <c r="O183" s="416">
        <v>117</v>
      </c>
      <c r="P183" s="416">
        <v>101</v>
      </c>
      <c r="Q183" s="416">
        <v>85</v>
      </c>
      <c r="R183" s="416">
        <v>135</v>
      </c>
      <c r="T183" s="416">
        <v>1684</v>
      </c>
      <c r="V183" s="416">
        <f t="shared" si="2"/>
        <v>1684</v>
      </c>
    </row>
    <row r="184" spans="1:22" x14ac:dyDescent="0.25">
      <c r="A184" s="416" t="s">
        <v>554</v>
      </c>
      <c r="B184" s="416" t="s">
        <v>1006</v>
      </c>
      <c r="C184" s="416" t="s">
        <v>231</v>
      </c>
      <c r="E184" s="416">
        <v>31</v>
      </c>
      <c r="F184" s="416">
        <v>27</v>
      </c>
      <c r="G184" s="416">
        <v>49</v>
      </c>
      <c r="H184" s="416">
        <v>44</v>
      </c>
      <c r="I184" s="416">
        <v>68</v>
      </c>
      <c r="J184" s="416">
        <v>63</v>
      </c>
      <c r="K184" s="416">
        <v>63</v>
      </c>
      <c r="L184" s="416">
        <v>64</v>
      </c>
      <c r="M184" s="416">
        <v>99</v>
      </c>
      <c r="N184" s="416">
        <v>90</v>
      </c>
      <c r="O184" s="416">
        <v>84</v>
      </c>
      <c r="P184" s="416">
        <v>75</v>
      </c>
      <c r="Q184" s="416">
        <v>65</v>
      </c>
      <c r="R184" s="416">
        <v>66</v>
      </c>
      <c r="T184" s="416">
        <v>888</v>
      </c>
      <c r="V184" s="416">
        <f t="shared" si="2"/>
        <v>888</v>
      </c>
    </row>
    <row r="185" spans="1:22" x14ac:dyDescent="0.25">
      <c r="A185" s="416" t="s">
        <v>556</v>
      </c>
      <c r="B185" s="416" t="s">
        <v>1007</v>
      </c>
      <c r="C185" s="416" t="s">
        <v>189</v>
      </c>
      <c r="E185" s="416">
        <v>12</v>
      </c>
      <c r="F185" s="416">
        <v>10</v>
      </c>
      <c r="G185" s="416">
        <v>7</v>
      </c>
      <c r="H185" s="416">
        <v>7</v>
      </c>
      <c r="I185" s="416">
        <v>11</v>
      </c>
      <c r="J185" s="416">
        <v>9</v>
      </c>
      <c r="K185" s="416">
        <v>11</v>
      </c>
      <c r="L185" s="416">
        <v>18</v>
      </c>
      <c r="M185" s="416">
        <v>17</v>
      </c>
      <c r="N185" s="416">
        <v>9</v>
      </c>
      <c r="O185" s="416">
        <v>4</v>
      </c>
      <c r="P185" s="416">
        <v>21</v>
      </c>
      <c r="Q185" s="416">
        <v>10</v>
      </c>
      <c r="R185" s="416">
        <v>10</v>
      </c>
      <c r="T185" s="416">
        <v>156</v>
      </c>
      <c r="V185" s="416">
        <f t="shared" si="2"/>
        <v>156</v>
      </c>
    </row>
    <row r="186" spans="1:22" x14ac:dyDescent="0.25">
      <c r="A186" s="416" t="s">
        <v>558</v>
      </c>
      <c r="B186" s="416" t="s">
        <v>1008</v>
      </c>
      <c r="C186" s="416" t="s">
        <v>194</v>
      </c>
      <c r="F186" s="416">
        <v>2</v>
      </c>
      <c r="G186" s="416">
        <v>1</v>
      </c>
      <c r="H186" s="416">
        <v>2</v>
      </c>
      <c r="J186" s="416">
        <v>1</v>
      </c>
      <c r="N186" s="416">
        <v>2</v>
      </c>
      <c r="T186" s="416">
        <v>8</v>
      </c>
      <c r="V186" s="416">
        <f t="shared" si="2"/>
        <v>8</v>
      </c>
    </row>
    <row r="187" spans="1:22" x14ac:dyDescent="0.25">
      <c r="A187" s="416" t="s">
        <v>560</v>
      </c>
      <c r="B187" s="416" t="s">
        <v>1009</v>
      </c>
      <c r="C187" s="416" t="s">
        <v>197</v>
      </c>
      <c r="E187" s="416">
        <v>4</v>
      </c>
      <c r="F187" s="416">
        <v>7</v>
      </c>
      <c r="G187" s="416">
        <v>4</v>
      </c>
      <c r="H187" s="416">
        <v>4</v>
      </c>
      <c r="I187" s="416">
        <v>11</v>
      </c>
      <c r="J187" s="416">
        <v>10</v>
      </c>
      <c r="K187" s="416">
        <v>7</v>
      </c>
      <c r="L187" s="416">
        <v>9</v>
      </c>
      <c r="M187" s="416">
        <v>8</v>
      </c>
      <c r="N187" s="416">
        <v>7</v>
      </c>
      <c r="O187" s="416">
        <v>5</v>
      </c>
      <c r="P187" s="416">
        <v>5</v>
      </c>
      <c r="Q187" s="416">
        <v>7</v>
      </c>
      <c r="R187" s="416">
        <v>10</v>
      </c>
      <c r="T187" s="416">
        <v>98</v>
      </c>
      <c r="V187" s="416">
        <f t="shared" si="2"/>
        <v>98</v>
      </c>
    </row>
    <row r="188" spans="1:22" x14ac:dyDescent="0.25">
      <c r="A188" s="416" t="s">
        <v>562</v>
      </c>
      <c r="B188" s="416" t="s">
        <v>1010</v>
      </c>
      <c r="C188" s="416" t="s">
        <v>194</v>
      </c>
      <c r="G188" s="416">
        <v>1</v>
      </c>
      <c r="I188" s="416">
        <v>2</v>
      </c>
      <c r="J188" s="416">
        <v>1</v>
      </c>
      <c r="T188" s="416">
        <v>4</v>
      </c>
      <c r="V188" s="416">
        <f t="shared" si="2"/>
        <v>4</v>
      </c>
    </row>
    <row r="189" spans="1:22" x14ac:dyDescent="0.25">
      <c r="A189" s="416" t="s">
        <v>564</v>
      </c>
      <c r="B189" s="416" t="s">
        <v>1011</v>
      </c>
      <c r="C189" s="416" t="s">
        <v>194</v>
      </c>
      <c r="H189" s="416">
        <v>1</v>
      </c>
      <c r="I189" s="416">
        <v>2</v>
      </c>
      <c r="K189" s="416">
        <v>1</v>
      </c>
      <c r="L189" s="416">
        <v>1</v>
      </c>
      <c r="M189" s="416">
        <v>1</v>
      </c>
      <c r="N189" s="416">
        <v>1</v>
      </c>
      <c r="T189" s="416">
        <v>7</v>
      </c>
      <c r="V189" s="416">
        <f t="shared" si="2"/>
        <v>7</v>
      </c>
    </row>
    <row r="190" spans="1:22" x14ac:dyDescent="0.25">
      <c r="A190" s="416" t="s">
        <v>566</v>
      </c>
      <c r="B190" s="416" t="s">
        <v>1012</v>
      </c>
      <c r="C190" s="416" t="s">
        <v>231</v>
      </c>
      <c r="D190" s="416" t="s">
        <v>819</v>
      </c>
      <c r="E190" s="416">
        <v>2</v>
      </c>
      <c r="G190" s="416">
        <v>2</v>
      </c>
      <c r="H190" s="416">
        <v>1</v>
      </c>
      <c r="I190" s="416">
        <v>3</v>
      </c>
      <c r="J190" s="416">
        <v>3</v>
      </c>
      <c r="L190" s="416">
        <v>3</v>
      </c>
      <c r="M190" s="416">
        <v>1</v>
      </c>
      <c r="N190" s="416">
        <v>3</v>
      </c>
      <c r="T190" s="416">
        <v>18</v>
      </c>
      <c r="V190" s="416">
        <f t="shared" si="2"/>
        <v>18</v>
      </c>
    </row>
    <row r="191" spans="1:22" x14ac:dyDescent="0.25">
      <c r="A191" s="416" t="s">
        <v>568</v>
      </c>
      <c r="B191" s="416" t="s">
        <v>1013</v>
      </c>
      <c r="C191" s="416" t="s">
        <v>231</v>
      </c>
      <c r="E191" s="416">
        <v>5</v>
      </c>
      <c r="F191" s="416">
        <v>1</v>
      </c>
      <c r="G191" s="416">
        <v>2</v>
      </c>
      <c r="H191" s="416">
        <v>5</v>
      </c>
      <c r="I191" s="416">
        <v>6</v>
      </c>
      <c r="J191" s="416">
        <v>5</v>
      </c>
      <c r="K191" s="416">
        <v>7</v>
      </c>
      <c r="L191" s="416">
        <v>4</v>
      </c>
      <c r="M191" s="416">
        <v>3</v>
      </c>
      <c r="N191" s="416">
        <v>3</v>
      </c>
      <c r="O191" s="416">
        <v>3</v>
      </c>
      <c r="P191" s="416">
        <v>3</v>
      </c>
      <c r="Q191" s="416">
        <v>4</v>
      </c>
      <c r="R191" s="416">
        <v>4</v>
      </c>
      <c r="T191" s="416">
        <v>55</v>
      </c>
      <c r="V191" s="416">
        <f t="shared" si="2"/>
        <v>55</v>
      </c>
    </row>
    <row r="192" spans="1:22" x14ac:dyDescent="0.25">
      <c r="A192" s="416" t="s">
        <v>570</v>
      </c>
      <c r="B192" s="416" t="s">
        <v>1014</v>
      </c>
      <c r="C192" s="416" t="s">
        <v>205</v>
      </c>
      <c r="E192" s="416">
        <v>34</v>
      </c>
      <c r="F192" s="416">
        <v>20</v>
      </c>
      <c r="G192" s="416">
        <v>24</v>
      </c>
      <c r="H192" s="416">
        <v>25</v>
      </c>
      <c r="I192" s="416">
        <v>26</v>
      </c>
      <c r="J192" s="416">
        <v>26</v>
      </c>
      <c r="K192" s="416">
        <v>37</v>
      </c>
      <c r="L192" s="416">
        <v>34</v>
      </c>
      <c r="M192" s="416">
        <v>39</v>
      </c>
      <c r="N192" s="416">
        <v>17</v>
      </c>
      <c r="O192" s="416">
        <v>37</v>
      </c>
      <c r="P192" s="416">
        <v>27</v>
      </c>
      <c r="Q192" s="416">
        <v>30</v>
      </c>
      <c r="R192" s="416">
        <v>26</v>
      </c>
      <c r="T192" s="416">
        <v>402</v>
      </c>
      <c r="V192" s="416">
        <f t="shared" si="2"/>
        <v>402</v>
      </c>
    </row>
    <row r="193" spans="1:22" x14ac:dyDescent="0.25">
      <c r="A193" s="416" t="s">
        <v>572</v>
      </c>
      <c r="B193" s="416" t="s">
        <v>1015</v>
      </c>
      <c r="C193" s="416" t="s">
        <v>202</v>
      </c>
      <c r="E193" s="416">
        <v>54</v>
      </c>
      <c r="F193" s="416">
        <v>51</v>
      </c>
      <c r="G193" s="416">
        <v>39</v>
      </c>
      <c r="H193" s="416">
        <v>45</v>
      </c>
      <c r="I193" s="416">
        <v>29</v>
      </c>
      <c r="J193" s="416">
        <v>33</v>
      </c>
      <c r="K193" s="416">
        <v>42</v>
      </c>
      <c r="L193" s="416">
        <v>40</v>
      </c>
      <c r="M193" s="416">
        <v>46</v>
      </c>
      <c r="N193" s="416">
        <v>45</v>
      </c>
      <c r="O193" s="416">
        <v>48</v>
      </c>
      <c r="P193" s="416">
        <v>50</v>
      </c>
      <c r="Q193" s="416">
        <v>51</v>
      </c>
      <c r="R193" s="416">
        <v>47</v>
      </c>
      <c r="T193" s="416">
        <v>620</v>
      </c>
      <c r="V193" s="416">
        <f t="shared" si="2"/>
        <v>620</v>
      </c>
    </row>
    <row r="194" spans="1:22" x14ac:dyDescent="0.25">
      <c r="A194" s="416" t="s">
        <v>574</v>
      </c>
      <c r="B194" s="416" t="s">
        <v>1016</v>
      </c>
      <c r="C194" s="416" t="s">
        <v>231</v>
      </c>
      <c r="F194" s="416">
        <v>2</v>
      </c>
      <c r="I194" s="416">
        <v>1</v>
      </c>
      <c r="J194" s="416">
        <v>1</v>
      </c>
      <c r="T194" s="416">
        <v>4</v>
      </c>
      <c r="V194" s="416">
        <f t="shared" si="2"/>
        <v>4</v>
      </c>
    </row>
    <row r="195" spans="1:22" x14ac:dyDescent="0.25">
      <c r="A195" s="416" t="s">
        <v>576</v>
      </c>
      <c r="B195" s="416" t="s">
        <v>1017</v>
      </c>
      <c r="C195" s="416" t="s">
        <v>194</v>
      </c>
      <c r="G195" s="416">
        <v>1</v>
      </c>
      <c r="I195" s="416">
        <v>2</v>
      </c>
      <c r="J195" s="416">
        <v>2</v>
      </c>
      <c r="K195" s="416">
        <v>4</v>
      </c>
      <c r="L195" s="416">
        <v>4</v>
      </c>
      <c r="M195" s="416">
        <v>1</v>
      </c>
      <c r="N195" s="416">
        <v>2</v>
      </c>
      <c r="O195" s="416">
        <v>2</v>
      </c>
      <c r="P195" s="416">
        <v>1</v>
      </c>
      <c r="Q195" s="416">
        <v>2</v>
      </c>
      <c r="R195" s="416">
        <v>1</v>
      </c>
      <c r="T195" s="416">
        <v>22</v>
      </c>
      <c r="V195" s="416">
        <f t="shared" si="2"/>
        <v>22</v>
      </c>
    </row>
    <row r="196" spans="1:22" x14ac:dyDescent="0.25">
      <c r="A196" s="416" t="s">
        <v>578</v>
      </c>
      <c r="B196" s="416" t="s">
        <v>1018</v>
      </c>
      <c r="C196" s="416" t="s">
        <v>202</v>
      </c>
      <c r="E196" s="416">
        <v>162</v>
      </c>
      <c r="F196" s="416">
        <v>101</v>
      </c>
      <c r="G196" s="416">
        <v>158</v>
      </c>
      <c r="H196" s="416">
        <v>157</v>
      </c>
      <c r="I196" s="416">
        <v>178</v>
      </c>
      <c r="J196" s="416">
        <v>202</v>
      </c>
      <c r="K196" s="416">
        <v>193</v>
      </c>
      <c r="L196" s="416">
        <v>179</v>
      </c>
      <c r="M196" s="416">
        <v>162</v>
      </c>
      <c r="N196" s="416">
        <v>201</v>
      </c>
      <c r="O196" s="416">
        <v>195</v>
      </c>
      <c r="P196" s="416">
        <v>168</v>
      </c>
      <c r="Q196" s="416">
        <v>179</v>
      </c>
      <c r="R196" s="416">
        <v>218</v>
      </c>
      <c r="T196" s="416">
        <v>2453</v>
      </c>
      <c r="V196" s="416">
        <f t="shared" ref="V196:V259" si="3">T196</f>
        <v>2453</v>
      </c>
    </row>
    <row r="197" spans="1:22" x14ac:dyDescent="0.25">
      <c r="A197" s="416" t="s">
        <v>580</v>
      </c>
      <c r="B197" s="416" t="s">
        <v>1019</v>
      </c>
      <c r="C197" s="416" t="s">
        <v>231</v>
      </c>
      <c r="F197" s="416">
        <v>3</v>
      </c>
      <c r="G197" s="416">
        <v>2</v>
      </c>
      <c r="H197" s="416">
        <v>1</v>
      </c>
      <c r="I197" s="416">
        <v>3</v>
      </c>
      <c r="J197" s="416">
        <v>2</v>
      </c>
      <c r="K197" s="416">
        <v>2</v>
      </c>
      <c r="L197" s="416">
        <v>5</v>
      </c>
      <c r="M197" s="416">
        <v>3</v>
      </c>
      <c r="N197" s="416">
        <v>1</v>
      </c>
      <c r="O197" s="416">
        <v>4</v>
      </c>
      <c r="P197" s="416">
        <v>2</v>
      </c>
      <c r="Q197" s="416">
        <v>2</v>
      </c>
      <c r="R197" s="416">
        <v>3</v>
      </c>
      <c r="T197" s="416">
        <v>33</v>
      </c>
      <c r="V197" s="416">
        <f t="shared" si="3"/>
        <v>33</v>
      </c>
    </row>
    <row r="198" spans="1:22" x14ac:dyDescent="0.25">
      <c r="A198" s="416" t="s">
        <v>582</v>
      </c>
      <c r="B198" s="416" t="s">
        <v>1144</v>
      </c>
      <c r="C198" s="416" t="s">
        <v>202</v>
      </c>
      <c r="E198" s="416">
        <v>4</v>
      </c>
      <c r="F198" s="416">
        <v>4</v>
      </c>
      <c r="G198" s="416">
        <v>3</v>
      </c>
      <c r="H198" s="416">
        <v>7</v>
      </c>
      <c r="I198" s="416">
        <v>6</v>
      </c>
      <c r="J198" s="416">
        <v>3</v>
      </c>
      <c r="K198" s="416">
        <v>1</v>
      </c>
      <c r="M198" s="416">
        <v>3</v>
      </c>
      <c r="N198" s="416">
        <v>3</v>
      </c>
      <c r="T198" s="416">
        <v>34</v>
      </c>
      <c r="V198" s="416">
        <f t="shared" si="3"/>
        <v>34</v>
      </c>
    </row>
    <row r="199" spans="1:22" x14ac:dyDescent="0.25">
      <c r="A199" s="416" t="s">
        <v>584</v>
      </c>
      <c r="B199" s="416" t="s">
        <v>1020</v>
      </c>
      <c r="C199" s="416" t="s">
        <v>189</v>
      </c>
      <c r="E199" s="416">
        <v>5</v>
      </c>
      <c r="F199" s="416">
        <v>6</v>
      </c>
      <c r="G199" s="416">
        <v>3</v>
      </c>
      <c r="H199" s="416">
        <v>5</v>
      </c>
      <c r="I199" s="416">
        <v>5</v>
      </c>
      <c r="J199" s="416">
        <v>5</v>
      </c>
      <c r="K199" s="416">
        <v>7</v>
      </c>
      <c r="L199" s="416">
        <v>5</v>
      </c>
      <c r="M199" s="416">
        <v>4</v>
      </c>
      <c r="N199" s="416">
        <v>5</v>
      </c>
      <c r="O199" s="416">
        <v>2</v>
      </c>
      <c r="P199" s="416">
        <v>2</v>
      </c>
      <c r="Q199" s="416">
        <v>1</v>
      </c>
      <c r="R199" s="416">
        <v>2</v>
      </c>
      <c r="T199" s="416">
        <v>57</v>
      </c>
      <c r="V199" s="416">
        <f t="shared" si="3"/>
        <v>57</v>
      </c>
    </row>
    <row r="200" spans="1:22" x14ac:dyDescent="0.25">
      <c r="A200" s="416" t="s">
        <v>586</v>
      </c>
      <c r="B200" s="416" t="s">
        <v>1021</v>
      </c>
      <c r="C200" s="416" t="s">
        <v>205</v>
      </c>
      <c r="E200" s="416">
        <v>83</v>
      </c>
      <c r="F200" s="416">
        <v>77</v>
      </c>
      <c r="G200" s="416">
        <v>104</v>
      </c>
      <c r="H200" s="416">
        <v>92</v>
      </c>
      <c r="I200" s="416">
        <v>118</v>
      </c>
      <c r="J200" s="416">
        <v>114</v>
      </c>
      <c r="K200" s="416">
        <v>86</v>
      </c>
      <c r="L200" s="416">
        <v>93</v>
      </c>
      <c r="M200" s="416">
        <v>82</v>
      </c>
      <c r="N200" s="416">
        <v>84</v>
      </c>
      <c r="O200" s="416">
        <v>65</v>
      </c>
      <c r="P200" s="416">
        <v>77</v>
      </c>
      <c r="Q200" s="416">
        <v>62</v>
      </c>
      <c r="R200" s="416">
        <v>95</v>
      </c>
      <c r="T200" s="416">
        <v>1232</v>
      </c>
      <c r="V200" s="416">
        <f t="shared" si="3"/>
        <v>1232</v>
      </c>
    </row>
    <row r="201" spans="1:22" x14ac:dyDescent="0.25">
      <c r="A201" s="416" t="s">
        <v>1165</v>
      </c>
      <c r="B201" s="416" t="s">
        <v>1280</v>
      </c>
      <c r="C201" s="416" t="s">
        <v>231</v>
      </c>
      <c r="L201" s="416">
        <v>10</v>
      </c>
      <c r="M201" s="416">
        <v>6</v>
      </c>
      <c r="N201" s="416">
        <v>10</v>
      </c>
      <c r="T201" s="416">
        <v>26</v>
      </c>
      <c r="V201" s="416">
        <f t="shared" si="3"/>
        <v>26</v>
      </c>
    </row>
    <row r="202" spans="1:22" x14ac:dyDescent="0.25">
      <c r="A202" s="416" t="s">
        <v>588</v>
      </c>
      <c r="B202" s="416" t="s">
        <v>1022</v>
      </c>
      <c r="C202" s="416" t="s">
        <v>189</v>
      </c>
      <c r="E202" s="416">
        <v>20</v>
      </c>
      <c r="F202" s="416">
        <v>6</v>
      </c>
      <c r="G202" s="416">
        <v>18</v>
      </c>
      <c r="H202" s="416">
        <v>8</v>
      </c>
      <c r="I202" s="416">
        <v>13</v>
      </c>
      <c r="J202" s="416">
        <v>16</v>
      </c>
      <c r="K202" s="416">
        <v>16</v>
      </c>
      <c r="L202" s="416">
        <v>19</v>
      </c>
      <c r="M202" s="416">
        <v>13</v>
      </c>
      <c r="N202" s="416">
        <v>15</v>
      </c>
      <c r="T202" s="416">
        <v>144</v>
      </c>
      <c r="V202" s="416">
        <f t="shared" si="3"/>
        <v>144</v>
      </c>
    </row>
    <row r="203" spans="1:22" x14ac:dyDescent="0.25">
      <c r="A203" s="416" t="s">
        <v>590</v>
      </c>
      <c r="B203" s="416" t="s">
        <v>1023</v>
      </c>
      <c r="C203" s="416" t="s">
        <v>202</v>
      </c>
      <c r="F203" s="416">
        <v>10</v>
      </c>
      <c r="G203" s="416">
        <v>5</v>
      </c>
      <c r="H203" s="416">
        <v>6</v>
      </c>
      <c r="I203" s="416">
        <v>2</v>
      </c>
      <c r="J203" s="416">
        <v>6</v>
      </c>
      <c r="K203" s="416">
        <v>7</v>
      </c>
      <c r="L203" s="416">
        <v>4</v>
      </c>
      <c r="M203" s="416">
        <v>1</v>
      </c>
      <c r="N203" s="416">
        <v>5</v>
      </c>
      <c r="O203" s="416">
        <v>2</v>
      </c>
      <c r="P203" s="416">
        <v>5</v>
      </c>
      <c r="Q203" s="416">
        <v>4</v>
      </c>
      <c r="R203" s="416">
        <v>3</v>
      </c>
      <c r="T203" s="416">
        <v>60</v>
      </c>
      <c r="V203" s="416">
        <f t="shared" si="3"/>
        <v>60</v>
      </c>
    </row>
    <row r="204" spans="1:22" x14ac:dyDescent="0.25">
      <c r="A204" s="416" t="s">
        <v>592</v>
      </c>
      <c r="B204" s="416" t="s">
        <v>1024</v>
      </c>
      <c r="C204" s="416" t="s">
        <v>228</v>
      </c>
      <c r="E204" s="416">
        <v>25</v>
      </c>
      <c r="F204" s="416">
        <v>35</v>
      </c>
      <c r="G204" s="416">
        <v>58</v>
      </c>
      <c r="H204" s="416">
        <v>50</v>
      </c>
      <c r="I204" s="416">
        <v>48</v>
      </c>
      <c r="J204" s="416">
        <v>55</v>
      </c>
      <c r="K204" s="416">
        <v>40</v>
      </c>
      <c r="L204" s="416">
        <v>44</v>
      </c>
      <c r="M204" s="416">
        <v>49</v>
      </c>
      <c r="N204" s="416">
        <v>34</v>
      </c>
      <c r="O204" s="416">
        <v>35</v>
      </c>
      <c r="P204" s="416">
        <v>44</v>
      </c>
      <c r="Q204" s="416">
        <v>38</v>
      </c>
      <c r="R204" s="416">
        <v>45</v>
      </c>
      <c r="T204" s="416">
        <v>600</v>
      </c>
      <c r="V204" s="416">
        <f t="shared" si="3"/>
        <v>600</v>
      </c>
    </row>
    <row r="205" spans="1:22" x14ac:dyDescent="0.25">
      <c r="A205" s="416" t="s">
        <v>594</v>
      </c>
      <c r="B205" s="416" t="s">
        <v>1025</v>
      </c>
      <c r="C205" s="416" t="s">
        <v>228</v>
      </c>
      <c r="E205" s="416">
        <v>8</v>
      </c>
      <c r="F205" s="416">
        <v>6</v>
      </c>
      <c r="G205" s="416">
        <v>5</v>
      </c>
      <c r="H205" s="416">
        <v>18</v>
      </c>
      <c r="I205" s="416">
        <v>5</v>
      </c>
      <c r="J205" s="416">
        <v>6</v>
      </c>
      <c r="K205" s="416">
        <v>14</v>
      </c>
      <c r="L205" s="416">
        <v>13</v>
      </c>
      <c r="M205" s="416">
        <v>10</v>
      </c>
      <c r="N205" s="416">
        <v>15</v>
      </c>
      <c r="O205" s="416">
        <v>22</v>
      </c>
      <c r="P205" s="416">
        <v>9</v>
      </c>
      <c r="Q205" s="416">
        <v>12</v>
      </c>
      <c r="R205" s="416">
        <v>16</v>
      </c>
      <c r="T205" s="416">
        <v>159</v>
      </c>
      <c r="V205" s="416">
        <f t="shared" si="3"/>
        <v>159</v>
      </c>
    </row>
    <row r="206" spans="1:22" x14ac:dyDescent="0.25">
      <c r="A206" s="416" t="s">
        <v>596</v>
      </c>
      <c r="B206" s="416" t="s">
        <v>1026</v>
      </c>
      <c r="C206" s="416" t="s">
        <v>202</v>
      </c>
      <c r="G206" s="416">
        <v>2</v>
      </c>
      <c r="H206" s="416">
        <v>6</v>
      </c>
      <c r="I206" s="416">
        <v>1</v>
      </c>
      <c r="J206" s="416">
        <v>4</v>
      </c>
      <c r="K206" s="416">
        <v>5</v>
      </c>
      <c r="L206" s="416">
        <v>4</v>
      </c>
      <c r="N206" s="416">
        <v>1</v>
      </c>
      <c r="O206" s="416">
        <v>3</v>
      </c>
      <c r="P206" s="416">
        <v>4</v>
      </c>
      <c r="Q206" s="416">
        <v>2</v>
      </c>
      <c r="R206" s="416">
        <v>2</v>
      </c>
      <c r="T206" s="416">
        <v>34</v>
      </c>
      <c r="V206" s="416">
        <f t="shared" si="3"/>
        <v>34</v>
      </c>
    </row>
    <row r="207" spans="1:22" x14ac:dyDescent="0.25">
      <c r="A207" s="416" t="s">
        <v>598</v>
      </c>
      <c r="B207" s="416" t="s">
        <v>1245</v>
      </c>
      <c r="C207" s="416" t="s">
        <v>194</v>
      </c>
      <c r="L207" s="416">
        <v>9</v>
      </c>
      <c r="M207" s="416">
        <v>14</v>
      </c>
      <c r="N207" s="416">
        <v>21</v>
      </c>
      <c r="O207" s="416">
        <v>18</v>
      </c>
      <c r="P207" s="416">
        <v>16</v>
      </c>
      <c r="Q207" s="416">
        <v>8</v>
      </c>
      <c r="R207" s="416">
        <v>19</v>
      </c>
      <c r="T207" s="416">
        <v>105</v>
      </c>
      <c r="V207" s="416">
        <f t="shared" si="3"/>
        <v>105</v>
      </c>
    </row>
    <row r="208" spans="1:22" x14ac:dyDescent="0.25">
      <c r="A208" s="416" t="s">
        <v>600</v>
      </c>
      <c r="B208" s="416" t="s">
        <v>1028</v>
      </c>
      <c r="C208" s="416" t="s">
        <v>202</v>
      </c>
      <c r="E208" s="416">
        <v>13</v>
      </c>
      <c r="F208" s="416">
        <v>9</v>
      </c>
      <c r="G208" s="416">
        <v>14</v>
      </c>
      <c r="H208" s="416">
        <v>17</v>
      </c>
      <c r="I208" s="416">
        <v>26</v>
      </c>
      <c r="J208" s="416">
        <v>34</v>
      </c>
      <c r="K208" s="416">
        <v>33</v>
      </c>
      <c r="L208" s="416">
        <v>36</v>
      </c>
      <c r="M208" s="416">
        <v>16</v>
      </c>
      <c r="N208" s="416">
        <v>20</v>
      </c>
      <c r="O208" s="416">
        <v>26</v>
      </c>
      <c r="P208" s="416">
        <v>27</v>
      </c>
      <c r="Q208" s="416">
        <v>24</v>
      </c>
      <c r="R208" s="416">
        <v>25</v>
      </c>
      <c r="T208" s="416">
        <v>320</v>
      </c>
      <c r="V208" s="416">
        <f t="shared" si="3"/>
        <v>320</v>
      </c>
    </row>
    <row r="209" spans="1:22" x14ac:dyDescent="0.25">
      <c r="A209" s="416" t="s">
        <v>602</v>
      </c>
      <c r="B209" s="416" t="s">
        <v>1029</v>
      </c>
      <c r="C209" s="416" t="s">
        <v>194</v>
      </c>
      <c r="E209" s="416">
        <v>27</v>
      </c>
      <c r="F209" s="416">
        <v>28</v>
      </c>
      <c r="G209" s="416">
        <v>27</v>
      </c>
      <c r="H209" s="416">
        <v>29</v>
      </c>
      <c r="I209" s="416">
        <v>27</v>
      </c>
      <c r="J209" s="416">
        <v>26</v>
      </c>
      <c r="K209" s="416">
        <v>29</v>
      </c>
      <c r="L209" s="416">
        <v>36</v>
      </c>
      <c r="M209" s="416">
        <v>27</v>
      </c>
      <c r="N209" s="416">
        <v>25</v>
      </c>
      <c r="O209" s="416">
        <v>26</v>
      </c>
      <c r="P209" s="416">
        <v>28</v>
      </c>
      <c r="Q209" s="416">
        <v>21</v>
      </c>
      <c r="R209" s="416">
        <v>18</v>
      </c>
      <c r="T209" s="416">
        <v>374</v>
      </c>
      <c r="V209" s="416">
        <f t="shared" si="3"/>
        <v>374</v>
      </c>
    </row>
    <row r="210" spans="1:22" x14ac:dyDescent="0.25">
      <c r="A210" s="416" t="s">
        <v>1167</v>
      </c>
      <c r="B210" s="416" t="s">
        <v>1281</v>
      </c>
      <c r="C210" s="416" t="s">
        <v>194</v>
      </c>
      <c r="F210" s="416">
        <v>2</v>
      </c>
      <c r="G210" s="416">
        <v>4</v>
      </c>
      <c r="I210" s="416">
        <v>2</v>
      </c>
      <c r="J210" s="416">
        <v>1</v>
      </c>
      <c r="K210" s="416">
        <v>3</v>
      </c>
      <c r="T210" s="416">
        <v>12</v>
      </c>
      <c r="V210" s="416">
        <f t="shared" si="3"/>
        <v>12</v>
      </c>
    </row>
    <row r="211" spans="1:22" x14ac:dyDescent="0.25">
      <c r="A211" s="416" t="s">
        <v>604</v>
      </c>
      <c r="B211" s="416" t="s">
        <v>1030</v>
      </c>
      <c r="C211" s="416" t="s">
        <v>205</v>
      </c>
      <c r="E211" s="416">
        <v>247</v>
      </c>
      <c r="F211" s="416">
        <v>180</v>
      </c>
      <c r="G211" s="416">
        <v>227</v>
      </c>
      <c r="H211" s="416">
        <v>210</v>
      </c>
      <c r="I211" s="416">
        <v>243</v>
      </c>
      <c r="J211" s="416">
        <v>245</v>
      </c>
      <c r="K211" s="416">
        <v>193</v>
      </c>
      <c r="L211" s="416">
        <v>181</v>
      </c>
      <c r="M211" s="416">
        <v>195</v>
      </c>
      <c r="N211" s="416">
        <v>212</v>
      </c>
      <c r="O211" s="416">
        <v>204</v>
      </c>
      <c r="P211" s="416">
        <v>174</v>
      </c>
      <c r="Q211" s="416">
        <v>191</v>
      </c>
      <c r="R211" s="416">
        <v>236</v>
      </c>
      <c r="T211" s="416">
        <v>2938</v>
      </c>
      <c r="V211" s="416">
        <f t="shared" si="3"/>
        <v>2938</v>
      </c>
    </row>
    <row r="212" spans="1:22" x14ac:dyDescent="0.25">
      <c r="A212" s="416" t="s">
        <v>606</v>
      </c>
      <c r="B212" s="416" t="s">
        <v>1031</v>
      </c>
      <c r="C212" s="416" t="s">
        <v>228</v>
      </c>
      <c r="F212" s="416">
        <v>1</v>
      </c>
      <c r="K212" s="416">
        <v>1</v>
      </c>
      <c r="M212" s="416">
        <v>2</v>
      </c>
      <c r="N212" s="416">
        <v>1</v>
      </c>
      <c r="T212" s="416">
        <v>5</v>
      </c>
      <c r="V212" s="416">
        <f t="shared" si="3"/>
        <v>5</v>
      </c>
    </row>
    <row r="213" spans="1:22" x14ac:dyDescent="0.25">
      <c r="A213" s="416" t="s">
        <v>608</v>
      </c>
      <c r="B213" s="416" t="s">
        <v>1032</v>
      </c>
      <c r="C213" s="416" t="s">
        <v>228</v>
      </c>
      <c r="E213" s="416">
        <v>1</v>
      </c>
      <c r="F213" s="416">
        <v>2</v>
      </c>
      <c r="H213" s="416">
        <v>4</v>
      </c>
      <c r="I213" s="416">
        <v>7</v>
      </c>
      <c r="J213" s="416">
        <v>2</v>
      </c>
      <c r="K213" s="416">
        <v>4</v>
      </c>
      <c r="L213" s="416">
        <v>9</v>
      </c>
      <c r="M213" s="416">
        <v>6</v>
      </c>
      <c r="N213" s="416">
        <v>5</v>
      </c>
      <c r="O213" s="416">
        <v>2</v>
      </c>
      <c r="P213" s="416">
        <v>4</v>
      </c>
      <c r="Q213" s="416">
        <v>5</v>
      </c>
      <c r="R213" s="416">
        <v>5</v>
      </c>
      <c r="T213" s="416">
        <v>56</v>
      </c>
      <c r="V213" s="416">
        <f t="shared" si="3"/>
        <v>56</v>
      </c>
    </row>
    <row r="214" spans="1:22" x14ac:dyDescent="0.25">
      <c r="A214" s="416" t="s">
        <v>612</v>
      </c>
      <c r="B214" s="416" t="s">
        <v>1033</v>
      </c>
      <c r="C214" s="416" t="s">
        <v>228</v>
      </c>
      <c r="E214" s="416">
        <v>8</v>
      </c>
      <c r="F214" s="416">
        <v>11</v>
      </c>
      <c r="G214" s="416">
        <v>13</v>
      </c>
      <c r="H214" s="416">
        <v>11</v>
      </c>
      <c r="I214" s="416">
        <v>17</v>
      </c>
      <c r="J214" s="416">
        <v>21</v>
      </c>
      <c r="K214" s="416">
        <v>22</v>
      </c>
      <c r="L214" s="416">
        <v>22</v>
      </c>
      <c r="M214" s="416">
        <v>31</v>
      </c>
      <c r="N214" s="416">
        <v>35</v>
      </c>
      <c r="O214" s="416">
        <v>50</v>
      </c>
      <c r="P214" s="416">
        <v>89</v>
      </c>
      <c r="Q214" s="416">
        <v>85</v>
      </c>
      <c r="R214" s="416">
        <v>141</v>
      </c>
      <c r="T214" s="416">
        <v>556</v>
      </c>
      <c r="V214" s="416">
        <f t="shared" si="3"/>
        <v>556</v>
      </c>
    </row>
    <row r="215" spans="1:22" x14ac:dyDescent="0.25">
      <c r="A215" s="416" t="s">
        <v>614</v>
      </c>
      <c r="B215" s="416" t="s">
        <v>1034</v>
      </c>
      <c r="C215" s="416" t="s">
        <v>231</v>
      </c>
      <c r="E215" s="416">
        <v>22</v>
      </c>
      <c r="F215" s="416">
        <v>15</v>
      </c>
      <c r="G215" s="416">
        <v>23</v>
      </c>
      <c r="H215" s="416">
        <v>33</v>
      </c>
      <c r="I215" s="416">
        <v>35</v>
      </c>
      <c r="J215" s="416">
        <v>36</v>
      </c>
      <c r="K215" s="416">
        <v>37</v>
      </c>
      <c r="L215" s="416">
        <v>51</v>
      </c>
      <c r="M215" s="416">
        <v>32</v>
      </c>
      <c r="N215" s="416">
        <v>29</v>
      </c>
      <c r="O215" s="416">
        <v>37</v>
      </c>
      <c r="P215" s="416">
        <v>19</v>
      </c>
      <c r="Q215" s="416">
        <v>25</v>
      </c>
      <c r="R215" s="416">
        <v>31</v>
      </c>
      <c r="T215" s="416">
        <v>425</v>
      </c>
      <c r="V215" s="416">
        <f t="shared" si="3"/>
        <v>425</v>
      </c>
    </row>
    <row r="216" spans="1:22" x14ac:dyDescent="0.25">
      <c r="A216" s="416" t="s">
        <v>616</v>
      </c>
      <c r="B216" s="416" t="s">
        <v>1035</v>
      </c>
      <c r="C216" s="416" t="s">
        <v>189</v>
      </c>
      <c r="E216" s="416">
        <v>10</v>
      </c>
      <c r="F216" s="416">
        <v>7</v>
      </c>
      <c r="G216" s="416">
        <v>5</v>
      </c>
      <c r="H216" s="416">
        <v>12</v>
      </c>
      <c r="I216" s="416">
        <v>18</v>
      </c>
      <c r="J216" s="416">
        <v>10</v>
      </c>
      <c r="K216" s="416">
        <v>6</v>
      </c>
      <c r="L216" s="416">
        <v>11</v>
      </c>
      <c r="M216" s="416">
        <v>11</v>
      </c>
      <c r="N216" s="416">
        <v>13</v>
      </c>
      <c r="O216" s="416">
        <v>7</v>
      </c>
      <c r="P216" s="416">
        <v>7</v>
      </c>
      <c r="Q216" s="416">
        <v>5</v>
      </c>
      <c r="R216" s="416">
        <v>11</v>
      </c>
      <c r="T216" s="416">
        <v>133</v>
      </c>
      <c r="V216" s="416">
        <f t="shared" si="3"/>
        <v>133</v>
      </c>
    </row>
    <row r="217" spans="1:22" x14ac:dyDescent="0.25">
      <c r="A217" s="416" t="s">
        <v>618</v>
      </c>
      <c r="B217" s="416" t="s">
        <v>1036</v>
      </c>
      <c r="C217" s="416" t="s">
        <v>205</v>
      </c>
      <c r="K217" s="416">
        <v>4</v>
      </c>
      <c r="L217" s="416">
        <v>6</v>
      </c>
      <c r="M217" s="416">
        <v>5</v>
      </c>
      <c r="N217" s="416">
        <v>6</v>
      </c>
      <c r="T217" s="416">
        <v>21</v>
      </c>
      <c r="V217" s="416">
        <f t="shared" si="3"/>
        <v>21</v>
      </c>
    </row>
    <row r="218" spans="1:22" x14ac:dyDescent="0.25">
      <c r="A218" s="416" t="s">
        <v>620</v>
      </c>
      <c r="B218" s="416" t="s">
        <v>1232</v>
      </c>
      <c r="C218" s="416" t="s">
        <v>205</v>
      </c>
      <c r="L218" s="416">
        <v>5</v>
      </c>
      <c r="M218" s="416">
        <v>3</v>
      </c>
      <c r="N218" s="416">
        <v>4</v>
      </c>
      <c r="O218" s="416">
        <v>9</v>
      </c>
      <c r="P218" s="416">
        <v>5</v>
      </c>
      <c r="Q218" s="416">
        <v>7</v>
      </c>
      <c r="R218" s="416">
        <v>2</v>
      </c>
      <c r="T218" s="416">
        <v>35</v>
      </c>
      <c r="V218" s="416">
        <f t="shared" si="3"/>
        <v>35</v>
      </c>
    </row>
    <row r="219" spans="1:22" x14ac:dyDescent="0.25">
      <c r="A219" s="416" t="s">
        <v>621</v>
      </c>
      <c r="B219" s="416" t="s">
        <v>1263</v>
      </c>
      <c r="C219" s="416" t="s">
        <v>189</v>
      </c>
      <c r="D219" s="416" t="s">
        <v>819</v>
      </c>
      <c r="F219" s="416">
        <v>2</v>
      </c>
      <c r="G219" s="416">
        <v>6</v>
      </c>
      <c r="H219" s="416">
        <v>8</v>
      </c>
      <c r="I219" s="416">
        <v>1</v>
      </c>
      <c r="J219" s="416">
        <v>7</v>
      </c>
      <c r="K219" s="416">
        <v>7</v>
      </c>
      <c r="L219" s="416">
        <v>4</v>
      </c>
      <c r="M219" s="416">
        <v>6</v>
      </c>
      <c r="N219" s="416">
        <v>7</v>
      </c>
      <c r="O219" s="416">
        <v>9</v>
      </c>
      <c r="P219" s="416">
        <v>8</v>
      </c>
      <c r="Q219" s="416">
        <v>5</v>
      </c>
      <c r="R219" s="416">
        <v>8</v>
      </c>
      <c r="T219" s="416">
        <v>78</v>
      </c>
      <c r="V219" s="416">
        <f t="shared" si="3"/>
        <v>78</v>
      </c>
    </row>
    <row r="220" spans="1:22" x14ac:dyDescent="0.25">
      <c r="A220" s="416" t="s">
        <v>623</v>
      </c>
      <c r="B220" s="416" t="s">
        <v>1037</v>
      </c>
      <c r="C220" s="416" t="s">
        <v>194</v>
      </c>
      <c r="E220" s="416">
        <v>1</v>
      </c>
      <c r="F220" s="416">
        <v>2</v>
      </c>
      <c r="G220" s="416">
        <v>6</v>
      </c>
      <c r="H220" s="416">
        <v>4</v>
      </c>
      <c r="I220" s="416">
        <v>10</v>
      </c>
      <c r="J220" s="416">
        <v>3</v>
      </c>
      <c r="K220" s="416">
        <v>6</v>
      </c>
      <c r="L220" s="416">
        <v>10</v>
      </c>
      <c r="M220" s="416">
        <v>4</v>
      </c>
      <c r="N220" s="416">
        <v>5</v>
      </c>
      <c r="O220" s="416">
        <v>7</v>
      </c>
      <c r="P220" s="416">
        <v>10</v>
      </c>
      <c r="Q220" s="416">
        <v>6</v>
      </c>
      <c r="R220" s="416">
        <v>12</v>
      </c>
      <c r="T220" s="416">
        <v>86</v>
      </c>
      <c r="V220" s="416">
        <f t="shared" si="3"/>
        <v>86</v>
      </c>
    </row>
    <row r="221" spans="1:22" x14ac:dyDescent="0.25">
      <c r="A221" s="416" t="s">
        <v>625</v>
      </c>
      <c r="B221" s="416" t="s">
        <v>1038</v>
      </c>
      <c r="C221" s="416" t="s">
        <v>205</v>
      </c>
      <c r="E221" s="416">
        <v>207</v>
      </c>
      <c r="F221" s="416">
        <v>116</v>
      </c>
      <c r="G221" s="416">
        <v>142</v>
      </c>
      <c r="H221" s="416">
        <v>145</v>
      </c>
      <c r="I221" s="416">
        <v>172</v>
      </c>
      <c r="J221" s="416">
        <v>176</v>
      </c>
      <c r="K221" s="416">
        <v>147</v>
      </c>
      <c r="L221" s="416">
        <v>154</v>
      </c>
      <c r="M221" s="416">
        <v>167</v>
      </c>
      <c r="N221" s="416">
        <v>163</v>
      </c>
      <c r="O221" s="416">
        <v>142</v>
      </c>
      <c r="P221" s="416">
        <v>153</v>
      </c>
      <c r="Q221" s="416">
        <v>123</v>
      </c>
      <c r="R221" s="416">
        <v>143</v>
      </c>
      <c r="T221" s="416">
        <v>2150</v>
      </c>
      <c r="V221" s="416">
        <f t="shared" si="3"/>
        <v>2150</v>
      </c>
    </row>
    <row r="222" spans="1:22" x14ac:dyDescent="0.25">
      <c r="A222" s="416" t="s">
        <v>627</v>
      </c>
      <c r="B222" s="416" t="s">
        <v>1039</v>
      </c>
      <c r="C222" s="416" t="s">
        <v>194</v>
      </c>
      <c r="F222" s="416">
        <v>4</v>
      </c>
      <c r="G222" s="416">
        <v>4</v>
      </c>
      <c r="H222" s="416">
        <v>3</v>
      </c>
      <c r="I222" s="416">
        <v>5</v>
      </c>
      <c r="J222" s="416">
        <v>3</v>
      </c>
      <c r="K222" s="416">
        <v>8</v>
      </c>
      <c r="L222" s="416">
        <v>10</v>
      </c>
      <c r="M222" s="416">
        <v>6</v>
      </c>
      <c r="N222" s="416">
        <v>6</v>
      </c>
      <c r="O222" s="416">
        <v>5</v>
      </c>
      <c r="P222" s="416">
        <v>7</v>
      </c>
      <c r="Q222" s="416">
        <v>3</v>
      </c>
      <c r="R222" s="416">
        <v>5</v>
      </c>
      <c r="T222" s="416">
        <v>69</v>
      </c>
      <c r="V222" s="416">
        <f t="shared" si="3"/>
        <v>69</v>
      </c>
    </row>
    <row r="223" spans="1:22" x14ac:dyDescent="0.25">
      <c r="A223" s="416" t="s">
        <v>629</v>
      </c>
      <c r="B223" s="416" t="s">
        <v>1040</v>
      </c>
      <c r="C223" s="416" t="s">
        <v>202</v>
      </c>
      <c r="E223" s="416">
        <v>105</v>
      </c>
      <c r="F223" s="416">
        <v>109</v>
      </c>
      <c r="G223" s="416">
        <v>166</v>
      </c>
      <c r="H223" s="416">
        <v>142</v>
      </c>
      <c r="I223" s="416">
        <v>157</v>
      </c>
      <c r="J223" s="416">
        <v>133</v>
      </c>
      <c r="K223" s="416">
        <v>150</v>
      </c>
      <c r="L223" s="416">
        <v>166</v>
      </c>
      <c r="M223" s="416">
        <v>124</v>
      </c>
      <c r="N223" s="416">
        <v>129</v>
      </c>
      <c r="O223" s="416">
        <v>136</v>
      </c>
      <c r="P223" s="416">
        <v>141</v>
      </c>
      <c r="Q223" s="416">
        <v>118</v>
      </c>
      <c r="R223" s="416">
        <v>135</v>
      </c>
      <c r="T223" s="416">
        <v>1911</v>
      </c>
      <c r="V223" s="416">
        <f t="shared" si="3"/>
        <v>1911</v>
      </c>
    </row>
    <row r="224" spans="1:22" x14ac:dyDescent="0.25">
      <c r="A224" s="416" t="s">
        <v>631</v>
      </c>
      <c r="B224" s="416" t="s">
        <v>1041</v>
      </c>
      <c r="C224" s="416" t="s">
        <v>210</v>
      </c>
      <c r="E224" s="416">
        <v>36</v>
      </c>
      <c r="F224" s="416">
        <v>35</v>
      </c>
      <c r="G224" s="416">
        <v>32</v>
      </c>
      <c r="H224" s="416">
        <v>38</v>
      </c>
      <c r="I224" s="416">
        <v>44</v>
      </c>
      <c r="J224" s="416">
        <v>38</v>
      </c>
      <c r="K224" s="416">
        <v>41</v>
      </c>
      <c r="L224" s="416">
        <v>38</v>
      </c>
      <c r="M224" s="416">
        <v>34</v>
      </c>
      <c r="N224" s="416">
        <v>28</v>
      </c>
      <c r="O224" s="416">
        <v>28</v>
      </c>
      <c r="P224" s="416">
        <v>25</v>
      </c>
      <c r="Q224" s="416">
        <v>22</v>
      </c>
      <c r="R224" s="416">
        <v>33</v>
      </c>
      <c r="T224" s="416">
        <v>472</v>
      </c>
      <c r="V224" s="416">
        <f t="shared" si="3"/>
        <v>472</v>
      </c>
    </row>
    <row r="225" spans="1:22" x14ac:dyDescent="0.25">
      <c r="A225" s="416" t="s">
        <v>633</v>
      </c>
      <c r="B225" s="416" t="s">
        <v>1042</v>
      </c>
      <c r="C225" s="416" t="s">
        <v>194</v>
      </c>
      <c r="E225" s="416">
        <v>3</v>
      </c>
      <c r="F225" s="416">
        <v>5</v>
      </c>
      <c r="G225" s="416">
        <v>3</v>
      </c>
      <c r="H225" s="416">
        <v>1</v>
      </c>
      <c r="I225" s="416">
        <v>4</v>
      </c>
      <c r="J225" s="416">
        <v>1</v>
      </c>
      <c r="K225" s="416">
        <v>5</v>
      </c>
      <c r="L225" s="416">
        <v>4</v>
      </c>
      <c r="M225" s="416">
        <v>3</v>
      </c>
      <c r="N225" s="416">
        <v>3</v>
      </c>
      <c r="O225" s="416">
        <v>2</v>
      </c>
      <c r="P225" s="416">
        <v>3</v>
      </c>
      <c r="Q225" s="416">
        <v>1</v>
      </c>
      <c r="T225" s="416">
        <v>38</v>
      </c>
      <c r="V225" s="416">
        <f t="shared" si="3"/>
        <v>38</v>
      </c>
    </row>
    <row r="226" spans="1:22" x14ac:dyDescent="0.25">
      <c r="A226" s="416" t="s">
        <v>635</v>
      </c>
      <c r="B226" s="416" t="s">
        <v>1043</v>
      </c>
      <c r="C226" s="416" t="s">
        <v>194</v>
      </c>
      <c r="E226" s="416">
        <v>11</v>
      </c>
      <c r="F226" s="416">
        <v>17</v>
      </c>
      <c r="G226" s="416">
        <v>20</v>
      </c>
      <c r="H226" s="416">
        <v>13</v>
      </c>
      <c r="I226" s="416">
        <v>22</v>
      </c>
      <c r="J226" s="416">
        <v>11</v>
      </c>
      <c r="K226" s="416">
        <v>17</v>
      </c>
      <c r="L226" s="416">
        <v>17</v>
      </c>
      <c r="M226" s="416">
        <v>17</v>
      </c>
      <c r="N226" s="416">
        <v>21</v>
      </c>
      <c r="O226" s="416">
        <v>10</v>
      </c>
      <c r="P226" s="416">
        <v>16</v>
      </c>
      <c r="Q226" s="416">
        <v>14</v>
      </c>
      <c r="R226" s="416">
        <v>18</v>
      </c>
      <c r="T226" s="416">
        <v>224</v>
      </c>
      <c r="V226" s="416">
        <f t="shared" si="3"/>
        <v>224</v>
      </c>
    </row>
    <row r="227" spans="1:22" x14ac:dyDescent="0.25">
      <c r="A227" s="416" t="s">
        <v>637</v>
      </c>
      <c r="B227" s="416" t="s">
        <v>1044</v>
      </c>
      <c r="C227" s="416" t="s">
        <v>205</v>
      </c>
      <c r="E227" s="416">
        <v>20</v>
      </c>
      <c r="F227" s="416">
        <v>15</v>
      </c>
      <c r="G227" s="416">
        <v>29</v>
      </c>
      <c r="H227" s="416">
        <v>25</v>
      </c>
      <c r="I227" s="416">
        <v>24</v>
      </c>
      <c r="J227" s="416">
        <v>27</v>
      </c>
      <c r="K227" s="416">
        <v>22</v>
      </c>
      <c r="L227" s="416">
        <v>15</v>
      </c>
      <c r="M227" s="416">
        <v>26</v>
      </c>
      <c r="N227" s="416">
        <v>23</v>
      </c>
      <c r="O227" s="416">
        <v>20</v>
      </c>
      <c r="P227" s="416">
        <v>23</v>
      </c>
      <c r="Q227" s="416">
        <v>23</v>
      </c>
      <c r="R227" s="416">
        <v>30</v>
      </c>
      <c r="T227" s="416">
        <v>322</v>
      </c>
      <c r="V227" s="416">
        <f t="shared" si="3"/>
        <v>322</v>
      </c>
    </row>
    <row r="228" spans="1:22" x14ac:dyDescent="0.25">
      <c r="A228" s="416" t="s">
        <v>639</v>
      </c>
      <c r="B228" s="416" t="s">
        <v>1045</v>
      </c>
      <c r="C228" s="416" t="s">
        <v>189</v>
      </c>
      <c r="E228" s="416">
        <v>20</v>
      </c>
      <c r="F228" s="416">
        <v>18</v>
      </c>
      <c r="G228" s="416">
        <v>30</v>
      </c>
      <c r="H228" s="416">
        <v>23</v>
      </c>
      <c r="I228" s="416">
        <v>12</v>
      </c>
      <c r="J228" s="416">
        <v>18</v>
      </c>
      <c r="K228" s="416">
        <v>25</v>
      </c>
      <c r="L228" s="416">
        <v>22</v>
      </c>
      <c r="M228" s="416">
        <v>21</v>
      </c>
      <c r="N228" s="416">
        <v>22</v>
      </c>
      <c r="O228" s="416">
        <v>21</v>
      </c>
      <c r="P228" s="416">
        <v>31</v>
      </c>
      <c r="Q228" s="416">
        <v>15</v>
      </c>
      <c r="R228" s="416">
        <v>30</v>
      </c>
      <c r="T228" s="416">
        <v>308</v>
      </c>
      <c r="V228" s="416">
        <f t="shared" si="3"/>
        <v>308</v>
      </c>
    </row>
    <row r="229" spans="1:22" x14ac:dyDescent="0.25">
      <c r="A229" s="416" t="s">
        <v>641</v>
      </c>
      <c r="B229" s="416" t="s">
        <v>1046</v>
      </c>
      <c r="C229" s="416" t="s">
        <v>210</v>
      </c>
      <c r="D229" s="416" t="s">
        <v>819</v>
      </c>
      <c r="F229" s="416">
        <v>1</v>
      </c>
      <c r="K229" s="416">
        <v>1</v>
      </c>
      <c r="T229" s="416">
        <v>2</v>
      </c>
      <c r="V229" s="416">
        <f t="shared" si="3"/>
        <v>2</v>
      </c>
    </row>
    <row r="230" spans="1:22" x14ac:dyDescent="0.25">
      <c r="A230" s="416" t="s">
        <v>643</v>
      </c>
      <c r="B230" s="416" t="s">
        <v>1047</v>
      </c>
      <c r="C230" s="416" t="s">
        <v>194</v>
      </c>
      <c r="F230" s="416">
        <v>1</v>
      </c>
      <c r="H230" s="416">
        <v>2</v>
      </c>
      <c r="I230" s="416">
        <v>1</v>
      </c>
      <c r="K230" s="416">
        <v>4</v>
      </c>
      <c r="L230" s="416">
        <v>3</v>
      </c>
      <c r="M230" s="416">
        <v>4</v>
      </c>
      <c r="N230" s="416">
        <v>1</v>
      </c>
      <c r="O230" s="416">
        <v>2</v>
      </c>
      <c r="P230" s="416">
        <v>2</v>
      </c>
      <c r="Q230" s="416">
        <v>1</v>
      </c>
      <c r="T230" s="416">
        <v>21</v>
      </c>
      <c r="V230" s="416">
        <f t="shared" si="3"/>
        <v>21</v>
      </c>
    </row>
    <row r="231" spans="1:22" x14ac:dyDescent="0.25">
      <c r="A231" s="416" t="s">
        <v>645</v>
      </c>
      <c r="B231" s="416" t="s">
        <v>1048</v>
      </c>
      <c r="C231" s="416" t="s">
        <v>221</v>
      </c>
      <c r="E231" s="416">
        <v>10</v>
      </c>
      <c r="F231" s="416">
        <v>16</v>
      </c>
      <c r="G231" s="416">
        <v>10</v>
      </c>
      <c r="H231" s="416">
        <v>12</v>
      </c>
      <c r="I231" s="416">
        <v>13</v>
      </c>
      <c r="J231" s="416">
        <v>15</v>
      </c>
      <c r="K231" s="416">
        <v>24</v>
      </c>
      <c r="L231" s="416">
        <v>18</v>
      </c>
      <c r="M231" s="416">
        <v>15</v>
      </c>
      <c r="N231" s="416">
        <v>26</v>
      </c>
      <c r="O231" s="416">
        <v>22</v>
      </c>
      <c r="P231" s="416">
        <v>17</v>
      </c>
      <c r="Q231" s="416">
        <v>20</v>
      </c>
      <c r="R231" s="416">
        <v>12</v>
      </c>
      <c r="T231" s="416">
        <v>230</v>
      </c>
      <c r="V231" s="416">
        <f t="shared" si="3"/>
        <v>230</v>
      </c>
    </row>
    <row r="232" spans="1:22" x14ac:dyDescent="0.25">
      <c r="A232" s="416" t="s">
        <v>647</v>
      </c>
      <c r="B232" s="416" t="s">
        <v>1241</v>
      </c>
      <c r="C232" s="416" t="s">
        <v>197</v>
      </c>
      <c r="E232" s="416">
        <v>5</v>
      </c>
      <c r="F232" s="416">
        <v>2</v>
      </c>
      <c r="G232" s="416">
        <v>8</v>
      </c>
      <c r="H232" s="416">
        <v>8</v>
      </c>
      <c r="I232" s="416">
        <v>9</v>
      </c>
      <c r="J232" s="416">
        <v>8</v>
      </c>
      <c r="K232" s="416">
        <v>9</v>
      </c>
      <c r="L232" s="416">
        <v>12</v>
      </c>
      <c r="M232" s="416">
        <v>17</v>
      </c>
      <c r="N232" s="416">
        <v>13</v>
      </c>
      <c r="O232" s="416">
        <v>11</v>
      </c>
      <c r="P232" s="416">
        <v>12</v>
      </c>
      <c r="Q232" s="416">
        <v>11</v>
      </c>
      <c r="R232" s="416">
        <v>18</v>
      </c>
      <c r="T232" s="416">
        <v>143</v>
      </c>
      <c r="V232" s="416">
        <f t="shared" si="3"/>
        <v>143</v>
      </c>
    </row>
    <row r="233" spans="1:22" x14ac:dyDescent="0.25">
      <c r="A233" s="416" t="s">
        <v>649</v>
      </c>
      <c r="B233" s="416" t="s">
        <v>1050</v>
      </c>
      <c r="C233" s="416" t="s">
        <v>189</v>
      </c>
      <c r="E233" s="416">
        <v>1</v>
      </c>
      <c r="G233" s="416">
        <v>1</v>
      </c>
      <c r="J233" s="416">
        <v>3</v>
      </c>
      <c r="K233" s="416">
        <v>3</v>
      </c>
      <c r="L233" s="416">
        <v>2</v>
      </c>
      <c r="T233" s="416">
        <v>10</v>
      </c>
      <c r="V233" s="416">
        <f t="shared" si="3"/>
        <v>10</v>
      </c>
    </row>
    <row r="234" spans="1:22" x14ac:dyDescent="0.25">
      <c r="A234" s="416" t="s">
        <v>651</v>
      </c>
      <c r="B234" s="416" t="s">
        <v>1249</v>
      </c>
      <c r="C234" s="416" t="s">
        <v>1250</v>
      </c>
      <c r="L234" s="416">
        <v>5</v>
      </c>
      <c r="M234" s="416">
        <v>2</v>
      </c>
      <c r="N234" s="416">
        <v>7</v>
      </c>
      <c r="O234" s="416">
        <v>9</v>
      </c>
      <c r="P234" s="416">
        <v>10</v>
      </c>
      <c r="Q234" s="416">
        <v>9</v>
      </c>
      <c r="R234" s="416">
        <v>17</v>
      </c>
      <c r="T234" s="416">
        <v>59</v>
      </c>
      <c r="V234" s="416">
        <f t="shared" si="3"/>
        <v>59</v>
      </c>
    </row>
    <row r="235" spans="1:22" x14ac:dyDescent="0.25">
      <c r="A235" s="416" t="s">
        <v>653</v>
      </c>
      <c r="B235" s="416" t="s">
        <v>1251</v>
      </c>
      <c r="C235" s="416" t="s">
        <v>1250</v>
      </c>
      <c r="E235" s="416">
        <v>5</v>
      </c>
      <c r="G235" s="416">
        <v>6</v>
      </c>
      <c r="H235" s="416">
        <v>3</v>
      </c>
      <c r="I235" s="416">
        <v>3</v>
      </c>
      <c r="J235" s="416">
        <v>5</v>
      </c>
      <c r="K235" s="416">
        <v>4</v>
      </c>
      <c r="L235" s="416">
        <v>12</v>
      </c>
      <c r="M235" s="416">
        <v>5</v>
      </c>
      <c r="N235" s="416">
        <v>9</v>
      </c>
      <c r="O235" s="416">
        <v>7</v>
      </c>
      <c r="P235" s="416">
        <v>10</v>
      </c>
      <c r="Q235" s="416">
        <v>13</v>
      </c>
      <c r="R235" s="416">
        <v>10</v>
      </c>
      <c r="T235" s="416">
        <v>92</v>
      </c>
      <c r="V235" s="416">
        <f t="shared" si="3"/>
        <v>92</v>
      </c>
    </row>
    <row r="236" spans="1:22" x14ac:dyDescent="0.25">
      <c r="A236" s="416" t="s">
        <v>655</v>
      </c>
      <c r="B236" s="416" t="s">
        <v>1051</v>
      </c>
      <c r="C236" s="416" t="s">
        <v>205</v>
      </c>
      <c r="E236" s="416">
        <v>361</v>
      </c>
      <c r="F236" s="416">
        <v>299</v>
      </c>
      <c r="G236" s="416">
        <v>430</v>
      </c>
      <c r="H236" s="416">
        <v>470</v>
      </c>
      <c r="I236" s="416">
        <v>594</v>
      </c>
      <c r="J236" s="416">
        <v>613</v>
      </c>
      <c r="K236" s="416">
        <v>659</v>
      </c>
      <c r="L236" s="416">
        <v>644</v>
      </c>
      <c r="M236" s="416">
        <v>537</v>
      </c>
      <c r="N236" s="416">
        <v>593</v>
      </c>
      <c r="O236" s="416">
        <v>544</v>
      </c>
      <c r="P236" s="416">
        <v>552</v>
      </c>
      <c r="Q236" s="416">
        <v>484</v>
      </c>
      <c r="R236" s="416">
        <v>653</v>
      </c>
      <c r="T236" s="416">
        <v>7433</v>
      </c>
      <c r="V236" s="416">
        <f t="shared" si="3"/>
        <v>7433</v>
      </c>
    </row>
    <row r="237" spans="1:22" x14ac:dyDescent="0.25">
      <c r="A237" s="416" t="s">
        <v>657</v>
      </c>
      <c r="B237" s="416" t="s">
        <v>1052</v>
      </c>
      <c r="C237" s="416" t="s">
        <v>197</v>
      </c>
      <c r="E237" s="416">
        <v>48</v>
      </c>
      <c r="F237" s="416">
        <v>38</v>
      </c>
      <c r="G237" s="416">
        <v>57</v>
      </c>
      <c r="H237" s="416">
        <v>58</v>
      </c>
      <c r="I237" s="416">
        <v>58</v>
      </c>
      <c r="J237" s="416">
        <v>53</v>
      </c>
      <c r="K237" s="416">
        <v>66</v>
      </c>
      <c r="L237" s="416">
        <v>46</v>
      </c>
      <c r="M237" s="416">
        <v>60</v>
      </c>
      <c r="N237" s="416">
        <v>51</v>
      </c>
      <c r="O237" s="416">
        <v>54</v>
      </c>
      <c r="P237" s="416">
        <v>60</v>
      </c>
      <c r="Q237" s="416">
        <v>49</v>
      </c>
      <c r="R237" s="416">
        <v>76</v>
      </c>
      <c r="T237" s="416">
        <v>774</v>
      </c>
      <c r="V237" s="416">
        <f t="shared" si="3"/>
        <v>774</v>
      </c>
    </row>
    <row r="238" spans="1:22" x14ac:dyDescent="0.25">
      <c r="A238" s="416" t="s">
        <v>659</v>
      </c>
      <c r="B238" s="416" t="s">
        <v>1053</v>
      </c>
      <c r="C238" s="416" t="s">
        <v>221</v>
      </c>
      <c r="E238" s="416">
        <v>44</v>
      </c>
      <c r="F238" s="416">
        <v>23</v>
      </c>
      <c r="G238" s="416">
        <v>32</v>
      </c>
      <c r="H238" s="416">
        <v>17</v>
      </c>
      <c r="I238" s="416">
        <v>39</v>
      </c>
      <c r="J238" s="416">
        <v>28</v>
      </c>
      <c r="K238" s="416">
        <v>35</v>
      </c>
      <c r="L238" s="416">
        <v>38</v>
      </c>
      <c r="M238" s="416">
        <v>41</v>
      </c>
      <c r="N238" s="416">
        <v>29</v>
      </c>
      <c r="O238" s="416">
        <v>45</v>
      </c>
      <c r="P238" s="416">
        <v>35</v>
      </c>
      <c r="Q238" s="416">
        <v>35</v>
      </c>
      <c r="R238" s="416">
        <v>39</v>
      </c>
      <c r="T238" s="416">
        <v>480</v>
      </c>
      <c r="V238" s="416">
        <f t="shared" si="3"/>
        <v>480</v>
      </c>
    </row>
    <row r="239" spans="1:22" x14ac:dyDescent="0.25">
      <c r="A239" s="416" t="s">
        <v>661</v>
      </c>
      <c r="B239" s="416" t="s">
        <v>1054</v>
      </c>
      <c r="C239" s="416" t="s">
        <v>194</v>
      </c>
      <c r="F239" s="416">
        <v>9</v>
      </c>
      <c r="G239" s="416">
        <v>2</v>
      </c>
      <c r="H239" s="416">
        <v>4</v>
      </c>
      <c r="I239" s="416">
        <v>4</v>
      </c>
      <c r="J239" s="416">
        <v>1</v>
      </c>
      <c r="K239" s="416">
        <v>4</v>
      </c>
      <c r="L239" s="416">
        <v>6</v>
      </c>
      <c r="M239" s="416">
        <v>3</v>
      </c>
      <c r="N239" s="416">
        <v>6</v>
      </c>
      <c r="O239" s="416">
        <v>4</v>
      </c>
      <c r="P239" s="416">
        <v>1</v>
      </c>
      <c r="Q239" s="416">
        <v>4</v>
      </c>
      <c r="T239" s="416">
        <v>48</v>
      </c>
      <c r="V239" s="416">
        <f t="shared" si="3"/>
        <v>48</v>
      </c>
    </row>
    <row r="240" spans="1:22" x14ac:dyDescent="0.25">
      <c r="A240" s="416" t="s">
        <v>663</v>
      </c>
      <c r="B240" s="416" t="s">
        <v>1055</v>
      </c>
      <c r="C240" s="416" t="s">
        <v>228</v>
      </c>
      <c r="E240" s="416">
        <v>25</v>
      </c>
      <c r="F240" s="416">
        <v>27</v>
      </c>
      <c r="G240" s="416">
        <v>29</v>
      </c>
      <c r="H240" s="416">
        <v>31</v>
      </c>
      <c r="I240" s="416">
        <v>31</v>
      </c>
      <c r="J240" s="416">
        <v>42</v>
      </c>
      <c r="K240" s="416">
        <v>42</v>
      </c>
      <c r="L240" s="416">
        <v>34</v>
      </c>
      <c r="M240" s="416">
        <v>39</v>
      </c>
      <c r="N240" s="416">
        <v>28</v>
      </c>
      <c r="O240" s="416">
        <v>28</v>
      </c>
      <c r="P240" s="416">
        <v>25</v>
      </c>
      <c r="Q240" s="416">
        <v>31</v>
      </c>
      <c r="R240" s="416">
        <v>20</v>
      </c>
      <c r="T240" s="416">
        <v>432</v>
      </c>
      <c r="V240" s="416">
        <f t="shared" si="3"/>
        <v>432</v>
      </c>
    </row>
    <row r="241" spans="1:22" x14ac:dyDescent="0.25">
      <c r="A241" s="416" t="s">
        <v>665</v>
      </c>
      <c r="B241" s="416" t="s">
        <v>1145</v>
      </c>
      <c r="C241" s="416" t="s">
        <v>197</v>
      </c>
      <c r="V241" s="416">
        <f t="shared" si="3"/>
        <v>0</v>
      </c>
    </row>
    <row r="242" spans="1:22" x14ac:dyDescent="0.25">
      <c r="A242" s="416" t="s">
        <v>667</v>
      </c>
      <c r="B242" s="416" t="s">
        <v>1056</v>
      </c>
      <c r="C242" s="416" t="s">
        <v>189</v>
      </c>
      <c r="E242" s="416">
        <v>85</v>
      </c>
      <c r="F242" s="416">
        <v>36</v>
      </c>
      <c r="G242" s="416">
        <v>36</v>
      </c>
      <c r="H242" s="416">
        <v>47</v>
      </c>
      <c r="I242" s="416">
        <v>54</v>
      </c>
      <c r="J242" s="416">
        <v>38</v>
      </c>
      <c r="K242" s="416">
        <v>41</v>
      </c>
      <c r="L242" s="416">
        <v>34</v>
      </c>
      <c r="M242" s="416">
        <v>37</v>
      </c>
      <c r="N242" s="416">
        <v>41</v>
      </c>
      <c r="O242" s="416">
        <v>53</v>
      </c>
      <c r="P242" s="416">
        <v>50</v>
      </c>
      <c r="Q242" s="416">
        <v>46</v>
      </c>
      <c r="R242" s="416">
        <v>58</v>
      </c>
      <c r="T242" s="416">
        <v>656</v>
      </c>
      <c r="V242" s="416">
        <f t="shared" si="3"/>
        <v>656</v>
      </c>
    </row>
    <row r="243" spans="1:22" x14ac:dyDescent="0.25">
      <c r="A243" s="416" t="s">
        <v>669</v>
      </c>
      <c r="B243" s="416" t="s">
        <v>1057</v>
      </c>
      <c r="C243" s="416" t="s">
        <v>205</v>
      </c>
      <c r="E243" s="416">
        <v>85</v>
      </c>
      <c r="F243" s="416">
        <v>43</v>
      </c>
      <c r="G243" s="416">
        <v>81</v>
      </c>
      <c r="H243" s="416">
        <v>74</v>
      </c>
      <c r="I243" s="416">
        <v>87</v>
      </c>
      <c r="J243" s="416">
        <v>85</v>
      </c>
      <c r="K243" s="416">
        <v>102</v>
      </c>
      <c r="L243" s="416">
        <v>89</v>
      </c>
      <c r="M243" s="416">
        <v>83</v>
      </c>
      <c r="N243" s="416">
        <v>69</v>
      </c>
      <c r="O243" s="416">
        <v>75</v>
      </c>
      <c r="P243" s="416">
        <v>86</v>
      </c>
      <c r="Q243" s="416">
        <v>70</v>
      </c>
      <c r="R243" s="416">
        <v>82</v>
      </c>
      <c r="T243" s="416">
        <v>1111</v>
      </c>
      <c r="V243" s="416">
        <f t="shared" si="3"/>
        <v>1111</v>
      </c>
    </row>
    <row r="244" spans="1:22" x14ac:dyDescent="0.25">
      <c r="A244" s="416" t="s">
        <v>671</v>
      </c>
      <c r="B244" s="416" t="s">
        <v>1058</v>
      </c>
      <c r="C244" s="416" t="s">
        <v>210</v>
      </c>
      <c r="D244" s="416" t="s">
        <v>819</v>
      </c>
      <c r="F244" s="416">
        <v>1</v>
      </c>
      <c r="G244" s="416">
        <v>4</v>
      </c>
      <c r="H244" s="416">
        <v>1</v>
      </c>
      <c r="K244" s="416">
        <v>2</v>
      </c>
      <c r="T244" s="416">
        <v>8</v>
      </c>
      <c r="V244" s="416">
        <f t="shared" si="3"/>
        <v>8</v>
      </c>
    </row>
    <row r="245" spans="1:22" x14ac:dyDescent="0.25">
      <c r="A245" s="416" t="s">
        <v>673</v>
      </c>
      <c r="B245" s="416" t="s">
        <v>1059</v>
      </c>
      <c r="C245" s="416" t="s">
        <v>205</v>
      </c>
      <c r="H245" s="416">
        <v>1</v>
      </c>
      <c r="J245" s="416">
        <v>1</v>
      </c>
      <c r="K245" s="416">
        <v>1</v>
      </c>
      <c r="L245" s="416">
        <v>3</v>
      </c>
      <c r="N245" s="416">
        <v>2</v>
      </c>
      <c r="O245" s="416">
        <v>1</v>
      </c>
      <c r="P245" s="416">
        <v>3</v>
      </c>
      <c r="Q245" s="416">
        <v>1</v>
      </c>
      <c r="T245" s="416">
        <v>13</v>
      </c>
      <c r="V245" s="416">
        <f t="shared" si="3"/>
        <v>13</v>
      </c>
    </row>
    <row r="246" spans="1:22" x14ac:dyDescent="0.25">
      <c r="A246" s="416" t="s">
        <v>675</v>
      </c>
      <c r="B246" s="416" t="s">
        <v>1060</v>
      </c>
      <c r="C246" s="416" t="s">
        <v>197</v>
      </c>
      <c r="E246" s="416">
        <v>103</v>
      </c>
      <c r="F246" s="416">
        <v>62</v>
      </c>
      <c r="G246" s="416">
        <v>79</v>
      </c>
      <c r="H246" s="416">
        <v>77</v>
      </c>
      <c r="I246" s="416">
        <v>90</v>
      </c>
      <c r="J246" s="416">
        <v>86</v>
      </c>
      <c r="K246" s="416">
        <v>71</v>
      </c>
      <c r="L246" s="416">
        <v>90</v>
      </c>
      <c r="M246" s="416">
        <v>82</v>
      </c>
      <c r="N246" s="416">
        <v>91</v>
      </c>
      <c r="O246" s="416">
        <v>109</v>
      </c>
      <c r="P246" s="416">
        <v>79</v>
      </c>
      <c r="Q246" s="416">
        <v>94</v>
      </c>
      <c r="R246" s="416">
        <v>120</v>
      </c>
      <c r="T246" s="416">
        <v>1233</v>
      </c>
      <c r="V246" s="416">
        <f t="shared" si="3"/>
        <v>1233</v>
      </c>
    </row>
    <row r="247" spans="1:22" x14ac:dyDescent="0.25">
      <c r="A247" s="416" t="s">
        <v>677</v>
      </c>
      <c r="B247" s="416" t="s">
        <v>1061</v>
      </c>
      <c r="C247" s="416" t="s">
        <v>205</v>
      </c>
      <c r="E247" s="416">
        <v>62</v>
      </c>
      <c r="F247" s="416">
        <v>29</v>
      </c>
      <c r="G247" s="416">
        <v>42</v>
      </c>
      <c r="H247" s="416">
        <v>34</v>
      </c>
      <c r="I247" s="416">
        <v>64</v>
      </c>
      <c r="J247" s="416">
        <v>66</v>
      </c>
      <c r="K247" s="416">
        <v>51</v>
      </c>
      <c r="L247" s="416">
        <v>55</v>
      </c>
      <c r="M247" s="416">
        <v>54</v>
      </c>
      <c r="N247" s="416">
        <v>64</v>
      </c>
      <c r="O247" s="416">
        <v>50</v>
      </c>
      <c r="P247" s="416">
        <v>63</v>
      </c>
      <c r="Q247" s="416">
        <v>54</v>
      </c>
      <c r="R247" s="416">
        <v>44</v>
      </c>
      <c r="T247" s="416">
        <v>732</v>
      </c>
      <c r="V247" s="416">
        <f t="shared" si="3"/>
        <v>732</v>
      </c>
    </row>
    <row r="248" spans="1:22" x14ac:dyDescent="0.25">
      <c r="A248" s="416" t="s">
        <v>679</v>
      </c>
      <c r="B248" s="416" t="s">
        <v>1062</v>
      </c>
      <c r="C248" s="416" t="s">
        <v>231</v>
      </c>
      <c r="E248" s="416">
        <v>2</v>
      </c>
      <c r="F248" s="416">
        <v>10</v>
      </c>
      <c r="G248" s="416">
        <v>13</v>
      </c>
      <c r="H248" s="416">
        <v>4</v>
      </c>
      <c r="I248" s="416">
        <v>8</v>
      </c>
      <c r="J248" s="416">
        <v>3</v>
      </c>
      <c r="K248" s="416">
        <v>8</v>
      </c>
      <c r="L248" s="416">
        <v>11</v>
      </c>
      <c r="M248" s="416">
        <v>8</v>
      </c>
      <c r="N248" s="416">
        <v>3</v>
      </c>
      <c r="O248" s="416">
        <v>8</v>
      </c>
      <c r="P248" s="416">
        <v>7</v>
      </c>
      <c r="Q248" s="416">
        <v>10</v>
      </c>
      <c r="R248" s="416">
        <v>5</v>
      </c>
      <c r="T248" s="416">
        <v>100</v>
      </c>
      <c r="V248" s="416">
        <f t="shared" si="3"/>
        <v>100</v>
      </c>
    </row>
    <row r="249" spans="1:22" x14ac:dyDescent="0.25">
      <c r="A249" s="416" t="s">
        <v>682</v>
      </c>
      <c r="B249" s="416" t="s">
        <v>1063</v>
      </c>
      <c r="C249" s="416" t="s">
        <v>189</v>
      </c>
      <c r="E249" s="416">
        <v>3</v>
      </c>
      <c r="F249" s="416">
        <v>4</v>
      </c>
      <c r="G249" s="416">
        <v>5</v>
      </c>
      <c r="H249" s="416">
        <v>4</v>
      </c>
      <c r="I249" s="416">
        <v>5</v>
      </c>
      <c r="J249" s="416">
        <v>6</v>
      </c>
      <c r="K249" s="416">
        <v>7</v>
      </c>
      <c r="L249" s="416">
        <v>6</v>
      </c>
      <c r="M249" s="416">
        <v>6</v>
      </c>
      <c r="N249" s="416">
        <v>7</v>
      </c>
      <c r="O249" s="416">
        <v>8</v>
      </c>
      <c r="P249" s="416">
        <v>10</v>
      </c>
      <c r="Q249" s="416">
        <v>9</v>
      </c>
      <c r="R249" s="416">
        <v>8</v>
      </c>
      <c r="T249" s="416">
        <v>88</v>
      </c>
      <c r="V249" s="416">
        <f t="shared" si="3"/>
        <v>88</v>
      </c>
    </row>
    <row r="250" spans="1:22" x14ac:dyDescent="0.25">
      <c r="A250" s="416" t="s">
        <v>684</v>
      </c>
      <c r="B250" s="416" t="s">
        <v>1064</v>
      </c>
      <c r="C250" s="416" t="s">
        <v>228</v>
      </c>
      <c r="E250" s="416">
        <v>118</v>
      </c>
      <c r="F250" s="416">
        <v>73</v>
      </c>
      <c r="G250" s="416">
        <v>107</v>
      </c>
      <c r="H250" s="416">
        <v>96</v>
      </c>
      <c r="I250" s="416">
        <v>116</v>
      </c>
      <c r="J250" s="416">
        <v>124</v>
      </c>
      <c r="K250" s="416">
        <v>113</v>
      </c>
      <c r="L250" s="416">
        <v>95</v>
      </c>
      <c r="M250" s="416">
        <v>102</v>
      </c>
      <c r="N250" s="416">
        <v>93</v>
      </c>
      <c r="O250" s="416">
        <v>95</v>
      </c>
      <c r="P250" s="416">
        <v>111</v>
      </c>
      <c r="Q250" s="416">
        <v>91</v>
      </c>
      <c r="R250" s="416">
        <v>116</v>
      </c>
      <c r="T250" s="416">
        <v>1450</v>
      </c>
      <c r="V250" s="416">
        <f t="shared" si="3"/>
        <v>1450</v>
      </c>
    </row>
    <row r="251" spans="1:22" x14ac:dyDescent="0.25">
      <c r="A251" s="416" t="s">
        <v>686</v>
      </c>
      <c r="B251" s="416" t="s">
        <v>1065</v>
      </c>
      <c r="C251" s="416" t="s">
        <v>197</v>
      </c>
      <c r="E251" s="416">
        <v>10</v>
      </c>
      <c r="F251" s="416">
        <v>5</v>
      </c>
      <c r="G251" s="416">
        <v>12</v>
      </c>
      <c r="H251" s="416">
        <v>8</v>
      </c>
      <c r="I251" s="416">
        <v>19</v>
      </c>
      <c r="J251" s="416">
        <v>16</v>
      </c>
      <c r="K251" s="416">
        <v>12</v>
      </c>
      <c r="L251" s="416">
        <v>11</v>
      </c>
      <c r="M251" s="416">
        <v>14</v>
      </c>
      <c r="N251" s="416">
        <v>18</v>
      </c>
      <c r="O251" s="416">
        <v>6</v>
      </c>
      <c r="P251" s="416">
        <v>17</v>
      </c>
      <c r="Q251" s="416">
        <v>13</v>
      </c>
      <c r="R251" s="416">
        <v>16</v>
      </c>
      <c r="T251" s="416">
        <v>177</v>
      </c>
      <c r="V251" s="416">
        <f t="shared" si="3"/>
        <v>177</v>
      </c>
    </row>
    <row r="252" spans="1:22" x14ac:dyDescent="0.25">
      <c r="A252" s="416" t="s">
        <v>688</v>
      </c>
      <c r="B252" s="416" t="s">
        <v>1066</v>
      </c>
      <c r="C252" s="416" t="s">
        <v>189</v>
      </c>
      <c r="F252" s="416">
        <v>2</v>
      </c>
      <c r="G252" s="416">
        <v>5</v>
      </c>
      <c r="H252" s="416">
        <v>5</v>
      </c>
      <c r="I252" s="416">
        <v>4</v>
      </c>
      <c r="J252" s="416">
        <v>4</v>
      </c>
      <c r="K252" s="416">
        <v>2</v>
      </c>
      <c r="L252" s="416">
        <v>2</v>
      </c>
      <c r="M252" s="416">
        <v>4</v>
      </c>
      <c r="T252" s="416">
        <v>28</v>
      </c>
      <c r="V252" s="416">
        <f t="shared" si="3"/>
        <v>28</v>
      </c>
    </row>
    <row r="253" spans="1:22" x14ac:dyDescent="0.25">
      <c r="A253" s="416" t="s">
        <v>690</v>
      </c>
      <c r="B253" s="416" t="s">
        <v>1067</v>
      </c>
      <c r="C253" s="416" t="s">
        <v>194</v>
      </c>
      <c r="E253" s="416">
        <v>274</v>
      </c>
      <c r="F253" s="416">
        <v>276</v>
      </c>
      <c r="G253" s="416">
        <v>405</v>
      </c>
      <c r="H253" s="416">
        <v>382</v>
      </c>
      <c r="I253" s="416">
        <v>435</v>
      </c>
      <c r="J253" s="416">
        <v>402</v>
      </c>
      <c r="K253" s="416">
        <v>383</v>
      </c>
      <c r="L253" s="416">
        <v>367</v>
      </c>
      <c r="M253" s="416">
        <v>359</v>
      </c>
      <c r="N253" s="416">
        <v>342</v>
      </c>
      <c r="O253" s="416">
        <v>340</v>
      </c>
      <c r="P253" s="416">
        <v>319</v>
      </c>
      <c r="Q253" s="416">
        <v>294</v>
      </c>
      <c r="R253" s="416">
        <v>353</v>
      </c>
      <c r="T253" s="416">
        <v>4931</v>
      </c>
      <c r="V253" s="416">
        <f t="shared" si="3"/>
        <v>4931</v>
      </c>
    </row>
    <row r="254" spans="1:22" x14ac:dyDescent="0.25">
      <c r="A254" s="416" t="s">
        <v>692</v>
      </c>
      <c r="B254" s="416" t="s">
        <v>1244</v>
      </c>
      <c r="C254" s="416" t="s">
        <v>194</v>
      </c>
      <c r="F254" s="416">
        <v>5</v>
      </c>
      <c r="G254" s="416">
        <v>12</v>
      </c>
      <c r="H254" s="416">
        <v>14</v>
      </c>
      <c r="I254" s="416">
        <v>12</v>
      </c>
      <c r="J254" s="416">
        <v>8</v>
      </c>
      <c r="K254" s="416">
        <v>6</v>
      </c>
      <c r="L254" s="416">
        <v>4</v>
      </c>
      <c r="M254" s="416">
        <v>5</v>
      </c>
      <c r="N254" s="416">
        <v>10</v>
      </c>
      <c r="O254" s="416">
        <v>1</v>
      </c>
      <c r="P254" s="416">
        <v>2</v>
      </c>
      <c r="T254" s="416">
        <v>79</v>
      </c>
      <c r="V254" s="416">
        <f t="shared" si="3"/>
        <v>79</v>
      </c>
    </row>
    <row r="255" spans="1:22" x14ac:dyDescent="0.25">
      <c r="A255" s="416" t="s">
        <v>694</v>
      </c>
      <c r="B255" s="416" t="s">
        <v>1069</v>
      </c>
      <c r="C255" s="416" t="s">
        <v>194</v>
      </c>
      <c r="G255" s="416">
        <v>3</v>
      </c>
      <c r="H255" s="416">
        <v>2</v>
      </c>
      <c r="I255" s="416">
        <v>1</v>
      </c>
      <c r="J255" s="416">
        <v>1</v>
      </c>
      <c r="O255" s="416">
        <v>2</v>
      </c>
      <c r="P255" s="416">
        <v>5</v>
      </c>
      <c r="Q255" s="416">
        <v>1</v>
      </c>
      <c r="T255" s="416">
        <v>15</v>
      </c>
      <c r="V255" s="416">
        <f t="shared" si="3"/>
        <v>15</v>
      </c>
    </row>
    <row r="256" spans="1:22" x14ac:dyDescent="0.25">
      <c r="A256" s="416" t="s">
        <v>696</v>
      </c>
      <c r="B256" s="416" t="s">
        <v>1253</v>
      </c>
      <c r="C256" s="416" t="s">
        <v>194</v>
      </c>
      <c r="G256" s="416">
        <v>6</v>
      </c>
      <c r="H256" s="416">
        <v>2</v>
      </c>
      <c r="J256" s="416">
        <v>1</v>
      </c>
      <c r="K256" s="416">
        <v>2</v>
      </c>
      <c r="O256" s="416">
        <v>1</v>
      </c>
      <c r="P256" s="416">
        <v>4</v>
      </c>
      <c r="Q256" s="416">
        <v>2</v>
      </c>
      <c r="T256" s="416">
        <v>18</v>
      </c>
      <c r="V256" s="416">
        <f t="shared" si="3"/>
        <v>18</v>
      </c>
    </row>
    <row r="257" spans="1:22" x14ac:dyDescent="0.25">
      <c r="A257" s="416" t="s">
        <v>698</v>
      </c>
      <c r="B257" s="416" t="s">
        <v>1071</v>
      </c>
      <c r="C257" s="416" t="s">
        <v>197</v>
      </c>
      <c r="E257" s="416">
        <v>70</v>
      </c>
      <c r="F257" s="416">
        <v>46</v>
      </c>
      <c r="G257" s="416">
        <v>47</v>
      </c>
      <c r="H257" s="416">
        <v>52</v>
      </c>
      <c r="I257" s="416">
        <v>54</v>
      </c>
      <c r="J257" s="416">
        <v>57</v>
      </c>
      <c r="K257" s="416">
        <v>51</v>
      </c>
      <c r="L257" s="416">
        <v>66</v>
      </c>
      <c r="M257" s="416">
        <v>40</v>
      </c>
      <c r="N257" s="416">
        <v>51</v>
      </c>
      <c r="O257" s="416">
        <v>40</v>
      </c>
      <c r="P257" s="416">
        <v>58</v>
      </c>
      <c r="Q257" s="416">
        <v>42</v>
      </c>
      <c r="R257" s="416">
        <v>57</v>
      </c>
      <c r="T257" s="416">
        <v>731</v>
      </c>
      <c r="V257" s="416">
        <f t="shared" si="3"/>
        <v>731</v>
      </c>
    </row>
    <row r="258" spans="1:22" x14ac:dyDescent="0.25">
      <c r="A258" s="416" t="s">
        <v>700</v>
      </c>
      <c r="B258" s="416" t="s">
        <v>1146</v>
      </c>
      <c r="C258" s="416" t="s">
        <v>202</v>
      </c>
      <c r="V258" s="416">
        <f t="shared" si="3"/>
        <v>0</v>
      </c>
    </row>
    <row r="259" spans="1:22" x14ac:dyDescent="0.25">
      <c r="A259" s="416" t="s">
        <v>702</v>
      </c>
      <c r="B259" s="416" t="s">
        <v>1072</v>
      </c>
      <c r="C259" s="416" t="s">
        <v>202</v>
      </c>
      <c r="V259" s="416">
        <f t="shared" si="3"/>
        <v>0</v>
      </c>
    </row>
    <row r="260" spans="1:22" x14ac:dyDescent="0.25">
      <c r="A260" s="416" t="s">
        <v>704</v>
      </c>
      <c r="B260" s="416" t="s">
        <v>1147</v>
      </c>
      <c r="C260" s="416" t="s">
        <v>194</v>
      </c>
      <c r="V260" s="416">
        <f t="shared" ref="V260:V319" si="4">T260</f>
        <v>0</v>
      </c>
    </row>
    <row r="261" spans="1:22" x14ac:dyDescent="0.25">
      <c r="A261" s="416" t="s">
        <v>706</v>
      </c>
      <c r="B261" s="416" t="s">
        <v>1236</v>
      </c>
      <c r="C261" s="416" t="s">
        <v>205</v>
      </c>
      <c r="E261" s="416">
        <v>31</v>
      </c>
      <c r="F261" s="416">
        <v>20</v>
      </c>
      <c r="G261" s="416">
        <v>35</v>
      </c>
      <c r="H261" s="416">
        <v>32</v>
      </c>
      <c r="I261" s="416">
        <v>31</v>
      </c>
      <c r="J261" s="416">
        <v>43</v>
      </c>
      <c r="K261" s="416">
        <v>34</v>
      </c>
      <c r="L261" s="416">
        <v>29</v>
      </c>
      <c r="M261" s="416">
        <v>27</v>
      </c>
      <c r="N261" s="416">
        <v>35</v>
      </c>
      <c r="O261" s="416">
        <v>33</v>
      </c>
      <c r="P261" s="416">
        <v>20</v>
      </c>
      <c r="Q261" s="416">
        <v>27</v>
      </c>
      <c r="R261" s="416">
        <v>24</v>
      </c>
      <c r="T261" s="416">
        <v>421</v>
      </c>
      <c r="V261" s="416">
        <f t="shared" si="4"/>
        <v>421</v>
      </c>
    </row>
    <row r="262" spans="1:22" x14ac:dyDescent="0.25">
      <c r="A262" s="416" t="s">
        <v>708</v>
      </c>
      <c r="B262" s="416" t="s">
        <v>1074</v>
      </c>
      <c r="C262" s="416" t="s">
        <v>194</v>
      </c>
      <c r="E262" s="416">
        <v>1</v>
      </c>
      <c r="F262" s="416">
        <v>1</v>
      </c>
      <c r="M262" s="416">
        <v>2</v>
      </c>
      <c r="T262" s="416">
        <v>4</v>
      </c>
      <c r="V262" s="416">
        <f t="shared" si="4"/>
        <v>4</v>
      </c>
    </row>
    <row r="263" spans="1:22" x14ac:dyDescent="0.25">
      <c r="A263" s="416" t="s">
        <v>710</v>
      </c>
      <c r="B263" s="416" t="s">
        <v>1075</v>
      </c>
      <c r="C263" s="416" t="s">
        <v>210</v>
      </c>
      <c r="D263" s="416" t="s">
        <v>819</v>
      </c>
      <c r="E263" s="416">
        <v>6</v>
      </c>
      <c r="F263" s="416">
        <v>10</v>
      </c>
      <c r="G263" s="416">
        <v>12</v>
      </c>
      <c r="H263" s="416">
        <v>7</v>
      </c>
      <c r="I263" s="416">
        <v>10</v>
      </c>
      <c r="J263" s="416">
        <v>11</v>
      </c>
      <c r="K263" s="416">
        <v>10</v>
      </c>
      <c r="L263" s="416">
        <v>10</v>
      </c>
      <c r="M263" s="416">
        <v>11</v>
      </c>
      <c r="N263" s="416">
        <v>12</v>
      </c>
      <c r="O263" s="416">
        <v>14</v>
      </c>
      <c r="P263" s="416">
        <v>12</v>
      </c>
      <c r="Q263" s="416">
        <v>5</v>
      </c>
      <c r="R263" s="416">
        <v>6</v>
      </c>
      <c r="T263" s="416">
        <v>136</v>
      </c>
      <c r="V263" s="416">
        <f t="shared" si="4"/>
        <v>136</v>
      </c>
    </row>
    <row r="264" spans="1:22" x14ac:dyDescent="0.25">
      <c r="A264" s="416" t="s">
        <v>712</v>
      </c>
      <c r="B264" s="416" t="s">
        <v>1076</v>
      </c>
      <c r="C264" s="416" t="s">
        <v>197</v>
      </c>
      <c r="E264" s="416">
        <v>27</v>
      </c>
      <c r="F264" s="416">
        <v>11</v>
      </c>
      <c r="G264" s="416">
        <v>16</v>
      </c>
      <c r="H264" s="416">
        <v>23</v>
      </c>
      <c r="I264" s="416">
        <v>26</v>
      </c>
      <c r="J264" s="416">
        <v>31</v>
      </c>
      <c r="K264" s="416">
        <v>28</v>
      </c>
      <c r="L264" s="416">
        <v>24</v>
      </c>
      <c r="M264" s="416">
        <v>19</v>
      </c>
      <c r="N264" s="416">
        <v>31</v>
      </c>
      <c r="O264" s="416">
        <v>19</v>
      </c>
      <c r="P264" s="416">
        <v>29</v>
      </c>
      <c r="Q264" s="416">
        <v>27</v>
      </c>
      <c r="R264" s="416">
        <v>19</v>
      </c>
      <c r="T264" s="416">
        <v>330</v>
      </c>
      <c r="V264" s="416">
        <f t="shared" si="4"/>
        <v>330</v>
      </c>
    </row>
    <row r="265" spans="1:22" x14ac:dyDescent="0.25">
      <c r="A265" s="416" t="s">
        <v>714</v>
      </c>
      <c r="B265" s="416" t="s">
        <v>1231</v>
      </c>
      <c r="C265" s="416" t="s">
        <v>205</v>
      </c>
      <c r="L265" s="416">
        <v>12</v>
      </c>
      <c r="M265" s="416">
        <v>12</v>
      </c>
      <c r="N265" s="416">
        <v>15</v>
      </c>
      <c r="O265" s="416">
        <v>9</v>
      </c>
      <c r="P265" s="416">
        <v>16</v>
      </c>
      <c r="Q265" s="416">
        <v>16</v>
      </c>
      <c r="R265" s="416">
        <v>13</v>
      </c>
      <c r="T265" s="416">
        <v>93</v>
      </c>
      <c r="V265" s="416">
        <f t="shared" si="4"/>
        <v>93</v>
      </c>
    </row>
    <row r="266" spans="1:22" x14ac:dyDescent="0.25">
      <c r="A266" s="416" t="s">
        <v>716</v>
      </c>
      <c r="B266" s="416" t="s">
        <v>1239</v>
      </c>
      <c r="C266" s="416" t="s">
        <v>205</v>
      </c>
      <c r="O266" s="416">
        <v>5</v>
      </c>
      <c r="P266" s="416">
        <v>4</v>
      </c>
      <c r="Q266" s="416">
        <v>8</v>
      </c>
      <c r="R266" s="416">
        <v>4</v>
      </c>
      <c r="T266" s="416">
        <v>21</v>
      </c>
      <c r="V266" s="416">
        <f t="shared" si="4"/>
        <v>21</v>
      </c>
    </row>
    <row r="267" spans="1:22" x14ac:dyDescent="0.25">
      <c r="A267" s="416" t="s">
        <v>718</v>
      </c>
      <c r="B267" s="416" t="s">
        <v>1230</v>
      </c>
      <c r="C267" s="416" t="s">
        <v>205</v>
      </c>
      <c r="O267" s="416">
        <v>14</v>
      </c>
      <c r="P267" s="416">
        <v>16</v>
      </c>
      <c r="Q267" s="416">
        <v>15</v>
      </c>
      <c r="R267" s="416">
        <v>14</v>
      </c>
      <c r="T267" s="416">
        <v>59</v>
      </c>
      <c r="V267" s="416">
        <f t="shared" si="4"/>
        <v>59</v>
      </c>
    </row>
    <row r="268" spans="1:22" x14ac:dyDescent="0.25">
      <c r="A268" s="416" t="s">
        <v>720</v>
      </c>
      <c r="B268" s="416" t="s">
        <v>1080</v>
      </c>
      <c r="C268" s="416" t="s">
        <v>194</v>
      </c>
      <c r="G268" s="416">
        <v>1</v>
      </c>
      <c r="H268" s="416">
        <v>1</v>
      </c>
      <c r="I268" s="416">
        <v>2</v>
      </c>
      <c r="J268" s="416">
        <v>1</v>
      </c>
      <c r="K268" s="416">
        <v>2</v>
      </c>
      <c r="L268" s="416">
        <v>2</v>
      </c>
      <c r="M268" s="416">
        <v>1</v>
      </c>
      <c r="N268" s="416">
        <v>1</v>
      </c>
      <c r="T268" s="416">
        <v>11</v>
      </c>
      <c r="V268" s="416">
        <f t="shared" si="4"/>
        <v>11</v>
      </c>
    </row>
    <row r="269" spans="1:22" x14ac:dyDescent="0.25">
      <c r="A269" s="416" t="s">
        <v>722</v>
      </c>
      <c r="B269" s="416" t="s">
        <v>1238</v>
      </c>
      <c r="C269" s="416" t="s">
        <v>205</v>
      </c>
      <c r="E269" s="416">
        <v>123</v>
      </c>
      <c r="F269" s="416">
        <v>81</v>
      </c>
      <c r="G269" s="416">
        <v>101</v>
      </c>
      <c r="H269" s="416">
        <v>86</v>
      </c>
      <c r="I269" s="416">
        <v>98</v>
      </c>
      <c r="J269" s="416">
        <v>90</v>
      </c>
      <c r="K269" s="416">
        <v>87</v>
      </c>
      <c r="L269" s="416">
        <v>75</v>
      </c>
      <c r="M269" s="416">
        <v>93</v>
      </c>
      <c r="N269" s="416">
        <v>92</v>
      </c>
      <c r="O269" s="416">
        <v>107</v>
      </c>
      <c r="P269" s="416">
        <v>95</v>
      </c>
      <c r="Q269" s="416">
        <v>90</v>
      </c>
      <c r="R269" s="416">
        <v>101</v>
      </c>
      <c r="T269" s="416">
        <v>1319</v>
      </c>
      <c r="V269" s="416">
        <f t="shared" si="4"/>
        <v>1319</v>
      </c>
    </row>
    <row r="270" spans="1:22" x14ac:dyDescent="0.25">
      <c r="A270" s="416" t="s">
        <v>724</v>
      </c>
      <c r="B270" s="416" t="s">
        <v>1082</v>
      </c>
      <c r="C270" s="416" t="s">
        <v>221</v>
      </c>
      <c r="E270" s="416">
        <v>45</v>
      </c>
      <c r="F270" s="416">
        <v>40</v>
      </c>
      <c r="G270" s="416">
        <v>64</v>
      </c>
      <c r="H270" s="416">
        <v>58</v>
      </c>
      <c r="I270" s="416">
        <v>74</v>
      </c>
      <c r="J270" s="416">
        <v>74</v>
      </c>
      <c r="K270" s="416">
        <v>78</v>
      </c>
      <c r="L270" s="416">
        <v>72</v>
      </c>
      <c r="M270" s="416">
        <v>56</v>
      </c>
      <c r="N270" s="416">
        <v>82</v>
      </c>
      <c r="O270" s="416">
        <v>71</v>
      </c>
      <c r="P270" s="416">
        <v>62</v>
      </c>
      <c r="Q270" s="416">
        <v>79</v>
      </c>
      <c r="R270" s="416">
        <v>55</v>
      </c>
      <c r="T270" s="416">
        <v>910</v>
      </c>
      <c r="V270" s="416">
        <f t="shared" si="4"/>
        <v>910</v>
      </c>
    </row>
    <row r="271" spans="1:22" x14ac:dyDescent="0.25">
      <c r="A271" s="416" t="s">
        <v>726</v>
      </c>
      <c r="B271" s="416" t="s">
        <v>1234</v>
      </c>
      <c r="C271" s="416" t="s">
        <v>228</v>
      </c>
      <c r="L271" s="416">
        <v>1</v>
      </c>
      <c r="M271" s="416">
        <v>2</v>
      </c>
      <c r="N271" s="416">
        <v>5</v>
      </c>
      <c r="O271" s="416">
        <v>2</v>
      </c>
      <c r="P271" s="416">
        <v>5</v>
      </c>
      <c r="Q271" s="416">
        <v>2</v>
      </c>
      <c r="R271" s="416">
        <v>2</v>
      </c>
      <c r="T271" s="416">
        <v>19</v>
      </c>
      <c r="V271" s="416">
        <f t="shared" si="4"/>
        <v>19</v>
      </c>
    </row>
    <row r="272" spans="1:22" x14ac:dyDescent="0.25">
      <c r="A272" s="416" t="s">
        <v>728</v>
      </c>
      <c r="B272" s="416" t="s">
        <v>1084</v>
      </c>
      <c r="C272" s="416" t="s">
        <v>205</v>
      </c>
      <c r="E272" s="416">
        <v>301</v>
      </c>
      <c r="F272" s="416">
        <v>228</v>
      </c>
      <c r="G272" s="416">
        <v>293</v>
      </c>
      <c r="H272" s="416">
        <v>280</v>
      </c>
      <c r="I272" s="416">
        <v>303</v>
      </c>
      <c r="J272" s="416">
        <v>338</v>
      </c>
      <c r="K272" s="416">
        <v>307</v>
      </c>
      <c r="L272" s="416">
        <v>325</v>
      </c>
      <c r="M272" s="416">
        <v>339</v>
      </c>
      <c r="N272" s="416">
        <v>324</v>
      </c>
      <c r="O272" s="416">
        <v>338</v>
      </c>
      <c r="P272" s="416">
        <v>315</v>
      </c>
      <c r="Q272" s="416">
        <v>276</v>
      </c>
      <c r="R272" s="416">
        <v>362</v>
      </c>
      <c r="T272" s="416">
        <v>4329</v>
      </c>
      <c r="V272" s="416">
        <f t="shared" si="4"/>
        <v>4329</v>
      </c>
    </row>
    <row r="273" spans="1:22" x14ac:dyDescent="0.25">
      <c r="A273" s="416" t="s">
        <v>730</v>
      </c>
      <c r="B273" s="416" t="s">
        <v>1148</v>
      </c>
      <c r="C273" s="416" t="s">
        <v>189</v>
      </c>
      <c r="F273" s="416">
        <v>1</v>
      </c>
      <c r="G273" s="416">
        <v>2</v>
      </c>
      <c r="I273" s="416">
        <v>1</v>
      </c>
      <c r="J273" s="416">
        <v>4</v>
      </c>
      <c r="K273" s="416">
        <v>3</v>
      </c>
      <c r="L273" s="416">
        <v>5</v>
      </c>
      <c r="M273" s="416">
        <v>1</v>
      </c>
      <c r="N273" s="416">
        <v>6</v>
      </c>
      <c r="O273" s="416">
        <v>2</v>
      </c>
      <c r="P273" s="416">
        <v>1</v>
      </c>
      <c r="Q273" s="416">
        <v>8</v>
      </c>
      <c r="R273" s="416">
        <v>4</v>
      </c>
      <c r="T273" s="416">
        <v>38</v>
      </c>
      <c r="V273" s="416">
        <f t="shared" si="4"/>
        <v>38</v>
      </c>
    </row>
    <row r="274" spans="1:22" x14ac:dyDescent="0.25">
      <c r="A274" s="416" t="s">
        <v>732</v>
      </c>
      <c r="B274" s="416" t="s">
        <v>1085</v>
      </c>
      <c r="C274" s="416" t="s">
        <v>205</v>
      </c>
      <c r="E274" s="416">
        <v>97</v>
      </c>
      <c r="F274" s="416">
        <v>74</v>
      </c>
      <c r="G274" s="416">
        <v>72</v>
      </c>
      <c r="H274" s="416">
        <v>108</v>
      </c>
      <c r="I274" s="416">
        <v>117</v>
      </c>
      <c r="J274" s="416">
        <v>93</v>
      </c>
      <c r="K274" s="416">
        <v>84</v>
      </c>
      <c r="L274" s="416">
        <v>91</v>
      </c>
      <c r="M274" s="416">
        <v>74</v>
      </c>
      <c r="N274" s="416">
        <v>76</v>
      </c>
      <c r="O274" s="416">
        <v>66</v>
      </c>
      <c r="P274" s="416">
        <v>68</v>
      </c>
      <c r="Q274" s="416">
        <v>60</v>
      </c>
      <c r="R274" s="416">
        <v>90</v>
      </c>
      <c r="T274" s="416">
        <v>1170</v>
      </c>
      <c r="V274" s="416">
        <f t="shared" si="4"/>
        <v>1170</v>
      </c>
    </row>
    <row r="275" spans="1:22" x14ac:dyDescent="0.25">
      <c r="A275" s="416" t="s">
        <v>734</v>
      </c>
      <c r="B275" s="416" t="s">
        <v>1086</v>
      </c>
      <c r="C275" s="416" t="s">
        <v>194</v>
      </c>
      <c r="E275" s="416">
        <v>1</v>
      </c>
      <c r="F275" s="416">
        <v>1</v>
      </c>
      <c r="G275" s="416">
        <v>1</v>
      </c>
      <c r="H275" s="416">
        <v>2</v>
      </c>
      <c r="I275" s="416">
        <v>2</v>
      </c>
      <c r="J275" s="416">
        <v>5</v>
      </c>
      <c r="K275" s="416">
        <v>4</v>
      </c>
      <c r="L275" s="416">
        <v>5</v>
      </c>
      <c r="M275" s="416">
        <v>2</v>
      </c>
      <c r="N275" s="416">
        <v>1</v>
      </c>
      <c r="O275" s="416">
        <v>4</v>
      </c>
      <c r="P275" s="416">
        <v>1</v>
      </c>
      <c r="Q275" s="416">
        <v>3</v>
      </c>
      <c r="R275" s="416">
        <v>6</v>
      </c>
      <c r="T275" s="416">
        <v>38</v>
      </c>
      <c r="V275" s="416">
        <f t="shared" si="4"/>
        <v>38</v>
      </c>
    </row>
    <row r="276" spans="1:22" x14ac:dyDescent="0.25">
      <c r="A276" s="416" t="s">
        <v>736</v>
      </c>
      <c r="B276" s="416" t="s">
        <v>1087</v>
      </c>
      <c r="C276" s="416" t="s">
        <v>189</v>
      </c>
      <c r="E276" s="416">
        <v>10</v>
      </c>
      <c r="F276" s="416">
        <v>10</v>
      </c>
      <c r="G276" s="416">
        <v>18</v>
      </c>
      <c r="H276" s="416">
        <v>15</v>
      </c>
      <c r="I276" s="416">
        <v>22</v>
      </c>
      <c r="J276" s="416">
        <v>15</v>
      </c>
      <c r="K276" s="416">
        <v>18</v>
      </c>
      <c r="L276" s="416">
        <v>19</v>
      </c>
      <c r="M276" s="416">
        <v>15</v>
      </c>
      <c r="N276" s="416">
        <v>16</v>
      </c>
      <c r="O276" s="416">
        <v>16</v>
      </c>
      <c r="P276" s="416">
        <v>11</v>
      </c>
      <c r="Q276" s="416">
        <v>16</v>
      </c>
      <c r="R276" s="416">
        <v>18</v>
      </c>
      <c r="T276" s="416">
        <v>219</v>
      </c>
      <c r="V276" s="416">
        <f t="shared" si="4"/>
        <v>219</v>
      </c>
    </row>
    <row r="277" spans="1:22" x14ac:dyDescent="0.25">
      <c r="A277" s="416" t="s">
        <v>738</v>
      </c>
      <c r="B277" s="416" t="s">
        <v>1088</v>
      </c>
      <c r="C277" s="416" t="s">
        <v>221</v>
      </c>
      <c r="E277" s="416">
        <v>3</v>
      </c>
      <c r="F277" s="416">
        <v>2</v>
      </c>
      <c r="G277" s="416">
        <v>4</v>
      </c>
      <c r="H277" s="416">
        <v>3</v>
      </c>
      <c r="I277" s="416">
        <v>4</v>
      </c>
      <c r="J277" s="416">
        <v>4</v>
      </c>
      <c r="K277" s="416">
        <v>5</v>
      </c>
      <c r="L277" s="416">
        <v>3</v>
      </c>
      <c r="M277" s="416">
        <v>1</v>
      </c>
      <c r="O277" s="416">
        <v>1</v>
      </c>
      <c r="P277" s="416">
        <v>2</v>
      </c>
      <c r="R277" s="416">
        <v>2</v>
      </c>
      <c r="T277" s="416">
        <v>34</v>
      </c>
      <c r="V277" s="416">
        <f t="shared" si="4"/>
        <v>34</v>
      </c>
    </row>
    <row r="278" spans="1:22" x14ac:dyDescent="0.25">
      <c r="A278" s="416" t="s">
        <v>740</v>
      </c>
      <c r="B278" s="416" t="s">
        <v>1089</v>
      </c>
      <c r="C278" s="416" t="s">
        <v>189</v>
      </c>
      <c r="E278" s="416">
        <v>6</v>
      </c>
      <c r="F278" s="416">
        <v>11</v>
      </c>
      <c r="G278" s="416">
        <v>10</v>
      </c>
      <c r="H278" s="416">
        <v>9</v>
      </c>
      <c r="I278" s="416">
        <v>14</v>
      </c>
      <c r="J278" s="416">
        <v>10</v>
      </c>
      <c r="K278" s="416">
        <v>12</v>
      </c>
      <c r="L278" s="416">
        <v>5</v>
      </c>
      <c r="M278" s="416">
        <v>7</v>
      </c>
      <c r="N278" s="416">
        <v>10</v>
      </c>
      <c r="O278" s="416">
        <v>9</v>
      </c>
      <c r="P278" s="416">
        <v>10</v>
      </c>
      <c r="Q278" s="416">
        <v>17</v>
      </c>
      <c r="R278" s="416">
        <v>10</v>
      </c>
      <c r="T278" s="416">
        <v>140</v>
      </c>
      <c r="V278" s="416">
        <f t="shared" si="4"/>
        <v>140</v>
      </c>
    </row>
    <row r="279" spans="1:22" x14ac:dyDescent="0.25">
      <c r="A279" s="416" t="s">
        <v>742</v>
      </c>
      <c r="B279" s="416" t="s">
        <v>1090</v>
      </c>
      <c r="C279" s="416" t="s">
        <v>231</v>
      </c>
      <c r="E279" s="416">
        <v>6</v>
      </c>
      <c r="F279" s="416">
        <v>8</v>
      </c>
      <c r="G279" s="416">
        <v>2</v>
      </c>
      <c r="H279" s="416">
        <v>5</v>
      </c>
      <c r="I279" s="416">
        <v>10</v>
      </c>
      <c r="J279" s="416">
        <v>13</v>
      </c>
      <c r="K279" s="416">
        <v>8</v>
      </c>
      <c r="L279" s="416">
        <v>15</v>
      </c>
      <c r="M279" s="416">
        <v>11</v>
      </c>
      <c r="N279" s="416">
        <v>6</v>
      </c>
      <c r="O279" s="416">
        <v>6</v>
      </c>
      <c r="P279" s="416">
        <v>10</v>
      </c>
      <c r="Q279" s="416">
        <v>11</v>
      </c>
      <c r="R279" s="416">
        <v>15</v>
      </c>
      <c r="T279" s="416">
        <v>126</v>
      </c>
      <c r="V279" s="416">
        <f t="shared" si="4"/>
        <v>126</v>
      </c>
    </row>
    <row r="280" spans="1:22" x14ac:dyDescent="0.25">
      <c r="A280" s="416" t="s">
        <v>744</v>
      </c>
      <c r="B280" s="416" t="s">
        <v>1091</v>
      </c>
      <c r="C280" s="416" t="s">
        <v>221</v>
      </c>
      <c r="E280" s="416">
        <v>37</v>
      </c>
      <c r="F280" s="416">
        <v>16</v>
      </c>
      <c r="G280" s="416">
        <v>26</v>
      </c>
      <c r="H280" s="416">
        <v>31</v>
      </c>
      <c r="I280" s="416">
        <v>33</v>
      </c>
      <c r="J280" s="416">
        <v>27</v>
      </c>
      <c r="K280" s="416">
        <v>29</v>
      </c>
      <c r="L280" s="416">
        <v>43</v>
      </c>
      <c r="M280" s="416">
        <v>48</v>
      </c>
      <c r="N280" s="416">
        <v>50</v>
      </c>
      <c r="O280" s="416">
        <v>53</v>
      </c>
      <c r="P280" s="416">
        <v>41</v>
      </c>
      <c r="Q280" s="416">
        <v>41</v>
      </c>
      <c r="R280" s="416">
        <v>69</v>
      </c>
      <c r="T280" s="416">
        <v>544</v>
      </c>
      <c r="V280" s="416">
        <f t="shared" si="4"/>
        <v>544</v>
      </c>
    </row>
    <row r="281" spans="1:22" x14ac:dyDescent="0.25">
      <c r="A281" s="416" t="s">
        <v>746</v>
      </c>
      <c r="B281" s="416" t="s">
        <v>1092</v>
      </c>
      <c r="C281" s="416" t="s">
        <v>202</v>
      </c>
      <c r="E281" s="416">
        <v>3</v>
      </c>
      <c r="F281" s="416">
        <v>1</v>
      </c>
      <c r="G281" s="416">
        <v>1</v>
      </c>
      <c r="H281" s="416">
        <v>2</v>
      </c>
      <c r="K281" s="416">
        <v>1</v>
      </c>
      <c r="L281" s="416">
        <v>1</v>
      </c>
      <c r="M281" s="416">
        <v>2</v>
      </c>
      <c r="N281" s="416">
        <v>1</v>
      </c>
      <c r="P281" s="416">
        <v>1</v>
      </c>
      <c r="Q281" s="416">
        <v>1</v>
      </c>
      <c r="R281" s="416">
        <v>5</v>
      </c>
      <c r="T281" s="416">
        <v>19</v>
      </c>
      <c r="V281" s="416">
        <f t="shared" si="4"/>
        <v>19</v>
      </c>
    </row>
    <row r="282" spans="1:22" x14ac:dyDescent="0.25">
      <c r="A282" s="416" t="s">
        <v>748</v>
      </c>
      <c r="B282" s="416" t="s">
        <v>1093</v>
      </c>
      <c r="C282" s="416" t="s">
        <v>210</v>
      </c>
      <c r="D282" s="416" t="s">
        <v>819</v>
      </c>
      <c r="E282" s="416">
        <v>4</v>
      </c>
      <c r="F282" s="416">
        <v>8</v>
      </c>
      <c r="G282" s="416">
        <v>16</v>
      </c>
      <c r="H282" s="416">
        <v>9</v>
      </c>
      <c r="I282" s="416">
        <v>8</v>
      </c>
      <c r="J282" s="416">
        <v>4</v>
      </c>
      <c r="K282" s="416">
        <v>14</v>
      </c>
      <c r="L282" s="416">
        <v>10</v>
      </c>
      <c r="M282" s="416">
        <v>8</v>
      </c>
      <c r="N282" s="416">
        <v>2</v>
      </c>
      <c r="O282" s="416">
        <v>6</v>
      </c>
      <c r="P282" s="416">
        <v>5</v>
      </c>
      <c r="Q282" s="416">
        <v>6</v>
      </c>
      <c r="R282" s="416">
        <v>3</v>
      </c>
      <c r="T282" s="416">
        <v>103</v>
      </c>
      <c r="V282" s="416">
        <f t="shared" si="4"/>
        <v>103</v>
      </c>
    </row>
    <row r="283" spans="1:22" x14ac:dyDescent="0.25">
      <c r="A283" s="416" t="s">
        <v>750</v>
      </c>
      <c r="B283" s="416" t="s">
        <v>1094</v>
      </c>
      <c r="C283" s="416" t="s">
        <v>210</v>
      </c>
      <c r="D283" s="416" t="s">
        <v>819</v>
      </c>
      <c r="E283" s="416">
        <v>2</v>
      </c>
      <c r="G283" s="416">
        <v>2</v>
      </c>
      <c r="H283" s="416">
        <v>2</v>
      </c>
      <c r="I283" s="416">
        <v>1</v>
      </c>
      <c r="L283" s="416">
        <v>3</v>
      </c>
      <c r="M283" s="416">
        <v>3</v>
      </c>
      <c r="N283" s="416">
        <v>2</v>
      </c>
      <c r="O283" s="416">
        <v>1</v>
      </c>
      <c r="P283" s="416">
        <v>3</v>
      </c>
      <c r="Q283" s="416">
        <v>2</v>
      </c>
      <c r="R283" s="416">
        <v>1</v>
      </c>
      <c r="T283" s="416">
        <v>22</v>
      </c>
      <c r="V283" s="416">
        <f t="shared" si="4"/>
        <v>22</v>
      </c>
    </row>
    <row r="284" spans="1:22" x14ac:dyDescent="0.25">
      <c r="A284" s="416" t="s">
        <v>752</v>
      </c>
      <c r="B284" s="416" t="s">
        <v>1095</v>
      </c>
      <c r="C284" s="416" t="s">
        <v>205</v>
      </c>
      <c r="E284" s="416">
        <v>18</v>
      </c>
      <c r="F284" s="416">
        <v>11</v>
      </c>
      <c r="G284" s="416">
        <v>12</v>
      </c>
      <c r="H284" s="416">
        <v>13</v>
      </c>
      <c r="I284" s="416">
        <v>26</v>
      </c>
      <c r="J284" s="416">
        <v>33</v>
      </c>
      <c r="K284" s="416">
        <v>24</v>
      </c>
      <c r="L284" s="416">
        <v>35</v>
      </c>
      <c r="M284" s="416">
        <v>23</v>
      </c>
      <c r="N284" s="416">
        <v>25</v>
      </c>
      <c r="O284" s="416">
        <v>32</v>
      </c>
      <c r="P284" s="416">
        <v>32</v>
      </c>
      <c r="Q284" s="416">
        <v>19</v>
      </c>
      <c r="R284" s="416">
        <v>23</v>
      </c>
      <c r="T284" s="416">
        <v>326</v>
      </c>
      <c r="V284" s="416">
        <f t="shared" si="4"/>
        <v>326</v>
      </c>
    </row>
    <row r="285" spans="1:22" x14ac:dyDescent="0.25">
      <c r="A285" s="416" t="s">
        <v>754</v>
      </c>
      <c r="B285" s="416" t="s">
        <v>1096</v>
      </c>
      <c r="C285" s="416" t="s">
        <v>189</v>
      </c>
      <c r="E285" s="416">
        <v>69</v>
      </c>
      <c r="F285" s="416">
        <v>53</v>
      </c>
      <c r="G285" s="416">
        <v>84</v>
      </c>
      <c r="H285" s="416">
        <v>65</v>
      </c>
      <c r="I285" s="416">
        <v>60</v>
      </c>
      <c r="J285" s="416">
        <v>69</v>
      </c>
      <c r="K285" s="416">
        <v>79</v>
      </c>
      <c r="L285" s="416">
        <v>77</v>
      </c>
      <c r="M285" s="416">
        <v>75</v>
      </c>
      <c r="N285" s="416">
        <v>47</v>
      </c>
      <c r="O285" s="416">
        <v>71</v>
      </c>
      <c r="P285" s="416">
        <v>47</v>
      </c>
      <c r="Q285" s="416">
        <v>57</v>
      </c>
      <c r="R285" s="416">
        <v>70</v>
      </c>
      <c r="T285" s="416">
        <v>923</v>
      </c>
      <c r="V285" s="416">
        <f t="shared" si="4"/>
        <v>923</v>
      </c>
    </row>
    <row r="286" spans="1:22" x14ac:dyDescent="0.25">
      <c r="A286" s="416" t="s">
        <v>756</v>
      </c>
      <c r="B286" s="416" t="s">
        <v>1097</v>
      </c>
      <c r="C286" s="416" t="s">
        <v>221</v>
      </c>
      <c r="E286" s="416">
        <v>7</v>
      </c>
      <c r="F286" s="416">
        <v>5</v>
      </c>
      <c r="G286" s="416">
        <v>10</v>
      </c>
      <c r="H286" s="416">
        <v>4</v>
      </c>
      <c r="I286" s="416">
        <v>7</v>
      </c>
      <c r="J286" s="416">
        <v>7</v>
      </c>
      <c r="K286" s="416">
        <v>7</v>
      </c>
      <c r="L286" s="416">
        <v>7</v>
      </c>
      <c r="M286" s="416">
        <v>11</v>
      </c>
      <c r="N286" s="416">
        <v>7</v>
      </c>
      <c r="T286" s="416">
        <v>72</v>
      </c>
      <c r="V286" s="416">
        <f t="shared" si="4"/>
        <v>72</v>
      </c>
    </row>
    <row r="287" spans="1:22" x14ac:dyDescent="0.25">
      <c r="A287" s="416" t="s">
        <v>758</v>
      </c>
      <c r="B287" s="416" t="s">
        <v>1098</v>
      </c>
      <c r="C287" s="416" t="s">
        <v>205</v>
      </c>
      <c r="E287" s="416">
        <v>45</v>
      </c>
      <c r="F287" s="416">
        <v>28</v>
      </c>
      <c r="G287" s="416">
        <v>39</v>
      </c>
      <c r="H287" s="416">
        <v>50</v>
      </c>
      <c r="I287" s="416">
        <v>40</v>
      </c>
      <c r="J287" s="416">
        <v>43</v>
      </c>
      <c r="K287" s="416">
        <v>49</v>
      </c>
      <c r="L287" s="416">
        <v>31</v>
      </c>
      <c r="M287" s="416">
        <v>36</v>
      </c>
      <c r="N287" s="416">
        <v>50</v>
      </c>
      <c r="O287" s="416">
        <v>29</v>
      </c>
      <c r="P287" s="416">
        <v>44</v>
      </c>
      <c r="Q287" s="416">
        <v>25</v>
      </c>
      <c r="R287" s="416">
        <v>48</v>
      </c>
      <c r="T287" s="416">
        <v>557</v>
      </c>
      <c r="V287" s="416">
        <f t="shared" si="4"/>
        <v>557</v>
      </c>
    </row>
    <row r="288" spans="1:22" x14ac:dyDescent="0.25">
      <c r="A288" s="416" t="s">
        <v>760</v>
      </c>
      <c r="B288" s="416" t="s">
        <v>1246</v>
      </c>
      <c r="C288" s="416" t="s">
        <v>194</v>
      </c>
      <c r="E288" s="416">
        <v>5</v>
      </c>
      <c r="F288" s="416">
        <v>12</v>
      </c>
      <c r="G288" s="416">
        <v>7</v>
      </c>
      <c r="H288" s="416">
        <v>3</v>
      </c>
      <c r="I288" s="416">
        <v>9</v>
      </c>
      <c r="J288" s="416">
        <v>12</v>
      </c>
      <c r="K288" s="416">
        <v>7</v>
      </c>
      <c r="L288" s="416">
        <v>18</v>
      </c>
      <c r="M288" s="416">
        <v>13</v>
      </c>
      <c r="N288" s="416">
        <v>17</v>
      </c>
      <c r="P288" s="416">
        <v>6</v>
      </c>
      <c r="R288" s="416">
        <v>1</v>
      </c>
      <c r="T288" s="416">
        <v>110</v>
      </c>
      <c r="V288" s="416">
        <f t="shared" si="4"/>
        <v>110</v>
      </c>
    </row>
    <row r="289" spans="1:22" x14ac:dyDescent="0.25">
      <c r="A289" s="416" t="s">
        <v>762</v>
      </c>
      <c r="B289" s="416" t="s">
        <v>1100</v>
      </c>
      <c r="C289" s="416" t="s">
        <v>210</v>
      </c>
      <c r="E289" s="416">
        <v>201</v>
      </c>
      <c r="F289" s="416">
        <v>197</v>
      </c>
      <c r="G289" s="416">
        <v>259</v>
      </c>
      <c r="H289" s="416">
        <v>249</v>
      </c>
      <c r="I289" s="416">
        <v>261</v>
      </c>
      <c r="J289" s="416">
        <v>265</v>
      </c>
      <c r="K289" s="416">
        <v>272</v>
      </c>
      <c r="L289" s="416">
        <v>237</v>
      </c>
      <c r="M289" s="416">
        <v>213</v>
      </c>
      <c r="N289" s="416">
        <v>248</v>
      </c>
      <c r="O289" s="416">
        <v>240</v>
      </c>
      <c r="P289" s="416">
        <v>220</v>
      </c>
      <c r="Q289" s="416">
        <v>172</v>
      </c>
      <c r="R289" s="416">
        <v>245</v>
      </c>
      <c r="T289" s="416">
        <v>3279</v>
      </c>
      <c r="V289" s="416">
        <f t="shared" si="4"/>
        <v>3279</v>
      </c>
    </row>
    <row r="290" spans="1:22" x14ac:dyDescent="0.25">
      <c r="A290" s="416" t="s">
        <v>764</v>
      </c>
      <c r="B290" s="416" t="s">
        <v>1101</v>
      </c>
      <c r="C290" s="416" t="s">
        <v>205</v>
      </c>
      <c r="E290" s="416">
        <v>14</v>
      </c>
      <c r="F290" s="416">
        <v>12</v>
      </c>
      <c r="G290" s="416">
        <v>7</v>
      </c>
      <c r="H290" s="416">
        <v>9</v>
      </c>
      <c r="I290" s="416">
        <v>11</v>
      </c>
      <c r="J290" s="416">
        <v>13</v>
      </c>
      <c r="K290" s="416">
        <v>9</v>
      </c>
      <c r="L290" s="416">
        <v>16</v>
      </c>
      <c r="M290" s="416">
        <v>16</v>
      </c>
      <c r="N290" s="416">
        <v>17</v>
      </c>
      <c r="O290" s="416">
        <v>22</v>
      </c>
      <c r="P290" s="416">
        <v>16</v>
      </c>
      <c r="Q290" s="416">
        <v>12</v>
      </c>
      <c r="R290" s="416">
        <v>11</v>
      </c>
      <c r="T290" s="416">
        <v>185</v>
      </c>
      <c r="V290" s="416">
        <f t="shared" si="4"/>
        <v>185</v>
      </c>
    </row>
    <row r="291" spans="1:22" x14ac:dyDescent="0.25">
      <c r="A291" s="416" t="s">
        <v>766</v>
      </c>
      <c r="B291" s="416" t="s">
        <v>1102</v>
      </c>
      <c r="C291" s="416" t="s">
        <v>210</v>
      </c>
      <c r="D291" s="416" t="s">
        <v>819</v>
      </c>
      <c r="E291" s="416">
        <v>2</v>
      </c>
      <c r="F291" s="416">
        <v>4</v>
      </c>
      <c r="G291" s="416">
        <v>4</v>
      </c>
      <c r="H291" s="416">
        <v>3</v>
      </c>
      <c r="I291" s="416">
        <v>6</v>
      </c>
      <c r="J291" s="416">
        <v>4</v>
      </c>
      <c r="K291" s="416">
        <v>6</v>
      </c>
      <c r="L291" s="416">
        <v>4</v>
      </c>
      <c r="M291" s="416">
        <v>2</v>
      </c>
      <c r="N291" s="416">
        <v>8</v>
      </c>
      <c r="O291" s="416">
        <v>4</v>
      </c>
      <c r="P291" s="416">
        <v>9</v>
      </c>
      <c r="Q291" s="416">
        <v>3</v>
      </c>
      <c r="R291" s="416">
        <v>13</v>
      </c>
      <c r="T291" s="416">
        <v>72</v>
      </c>
      <c r="V291" s="416">
        <f t="shared" si="4"/>
        <v>72</v>
      </c>
    </row>
    <row r="292" spans="1:22" x14ac:dyDescent="0.25">
      <c r="A292" s="416" t="s">
        <v>768</v>
      </c>
      <c r="B292" s="416" t="s">
        <v>1103</v>
      </c>
      <c r="C292" s="416" t="s">
        <v>221</v>
      </c>
      <c r="E292" s="416">
        <v>30</v>
      </c>
      <c r="F292" s="416">
        <v>21</v>
      </c>
      <c r="G292" s="416">
        <v>11</v>
      </c>
      <c r="H292" s="416">
        <v>22</v>
      </c>
      <c r="I292" s="416">
        <v>11</v>
      </c>
      <c r="J292" s="416">
        <v>18</v>
      </c>
      <c r="K292" s="416">
        <v>21</v>
      </c>
      <c r="L292" s="416">
        <v>25</v>
      </c>
      <c r="M292" s="416">
        <v>17</v>
      </c>
      <c r="N292" s="416">
        <v>17</v>
      </c>
      <c r="O292" s="416">
        <v>35</v>
      </c>
      <c r="P292" s="416">
        <v>22</v>
      </c>
      <c r="Q292" s="416">
        <v>19</v>
      </c>
      <c r="R292" s="416">
        <v>44</v>
      </c>
      <c r="T292" s="416">
        <v>313</v>
      </c>
      <c r="V292" s="416">
        <f t="shared" si="4"/>
        <v>313</v>
      </c>
    </row>
    <row r="293" spans="1:22" x14ac:dyDescent="0.25">
      <c r="A293" s="416" t="s">
        <v>770</v>
      </c>
      <c r="B293" s="416" t="s">
        <v>1104</v>
      </c>
      <c r="C293" s="416" t="s">
        <v>202</v>
      </c>
      <c r="D293" s="416" t="s">
        <v>819</v>
      </c>
      <c r="E293" s="416">
        <v>1</v>
      </c>
      <c r="F293" s="416">
        <v>2</v>
      </c>
      <c r="G293" s="416">
        <v>2</v>
      </c>
      <c r="H293" s="416">
        <v>3</v>
      </c>
      <c r="I293" s="416">
        <v>1</v>
      </c>
      <c r="J293" s="416">
        <v>1</v>
      </c>
      <c r="K293" s="416">
        <v>3</v>
      </c>
      <c r="M293" s="416">
        <v>1</v>
      </c>
      <c r="O293" s="416">
        <v>2</v>
      </c>
      <c r="P293" s="416">
        <v>3</v>
      </c>
      <c r="Q293" s="416">
        <v>2</v>
      </c>
      <c r="R293" s="416">
        <v>2</v>
      </c>
      <c r="T293" s="416">
        <v>23</v>
      </c>
      <c r="V293" s="416">
        <f t="shared" si="4"/>
        <v>23</v>
      </c>
    </row>
    <row r="294" spans="1:22" x14ac:dyDescent="0.25">
      <c r="A294" s="416" t="s">
        <v>772</v>
      </c>
      <c r="B294" s="416" t="s">
        <v>1105</v>
      </c>
      <c r="C294" s="416" t="s">
        <v>202</v>
      </c>
      <c r="E294" s="416">
        <v>33</v>
      </c>
      <c r="F294" s="416">
        <v>44</v>
      </c>
      <c r="G294" s="416">
        <v>45</v>
      </c>
      <c r="H294" s="416">
        <v>59</v>
      </c>
      <c r="I294" s="416">
        <v>61</v>
      </c>
      <c r="J294" s="416">
        <v>66</v>
      </c>
      <c r="K294" s="416">
        <v>64</v>
      </c>
      <c r="L294" s="416">
        <v>63</v>
      </c>
      <c r="M294" s="416">
        <v>63</v>
      </c>
      <c r="N294" s="416">
        <v>86</v>
      </c>
      <c r="O294" s="416">
        <v>61</v>
      </c>
      <c r="P294" s="416">
        <v>67</v>
      </c>
      <c r="Q294" s="416">
        <v>60</v>
      </c>
      <c r="R294" s="416">
        <v>81</v>
      </c>
      <c r="T294" s="416">
        <v>853</v>
      </c>
      <c r="V294" s="416">
        <f t="shared" si="4"/>
        <v>853</v>
      </c>
    </row>
    <row r="295" spans="1:22" x14ac:dyDescent="0.25">
      <c r="A295" s="416" t="s">
        <v>774</v>
      </c>
      <c r="B295" s="416" t="s">
        <v>1106</v>
      </c>
      <c r="C295" s="416" t="s">
        <v>221</v>
      </c>
      <c r="E295" s="416">
        <v>12</v>
      </c>
      <c r="F295" s="416">
        <v>37</v>
      </c>
      <c r="G295" s="416">
        <v>37</v>
      </c>
      <c r="H295" s="416">
        <v>25</v>
      </c>
      <c r="I295" s="416">
        <v>39</v>
      </c>
      <c r="J295" s="416">
        <v>26</v>
      </c>
      <c r="K295" s="416">
        <v>35</v>
      </c>
      <c r="L295" s="416">
        <v>38</v>
      </c>
      <c r="M295" s="416">
        <v>36</v>
      </c>
      <c r="N295" s="416">
        <v>39</v>
      </c>
      <c r="O295" s="416">
        <v>35</v>
      </c>
      <c r="P295" s="416">
        <v>24</v>
      </c>
      <c r="Q295" s="416">
        <v>27</v>
      </c>
      <c r="R295" s="416">
        <v>34</v>
      </c>
      <c r="T295" s="416">
        <v>444</v>
      </c>
      <c r="V295" s="416">
        <f t="shared" si="4"/>
        <v>444</v>
      </c>
    </row>
    <row r="296" spans="1:22" x14ac:dyDescent="0.25">
      <c r="A296" s="416" t="s">
        <v>776</v>
      </c>
      <c r="B296" s="416" t="s">
        <v>1107</v>
      </c>
      <c r="C296" s="416" t="s">
        <v>231</v>
      </c>
      <c r="E296" s="416">
        <v>11</v>
      </c>
      <c r="F296" s="416">
        <v>7</v>
      </c>
      <c r="G296" s="416">
        <v>8</v>
      </c>
      <c r="H296" s="416">
        <v>10</v>
      </c>
      <c r="I296" s="416">
        <v>8</v>
      </c>
      <c r="J296" s="416">
        <v>8</v>
      </c>
      <c r="K296" s="416">
        <v>12</v>
      </c>
      <c r="L296" s="416">
        <v>13</v>
      </c>
      <c r="M296" s="416">
        <v>13</v>
      </c>
      <c r="N296" s="416">
        <v>9</v>
      </c>
      <c r="O296" s="416">
        <v>8</v>
      </c>
      <c r="P296" s="416">
        <v>11</v>
      </c>
      <c r="Q296" s="416">
        <v>10</v>
      </c>
      <c r="R296" s="416">
        <v>12</v>
      </c>
      <c r="T296" s="416">
        <v>140</v>
      </c>
      <c r="V296" s="416">
        <f t="shared" si="4"/>
        <v>140</v>
      </c>
    </row>
    <row r="297" spans="1:22" x14ac:dyDescent="0.25">
      <c r="A297" s="416" t="s">
        <v>778</v>
      </c>
      <c r="B297" s="416" t="s">
        <v>1108</v>
      </c>
      <c r="C297" s="416" t="s">
        <v>210</v>
      </c>
      <c r="E297" s="416">
        <v>29</v>
      </c>
      <c r="F297" s="416">
        <v>27</v>
      </c>
      <c r="G297" s="416">
        <v>37</v>
      </c>
      <c r="H297" s="416">
        <v>32</v>
      </c>
      <c r="I297" s="416">
        <v>34</v>
      </c>
      <c r="J297" s="416">
        <v>37</v>
      </c>
      <c r="K297" s="416">
        <v>31</v>
      </c>
      <c r="L297" s="416">
        <v>34</v>
      </c>
      <c r="M297" s="416">
        <v>35</v>
      </c>
      <c r="N297" s="416">
        <v>35</v>
      </c>
      <c r="O297" s="416">
        <v>33</v>
      </c>
      <c r="P297" s="416">
        <v>27</v>
      </c>
      <c r="Q297" s="416">
        <v>38</v>
      </c>
      <c r="R297" s="416">
        <v>39</v>
      </c>
      <c r="T297" s="416">
        <v>468</v>
      </c>
      <c r="V297" s="416">
        <f t="shared" si="4"/>
        <v>468</v>
      </c>
    </row>
    <row r="298" spans="1:22" x14ac:dyDescent="0.25">
      <c r="A298" s="416" t="s">
        <v>780</v>
      </c>
      <c r="B298" s="416" t="s">
        <v>1109</v>
      </c>
      <c r="C298" s="416" t="s">
        <v>194</v>
      </c>
      <c r="E298" s="416">
        <v>2</v>
      </c>
      <c r="G298" s="416">
        <v>1</v>
      </c>
      <c r="H298" s="416">
        <v>1</v>
      </c>
      <c r="I298" s="416">
        <v>2</v>
      </c>
      <c r="J298" s="416">
        <v>1</v>
      </c>
      <c r="L298" s="416">
        <v>2</v>
      </c>
      <c r="M298" s="416">
        <v>3</v>
      </c>
      <c r="N298" s="416">
        <v>1</v>
      </c>
      <c r="P298" s="416">
        <v>1</v>
      </c>
      <c r="T298" s="416">
        <v>14</v>
      </c>
      <c r="V298" s="416">
        <f t="shared" si="4"/>
        <v>14</v>
      </c>
    </row>
    <row r="299" spans="1:22" x14ac:dyDescent="0.25">
      <c r="A299" s="416" t="s">
        <v>782</v>
      </c>
      <c r="B299" s="416" t="s">
        <v>1110</v>
      </c>
      <c r="C299" s="416" t="s">
        <v>231</v>
      </c>
      <c r="E299" s="416">
        <v>1</v>
      </c>
      <c r="F299" s="416">
        <v>3</v>
      </c>
      <c r="G299" s="416">
        <v>2</v>
      </c>
      <c r="I299" s="416">
        <v>3</v>
      </c>
      <c r="J299" s="416">
        <v>3</v>
      </c>
      <c r="K299" s="416">
        <v>2</v>
      </c>
      <c r="L299" s="416">
        <v>3</v>
      </c>
      <c r="M299" s="416">
        <v>2</v>
      </c>
      <c r="N299" s="416">
        <v>4</v>
      </c>
      <c r="O299" s="416">
        <v>4</v>
      </c>
      <c r="P299" s="416">
        <v>6</v>
      </c>
      <c r="Q299" s="416">
        <v>4</v>
      </c>
      <c r="R299" s="416">
        <v>5</v>
      </c>
      <c r="T299" s="416">
        <v>42</v>
      </c>
      <c r="V299" s="416">
        <f t="shared" si="4"/>
        <v>42</v>
      </c>
    </row>
    <row r="300" spans="1:22" x14ac:dyDescent="0.25">
      <c r="A300" s="416" t="s">
        <v>784</v>
      </c>
      <c r="B300" s="416" t="s">
        <v>1111</v>
      </c>
      <c r="C300" s="416" t="s">
        <v>194</v>
      </c>
      <c r="E300" s="416">
        <v>1</v>
      </c>
      <c r="F300" s="416">
        <v>3</v>
      </c>
      <c r="G300" s="416">
        <v>2</v>
      </c>
      <c r="H300" s="416">
        <v>3</v>
      </c>
      <c r="I300" s="416">
        <v>2</v>
      </c>
      <c r="J300" s="416">
        <v>6</v>
      </c>
      <c r="K300" s="416">
        <v>4</v>
      </c>
      <c r="L300" s="416">
        <v>5</v>
      </c>
      <c r="M300" s="416">
        <v>3</v>
      </c>
      <c r="N300" s="416">
        <v>2</v>
      </c>
      <c r="O300" s="416">
        <v>1</v>
      </c>
      <c r="P300" s="416">
        <v>6</v>
      </c>
      <c r="Q300" s="416">
        <v>7</v>
      </c>
      <c r="R300" s="416">
        <v>16</v>
      </c>
      <c r="T300" s="416">
        <v>61</v>
      </c>
      <c r="V300" s="416">
        <f t="shared" si="4"/>
        <v>61</v>
      </c>
    </row>
    <row r="301" spans="1:22" x14ac:dyDescent="0.25">
      <c r="A301" s="416" t="s">
        <v>786</v>
      </c>
      <c r="B301" s="416" t="s">
        <v>1112</v>
      </c>
      <c r="C301" s="416" t="s">
        <v>231</v>
      </c>
      <c r="E301" s="416">
        <v>80</v>
      </c>
      <c r="F301" s="416">
        <v>67</v>
      </c>
      <c r="G301" s="416">
        <v>65</v>
      </c>
      <c r="H301" s="416">
        <v>70</v>
      </c>
      <c r="I301" s="416">
        <v>78</v>
      </c>
      <c r="J301" s="416">
        <v>70</v>
      </c>
      <c r="K301" s="416">
        <v>80</v>
      </c>
      <c r="L301" s="416">
        <v>64</v>
      </c>
      <c r="M301" s="416">
        <v>79</v>
      </c>
      <c r="N301" s="416">
        <v>81</v>
      </c>
      <c r="O301" s="416">
        <v>68</v>
      </c>
      <c r="P301" s="416">
        <v>74</v>
      </c>
      <c r="Q301" s="416">
        <v>74</v>
      </c>
      <c r="R301" s="416">
        <v>97</v>
      </c>
      <c r="T301" s="416">
        <v>1047</v>
      </c>
      <c r="V301" s="416">
        <f t="shared" si="4"/>
        <v>1047</v>
      </c>
    </row>
    <row r="302" spans="1:22" x14ac:dyDescent="0.25">
      <c r="A302" s="416" t="s">
        <v>788</v>
      </c>
      <c r="B302" s="416" t="s">
        <v>1255</v>
      </c>
      <c r="C302" s="416" t="s">
        <v>221</v>
      </c>
      <c r="E302" s="416">
        <v>42</v>
      </c>
      <c r="F302" s="416">
        <v>60</v>
      </c>
      <c r="G302" s="416">
        <v>63</v>
      </c>
      <c r="H302" s="416">
        <v>67</v>
      </c>
      <c r="I302" s="416">
        <v>79</v>
      </c>
      <c r="J302" s="416">
        <v>70</v>
      </c>
      <c r="K302" s="416">
        <v>69</v>
      </c>
      <c r="L302" s="416">
        <v>51</v>
      </c>
      <c r="M302" s="416">
        <v>45</v>
      </c>
      <c r="N302" s="416">
        <v>40</v>
      </c>
      <c r="O302" s="416">
        <v>53</v>
      </c>
      <c r="P302" s="416">
        <v>46</v>
      </c>
      <c r="Q302" s="416">
        <v>44</v>
      </c>
      <c r="R302" s="416">
        <v>47</v>
      </c>
      <c r="T302" s="416">
        <v>776</v>
      </c>
      <c r="V302" s="416">
        <f t="shared" si="4"/>
        <v>776</v>
      </c>
    </row>
    <row r="303" spans="1:22" x14ac:dyDescent="0.25">
      <c r="A303" s="416" t="s">
        <v>790</v>
      </c>
      <c r="B303" s="416" t="s">
        <v>1243</v>
      </c>
      <c r="C303" s="416" t="s">
        <v>194</v>
      </c>
      <c r="E303" s="416">
        <v>30</v>
      </c>
      <c r="F303" s="416">
        <v>31</v>
      </c>
      <c r="G303" s="416">
        <v>37</v>
      </c>
      <c r="H303" s="416">
        <v>42</v>
      </c>
      <c r="I303" s="416">
        <v>37</v>
      </c>
      <c r="J303" s="416">
        <v>33</v>
      </c>
      <c r="K303" s="416">
        <v>30</v>
      </c>
      <c r="L303" s="416">
        <v>37</v>
      </c>
      <c r="M303" s="416">
        <v>36</v>
      </c>
      <c r="N303" s="416">
        <v>39</v>
      </c>
      <c r="O303" s="416">
        <v>34</v>
      </c>
      <c r="P303" s="416">
        <v>38</v>
      </c>
      <c r="Q303" s="416">
        <v>48</v>
      </c>
      <c r="R303" s="416">
        <v>54</v>
      </c>
      <c r="T303" s="416">
        <v>526</v>
      </c>
      <c r="V303" s="416">
        <f t="shared" si="4"/>
        <v>526</v>
      </c>
    </row>
    <row r="304" spans="1:22" x14ac:dyDescent="0.25">
      <c r="A304" s="416" t="s">
        <v>1169</v>
      </c>
      <c r="B304" s="416" t="s">
        <v>1284</v>
      </c>
      <c r="C304" s="416" t="s">
        <v>197</v>
      </c>
      <c r="P304" s="416">
        <v>4</v>
      </c>
      <c r="Q304" s="416">
        <v>6</v>
      </c>
      <c r="T304" s="416">
        <v>10</v>
      </c>
      <c r="V304" s="416">
        <f t="shared" si="4"/>
        <v>10</v>
      </c>
    </row>
    <row r="305" spans="1:22" x14ac:dyDescent="0.25">
      <c r="A305" s="416" t="s">
        <v>792</v>
      </c>
      <c r="B305" s="416" t="s">
        <v>1115</v>
      </c>
      <c r="C305" s="416" t="s">
        <v>189</v>
      </c>
      <c r="E305" s="416">
        <v>1</v>
      </c>
      <c r="F305" s="416">
        <v>1</v>
      </c>
      <c r="G305" s="416">
        <v>6</v>
      </c>
      <c r="H305" s="416">
        <v>7</v>
      </c>
      <c r="I305" s="416">
        <v>3</v>
      </c>
      <c r="J305" s="416">
        <v>6</v>
      </c>
      <c r="K305" s="416">
        <v>9</v>
      </c>
      <c r="L305" s="416">
        <v>5</v>
      </c>
      <c r="M305" s="416">
        <v>6</v>
      </c>
      <c r="N305" s="416">
        <v>6</v>
      </c>
      <c r="O305" s="416">
        <v>5</v>
      </c>
      <c r="P305" s="416">
        <v>2</v>
      </c>
      <c r="Q305" s="416">
        <v>4</v>
      </c>
      <c r="R305" s="416">
        <v>11</v>
      </c>
      <c r="T305" s="416">
        <v>72</v>
      </c>
      <c r="V305" s="416">
        <f t="shared" si="4"/>
        <v>72</v>
      </c>
    </row>
    <row r="306" spans="1:22" x14ac:dyDescent="0.25">
      <c r="A306" s="416" t="s">
        <v>794</v>
      </c>
      <c r="B306" s="416" t="s">
        <v>1116</v>
      </c>
      <c r="C306" s="416" t="s">
        <v>205</v>
      </c>
      <c r="E306" s="416">
        <v>45</v>
      </c>
      <c r="F306" s="416">
        <v>49</v>
      </c>
      <c r="G306" s="416">
        <v>43</v>
      </c>
      <c r="H306" s="416">
        <v>36</v>
      </c>
      <c r="I306" s="416">
        <v>56</v>
      </c>
      <c r="J306" s="416">
        <v>48</v>
      </c>
      <c r="K306" s="416">
        <v>41</v>
      </c>
      <c r="L306" s="416">
        <v>47</v>
      </c>
      <c r="M306" s="416">
        <v>42</v>
      </c>
      <c r="N306" s="416">
        <v>35</v>
      </c>
      <c r="O306" s="416">
        <v>39</v>
      </c>
      <c r="P306" s="416">
        <v>51</v>
      </c>
      <c r="Q306" s="416">
        <v>39</v>
      </c>
      <c r="R306" s="416">
        <v>47</v>
      </c>
      <c r="T306" s="416">
        <v>618</v>
      </c>
      <c r="V306" s="416">
        <f t="shared" si="4"/>
        <v>618</v>
      </c>
    </row>
    <row r="307" spans="1:22" x14ac:dyDescent="0.25">
      <c r="A307" s="416" t="s">
        <v>796</v>
      </c>
      <c r="B307" s="416" t="s">
        <v>1117</v>
      </c>
      <c r="C307" s="416" t="s">
        <v>210</v>
      </c>
      <c r="D307" s="416" t="s">
        <v>819</v>
      </c>
      <c r="E307" s="416">
        <v>6</v>
      </c>
      <c r="F307" s="416">
        <v>4</v>
      </c>
      <c r="G307" s="416">
        <v>10</v>
      </c>
      <c r="H307" s="416">
        <v>14</v>
      </c>
      <c r="I307" s="416">
        <v>10</v>
      </c>
      <c r="J307" s="416">
        <v>19</v>
      </c>
      <c r="K307" s="416">
        <v>14</v>
      </c>
      <c r="L307" s="416">
        <v>9</v>
      </c>
      <c r="M307" s="416">
        <v>12</v>
      </c>
      <c r="N307" s="416">
        <v>12</v>
      </c>
      <c r="O307" s="416">
        <v>7</v>
      </c>
      <c r="P307" s="416">
        <v>13</v>
      </c>
      <c r="Q307" s="416">
        <v>10</v>
      </c>
      <c r="R307" s="416">
        <v>7</v>
      </c>
      <c r="T307" s="416">
        <v>147</v>
      </c>
      <c r="V307" s="416">
        <f t="shared" si="4"/>
        <v>147</v>
      </c>
    </row>
    <row r="308" spans="1:22" x14ac:dyDescent="0.25">
      <c r="A308" s="416" t="s">
        <v>247</v>
      </c>
      <c r="B308" s="416" t="s">
        <v>1353</v>
      </c>
      <c r="C308" s="416" t="s">
        <v>205</v>
      </c>
      <c r="O308" s="416">
        <v>10</v>
      </c>
      <c r="P308" s="416">
        <v>15</v>
      </c>
      <c r="T308" s="416">
        <v>25</v>
      </c>
      <c r="V308" s="416">
        <f t="shared" si="4"/>
        <v>25</v>
      </c>
    </row>
    <row r="309" spans="1:22" x14ac:dyDescent="0.25">
      <c r="A309" s="416" t="s">
        <v>798</v>
      </c>
      <c r="B309" s="416" t="s">
        <v>1118</v>
      </c>
      <c r="C309" s="416" t="s">
        <v>194</v>
      </c>
      <c r="F309" s="416">
        <v>3</v>
      </c>
      <c r="G309" s="416">
        <v>1</v>
      </c>
      <c r="H309" s="416">
        <v>2</v>
      </c>
      <c r="I309" s="416">
        <v>3</v>
      </c>
      <c r="J309" s="416">
        <v>6</v>
      </c>
      <c r="K309" s="416">
        <v>5</v>
      </c>
      <c r="L309" s="416">
        <v>1</v>
      </c>
      <c r="M309" s="416">
        <v>1</v>
      </c>
      <c r="N309" s="416">
        <v>4</v>
      </c>
      <c r="O309" s="416">
        <v>3</v>
      </c>
      <c r="P309" s="416">
        <v>3</v>
      </c>
      <c r="Q309" s="416">
        <v>4</v>
      </c>
      <c r="R309" s="416">
        <v>4</v>
      </c>
      <c r="T309" s="416">
        <v>40</v>
      </c>
      <c r="V309" s="416">
        <f t="shared" si="4"/>
        <v>40</v>
      </c>
    </row>
    <row r="310" spans="1:22" x14ac:dyDescent="0.25">
      <c r="A310" s="416" t="s">
        <v>800</v>
      </c>
      <c r="B310" s="416" t="s">
        <v>1119</v>
      </c>
      <c r="C310" s="416" t="s">
        <v>189</v>
      </c>
      <c r="G310" s="416">
        <v>3</v>
      </c>
      <c r="H310" s="416">
        <v>2</v>
      </c>
      <c r="I310" s="416">
        <v>1</v>
      </c>
      <c r="J310" s="416">
        <v>4</v>
      </c>
      <c r="K310" s="416">
        <v>6</v>
      </c>
      <c r="L310" s="416">
        <v>3</v>
      </c>
      <c r="M310" s="416">
        <v>4</v>
      </c>
      <c r="N310" s="416">
        <v>4</v>
      </c>
      <c r="O310" s="416">
        <v>5</v>
      </c>
      <c r="P310" s="416">
        <v>5</v>
      </c>
      <c r="Q310" s="416">
        <v>1</v>
      </c>
      <c r="R310" s="416">
        <v>7</v>
      </c>
      <c r="T310" s="416">
        <v>45</v>
      </c>
      <c r="V310" s="416">
        <f t="shared" si="4"/>
        <v>45</v>
      </c>
    </row>
    <row r="311" spans="1:22" x14ac:dyDescent="0.25">
      <c r="A311" s="416" t="s">
        <v>802</v>
      </c>
      <c r="B311" s="416" t="s">
        <v>1149</v>
      </c>
      <c r="C311" s="416" t="s">
        <v>231</v>
      </c>
      <c r="H311" s="416">
        <v>3</v>
      </c>
      <c r="I311" s="416">
        <v>3</v>
      </c>
      <c r="K311" s="416">
        <v>3</v>
      </c>
      <c r="L311" s="416">
        <v>1</v>
      </c>
      <c r="M311" s="416">
        <v>1</v>
      </c>
      <c r="N311" s="416">
        <v>1</v>
      </c>
      <c r="O311" s="416">
        <v>1</v>
      </c>
      <c r="P311" s="416">
        <v>2</v>
      </c>
      <c r="Q311" s="416">
        <v>1</v>
      </c>
      <c r="R311" s="416">
        <v>2</v>
      </c>
      <c r="T311" s="416">
        <v>18</v>
      </c>
      <c r="V311" s="416">
        <f t="shared" si="4"/>
        <v>18</v>
      </c>
    </row>
    <row r="312" spans="1:22" x14ac:dyDescent="0.25">
      <c r="A312" s="416" t="s">
        <v>804</v>
      </c>
      <c r="B312" s="416" t="s">
        <v>1120</v>
      </c>
      <c r="C312" s="416" t="s">
        <v>189</v>
      </c>
      <c r="E312" s="416">
        <v>9</v>
      </c>
      <c r="F312" s="416">
        <v>7</v>
      </c>
      <c r="G312" s="416">
        <v>3</v>
      </c>
      <c r="H312" s="416">
        <v>10</v>
      </c>
      <c r="I312" s="416">
        <v>10</v>
      </c>
      <c r="J312" s="416">
        <v>7</v>
      </c>
      <c r="K312" s="416">
        <v>11</v>
      </c>
      <c r="L312" s="416">
        <v>5</v>
      </c>
      <c r="M312" s="416">
        <v>8</v>
      </c>
      <c r="N312" s="416">
        <v>9</v>
      </c>
      <c r="O312" s="416">
        <v>11</v>
      </c>
      <c r="P312" s="416">
        <v>4</v>
      </c>
      <c r="Q312" s="416">
        <v>10</v>
      </c>
      <c r="R312" s="416">
        <v>12</v>
      </c>
      <c r="T312" s="416">
        <v>116</v>
      </c>
      <c r="V312" s="416">
        <f t="shared" si="4"/>
        <v>116</v>
      </c>
    </row>
    <row r="313" spans="1:22" x14ac:dyDescent="0.25">
      <c r="A313" s="416" t="s">
        <v>806</v>
      </c>
      <c r="B313" s="416" t="s">
        <v>1121</v>
      </c>
      <c r="C313" s="416" t="s">
        <v>189</v>
      </c>
      <c r="E313" s="416">
        <v>1</v>
      </c>
      <c r="F313" s="416">
        <v>2</v>
      </c>
      <c r="G313" s="416">
        <v>1</v>
      </c>
      <c r="I313" s="416">
        <v>1</v>
      </c>
      <c r="J313" s="416">
        <v>1</v>
      </c>
      <c r="L313" s="416">
        <v>5</v>
      </c>
      <c r="M313" s="416">
        <v>2</v>
      </c>
      <c r="N313" s="416">
        <v>6</v>
      </c>
      <c r="O313" s="416">
        <v>1</v>
      </c>
      <c r="Q313" s="416">
        <v>1</v>
      </c>
      <c r="R313" s="416">
        <v>2</v>
      </c>
      <c r="T313" s="416">
        <v>23</v>
      </c>
      <c r="V313" s="416">
        <f t="shared" si="4"/>
        <v>23</v>
      </c>
    </row>
    <row r="314" spans="1:22" x14ac:dyDescent="0.25">
      <c r="A314" s="416" t="s">
        <v>808</v>
      </c>
      <c r="B314" s="416" t="s">
        <v>1122</v>
      </c>
      <c r="C314" s="416" t="s">
        <v>210</v>
      </c>
      <c r="D314" s="416" t="s">
        <v>819</v>
      </c>
      <c r="E314" s="416">
        <v>1</v>
      </c>
      <c r="K314" s="416">
        <v>1</v>
      </c>
      <c r="M314" s="416">
        <v>1</v>
      </c>
      <c r="O314" s="416">
        <v>1</v>
      </c>
      <c r="R314" s="416">
        <v>1</v>
      </c>
      <c r="T314" s="416">
        <v>5</v>
      </c>
      <c r="V314" s="416">
        <f t="shared" si="4"/>
        <v>5</v>
      </c>
    </row>
    <row r="315" spans="1:22" x14ac:dyDescent="0.25">
      <c r="A315" s="416" t="s">
        <v>810</v>
      </c>
      <c r="B315" s="416" t="s">
        <v>1123</v>
      </c>
      <c r="C315" s="416" t="s">
        <v>210</v>
      </c>
      <c r="E315" s="416">
        <v>23</v>
      </c>
      <c r="F315" s="416">
        <v>22</v>
      </c>
      <c r="G315" s="416">
        <v>23</v>
      </c>
      <c r="H315" s="416">
        <v>20</v>
      </c>
      <c r="I315" s="416">
        <v>21</v>
      </c>
      <c r="J315" s="416">
        <v>33</v>
      </c>
      <c r="K315" s="416">
        <v>24</v>
      </c>
      <c r="L315" s="416">
        <v>27</v>
      </c>
      <c r="M315" s="416">
        <v>26</v>
      </c>
      <c r="N315" s="416">
        <v>24</v>
      </c>
      <c r="O315" s="416">
        <v>28</v>
      </c>
      <c r="P315" s="416">
        <v>23</v>
      </c>
      <c r="Q315" s="416">
        <v>15</v>
      </c>
      <c r="R315" s="416">
        <v>39</v>
      </c>
      <c r="T315" s="416">
        <v>348</v>
      </c>
      <c r="V315" s="416">
        <f t="shared" si="4"/>
        <v>348</v>
      </c>
    </row>
    <row r="316" spans="1:22" x14ac:dyDescent="0.25">
      <c r="A316" s="416" t="s">
        <v>812</v>
      </c>
      <c r="B316" s="416" t="s">
        <v>1124</v>
      </c>
      <c r="C316" s="416" t="s">
        <v>221</v>
      </c>
      <c r="E316" s="416">
        <v>193</v>
      </c>
      <c r="F316" s="416">
        <v>138</v>
      </c>
      <c r="G316" s="416">
        <v>154</v>
      </c>
      <c r="H316" s="416">
        <v>167</v>
      </c>
      <c r="I316" s="416">
        <v>155</v>
      </c>
      <c r="J316" s="416">
        <v>157</v>
      </c>
      <c r="K316" s="416">
        <v>156</v>
      </c>
      <c r="L316" s="416">
        <v>128</v>
      </c>
      <c r="M316" s="416">
        <v>153</v>
      </c>
      <c r="N316" s="416">
        <v>152</v>
      </c>
      <c r="O316" s="416">
        <v>159</v>
      </c>
      <c r="P316" s="416">
        <v>174</v>
      </c>
      <c r="Q316" s="416">
        <v>158</v>
      </c>
      <c r="R316" s="416">
        <v>185</v>
      </c>
      <c r="T316" s="416">
        <v>2229</v>
      </c>
      <c r="V316" s="416">
        <f t="shared" si="4"/>
        <v>2229</v>
      </c>
    </row>
    <row r="317" spans="1:22" x14ac:dyDescent="0.25">
      <c r="A317" s="416" t="s">
        <v>814</v>
      </c>
      <c r="B317" s="416" t="s">
        <v>1125</v>
      </c>
      <c r="C317" s="416" t="s">
        <v>189</v>
      </c>
      <c r="E317" s="416">
        <v>44</v>
      </c>
      <c r="F317" s="416">
        <v>44</v>
      </c>
      <c r="G317" s="416">
        <v>60</v>
      </c>
      <c r="H317" s="416">
        <v>55</v>
      </c>
      <c r="I317" s="416">
        <v>69</v>
      </c>
      <c r="J317" s="416">
        <v>60</v>
      </c>
      <c r="K317" s="416">
        <v>63</v>
      </c>
      <c r="L317" s="416">
        <v>68</v>
      </c>
      <c r="M317" s="416">
        <v>57</v>
      </c>
      <c r="N317" s="416">
        <v>61</v>
      </c>
      <c r="O317" s="416">
        <v>68</v>
      </c>
      <c r="P317" s="416">
        <v>58</v>
      </c>
      <c r="Q317" s="416">
        <v>58</v>
      </c>
      <c r="R317" s="416">
        <v>68</v>
      </c>
      <c r="T317" s="416">
        <v>833</v>
      </c>
      <c r="V317" s="416">
        <f t="shared" si="4"/>
        <v>833</v>
      </c>
    </row>
    <row r="318" spans="1:22" x14ac:dyDescent="0.25">
      <c r="A318" s="416" t="s">
        <v>816</v>
      </c>
      <c r="B318" s="416" t="s">
        <v>1126</v>
      </c>
      <c r="C318" s="416" t="s">
        <v>221</v>
      </c>
      <c r="E318" s="416">
        <v>5</v>
      </c>
      <c r="F318" s="416">
        <v>10</v>
      </c>
      <c r="G318" s="416">
        <v>15</v>
      </c>
      <c r="H318" s="416">
        <v>11</v>
      </c>
      <c r="I318" s="416">
        <v>12</v>
      </c>
      <c r="J318" s="416">
        <v>13</v>
      </c>
      <c r="K318" s="416">
        <v>14</v>
      </c>
      <c r="L318" s="416">
        <v>11</v>
      </c>
      <c r="M318" s="416">
        <v>15</v>
      </c>
      <c r="N318" s="416">
        <v>15</v>
      </c>
      <c r="O318" s="416">
        <v>8</v>
      </c>
      <c r="P318" s="416">
        <v>9</v>
      </c>
      <c r="Q318" s="416">
        <v>11</v>
      </c>
      <c r="R318" s="416">
        <v>8</v>
      </c>
      <c r="T318" s="416">
        <v>157</v>
      </c>
      <c r="V318" s="416">
        <f t="shared" si="4"/>
        <v>157</v>
      </c>
    </row>
    <row r="319" spans="1:22" x14ac:dyDescent="0.25">
      <c r="A319" s="416" t="s">
        <v>1225</v>
      </c>
      <c r="E319" s="416">
        <v>10550</v>
      </c>
      <c r="F319" s="416">
        <v>8330</v>
      </c>
      <c r="G319" s="416">
        <v>10530</v>
      </c>
      <c r="H319" s="416">
        <v>10458</v>
      </c>
      <c r="I319" s="416">
        <v>11637</v>
      </c>
      <c r="J319" s="416">
        <v>11916</v>
      </c>
      <c r="K319" s="416">
        <v>11658</v>
      </c>
      <c r="L319" s="416">
        <v>11304</v>
      </c>
      <c r="M319" s="416">
        <v>10936</v>
      </c>
      <c r="N319" s="416">
        <v>11116</v>
      </c>
      <c r="O319" s="416">
        <v>10872</v>
      </c>
      <c r="P319" s="416">
        <v>10596</v>
      </c>
      <c r="Q319" s="416">
        <v>9659</v>
      </c>
      <c r="R319" s="416">
        <v>12369</v>
      </c>
      <c r="T319" s="416">
        <v>151931</v>
      </c>
      <c r="V319" s="416">
        <f t="shared" si="4"/>
        <v>151931</v>
      </c>
    </row>
    <row r="320" spans="1:22" x14ac:dyDescent="0.25">
      <c r="A320" s="418"/>
      <c r="C320" s="418"/>
    </row>
  </sheetData>
  <autoFilter ref="A3:V320" xr:uid="{65A3485E-7934-419B-9366-18701F2BCAE7}"/>
  <pageMargins left="0.7" right="0.7" top="0.75" bottom="0.75" header="0.3" footer="0.3"/>
  <pageSetup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C6FB-4C74-43CF-833E-670E9A021AD8}">
  <sheetPr filterMode="1"/>
  <dimension ref="A2:G319"/>
  <sheetViews>
    <sheetView workbookViewId="0">
      <selection activeCell="F7" sqref="F7"/>
    </sheetView>
  </sheetViews>
  <sheetFormatPr defaultRowHeight="15" x14ac:dyDescent="0.25"/>
  <cols>
    <col min="1" max="1" width="17.85546875" style="415" customWidth="1"/>
    <col min="2" max="2" width="29.140625" bestFit="1" customWidth="1"/>
    <col min="3" max="3" width="17.7109375" style="362" customWidth="1"/>
    <col min="4" max="4" width="19.5703125" style="362" customWidth="1"/>
    <col min="5" max="6" width="22.5703125" style="362" customWidth="1"/>
    <col min="7" max="7" width="21" style="362" customWidth="1"/>
    <col min="8" max="9" width="12" bestFit="1" customWidth="1"/>
    <col min="10" max="11" width="11" bestFit="1" customWidth="1"/>
  </cols>
  <sheetData>
    <row r="2" spans="1:7" s="372" customFormat="1" x14ac:dyDescent="0.25">
      <c r="A2" s="431" t="s">
        <v>1362</v>
      </c>
      <c r="C2" s="432"/>
      <c r="D2" s="420"/>
      <c r="E2" s="420"/>
      <c r="F2" s="420"/>
      <c r="G2" s="432"/>
    </row>
    <row r="3" spans="1:7" s="372" customFormat="1" x14ac:dyDescent="0.25">
      <c r="C3" s="432" t="s">
        <v>1290</v>
      </c>
      <c r="D3" s="420" t="s">
        <v>1363</v>
      </c>
      <c r="E3" s="420" t="s">
        <v>1364</v>
      </c>
      <c r="F3" s="420"/>
      <c r="G3" s="432" t="s">
        <v>1378</v>
      </c>
    </row>
    <row r="4" spans="1:7" s="368" customFormat="1" ht="60" x14ac:dyDescent="0.25">
      <c r="C4" s="433" t="s">
        <v>1365</v>
      </c>
      <c r="D4" s="421" t="s">
        <v>1366</v>
      </c>
      <c r="E4" s="421" t="s">
        <v>1367</v>
      </c>
      <c r="F4" s="421" t="s">
        <v>1377</v>
      </c>
      <c r="G4" s="433" t="s">
        <v>1296</v>
      </c>
    </row>
    <row r="5" spans="1:7" s="2" customFormat="1" ht="15.75" thickBot="1" x14ac:dyDescent="0.3">
      <c r="A5" s="434" t="s">
        <v>1368</v>
      </c>
      <c r="B5" s="434" t="s">
        <v>1297</v>
      </c>
      <c r="C5" s="435">
        <v>22966567.079999998</v>
      </c>
      <c r="D5" s="422">
        <v>361707768.54000002</v>
      </c>
      <c r="E5" s="422">
        <v>2122084004.53</v>
      </c>
      <c r="F5" s="422"/>
      <c r="G5" s="435">
        <v>2506758340.1500001</v>
      </c>
    </row>
    <row r="6" spans="1:7" s="423" customFormat="1" ht="15.75" thickBot="1" x14ac:dyDescent="0.3">
      <c r="A6" s="424">
        <v>1</v>
      </c>
      <c r="B6" s="424">
        <v>2</v>
      </c>
      <c r="C6" s="425">
        <v>3</v>
      </c>
      <c r="D6" s="425">
        <v>4</v>
      </c>
      <c r="E6" s="425">
        <v>5</v>
      </c>
      <c r="F6" s="425">
        <v>6</v>
      </c>
      <c r="G6" s="425">
        <v>7</v>
      </c>
    </row>
    <row r="7" spans="1:7" x14ac:dyDescent="0.25">
      <c r="A7" s="415" t="s">
        <v>188</v>
      </c>
      <c r="B7" t="s">
        <v>831</v>
      </c>
      <c r="C7" s="362">
        <v>668.62</v>
      </c>
      <c r="D7" s="401"/>
      <c r="E7" s="401">
        <v>6956223.5700000003</v>
      </c>
      <c r="F7" s="401">
        <f>D7+E7</f>
        <v>6956223.5700000003</v>
      </c>
      <c r="G7" s="362">
        <f>C7+D7+E7</f>
        <v>6956892.1900000004</v>
      </c>
    </row>
    <row r="8" spans="1:7" hidden="1" x14ac:dyDescent="0.25">
      <c r="A8" s="415" t="s">
        <v>191</v>
      </c>
      <c r="B8" t="s">
        <v>832</v>
      </c>
      <c r="C8" s="362">
        <v>2001.6</v>
      </c>
      <c r="D8" s="401"/>
      <c r="E8" s="401">
        <v>946027.08</v>
      </c>
      <c r="F8" s="401">
        <f t="shared" ref="F8:F71" si="0">D8+E8</f>
        <v>946027.08</v>
      </c>
      <c r="G8" s="362">
        <f t="shared" ref="G8:G71" si="1">D8+E8+F8</f>
        <v>1892054.16</v>
      </c>
    </row>
    <row r="9" spans="1:7" hidden="1" x14ac:dyDescent="0.25">
      <c r="A9" s="415" t="s">
        <v>193</v>
      </c>
      <c r="B9" t="s">
        <v>1135</v>
      </c>
      <c r="D9" s="401"/>
      <c r="E9" s="401">
        <v>134485.62</v>
      </c>
      <c r="F9" s="401">
        <f t="shared" si="0"/>
        <v>134485.62</v>
      </c>
      <c r="G9" s="362">
        <f t="shared" si="1"/>
        <v>268971.24</v>
      </c>
    </row>
    <row r="10" spans="1:7" hidden="1" x14ac:dyDescent="0.25">
      <c r="A10" s="415" t="s">
        <v>196</v>
      </c>
      <c r="B10" t="s">
        <v>840</v>
      </c>
      <c r="C10" s="362">
        <v>51822.32</v>
      </c>
      <c r="D10" s="401"/>
      <c r="E10" s="401">
        <v>5105596.5</v>
      </c>
      <c r="F10" s="401">
        <f t="shared" si="0"/>
        <v>5105596.5</v>
      </c>
      <c r="G10" s="362">
        <f t="shared" si="1"/>
        <v>10211193</v>
      </c>
    </row>
    <row r="11" spans="1:7" hidden="1" x14ac:dyDescent="0.25">
      <c r="A11" s="415" t="s">
        <v>199</v>
      </c>
      <c r="B11" t="s">
        <v>841</v>
      </c>
      <c r="C11" s="362">
        <v>126870.14</v>
      </c>
      <c r="D11" s="401">
        <v>144110.23000000001</v>
      </c>
      <c r="E11" s="401">
        <v>13468792.49</v>
      </c>
      <c r="F11" s="401">
        <f t="shared" si="0"/>
        <v>13612902.720000001</v>
      </c>
      <c r="G11" s="362">
        <f t="shared" si="1"/>
        <v>27225805.440000001</v>
      </c>
    </row>
    <row r="12" spans="1:7" hidden="1" x14ac:dyDescent="0.25">
      <c r="A12" s="415" t="s">
        <v>201</v>
      </c>
      <c r="B12" t="s">
        <v>842</v>
      </c>
      <c r="D12" s="401"/>
      <c r="E12" s="401">
        <v>890404.38</v>
      </c>
      <c r="F12" s="401">
        <f t="shared" si="0"/>
        <v>890404.38</v>
      </c>
      <c r="G12" s="362">
        <f t="shared" si="1"/>
        <v>1780808.76</v>
      </c>
    </row>
    <row r="13" spans="1:7" hidden="1" x14ac:dyDescent="0.25">
      <c r="A13" s="415" t="s">
        <v>204</v>
      </c>
      <c r="B13" t="s">
        <v>843</v>
      </c>
      <c r="C13" s="362">
        <v>413651.77</v>
      </c>
      <c r="D13" s="401">
        <v>10018435.32</v>
      </c>
      <c r="E13" s="401">
        <v>29123525.710000001</v>
      </c>
      <c r="F13" s="401">
        <f t="shared" si="0"/>
        <v>39141961.030000001</v>
      </c>
      <c r="G13" s="362">
        <f t="shared" si="1"/>
        <v>78283922.060000002</v>
      </c>
    </row>
    <row r="14" spans="1:7" hidden="1" x14ac:dyDescent="0.25">
      <c r="A14" s="415" t="s">
        <v>207</v>
      </c>
      <c r="B14" t="s">
        <v>1298</v>
      </c>
      <c r="D14" s="401">
        <v>2570993.3199999998</v>
      </c>
      <c r="E14" s="401">
        <v>7175522.1100000003</v>
      </c>
      <c r="F14" s="401">
        <f t="shared" si="0"/>
        <v>9746515.4299999997</v>
      </c>
      <c r="G14" s="362">
        <f t="shared" si="1"/>
        <v>19493030.859999999</v>
      </c>
    </row>
    <row r="15" spans="1:7" hidden="1" x14ac:dyDescent="0.25">
      <c r="A15" s="415" t="s">
        <v>209</v>
      </c>
      <c r="B15" t="s">
        <v>845</v>
      </c>
      <c r="C15" s="362">
        <v>122755.41</v>
      </c>
      <c r="D15" s="401">
        <v>2810881.68</v>
      </c>
      <c r="E15" s="401">
        <v>21368605.059999999</v>
      </c>
      <c r="F15" s="401">
        <f t="shared" si="0"/>
        <v>24179486.739999998</v>
      </c>
      <c r="G15" s="362">
        <f t="shared" si="1"/>
        <v>48358973.479999997</v>
      </c>
    </row>
    <row r="16" spans="1:7" hidden="1" x14ac:dyDescent="0.25">
      <c r="A16" s="415" t="s">
        <v>212</v>
      </c>
      <c r="B16" t="s">
        <v>846</v>
      </c>
      <c r="C16" s="362">
        <v>1391.16</v>
      </c>
      <c r="D16" s="401">
        <v>13372138.779999999</v>
      </c>
      <c r="E16" s="401">
        <v>47462919.5</v>
      </c>
      <c r="F16" s="401">
        <f t="shared" si="0"/>
        <v>60835058.280000001</v>
      </c>
      <c r="G16" s="362">
        <f t="shared" si="1"/>
        <v>121670116.56</v>
      </c>
    </row>
    <row r="17" spans="1:7" hidden="1" x14ac:dyDescent="0.25">
      <c r="A17" s="415" t="s">
        <v>214</v>
      </c>
      <c r="B17" t="s">
        <v>847</v>
      </c>
      <c r="C17" s="362">
        <v>123916.95</v>
      </c>
      <c r="D17" s="401">
        <v>8881264.5500000007</v>
      </c>
      <c r="E17" s="401">
        <v>21062536.34</v>
      </c>
      <c r="F17" s="401">
        <f t="shared" si="0"/>
        <v>29943800.890000001</v>
      </c>
      <c r="G17" s="362">
        <f t="shared" si="1"/>
        <v>59887601.780000001</v>
      </c>
    </row>
    <row r="18" spans="1:7" hidden="1" x14ac:dyDescent="0.25">
      <c r="A18" s="415" t="s">
        <v>218</v>
      </c>
      <c r="B18" t="s">
        <v>849</v>
      </c>
      <c r="C18" s="362">
        <v>221331.02</v>
      </c>
      <c r="D18" s="401">
        <v>3007149.05</v>
      </c>
      <c r="E18" s="401">
        <v>36598370.390000001</v>
      </c>
      <c r="F18" s="401">
        <f t="shared" si="0"/>
        <v>39605519.439999998</v>
      </c>
      <c r="G18" s="362">
        <f t="shared" si="1"/>
        <v>79211038.879999995</v>
      </c>
    </row>
    <row r="19" spans="1:7" hidden="1" x14ac:dyDescent="0.25">
      <c r="A19" s="415" t="s">
        <v>220</v>
      </c>
      <c r="B19" t="s">
        <v>850</v>
      </c>
      <c r="D19" s="401"/>
      <c r="E19" s="401">
        <v>185611.17</v>
      </c>
      <c r="F19" s="401">
        <f t="shared" si="0"/>
        <v>185611.17</v>
      </c>
      <c r="G19" s="362">
        <f t="shared" si="1"/>
        <v>371222.34</v>
      </c>
    </row>
    <row r="20" spans="1:7" hidden="1" x14ac:dyDescent="0.25">
      <c r="A20" s="415" t="s">
        <v>223</v>
      </c>
      <c r="B20" t="s">
        <v>851</v>
      </c>
      <c r="C20" s="362">
        <v>22123.02</v>
      </c>
      <c r="D20" s="401">
        <v>71451</v>
      </c>
      <c r="E20" s="401">
        <v>5496814.1600000001</v>
      </c>
      <c r="F20" s="401">
        <f t="shared" si="0"/>
        <v>5568265.1600000001</v>
      </c>
      <c r="G20" s="362">
        <f t="shared" si="1"/>
        <v>11136530.32</v>
      </c>
    </row>
    <row r="21" spans="1:7" hidden="1" x14ac:dyDescent="0.25">
      <c r="A21" s="415" t="s">
        <v>225</v>
      </c>
      <c r="B21" t="s">
        <v>852</v>
      </c>
      <c r="C21" s="362">
        <v>5104.54</v>
      </c>
      <c r="D21" s="401"/>
      <c r="E21" s="401">
        <v>259287.03</v>
      </c>
      <c r="F21" s="401">
        <f t="shared" si="0"/>
        <v>259287.03</v>
      </c>
      <c r="G21" s="362">
        <f t="shared" si="1"/>
        <v>518574.06</v>
      </c>
    </row>
    <row r="22" spans="1:7" hidden="1" x14ac:dyDescent="0.25">
      <c r="A22" s="415" t="s">
        <v>227</v>
      </c>
      <c r="B22" t="s">
        <v>853</v>
      </c>
      <c r="D22" s="401"/>
      <c r="E22" s="401">
        <v>11957569.27</v>
      </c>
      <c r="F22" s="401">
        <f t="shared" si="0"/>
        <v>11957569.27</v>
      </c>
      <c r="G22" s="362">
        <f t="shared" si="1"/>
        <v>23915138.539999999</v>
      </c>
    </row>
    <row r="23" spans="1:7" hidden="1" x14ac:dyDescent="0.25">
      <c r="A23" s="415" t="s">
        <v>230</v>
      </c>
      <c r="B23" t="s">
        <v>854</v>
      </c>
      <c r="D23" s="401">
        <v>64716.95</v>
      </c>
      <c r="E23" s="401">
        <v>1263844.06</v>
      </c>
      <c r="F23" s="401">
        <f t="shared" si="0"/>
        <v>1328561.01</v>
      </c>
      <c r="G23" s="362">
        <f t="shared" si="1"/>
        <v>2657122.02</v>
      </c>
    </row>
    <row r="24" spans="1:7" hidden="1" x14ac:dyDescent="0.25">
      <c r="A24" s="415" t="s">
        <v>233</v>
      </c>
      <c r="B24" t="s">
        <v>855</v>
      </c>
      <c r="D24" s="401"/>
      <c r="E24" s="401">
        <v>913726.32</v>
      </c>
      <c r="F24" s="401">
        <f t="shared" si="0"/>
        <v>913726.32</v>
      </c>
      <c r="G24" s="362">
        <f t="shared" si="1"/>
        <v>1827452.64</v>
      </c>
    </row>
    <row r="25" spans="1:7" hidden="1" x14ac:dyDescent="0.25">
      <c r="A25" s="415" t="s">
        <v>235</v>
      </c>
      <c r="B25" t="s">
        <v>1136</v>
      </c>
      <c r="D25" s="401">
        <v>2</v>
      </c>
      <c r="E25" s="401">
        <v>112083.92</v>
      </c>
      <c r="F25" s="401">
        <f t="shared" si="0"/>
        <v>112085.92</v>
      </c>
      <c r="G25" s="362">
        <f t="shared" si="1"/>
        <v>224171.84</v>
      </c>
    </row>
    <row r="26" spans="1:7" hidden="1" x14ac:dyDescent="0.25">
      <c r="A26" s="415" t="s">
        <v>237</v>
      </c>
      <c r="B26" t="s">
        <v>1299</v>
      </c>
      <c r="C26" s="362">
        <v>123792.29</v>
      </c>
      <c r="D26" s="401"/>
      <c r="E26" s="401">
        <v>9168983.5500000007</v>
      </c>
      <c r="F26" s="401">
        <f t="shared" si="0"/>
        <v>9168983.5500000007</v>
      </c>
      <c r="G26" s="362">
        <f t="shared" si="1"/>
        <v>18337967.100000001</v>
      </c>
    </row>
    <row r="27" spans="1:7" hidden="1" x14ac:dyDescent="0.25">
      <c r="A27" s="415" t="s">
        <v>239</v>
      </c>
      <c r="B27" t="s">
        <v>858</v>
      </c>
      <c r="D27" s="401">
        <v>2139718.0699999998</v>
      </c>
      <c r="E27" s="401">
        <v>11443327.470000001</v>
      </c>
      <c r="F27" s="401">
        <f t="shared" si="0"/>
        <v>13583045.540000001</v>
      </c>
      <c r="G27" s="362">
        <f t="shared" si="1"/>
        <v>27166091.080000002</v>
      </c>
    </row>
    <row r="28" spans="1:7" hidden="1" x14ac:dyDescent="0.25">
      <c r="A28" s="415" t="s">
        <v>241</v>
      </c>
      <c r="B28" t="s">
        <v>859</v>
      </c>
      <c r="D28" s="401">
        <v>601500.4</v>
      </c>
      <c r="E28" s="401">
        <v>826714.39</v>
      </c>
      <c r="F28" s="401">
        <f t="shared" si="0"/>
        <v>1428214.79</v>
      </c>
      <c r="G28" s="362">
        <f t="shared" si="1"/>
        <v>2856429.58</v>
      </c>
    </row>
    <row r="29" spans="1:7" hidden="1" x14ac:dyDescent="0.25">
      <c r="A29" s="415" t="s">
        <v>243</v>
      </c>
      <c r="B29" t="s">
        <v>860</v>
      </c>
      <c r="D29" s="401"/>
      <c r="E29" s="401">
        <v>345480.24</v>
      </c>
      <c r="F29" s="401">
        <f t="shared" si="0"/>
        <v>345480.24</v>
      </c>
      <c r="G29" s="362">
        <f t="shared" si="1"/>
        <v>690960.48</v>
      </c>
    </row>
    <row r="30" spans="1:7" hidden="1" x14ac:dyDescent="0.25">
      <c r="A30" s="415" t="s">
        <v>245</v>
      </c>
      <c r="B30" t="s">
        <v>861</v>
      </c>
      <c r="C30" s="362">
        <v>25618.34</v>
      </c>
      <c r="D30" s="401">
        <v>75000</v>
      </c>
      <c r="E30" s="401">
        <v>1873841.24</v>
      </c>
      <c r="F30" s="401">
        <f t="shared" si="0"/>
        <v>1948841.24</v>
      </c>
      <c r="G30" s="362">
        <f t="shared" si="1"/>
        <v>3897682.48</v>
      </c>
    </row>
    <row r="31" spans="1:7" hidden="1" x14ac:dyDescent="0.25">
      <c r="A31" s="415" t="s">
        <v>248</v>
      </c>
      <c r="B31" t="s">
        <v>862</v>
      </c>
      <c r="C31" s="362">
        <v>94113.94</v>
      </c>
      <c r="D31" s="401">
        <v>518318.29</v>
      </c>
      <c r="E31" s="401">
        <v>2126173.4900000002</v>
      </c>
      <c r="F31" s="401">
        <f t="shared" si="0"/>
        <v>2644491.7800000003</v>
      </c>
      <c r="G31" s="362">
        <f t="shared" si="1"/>
        <v>5288983.5600000005</v>
      </c>
    </row>
    <row r="32" spans="1:7" hidden="1" x14ac:dyDescent="0.25">
      <c r="A32" s="415" t="s">
        <v>250</v>
      </c>
      <c r="B32" t="s">
        <v>863</v>
      </c>
      <c r="C32" s="362">
        <v>59008.42</v>
      </c>
      <c r="D32" s="401">
        <v>399157.77</v>
      </c>
      <c r="E32" s="401">
        <v>2661204.86</v>
      </c>
      <c r="F32" s="401">
        <f t="shared" si="0"/>
        <v>3060362.63</v>
      </c>
      <c r="G32" s="362">
        <f t="shared" si="1"/>
        <v>6120725.2599999998</v>
      </c>
    </row>
    <row r="33" spans="1:7" hidden="1" x14ac:dyDescent="0.25">
      <c r="A33" s="415" t="s">
        <v>252</v>
      </c>
      <c r="B33" t="s">
        <v>1300</v>
      </c>
      <c r="D33" s="401"/>
      <c r="E33" s="401">
        <v>634546.01</v>
      </c>
      <c r="F33" s="401">
        <f t="shared" si="0"/>
        <v>634546.01</v>
      </c>
      <c r="G33" s="362">
        <f t="shared" si="1"/>
        <v>1269092.02</v>
      </c>
    </row>
    <row r="34" spans="1:7" hidden="1" x14ac:dyDescent="0.25">
      <c r="A34" s="415" t="s">
        <v>254</v>
      </c>
      <c r="B34" t="s">
        <v>864</v>
      </c>
      <c r="D34" s="401"/>
      <c r="E34" s="401">
        <v>79399.399999999994</v>
      </c>
      <c r="F34" s="401">
        <f t="shared" si="0"/>
        <v>79399.399999999994</v>
      </c>
      <c r="G34" s="362">
        <f t="shared" si="1"/>
        <v>158798.79999999999</v>
      </c>
    </row>
    <row r="35" spans="1:7" hidden="1" x14ac:dyDescent="0.25">
      <c r="A35" s="415" t="s">
        <v>256</v>
      </c>
      <c r="B35" t="s">
        <v>865</v>
      </c>
      <c r="C35" s="362">
        <v>5595712.2699999996</v>
      </c>
      <c r="D35" s="401">
        <v>148676</v>
      </c>
      <c r="E35" s="401">
        <v>24206454.100000001</v>
      </c>
      <c r="F35" s="401">
        <f t="shared" si="0"/>
        <v>24355130.100000001</v>
      </c>
      <c r="G35" s="362">
        <f t="shared" si="1"/>
        <v>48710260.200000003</v>
      </c>
    </row>
    <row r="36" spans="1:7" hidden="1" x14ac:dyDescent="0.25">
      <c r="A36" s="415" t="s">
        <v>258</v>
      </c>
      <c r="B36" t="s">
        <v>866</v>
      </c>
      <c r="C36" s="362">
        <v>397135.26</v>
      </c>
      <c r="D36" s="401">
        <v>6370707.8200000003</v>
      </c>
      <c r="E36" s="401">
        <v>27581911.530000001</v>
      </c>
      <c r="F36" s="401">
        <f t="shared" si="0"/>
        <v>33952619.350000001</v>
      </c>
      <c r="G36" s="362">
        <f t="shared" si="1"/>
        <v>67905238.700000003</v>
      </c>
    </row>
    <row r="37" spans="1:7" hidden="1" x14ac:dyDescent="0.25">
      <c r="A37" s="415" t="s">
        <v>260</v>
      </c>
      <c r="B37" t="s">
        <v>867</v>
      </c>
      <c r="C37" s="362">
        <v>26443.66</v>
      </c>
      <c r="D37" s="401">
        <v>1500000</v>
      </c>
      <c r="E37" s="401">
        <v>6572663.0099999998</v>
      </c>
      <c r="F37" s="401">
        <f t="shared" si="0"/>
        <v>8072663.0099999998</v>
      </c>
      <c r="G37" s="362">
        <f t="shared" si="1"/>
        <v>16145326.02</v>
      </c>
    </row>
    <row r="38" spans="1:7" hidden="1" x14ac:dyDescent="0.25">
      <c r="A38" s="415" t="s">
        <v>262</v>
      </c>
      <c r="B38" t="s">
        <v>868</v>
      </c>
      <c r="C38" s="362">
        <v>8057.25</v>
      </c>
      <c r="D38" s="401">
        <v>425410.76</v>
      </c>
      <c r="E38" s="401">
        <v>6004020.7800000003</v>
      </c>
      <c r="F38" s="401">
        <f t="shared" si="0"/>
        <v>6429431.54</v>
      </c>
      <c r="G38" s="362">
        <f t="shared" si="1"/>
        <v>12858863.08</v>
      </c>
    </row>
    <row r="39" spans="1:7" hidden="1" x14ac:dyDescent="0.25">
      <c r="A39" s="415" t="s">
        <v>264</v>
      </c>
      <c r="B39" t="s">
        <v>869</v>
      </c>
      <c r="D39" s="401">
        <v>1128600.68</v>
      </c>
      <c r="E39" s="401">
        <v>9084251.5600000005</v>
      </c>
      <c r="F39" s="401">
        <f t="shared" si="0"/>
        <v>10212852.24</v>
      </c>
      <c r="G39" s="362">
        <f t="shared" si="1"/>
        <v>20425704.48</v>
      </c>
    </row>
    <row r="40" spans="1:7" hidden="1" x14ac:dyDescent="0.25">
      <c r="A40" s="415" t="s">
        <v>266</v>
      </c>
      <c r="B40" t="s">
        <v>870</v>
      </c>
      <c r="C40" s="362">
        <v>5521.02</v>
      </c>
      <c r="D40" s="401">
        <v>3100</v>
      </c>
      <c r="E40" s="401">
        <v>1403051.2</v>
      </c>
      <c r="F40" s="401">
        <f t="shared" si="0"/>
        <v>1406151.2</v>
      </c>
      <c r="G40" s="362">
        <f t="shared" si="1"/>
        <v>2812302.4</v>
      </c>
    </row>
    <row r="41" spans="1:7" hidden="1" x14ac:dyDescent="0.25">
      <c r="A41" s="415" t="s">
        <v>1301</v>
      </c>
      <c r="B41" t="s">
        <v>1302</v>
      </c>
      <c r="D41" s="401"/>
      <c r="E41" s="401">
        <v>847356.99</v>
      </c>
      <c r="F41" s="401">
        <f t="shared" si="0"/>
        <v>847356.99</v>
      </c>
      <c r="G41" s="362">
        <f t="shared" si="1"/>
        <v>1694713.98</v>
      </c>
    </row>
    <row r="42" spans="1:7" hidden="1" x14ac:dyDescent="0.25">
      <c r="A42" s="415" t="s">
        <v>268</v>
      </c>
      <c r="B42" t="s">
        <v>871</v>
      </c>
      <c r="C42" s="362">
        <v>63832.480000000003</v>
      </c>
      <c r="D42" s="401">
        <v>5788.5</v>
      </c>
      <c r="E42" s="401">
        <v>2072402.78</v>
      </c>
      <c r="F42" s="401">
        <f t="shared" si="0"/>
        <v>2078191.28</v>
      </c>
      <c r="G42" s="362">
        <f t="shared" si="1"/>
        <v>4156382.56</v>
      </c>
    </row>
    <row r="43" spans="1:7" hidden="1" x14ac:dyDescent="0.25">
      <c r="A43" s="415" t="s">
        <v>270</v>
      </c>
      <c r="B43" t="s">
        <v>872</v>
      </c>
      <c r="C43" s="362">
        <v>69626.64</v>
      </c>
      <c r="D43" s="401">
        <v>270588.7</v>
      </c>
      <c r="E43" s="401">
        <v>4216534.38</v>
      </c>
      <c r="F43" s="401">
        <f t="shared" si="0"/>
        <v>4487123.08</v>
      </c>
      <c r="G43" s="362">
        <f t="shared" si="1"/>
        <v>8974246.1600000001</v>
      </c>
    </row>
    <row r="44" spans="1:7" hidden="1" x14ac:dyDescent="0.25">
      <c r="A44" s="415" t="s">
        <v>272</v>
      </c>
      <c r="B44" t="s">
        <v>873</v>
      </c>
      <c r="D44" s="401"/>
      <c r="E44" s="401">
        <v>1436033.63</v>
      </c>
      <c r="F44" s="401">
        <f t="shared" si="0"/>
        <v>1436033.63</v>
      </c>
      <c r="G44" s="362">
        <f t="shared" si="1"/>
        <v>2872067.26</v>
      </c>
    </row>
    <row r="45" spans="1:7" hidden="1" x14ac:dyDescent="0.25">
      <c r="A45" s="415" t="s">
        <v>274</v>
      </c>
      <c r="B45" t="s">
        <v>874</v>
      </c>
      <c r="C45" s="362">
        <v>96576.61</v>
      </c>
      <c r="D45" s="401">
        <v>4820396.22</v>
      </c>
      <c r="E45" s="401">
        <v>27045337.260000002</v>
      </c>
      <c r="F45" s="401">
        <f t="shared" si="0"/>
        <v>31865733.48</v>
      </c>
      <c r="G45" s="362">
        <f t="shared" si="1"/>
        <v>63731466.960000001</v>
      </c>
    </row>
    <row r="46" spans="1:7" hidden="1" x14ac:dyDescent="0.25">
      <c r="A46" s="415" t="s">
        <v>276</v>
      </c>
      <c r="B46" t="s">
        <v>875</v>
      </c>
      <c r="D46" s="401"/>
      <c r="E46" s="401">
        <v>798009.8</v>
      </c>
      <c r="F46" s="401">
        <f t="shared" si="0"/>
        <v>798009.8</v>
      </c>
      <c r="G46" s="362">
        <f t="shared" si="1"/>
        <v>1596019.6</v>
      </c>
    </row>
    <row r="47" spans="1:7" hidden="1" x14ac:dyDescent="0.25">
      <c r="A47" s="415" t="s">
        <v>278</v>
      </c>
      <c r="B47" t="s">
        <v>876</v>
      </c>
      <c r="C47" s="362">
        <v>20260.43</v>
      </c>
      <c r="D47" s="401">
        <v>25217.14</v>
      </c>
      <c r="E47" s="401">
        <v>2761220.78</v>
      </c>
      <c r="F47" s="401">
        <f t="shared" si="0"/>
        <v>2786437.92</v>
      </c>
      <c r="G47" s="362">
        <f t="shared" si="1"/>
        <v>5572875.8399999999</v>
      </c>
    </row>
    <row r="48" spans="1:7" hidden="1" x14ac:dyDescent="0.25">
      <c r="A48" s="415" t="s">
        <v>280</v>
      </c>
      <c r="B48" t="s">
        <v>877</v>
      </c>
      <c r="D48" s="401"/>
      <c r="E48" s="401">
        <v>229096.53</v>
      </c>
      <c r="F48" s="401">
        <f t="shared" si="0"/>
        <v>229096.53</v>
      </c>
      <c r="G48" s="362">
        <f t="shared" si="1"/>
        <v>458193.06</v>
      </c>
    </row>
    <row r="49" spans="1:7" hidden="1" x14ac:dyDescent="0.25">
      <c r="A49" s="415" t="s">
        <v>282</v>
      </c>
      <c r="B49" t="s">
        <v>1303</v>
      </c>
      <c r="D49" s="401"/>
      <c r="E49" s="401">
        <v>220815.05</v>
      </c>
      <c r="F49" s="401">
        <f t="shared" si="0"/>
        <v>220815.05</v>
      </c>
      <c r="G49" s="362">
        <f t="shared" si="1"/>
        <v>441630.1</v>
      </c>
    </row>
    <row r="50" spans="1:7" hidden="1" x14ac:dyDescent="0.25">
      <c r="A50" s="415" t="s">
        <v>284</v>
      </c>
      <c r="B50" t="s">
        <v>1304</v>
      </c>
      <c r="C50" s="362">
        <v>7493.05</v>
      </c>
      <c r="D50" s="401">
        <v>3844.39</v>
      </c>
      <c r="E50" s="401">
        <v>1418003.43</v>
      </c>
      <c r="F50" s="401">
        <f t="shared" si="0"/>
        <v>1421847.8199999998</v>
      </c>
      <c r="G50" s="362">
        <f t="shared" si="1"/>
        <v>2843695.6399999997</v>
      </c>
    </row>
    <row r="51" spans="1:7" hidden="1" x14ac:dyDescent="0.25">
      <c r="A51" s="415" t="s">
        <v>286</v>
      </c>
      <c r="B51" t="s">
        <v>1137</v>
      </c>
      <c r="D51" s="401"/>
      <c r="E51" s="401">
        <v>2943449.77</v>
      </c>
      <c r="F51" s="401">
        <f t="shared" si="0"/>
        <v>2943449.77</v>
      </c>
      <c r="G51" s="362">
        <f t="shared" si="1"/>
        <v>5886899.54</v>
      </c>
    </row>
    <row r="52" spans="1:7" hidden="1" x14ac:dyDescent="0.25">
      <c r="A52" s="415" t="s">
        <v>288</v>
      </c>
      <c r="B52" t="s">
        <v>881</v>
      </c>
      <c r="D52" s="401">
        <v>3000</v>
      </c>
      <c r="E52" s="401">
        <v>1676902.84</v>
      </c>
      <c r="F52" s="401">
        <f t="shared" si="0"/>
        <v>1679902.84</v>
      </c>
      <c r="G52" s="362">
        <f t="shared" si="1"/>
        <v>3359805.68</v>
      </c>
    </row>
    <row r="53" spans="1:7" hidden="1" x14ac:dyDescent="0.25">
      <c r="A53" s="415" t="s">
        <v>290</v>
      </c>
      <c r="B53" t="s">
        <v>882</v>
      </c>
      <c r="C53" s="362">
        <v>2574.2800000000002</v>
      </c>
      <c r="D53" s="401">
        <v>1831.49</v>
      </c>
      <c r="E53" s="401">
        <v>651276.98</v>
      </c>
      <c r="F53" s="401">
        <f t="shared" si="0"/>
        <v>653108.47</v>
      </c>
      <c r="G53" s="362">
        <f t="shared" si="1"/>
        <v>1306216.94</v>
      </c>
    </row>
    <row r="54" spans="1:7" hidden="1" x14ac:dyDescent="0.25">
      <c r="A54" s="415" t="s">
        <v>292</v>
      </c>
      <c r="B54" t="s">
        <v>883</v>
      </c>
      <c r="D54" s="401"/>
      <c r="E54" s="401">
        <v>435996.92</v>
      </c>
      <c r="F54" s="401">
        <f t="shared" si="0"/>
        <v>435996.92</v>
      </c>
      <c r="G54" s="362">
        <f t="shared" si="1"/>
        <v>871993.84</v>
      </c>
    </row>
    <row r="55" spans="1:7" hidden="1" x14ac:dyDescent="0.25">
      <c r="A55" s="415" t="s">
        <v>294</v>
      </c>
      <c r="B55" t="s">
        <v>884</v>
      </c>
      <c r="D55" s="401"/>
      <c r="E55" s="401">
        <v>259908.94</v>
      </c>
      <c r="F55" s="401">
        <f t="shared" si="0"/>
        <v>259908.94</v>
      </c>
      <c r="G55" s="362">
        <f t="shared" si="1"/>
        <v>519817.88</v>
      </c>
    </row>
    <row r="56" spans="1:7" hidden="1" x14ac:dyDescent="0.25">
      <c r="A56" s="415" t="s">
        <v>296</v>
      </c>
      <c r="B56" t="s">
        <v>885</v>
      </c>
      <c r="D56" s="401"/>
      <c r="E56" s="401">
        <v>2355809.9700000002</v>
      </c>
      <c r="F56" s="401">
        <f t="shared" si="0"/>
        <v>2355809.9700000002</v>
      </c>
      <c r="G56" s="362">
        <f t="shared" si="1"/>
        <v>4711619.9400000004</v>
      </c>
    </row>
    <row r="57" spans="1:7" hidden="1" x14ac:dyDescent="0.25">
      <c r="A57" s="415" t="s">
        <v>298</v>
      </c>
      <c r="B57" t="s">
        <v>886</v>
      </c>
      <c r="D57" s="401"/>
      <c r="E57" s="401">
        <v>381578.05</v>
      </c>
      <c r="F57" s="401">
        <f t="shared" si="0"/>
        <v>381578.05</v>
      </c>
      <c r="G57" s="362">
        <f t="shared" si="1"/>
        <v>763156.1</v>
      </c>
    </row>
    <row r="58" spans="1:7" hidden="1" x14ac:dyDescent="0.25">
      <c r="A58" s="415" t="s">
        <v>300</v>
      </c>
      <c r="B58" t="s">
        <v>887</v>
      </c>
      <c r="D58" s="401">
        <v>36000</v>
      </c>
      <c r="E58" s="401">
        <v>153507.06</v>
      </c>
      <c r="F58" s="401">
        <f t="shared" si="0"/>
        <v>189507.06</v>
      </c>
      <c r="G58" s="362">
        <f t="shared" si="1"/>
        <v>379014.12</v>
      </c>
    </row>
    <row r="59" spans="1:7" hidden="1" x14ac:dyDescent="0.25">
      <c r="A59" s="415" t="s">
        <v>302</v>
      </c>
      <c r="B59" t="s">
        <v>888</v>
      </c>
      <c r="D59" s="401"/>
      <c r="E59" s="401">
        <v>331227.56</v>
      </c>
      <c r="F59" s="401">
        <f t="shared" si="0"/>
        <v>331227.56</v>
      </c>
      <c r="G59" s="362">
        <f t="shared" si="1"/>
        <v>662455.12</v>
      </c>
    </row>
    <row r="60" spans="1:7" hidden="1" x14ac:dyDescent="0.25">
      <c r="A60" s="415" t="s">
        <v>304</v>
      </c>
      <c r="B60" t="s">
        <v>889</v>
      </c>
      <c r="D60" s="401"/>
      <c r="E60" s="401">
        <v>441688.66</v>
      </c>
      <c r="F60" s="401">
        <f t="shared" si="0"/>
        <v>441688.66</v>
      </c>
      <c r="G60" s="362">
        <f t="shared" si="1"/>
        <v>883377.32</v>
      </c>
    </row>
    <row r="61" spans="1:7" hidden="1" x14ac:dyDescent="0.25">
      <c r="A61" s="415" t="s">
        <v>306</v>
      </c>
      <c r="B61" t="s">
        <v>1138</v>
      </c>
      <c r="C61" s="362">
        <v>1774.91</v>
      </c>
      <c r="D61" s="401">
        <v>5329.02</v>
      </c>
      <c r="E61" s="401">
        <v>66242.350000000006</v>
      </c>
      <c r="F61" s="401">
        <f t="shared" si="0"/>
        <v>71571.37000000001</v>
      </c>
      <c r="G61" s="362">
        <f t="shared" si="1"/>
        <v>143142.74000000002</v>
      </c>
    </row>
    <row r="62" spans="1:7" hidden="1" x14ac:dyDescent="0.25">
      <c r="A62" s="415" t="s">
        <v>308</v>
      </c>
      <c r="B62" t="s">
        <v>892</v>
      </c>
      <c r="C62" s="362">
        <v>11025.85</v>
      </c>
      <c r="D62" s="401"/>
      <c r="E62" s="401">
        <v>640069.86</v>
      </c>
      <c r="F62" s="401">
        <f t="shared" si="0"/>
        <v>640069.86</v>
      </c>
      <c r="G62" s="362">
        <f t="shared" si="1"/>
        <v>1280139.72</v>
      </c>
    </row>
    <row r="63" spans="1:7" hidden="1" x14ac:dyDescent="0.25">
      <c r="A63" s="415" t="s">
        <v>310</v>
      </c>
      <c r="B63" t="s">
        <v>893</v>
      </c>
      <c r="D63" s="401">
        <v>6645.58</v>
      </c>
      <c r="E63" s="401">
        <v>861289.44</v>
      </c>
      <c r="F63" s="401">
        <f t="shared" si="0"/>
        <v>867935.0199999999</v>
      </c>
      <c r="G63" s="362">
        <f t="shared" si="1"/>
        <v>1735870.0399999998</v>
      </c>
    </row>
    <row r="64" spans="1:7" hidden="1" x14ac:dyDescent="0.25">
      <c r="A64" s="415" t="s">
        <v>312</v>
      </c>
      <c r="B64" t="s">
        <v>894</v>
      </c>
      <c r="D64" s="401"/>
      <c r="E64" s="401">
        <v>546313.52</v>
      </c>
      <c r="F64" s="401">
        <f t="shared" si="0"/>
        <v>546313.52</v>
      </c>
      <c r="G64" s="362">
        <f t="shared" si="1"/>
        <v>1092627.04</v>
      </c>
    </row>
    <row r="65" spans="1:7" hidden="1" x14ac:dyDescent="0.25">
      <c r="A65" s="415" t="s">
        <v>314</v>
      </c>
      <c r="B65" t="s">
        <v>895</v>
      </c>
      <c r="D65" s="401"/>
      <c r="E65" s="401">
        <v>3398028.08</v>
      </c>
      <c r="F65" s="401">
        <f t="shared" si="0"/>
        <v>3398028.08</v>
      </c>
      <c r="G65" s="362">
        <f t="shared" si="1"/>
        <v>6796056.1600000001</v>
      </c>
    </row>
    <row r="66" spans="1:7" hidden="1" x14ac:dyDescent="0.25">
      <c r="A66" s="415" t="s">
        <v>316</v>
      </c>
      <c r="B66" t="s">
        <v>896</v>
      </c>
      <c r="C66" s="362">
        <v>8675.32</v>
      </c>
      <c r="D66" s="401">
        <v>492126.77</v>
      </c>
      <c r="E66" s="401">
        <v>2985935.34</v>
      </c>
      <c r="F66" s="401">
        <f t="shared" si="0"/>
        <v>3478062.11</v>
      </c>
      <c r="G66" s="362">
        <f t="shared" si="1"/>
        <v>6956124.2199999997</v>
      </c>
    </row>
    <row r="67" spans="1:7" hidden="1" x14ac:dyDescent="0.25">
      <c r="A67" s="415" t="s">
        <v>318</v>
      </c>
      <c r="B67" t="s">
        <v>897</v>
      </c>
      <c r="D67" s="401"/>
      <c r="E67" s="401">
        <v>117328.72</v>
      </c>
      <c r="F67" s="401">
        <f t="shared" si="0"/>
        <v>117328.72</v>
      </c>
      <c r="G67" s="362">
        <f t="shared" si="1"/>
        <v>234657.44</v>
      </c>
    </row>
    <row r="68" spans="1:7" hidden="1" x14ac:dyDescent="0.25">
      <c r="A68" s="415" t="s">
        <v>320</v>
      </c>
      <c r="B68" t="s">
        <v>1305</v>
      </c>
      <c r="D68" s="401">
        <v>1711396.6</v>
      </c>
      <c r="E68" s="401">
        <v>6601252.4500000002</v>
      </c>
      <c r="F68" s="401">
        <f t="shared" si="0"/>
        <v>8312649.0500000007</v>
      </c>
      <c r="G68" s="362">
        <f t="shared" si="1"/>
        <v>16625298.100000001</v>
      </c>
    </row>
    <row r="69" spans="1:7" hidden="1" x14ac:dyDescent="0.25">
      <c r="A69" s="415" t="s">
        <v>322</v>
      </c>
      <c r="B69" t="s">
        <v>1306</v>
      </c>
      <c r="D69" s="401">
        <v>584320.29</v>
      </c>
      <c r="E69" s="401">
        <v>4640882.8499999996</v>
      </c>
      <c r="F69" s="401">
        <f t="shared" si="0"/>
        <v>5225203.1399999997</v>
      </c>
      <c r="G69" s="362">
        <f t="shared" si="1"/>
        <v>10450406.279999999</v>
      </c>
    </row>
    <row r="70" spans="1:7" hidden="1" x14ac:dyDescent="0.25">
      <c r="A70" s="415" t="s">
        <v>324</v>
      </c>
      <c r="B70" t="s">
        <v>900</v>
      </c>
      <c r="C70" s="362">
        <v>73083.58</v>
      </c>
      <c r="D70" s="401">
        <v>1136683.01</v>
      </c>
      <c r="E70" s="401">
        <v>8195333.3499999996</v>
      </c>
      <c r="F70" s="401">
        <f t="shared" si="0"/>
        <v>9332016.3599999994</v>
      </c>
      <c r="G70" s="362">
        <f t="shared" si="1"/>
        <v>18664032.719999999</v>
      </c>
    </row>
    <row r="71" spans="1:7" hidden="1" x14ac:dyDescent="0.25">
      <c r="A71" s="415" t="s">
        <v>326</v>
      </c>
      <c r="B71" t="s">
        <v>901</v>
      </c>
      <c r="D71" s="401"/>
      <c r="E71" s="401">
        <v>104673.48</v>
      </c>
      <c r="F71" s="401">
        <f t="shared" si="0"/>
        <v>104673.48</v>
      </c>
      <c r="G71" s="362">
        <f t="shared" si="1"/>
        <v>209346.96</v>
      </c>
    </row>
    <row r="72" spans="1:7" hidden="1" x14ac:dyDescent="0.25">
      <c r="A72" s="415" t="s">
        <v>328</v>
      </c>
      <c r="B72" t="s">
        <v>902</v>
      </c>
      <c r="D72" s="401"/>
      <c r="E72" s="401">
        <v>3212184.12</v>
      </c>
      <c r="F72" s="401">
        <f t="shared" ref="F72:F135" si="2">D72+E72</f>
        <v>3212184.12</v>
      </c>
      <c r="G72" s="362">
        <f t="shared" ref="G72:G135" si="3">D72+E72+F72</f>
        <v>6424368.2400000002</v>
      </c>
    </row>
    <row r="73" spans="1:7" hidden="1" x14ac:dyDescent="0.25">
      <c r="A73" s="415" t="s">
        <v>330</v>
      </c>
      <c r="B73" t="s">
        <v>903</v>
      </c>
      <c r="C73" s="362">
        <v>467978.97</v>
      </c>
      <c r="D73" s="401">
        <v>10175555.08</v>
      </c>
      <c r="E73" s="401">
        <v>45273956.609999999</v>
      </c>
      <c r="F73" s="401">
        <f t="shared" si="2"/>
        <v>55449511.689999998</v>
      </c>
      <c r="G73" s="362">
        <f t="shared" si="3"/>
        <v>110899023.38</v>
      </c>
    </row>
    <row r="74" spans="1:7" hidden="1" x14ac:dyDescent="0.25">
      <c r="A74" s="415" t="s">
        <v>332</v>
      </c>
      <c r="B74" t="s">
        <v>904</v>
      </c>
      <c r="C74" s="362">
        <v>17781.53</v>
      </c>
      <c r="D74" s="401">
        <v>606337.35</v>
      </c>
      <c r="E74" s="401">
        <v>5004302.53</v>
      </c>
      <c r="F74" s="401">
        <f t="shared" si="2"/>
        <v>5610639.8799999999</v>
      </c>
      <c r="G74" s="362">
        <f t="shared" si="3"/>
        <v>11221279.76</v>
      </c>
    </row>
    <row r="75" spans="1:7" hidden="1" x14ac:dyDescent="0.25">
      <c r="A75" s="415" t="s">
        <v>334</v>
      </c>
      <c r="B75" t="s">
        <v>905</v>
      </c>
      <c r="D75" s="401"/>
      <c r="E75" s="401">
        <v>2823683.47</v>
      </c>
      <c r="F75" s="401">
        <f t="shared" si="2"/>
        <v>2823683.47</v>
      </c>
      <c r="G75" s="362">
        <f t="shared" si="3"/>
        <v>5647366.9400000004</v>
      </c>
    </row>
    <row r="76" spans="1:7" hidden="1" x14ac:dyDescent="0.25">
      <c r="A76" s="415" t="s">
        <v>336</v>
      </c>
      <c r="B76" t="s">
        <v>906</v>
      </c>
      <c r="D76" s="401"/>
      <c r="E76" s="401">
        <v>283717.8</v>
      </c>
      <c r="F76" s="401">
        <f t="shared" si="2"/>
        <v>283717.8</v>
      </c>
      <c r="G76" s="362">
        <f t="shared" si="3"/>
        <v>567435.6</v>
      </c>
    </row>
    <row r="77" spans="1:7" hidden="1" x14ac:dyDescent="0.25">
      <c r="A77" s="415" t="s">
        <v>338</v>
      </c>
      <c r="B77" t="s">
        <v>907</v>
      </c>
      <c r="C77" s="362">
        <v>5243.7</v>
      </c>
      <c r="D77" s="401">
        <v>16161.38</v>
      </c>
      <c r="E77" s="401">
        <v>292251.24</v>
      </c>
      <c r="F77" s="401">
        <f t="shared" si="2"/>
        <v>308412.62</v>
      </c>
      <c r="G77" s="362">
        <f t="shared" si="3"/>
        <v>616825.24</v>
      </c>
    </row>
    <row r="78" spans="1:7" hidden="1" x14ac:dyDescent="0.25">
      <c r="A78" s="415" t="s">
        <v>340</v>
      </c>
      <c r="B78" t="s">
        <v>908</v>
      </c>
      <c r="C78" s="362">
        <v>42261.29</v>
      </c>
      <c r="D78" s="401">
        <v>1506604.06</v>
      </c>
      <c r="E78" s="401">
        <v>8982247.8599999994</v>
      </c>
      <c r="F78" s="401">
        <f t="shared" si="2"/>
        <v>10488851.92</v>
      </c>
      <c r="G78" s="362">
        <f t="shared" si="3"/>
        <v>20977703.84</v>
      </c>
    </row>
    <row r="79" spans="1:7" hidden="1" x14ac:dyDescent="0.25">
      <c r="A79" s="415" t="s">
        <v>342</v>
      </c>
      <c r="B79" t="s">
        <v>909</v>
      </c>
      <c r="D79" s="401"/>
      <c r="E79" s="401">
        <v>3504168.79</v>
      </c>
      <c r="F79" s="401">
        <f t="shared" si="2"/>
        <v>3504168.79</v>
      </c>
      <c r="G79" s="362">
        <f t="shared" si="3"/>
        <v>7008337.5800000001</v>
      </c>
    </row>
    <row r="80" spans="1:7" hidden="1" x14ac:dyDescent="0.25">
      <c r="A80" s="415" t="s">
        <v>344</v>
      </c>
      <c r="B80" t="s">
        <v>1139</v>
      </c>
      <c r="D80" s="401">
        <v>761.27</v>
      </c>
      <c r="E80" s="401">
        <v>70018.899999999994</v>
      </c>
      <c r="F80" s="401">
        <f t="shared" si="2"/>
        <v>70780.17</v>
      </c>
      <c r="G80" s="362">
        <f t="shared" si="3"/>
        <v>141560.34</v>
      </c>
    </row>
    <row r="81" spans="1:7" hidden="1" x14ac:dyDescent="0.25">
      <c r="A81" s="415" t="s">
        <v>346</v>
      </c>
      <c r="B81" t="s">
        <v>910</v>
      </c>
      <c r="D81" s="401">
        <v>1383996.29</v>
      </c>
      <c r="E81" s="401">
        <v>48624678.649999999</v>
      </c>
      <c r="F81" s="401">
        <f t="shared" si="2"/>
        <v>50008674.939999998</v>
      </c>
      <c r="G81" s="362">
        <f t="shared" si="3"/>
        <v>100017349.88</v>
      </c>
    </row>
    <row r="82" spans="1:7" hidden="1" x14ac:dyDescent="0.25">
      <c r="A82" s="415" t="s">
        <v>348</v>
      </c>
      <c r="B82" t="s">
        <v>1307</v>
      </c>
      <c r="C82" s="362">
        <v>184772.3</v>
      </c>
      <c r="D82" s="401">
        <v>9818475.3800000008</v>
      </c>
      <c r="E82" s="401">
        <v>43546768.740000002</v>
      </c>
      <c r="F82" s="401">
        <f t="shared" si="2"/>
        <v>53365244.120000005</v>
      </c>
      <c r="G82" s="362">
        <f t="shared" si="3"/>
        <v>106730488.24000001</v>
      </c>
    </row>
    <row r="83" spans="1:7" hidden="1" x14ac:dyDescent="0.25">
      <c r="A83" s="415" t="s">
        <v>350</v>
      </c>
      <c r="B83" t="s">
        <v>1308</v>
      </c>
      <c r="D83" s="401"/>
      <c r="E83" s="401">
        <v>34509.480000000003</v>
      </c>
      <c r="F83" s="401">
        <f t="shared" si="2"/>
        <v>34509.480000000003</v>
      </c>
      <c r="G83" s="362">
        <f t="shared" si="3"/>
        <v>69018.960000000006</v>
      </c>
    </row>
    <row r="84" spans="1:7" hidden="1" x14ac:dyDescent="0.25">
      <c r="A84" s="415" t="s">
        <v>352</v>
      </c>
      <c r="B84" t="s">
        <v>913</v>
      </c>
      <c r="C84" s="362">
        <v>57701.13</v>
      </c>
      <c r="D84" s="401"/>
      <c r="E84" s="401">
        <v>47319836.770000003</v>
      </c>
      <c r="F84" s="401">
        <f t="shared" si="2"/>
        <v>47319836.770000003</v>
      </c>
      <c r="G84" s="362">
        <f t="shared" si="3"/>
        <v>94639673.540000007</v>
      </c>
    </row>
    <row r="85" spans="1:7" hidden="1" x14ac:dyDescent="0.25">
      <c r="A85" s="415" t="s">
        <v>354</v>
      </c>
      <c r="B85" t="s">
        <v>914</v>
      </c>
      <c r="D85" s="401"/>
      <c r="E85" s="401">
        <v>11783958.57</v>
      </c>
      <c r="F85" s="401">
        <f t="shared" si="2"/>
        <v>11783958.57</v>
      </c>
      <c r="G85" s="362">
        <f t="shared" si="3"/>
        <v>23567917.140000001</v>
      </c>
    </row>
    <row r="86" spans="1:7" hidden="1" x14ac:dyDescent="0.25">
      <c r="A86" s="415" t="s">
        <v>356</v>
      </c>
      <c r="B86" t="s">
        <v>915</v>
      </c>
      <c r="C86" s="362">
        <v>69214.240000000005</v>
      </c>
      <c r="D86" s="401"/>
      <c r="E86" s="401">
        <v>8953544.0399999991</v>
      </c>
      <c r="F86" s="401">
        <f t="shared" si="2"/>
        <v>8953544.0399999991</v>
      </c>
      <c r="G86" s="362">
        <f t="shared" si="3"/>
        <v>17907088.079999998</v>
      </c>
    </row>
    <row r="87" spans="1:7" hidden="1" x14ac:dyDescent="0.25">
      <c r="A87" s="415" t="s">
        <v>358</v>
      </c>
      <c r="B87" t="s">
        <v>916</v>
      </c>
      <c r="C87" s="362">
        <v>22352.07</v>
      </c>
      <c r="D87" s="401">
        <v>88.5</v>
      </c>
      <c r="E87" s="401">
        <v>1258298.72</v>
      </c>
      <c r="F87" s="401">
        <f t="shared" si="2"/>
        <v>1258387.22</v>
      </c>
      <c r="G87" s="362">
        <f t="shared" si="3"/>
        <v>2516774.44</v>
      </c>
    </row>
    <row r="88" spans="1:7" hidden="1" x14ac:dyDescent="0.25">
      <c r="A88" s="415" t="s">
        <v>360</v>
      </c>
      <c r="B88" t="s">
        <v>917</v>
      </c>
      <c r="C88" s="362">
        <v>117459.61</v>
      </c>
      <c r="D88" s="401">
        <v>6093098.7199999997</v>
      </c>
      <c r="E88" s="401">
        <v>13349425.220000001</v>
      </c>
      <c r="F88" s="401">
        <f t="shared" si="2"/>
        <v>19442523.940000001</v>
      </c>
      <c r="G88" s="362">
        <f t="shared" si="3"/>
        <v>38885047.880000003</v>
      </c>
    </row>
    <row r="89" spans="1:7" hidden="1" x14ac:dyDescent="0.25">
      <c r="A89" s="415" t="s">
        <v>362</v>
      </c>
      <c r="B89" t="s">
        <v>918</v>
      </c>
      <c r="D89" s="401">
        <v>7534.66</v>
      </c>
      <c r="E89" s="401">
        <v>1073018.0900000001</v>
      </c>
      <c r="F89" s="401">
        <f t="shared" si="2"/>
        <v>1080552.75</v>
      </c>
      <c r="G89" s="362">
        <f t="shared" si="3"/>
        <v>2161105.5</v>
      </c>
    </row>
    <row r="90" spans="1:7" hidden="1" x14ac:dyDescent="0.25">
      <c r="A90" s="415" t="s">
        <v>364</v>
      </c>
      <c r="B90" t="s">
        <v>919</v>
      </c>
      <c r="D90" s="401">
        <v>3351.68</v>
      </c>
      <c r="E90" s="401">
        <v>169044.74</v>
      </c>
      <c r="F90" s="401">
        <f t="shared" si="2"/>
        <v>172396.41999999998</v>
      </c>
      <c r="G90" s="362">
        <f t="shared" si="3"/>
        <v>344792.83999999997</v>
      </c>
    </row>
    <row r="91" spans="1:7" hidden="1" x14ac:dyDescent="0.25">
      <c r="A91" s="415" t="s">
        <v>366</v>
      </c>
      <c r="B91" t="s">
        <v>920</v>
      </c>
      <c r="D91" s="401"/>
      <c r="E91" s="401">
        <v>113295.39</v>
      </c>
      <c r="F91" s="401">
        <f t="shared" si="2"/>
        <v>113295.39</v>
      </c>
      <c r="G91" s="362">
        <f t="shared" si="3"/>
        <v>226590.78</v>
      </c>
    </row>
    <row r="92" spans="1:7" hidden="1" x14ac:dyDescent="0.25">
      <c r="A92" s="415" t="s">
        <v>368</v>
      </c>
      <c r="B92" t="s">
        <v>921</v>
      </c>
      <c r="D92" s="401"/>
      <c r="E92" s="401">
        <v>4397511.04</v>
      </c>
      <c r="F92" s="401">
        <f t="shared" si="2"/>
        <v>4397511.04</v>
      </c>
      <c r="G92" s="362">
        <f t="shared" si="3"/>
        <v>8795022.0800000001</v>
      </c>
    </row>
    <row r="93" spans="1:7" hidden="1" x14ac:dyDescent="0.25">
      <c r="A93" s="415" t="s">
        <v>370</v>
      </c>
      <c r="B93" t="s">
        <v>922</v>
      </c>
      <c r="C93" s="362">
        <v>66</v>
      </c>
      <c r="D93" s="401">
        <v>100429.23</v>
      </c>
      <c r="E93" s="401">
        <v>1089604.5900000001</v>
      </c>
      <c r="F93" s="401">
        <f t="shared" si="2"/>
        <v>1190033.82</v>
      </c>
      <c r="G93" s="362">
        <f t="shared" si="3"/>
        <v>2380067.64</v>
      </c>
    </row>
    <row r="94" spans="1:7" hidden="1" x14ac:dyDescent="0.25">
      <c r="A94" s="415" t="s">
        <v>372</v>
      </c>
      <c r="B94" t="s">
        <v>923</v>
      </c>
      <c r="D94" s="401"/>
      <c r="E94" s="401">
        <v>5777779.3399999999</v>
      </c>
      <c r="F94" s="401">
        <f t="shared" si="2"/>
        <v>5777779.3399999999</v>
      </c>
      <c r="G94" s="362">
        <f t="shared" si="3"/>
        <v>11555558.68</v>
      </c>
    </row>
    <row r="95" spans="1:7" hidden="1" x14ac:dyDescent="0.25">
      <c r="A95" s="415" t="s">
        <v>374</v>
      </c>
      <c r="B95" t="s">
        <v>924</v>
      </c>
      <c r="D95" s="401"/>
      <c r="E95" s="401">
        <v>2225210.67</v>
      </c>
      <c r="F95" s="401">
        <f t="shared" si="2"/>
        <v>2225210.67</v>
      </c>
      <c r="G95" s="362">
        <f t="shared" si="3"/>
        <v>4450421.34</v>
      </c>
    </row>
    <row r="96" spans="1:7" hidden="1" x14ac:dyDescent="0.25">
      <c r="A96" s="415" t="s">
        <v>376</v>
      </c>
      <c r="B96" t="s">
        <v>925</v>
      </c>
      <c r="D96" s="401"/>
      <c r="E96" s="401">
        <v>6625874.25</v>
      </c>
      <c r="F96" s="401">
        <f t="shared" si="2"/>
        <v>6625874.25</v>
      </c>
      <c r="G96" s="362">
        <f t="shared" si="3"/>
        <v>13251748.5</v>
      </c>
    </row>
    <row r="97" spans="1:7" hidden="1" x14ac:dyDescent="0.25">
      <c r="A97" s="415" t="s">
        <v>378</v>
      </c>
      <c r="B97" t="s">
        <v>1140</v>
      </c>
      <c r="D97" s="401">
        <v>25029.27</v>
      </c>
      <c r="E97" s="401">
        <v>339074</v>
      </c>
      <c r="F97" s="401">
        <f t="shared" si="2"/>
        <v>364103.27</v>
      </c>
      <c r="G97" s="362">
        <f t="shared" si="3"/>
        <v>728206.54</v>
      </c>
    </row>
    <row r="98" spans="1:7" hidden="1" x14ac:dyDescent="0.25">
      <c r="A98" s="415" t="s">
        <v>380</v>
      </c>
      <c r="B98" t="s">
        <v>926</v>
      </c>
      <c r="D98" s="401"/>
      <c r="E98" s="401">
        <v>58839.74</v>
      </c>
      <c r="F98" s="401">
        <f t="shared" si="2"/>
        <v>58839.74</v>
      </c>
      <c r="G98" s="362">
        <f t="shared" si="3"/>
        <v>117679.48</v>
      </c>
    </row>
    <row r="99" spans="1:7" hidden="1" x14ac:dyDescent="0.25">
      <c r="A99" s="415" t="s">
        <v>384</v>
      </c>
      <c r="B99" t="s">
        <v>927</v>
      </c>
      <c r="D99" s="401"/>
      <c r="E99" s="401">
        <v>212038.01</v>
      </c>
      <c r="F99" s="401">
        <f t="shared" si="2"/>
        <v>212038.01</v>
      </c>
      <c r="G99" s="362">
        <f t="shared" si="3"/>
        <v>424076.02</v>
      </c>
    </row>
    <row r="100" spans="1:7" hidden="1" x14ac:dyDescent="0.25">
      <c r="A100" s="415" t="s">
        <v>386</v>
      </c>
      <c r="B100" t="s">
        <v>928</v>
      </c>
      <c r="C100" s="362">
        <v>28136.35</v>
      </c>
      <c r="D100" s="401"/>
      <c r="E100" s="401">
        <v>1003093.81</v>
      </c>
      <c r="F100" s="401">
        <f t="shared" si="2"/>
        <v>1003093.81</v>
      </c>
      <c r="G100" s="362">
        <f t="shared" si="3"/>
        <v>2006187.62</v>
      </c>
    </row>
    <row r="101" spans="1:7" hidden="1" x14ac:dyDescent="0.25">
      <c r="A101" s="415" t="s">
        <v>388</v>
      </c>
      <c r="B101" t="s">
        <v>929</v>
      </c>
      <c r="D101" s="401">
        <v>8254.77</v>
      </c>
      <c r="E101" s="401">
        <v>220927.37</v>
      </c>
      <c r="F101" s="401">
        <f t="shared" si="2"/>
        <v>229182.13999999998</v>
      </c>
      <c r="G101" s="362">
        <f t="shared" si="3"/>
        <v>458364.27999999997</v>
      </c>
    </row>
    <row r="102" spans="1:7" hidden="1" x14ac:dyDescent="0.25">
      <c r="A102" s="415" t="s">
        <v>390</v>
      </c>
      <c r="B102" t="s">
        <v>930</v>
      </c>
      <c r="D102" s="401"/>
      <c r="E102" s="401">
        <v>1558527.77</v>
      </c>
      <c r="F102" s="401">
        <f t="shared" si="2"/>
        <v>1558527.77</v>
      </c>
      <c r="G102" s="362">
        <f t="shared" si="3"/>
        <v>3117055.54</v>
      </c>
    </row>
    <row r="103" spans="1:7" hidden="1" x14ac:dyDescent="0.25">
      <c r="A103" s="415" t="s">
        <v>392</v>
      </c>
      <c r="B103" t="s">
        <v>931</v>
      </c>
      <c r="C103" s="362">
        <v>782659.63</v>
      </c>
      <c r="D103" s="401">
        <v>13987299.470000001</v>
      </c>
      <c r="E103" s="401">
        <v>36241516.140000001</v>
      </c>
      <c r="F103" s="401">
        <f t="shared" si="2"/>
        <v>50228815.609999999</v>
      </c>
      <c r="G103" s="362">
        <f t="shared" si="3"/>
        <v>100457631.22</v>
      </c>
    </row>
    <row r="104" spans="1:7" hidden="1" x14ac:dyDescent="0.25">
      <c r="A104" s="415" t="s">
        <v>394</v>
      </c>
      <c r="B104" t="s">
        <v>932</v>
      </c>
      <c r="C104" s="362">
        <v>8245.19</v>
      </c>
      <c r="D104" s="401">
        <v>734573.74</v>
      </c>
      <c r="E104" s="401">
        <v>2614538.87</v>
      </c>
      <c r="F104" s="401">
        <f t="shared" si="2"/>
        <v>3349112.6100000003</v>
      </c>
      <c r="G104" s="362">
        <f t="shared" si="3"/>
        <v>6698225.2200000007</v>
      </c>
    </row>
    <row r="105" spans="1:7" hidden="1" x14ac:dyDescent="0.25">
      <c r="A105" s="415" t="s">
        <v>396</v>
      </c>
      <c r="B105" t="s">
        <v>933</v>
      </c>
      <c r="D105" s="401"/>
      <c r="E105" s="401">
        <v>828615.64</v>
      </c>
      <c r="F105" s="401">
        <f t="shared" si="2"/>
        <v>828615.64</v>
      </c>
      <c r="G105" s="362">
        <f t="shared" si="3"/>
        <v>1657231.28</v>
      </c>
    </row>
    <row r="106" spans="1:7" hidden="1" x14ac:dyDescent="0.25">
      <c r="A106" s="415" t="s">
        <v>398</v>
      </c>
      <c r="B106" t="s">
        <v>934</v>
      </c>
      <c r="D106" s="401"/>
      <c r="E106" s="401">
        <v>2900753.46</v>
      </c>
      <c r="F106" s="401">
        <f t="shared" si="2"/>
        <v>2900753.46</v>
      </c>
      <c r="G106" s="362">
        <f t="shared" si="3"/>
        <v>5801506.9199999999</v>
      </c>
    </row>
    <row r="107" spans="1:7" hidden="1" x14ac:dyDescent="0.25">
      <c r="A107" s="415" t="s">
        <v>1161</v>
      </c>
      <c r="B107" t="s">
        <v>1309</v>
      </c>
      <c r="D107" s="401"/>
      <c r="E107" s="401">
        <v>315886.37</v>
      </c>
      <c r="F107" s="401">
        <f t="shared" si="2"/>
        <v>315886.37</v>
      </c>
      <c r="G107" s="362">
        <f t="shared" si="3"/>
        <v>631772.74</v>
      </c>
    </row>
    <row r="108" spans="1:7" hidden="1" x14ac:dyDescent="0.25">
      <c r="A108" s="415" t="s">
        <v>400</v>
      </c>
      <c r="B108" t="s">
        <v>1310</v>
      </c>
      <c r="D108" s="401"/>
      <c r="E108" s="401">
        <v>737312.9</v>
      </c>
      <c r="F108" s="401">
        <f t="shared" si="2"/>
        <v>737312.9</v>
      </c>
      <c r="G108" s="362">
        <f t="shared" si="3"/>
        <v>1474625.8</v>
      </c>
    </row>
    <row r="109" spans="1:7" hidden="1" x14ac:dyDescent="0.25">
      <c r="A109" s="415" t="s">
        <v>401</v>
      </c>
      <c r="B109" t="s">
        <v>1311</v>
      </c>
      <c r="D109" s="401"/>
      <c r="E109" s="401">
        <v>428858.55</v>
      </c>
      <c r="F109" s="401">
        <f t="shared" si="2"/>
        <v>428858.55</v>
      </c>
      <c r="G109" s="362">
        <f t="shared" si="3"/>
        <v>857717.1</v>
      </c>
    </row>
    <row r="110" spans="1:7" hidden="1" x14ac:dyDescent="0.25">
      <c r="A110" s="415" t="s">
        <v>403</v>
      </c>
      <c r="B110" t="s">
        <v>935</v>
      </c>
      <c r="D110" s="401"/>
      <c r="E110" s="401">
        <v>504789.57</v>
      </c>
      <c r="F110" s="401">
        <f t="shared" si="2"/>
        <v>504789.57</v>
      </c>
      <c r="G110" s="362">
        <f t="shared" si="3"/>
        <v>1009579.14</v>
      </c>
    </row>
    <row r="111" spans="1:7" hidden="1" x14ac:dyDescent="0.25">
      <c r="A111" s="415" t="s">
        <v>405</v>
      </c>
      <c r="B111" t="s">
        <v>936</v>
      </c>
      <c r="D111" s="401"/>
      <c r="E111" s="401">
        <v>53944.11</v>
      </c>
      <c r="F111" s="401">
        <f t="shared" si="2"/>
        <v>53944.11</v>
      </c>
      <c r="G111" s="362">
        <f t="shared" si="3"/>
        <v>107888.22</v>
      </c>
    </row>
    <row r="112" spans="1:7" hidden="1" x14ac:dyDescent="0.25">
      <c r="A112" s="415" t="s">
        <v>407</v>
      </c>
      <c r="B112" t="s">
        <v>937</v>
      </c>
      <c r="D112" s="401">
        <v>7463219.6600000001</v>
      </c>
      <c r="E112" s="401">
        <v>28466363.690000001</v>
      </c>
      <c r="F112" s="401">
        <f t="shared" si="2"/>
        <v>35929583.350000001</v>
      </c>
      <c r="G112" s="362">
        <f t="shared" si="3"/>
        <v>71859166.700000003</v>
      </c>
    </row>
    <row r="113" spans="1:7" hidden="1" x14ac:dyDescent="0.25">
      <c r="A113" s="415" t="s">
        <v>409</v>
      </c>
      <c r="B113" t="s">
        <v>938</v>
      </c>
      <c r="D113" s="401"/>
      <c r="E113" s="401">
        <v>116658.88</v>
      </c>
      <c r="F113" s="401">
        <f t="shared" si="2"/>
        <v>116658.88</v>
      </c>
      <c r="G113" s="362">
        <f t="shared" si="3"/>
        <v>233317.76000000001</v>
      </c>
    </row>
    <row r="114" spans="1:7" hidden="1" x14ac:dyDescent="0.25">
      <c r="A114" s="415" t="s">
        <v>411</v>
      </c>
      <c r="B114" t="s">
        <v>1274</v>
      </c>
      <c r="D114" s="401"/>
      <c r="E114" s="401">
        <v>2024664.18</v>
      </c>
      <c r="F114" s="401">
        <f t="shared" si="2"/>
        <v>2024664.18</v>
      </c>
      <c r="G114" s="362">
        <f t="shared" si="3"/>
        <v>4049328.36</v>
      </c>
    </row>
    <row r="115" spans="1:7" hidden="1" x14ac:dyDescent="0.25">
      <c r="A115" s="415" t="s">
        <v>413</v>
      </c>
      <c r="B115" t="s">
        <v>939</v>
      </c>
      <c r="D115" s="401"/>
      <c r="E115" s="401">
        <v>43804.67</v>
      </c>
      <c r="F115" s="401">
        <f t="shared" si="2"/>
        <v>43804.67</v>
      </c>
      <c r="G115" s="362">
        <f t="shared" si="3"/>
        <v>87609.34</v>
      </c>
    </row>
    <row r="116" spans="1:7" hidden="1" x14ac:dyDescent="0.25">
      <c r="A116" s="415" t="s">
        <v>415</v>
      </c>
      <c r="B116" t="s">
        <v>940</v>
      </c>
      <c r="C116" s="362">
        <v>63304.38</v>
      </c>
      <c r="D116" s="401">
        <v>1076187.8600000001</v>
      </c>
      <c r="E116" s="401">
        <v>9488444.0199999996</v>
      </c>
      <c r="F116" s="401">
        <f t="shared" si="2"/>
        <v>10564631.879999999</v>
      </c>
      <c r="G116" s="362">
        <f t="shared" si="3"/>
        <v>21129263.759999998</v>
      </c>
    </row>
    <row r="117" spans="1:7" hidden="1" x14ac:dyDescent="0.25">
      <c r="A117" s="415" t="s">
        <v>417</v>
      </c>
      <c r="B117" t="s">
        <v>941</v>
      </c>
      <c r="C117" s="362">
        <v>259119.35999999999</v>
      </c>
      <c r="D117" s="401">
        <v>3170664.87</v>
      </c>
      <c r="E117" s="401">
        <v>27731876.010000002</v>
      </c>
      <c r="F117" s="401">
        <f t="shared" si="2"/>
        <v>30902540.880000003</v>
      </c>
      <c r="G117" s="362">
        <f t="shared" si="3"/>
        <v>61805081.760000005</v>
      </c>
    </row>
    <row r="118" spans="1:7" hidden="1" x14ac:dyDescent="0.25">
      <c r="A118" s="415" t="s">
        <v>419</v>
      </c>
      <c r="B118" t="s">
        <v>942</v>
      </c>
      <c r="C118" s="362">
        <v>17486.21</v>
      </c>
      <c r="D118" s="401">
        <v>19000996.949999999</v>
      </c>
      <c r="E118" s="401">
        <v>48502139.829999998</v>
      </c>
      <c r="F118" s="401">
        <f t="shared" si="2"/>
        <v>67503136.780000001</v>
      </c>
      <c r="G118" s="362">
        <f t="shared" si="3"/>
        <v>135006273.56</v>
      </c>
    </row>
    <row r="119" spans="1:7" hidden="1" x14ac:dyDescent="0.25">
      <c r="A119" s="415" t="s">
        <v>421</v>
      </c>
      <c r="B119" t="s">
        <v>943</v>
      </c>
      <c r="D119" s="401"/>
      <c r="E119" s="401">
        <v>1478814.34</v>
      </c>
      <c r="F119" s="401">
        <f t="shared" si="2"/>
        <v>1478814.34</v>
      </c>
      <c r="G119" s="362">
        <f t="shared" si="3"/>
        <v>2957628.68</v>
      </c>
    </row>
    <row r="120" spans="1:7" hidden="1" x14ac:dyDescent="0.25">
      <c r="A120" s="415" t="s">
        <v>423</v>
      </c>
      <c r="B120" t="s">
        <v>944</v>
      </c>
      <c r="C120" s="362">
        <v>4034.83</v>
      </c>
      <c r="D120" s="401"/>
      <c r="E120" s="401">
        <v>2068990.74</v>
      </c>
      <c r="F120" s="401">
        <f t="shared" si="2"/>
        <v>2068990.74</v>
      </c>
      <c r="G120" s="362">
        <f t="shared" si="3"/>
        <v>4137981.48</v>
      </c>
    </row>
    <row r="121" spans="1:7" hidden="1" x14ac:dyDescent="0.25">
      <c r="A121" s="415" t="s">
        <v>425</v>
      </c>
      <c r="B121" t="s">
        <v>945</v>
      </c>
      <c r="D121" s="401"/>
      <c r="E121" s="401">
        <v>1038962.42</v>
      </c>
      <c r="F121" s="401">
        <f t="shared" si="2"/>
        <v>1038962.42</v>
      </c>
      <c r="G121" s="362">
        <f t="shared" si="3"/>
        <v>2077924.84</v>
      </c>
    </row>
    <row r="122" spans="1:7" hidden="1" x14ac:dyDescent="0.25">
      <c r="A122" s="415" t="s">
        <v>427</v>
      </c>
      <c r="B122" t="s">
        <v>1141</v>
      </c>
      <c r="D122" s="401"/>
      <c r="E122" s="401">
        <v>137146.62</v>
      </c>
      <c r="F122" s="401">
        <f t="shared" si="2"/>
        <v>137146.62</v>
      </c>
      <c r="G122" s="362">
        <f t="shared" si="3"/>
        <v>274293.24</v>
      </c>
    </row>
    <row r="123" spans="1:7" hidden="1" x14ac:dyDescent="0.25">
      <c r="A123" s="415" t="s">
        <v>431</v>
      </c>
      <c r="B123" t="s">
        <v>947</v>
      </c>
      <c r="C123" s="362">
        <v>34898.230000000003</v>
      </c>
      <c r="D123" s="401">
        <v>42185.13</v>
      </c>
      <c r="E123" s="401">
        <v>1353168.82</v>
      </c>
      <c r="F123" s="401">
        <f t="shared" si="2"/>
        <v>1395353.95</v>
      </c>
      <c r="G123" s="362">
        <f t="shared" si="3"/>
        <v>2790707.9</v>
      </c>
    </row>
    <row r="124" spans="1:7" hidden="1" x14ac:dyDescent="0.25">
      <c r="A124" s="415" t="s">
        <v>429</v>
      </c>
      <c r="B124" t="s">
        <v>1312</v>
      </c>
      <c r="D124" s="401">
        <v>596008.34</v>
      </c>
      <c r="E124" s="401">
        <v>3364878.32</v>
      </c>
      <c r="F124" s="401">
        <f t="shared" si="2"/>
        <v>3960886.6599999997</v>
      </c>
      <c r="G124" s="362">
        <f t="shared" si="3"/>
        <v>7921773.3199999994</v>
      </c>
    </row>
    <row r="125" spans="1:7" hidden="1" x14ac:dyDescent="0.25">
      <c r="A125" s="415" t="s">
        <v>433</v>
      </c>
      <c r="B125" t="s">
        <v>1313</v>
      </c>
      <c r="D125" s="401"/>
      <c r="E125" s="401">
        <v>147758.25</v>
      </c>
      <c r="F125" s="401">
        <f t="shared" si="2"/>
        <v>147758.25</v>
      </c>
      <c r="G125" s="362">
        <f t="shared" si="3"/>
        <v>295516.5</v>
      </c>
    </row>
    <row r="126" spans="1:7" hidden="1" x14ac:dyDescent="0.25">
      <c r="A126" s="415" t="s">
        <v>435</v>
      </c>
      <c r="B126" t="s">
        <v>948</v>
      </c>
      <c r="D126" s="401">
        <v>324764.90999999997</v>
      </c>
      <c r="E126" s="401">
        <v>1384179</v>
      </c>
      <c r="F126" s="401">
        <f t="shared" si="2"/>
        <v>1708943.91</v>
      </c>
      <c r="G126" s="362">
        <f t="shared" si="3"/>
        <v>3417887.82</v>
      </c>
    </row>
    <row r="127" spans="1:7" hidden="1" x14ac:dyDescent="0.25">
      <c r="A127" s="415" t="s">
        <v>439</v>
      </c>
      <c r="B127" t="s">
        <v>949</v>
      </c>
      <c r="C127" s="362">
        <v>26682.560000000001</v>
      </c>
      <c r="D127" s="401"/>
      <c r="E127" s="401">
        <v>22996544.960000001</v>
      </c>
      <c r="F127" s="401">
        <f t="shared" si="2"/>
        <v>22996544.960000001</v>
      </c>
      <c r="G127" s="362">
        <f t="shared" si="3"/>
        <v>45993089.920000002</v>
      </c>
    </row>
    <row r="128" spans="1:7" hidden="1" x14ac:dyDescent="0.25">
      <c r="A128" s="415" t="s">
        <v>441</v>
      </c>
      <c r="B128" t="s">
        <v>950</v>
      </c>
      <c r="C128" s="362">
        <v>90193.45</v>
      </c>
      <c r="D128" s="401">
        <v>20982205.399999999</v>
      </c>
      <c r="E128" s="401">
        <v>46774380.630000003</v>
      </c>
      <c r="F128" s="401">
        <f t="shared" si="2"/>
        <v>67756586.030000001</v>
      </c>
      <c r="G128" s="362">
        <f t="shared" si="3"/>
        <v>135513172.06</v>
      </c>
    </row>
    <row r="129" spans="1:7" hidden="1" x14ac:dyDescent="0.25">
      <c r="A129" s="415" t="s">
        <v>443</v>
      </c>
      <c r="B129" t="s">
        <v>951</v>
      </c>
      <c r="C129" s="362">
        <v>525.54999999999995</v>
      </c>
      <c r="D129" s="401">
        <v>200000</v>
      </c>
      <c r="E129" s="401">
        <v>5312822.57</v>
      </c>
      <c r="F129" s="401">
        <f t="shared" si="2"/>
        <v>5512822.5700000003</v>
      </c>
      <c r="G129" s="362">
        <f t="shared" si="3"/>
        <v>11025645.140000001</v>
      </c>
    </row>
    <row r="130" spans="1:7" hidden="1" x14ac:dyDescent="0.25">
      <c r="A130" s="415" t="s">
        <v>445</v>
      </c>
      <c r="B130" t="s">
        <v>952</v>
      </c>
      <c r="D130" s="401"/>
      <c r="E130" s="401">
        <v>101835.61</v>
      </c>
      <c r="F130" s="401">
        <f t="shared" si="2"/>
        <v>101835.61</v>
      </c>
      <c r="G130" s="362">
        <f t="shared" si="3"/>
        <v>203671.22</v>
      </c>
    </row>
    <row r="131" spans="1:7" hidden="1" x14ac:dyDescent="0.25">
      <c r="A131" s="415" t="s">
        <v>447</v>
      </c>
      <c r="B131" t="s">
        <v>953</v>
      </c>
      <c r="D131" s="401"/>
      <c r="E131" s="401">
        <v>705262.54</v>
      </c>
      <c r="F131" s="401">
        <f t="shared" si="2"/>
        <v>705262.54</v>
      </c>
      <c r="G131" s="362">
        <f t="shared" si="3"/>
        <v>1410525.08</v>
      </c>
    </row>
    <row r="132" spans="1:7" hidden="1" x14ac:dyDescent="0.25">
      <c r="A132" s="415" t="s">
        <v>449</v>
      </c>
      <c r="B132" t="s">
        <v>954</v>
      </c>
      <c r="D132" s="401">
        <v>33453.199999999997</v>
      </c>
      <c r="E132" s="401">
        <v>313229.13</v>
      </c>
      <c r="F132" s="401">
        <f t="shared" si="2"/>
        <v>346682.33</v>
      </c>
      <c r="G132" s="362">
        <f t="shared" si="3"/>
        <v>693364.66</v>
      </c>
    </row>
    <row r="133" spans="1:7" hidden="1" x14ac:dyDescent="0.25">
      <c r="A133" s="415" t="s">
        <v>451</v>
      </c>
      <c r="B133" t="s">
        <v>955</v>
      </c>
      <c r="C133" s="362">
        <v>213097.21</v>
      </c>
      <c r="D133" s="401">
        <v>1418114.18</v>
      </c>
      <c r="E133" s="401">
        <v>12907216.609999999</v>
      </c>
      <c r="F133" s="401">
        <f t="shared" si="2"/>
        <v>14325330.789999999</v>
      </c>
      <c r="G133" s="362">
        <f t="shared" si="3"/>
        <v>28650661.579999998</v>
      </c>
    </row>
    <row r="134" spans="1:7" hidden="1" x14ac:dyDescent="0.25">
      <c r="A134" s="415" t="s">
        <v>453</v>
      </c>
      <c r="B134" t="s">
        <v>956</v>
      </c>
      <c r="D134" s="401"/>
      <c r="E134" s="401">
        <v>302067.34000000003</v>
      </c>
      <c r="F134" s="401">
        <f t="shared" si="2"/>
        <v>302067.34000000003</v>
      </c>
      <c r="G134" s="362">
        <f t="shared" si="3"/>
        <v>604134.68000000005</v>
      </c>
    </row>
    <row r="135" spans="1:7" hidden="1" x14ac:dyDescent="0.25">
      <c r="A135" s="415" t="s">
        <v>455</v>
      </c>
      <c r="B135" t="s">
        <v>957</v>
      </c>
      <c r="C135" s="362">
        <v>14305.95</v>
      </c>
      <c r="D135" s="401"/>
      <c r="E135" s="401">
        <v>831686.91</v>
      </c>
      <c r="F135" s="401">
        <f t="shared" si="2"/>
        <v>831686.91</v>
      </c>
      <c r="G135" s="362">
        <f t="shared" si="3"/>
        <v>1663373.82</v>
      </c>
    </row>
    <row r="136" spans="1:7" hidden="1" x14ac:dyDescent="0.25">
      <c r="A136" s="415" t="s">
        <v>457</v>
      </c>
      <c r="B136" t="s">
        <v>1275</v>
      </c>
      <c r="D136" s="401">
        <v>15300</v>
      </c>
      <c r="E136" s="401">
        <v>72476.19</v>
      </c>
      <c r="F136" s="401">
        <f t="shared" ref="F136:F199" si="4">D136+E136</f>
        <v>87776.19</v>
      </c>
      <c r="G136" s="362">
        <f t="shared" ref="G136:G199" si="5">D136+E136+F136</f>
        <v>175552.38</v>
      </c>
    </row>
    <row r="137" spans="1:7" hidden="1" x14ac:dyDescent="0.25">
      <c r="A137" s="415" t="s">
        <v>1314</v>
      </c>
      <c r="B137" t="s">
        <v>1315</v>
      </c>
      <c r="D137" s="401"/>
      <c r="E137" s="401">
        <v>851248.14</v>
      </c>
      <c r="F137" s="401">
        <f t="shared" si="4"/>
        <v>851248.14</v>
      </c>
      <c r="G137" s="362">
        <f t="shared" si="5"/>
        <v>1702496.28</v>
      </c>
    </row>
    <row r="138" spans="1:7" hidden="1" x14ac:dyDescent="0.25">
      <c r="A138" s="415" t="s">
        <v>458</v>
      </c>
      <c r="B138" t="s">
        <v>958</v>
      </c>
      <c r="D138" s="401"/>
      <c r="E138" s="401">
        <v>387242.04</v>
      </c>
      <c r="F138" s="401">
        <f t="shared" si="4"/>
        <v>387242.04</v>
      </c>
      <c r="G138" s="362">
        <f t="shared" si="5"/>
        <v>774484.08</v>
      </c>
    </row>
    <row r="139" spans="1:7" hidden="1" x14ac:dyDescent="0.25">
      <c r="A139" s="415" t="s">
        <v>460</v>
      </c>
      <c r="B139" t="s">
        <v>959</v>
      </c>
      <c r="C139" s="362">
        <v>274440.24</v>
      </c>
      <c r="D139" s="401">
        <v>508984.02</v>
      </c>
      <c r="E139" s="401">
        <v>6838109.0099999998</v>
      </c>
      <c r="F139" s="401">
        <f t="shared" si="4"/>
        <v>7347093.0299999993</v>
      </c>
      <c r="G139" s="362">
        <f t="shared" si="5"/>
        <v>14694186.059999999</v>
      </c>
    </row>
    <row r="140" spans="1:7" hidden="1" x14ac:dyDescent="0.25">
      <c r="A140" s="415" t="s">
        <v>462</v>
      </c>
      <c r="B140" t="s">
        <v>960</v>
      </c>
      <c r="D140" s="401"/>
      <c r="E140" s="401">
        <v>1025727.43</v>
      </c>
      <c r="F140" s="401">
        <f t="shared" si="4"/>
        <v>1025727.43</v>
      </c>
      <c r="G140" s="362">
        <f t="shared" si="5"/>
        <v>2051454.86</v>
      </c>
    </row>
    <row r="141" spans="1:7" hidden="1" x14ac:dyDescent="0.25">
      <c r="A141" s="415" t="s">
        <v>464</v>
      </c>
      <c r="B141" t="s">
        <v>961</v>
      </c>
      <c r="D141" s="401">
        <v>3441.29</v>
      </c>
      <c r="E141" s="401">
        <v>115015.12</v>
      </c>
      <c r="F141" s="401">
        <f t="shared" si="4"/>
        <v>118456.40999999999</v>
      </c>
      <c r="G141" s="362">
        <f t="shared" si="5"/>
        <v>236912.81999999998</v>
      </c>
    </row>
    <row r="142" spans="1:7" hidden="1" x14ac:dyDescent="0.25">
      <c r="A142" s="415" t="s">
        <v>466</v>
      </c>
      <c r="B142" t="s">
        <v>962</v>
      </c>
      <c r="D142" s="401">
        <v>42563.75</v>
      </c>
      <c r="E142" s="401">
        <v>896801.54</v>
      </c>
      <c r="F142" s="401">
        <f t="shared" si="4"/>
        <v>939365.29</v>
      </c>
      <c r="G142" s="362">
        <f t="shared" si="5"/>
        <v>1878730.58</v>
      </c>
    </row>
    <row r="143" spans="1:7" hidden="1" x14ac:dyDescent="0.25">
      <c r="A143" s="415" t="s">
        <v>468</v>
      </c>
      <c r="B143" t="s">
        <v>963</v>
      </c>
      <c r="D143" s="401"/>
      <c r="E143" s="401">
        <v>1432694.86</v>
      </c>
      <c r="F143" s="401">
        <f t="shared" si="4"/>
        <v>1432694.86</v>
      </c>
      <c r="G143" s="362">
        <f t="shared" si="5"/>
        <v>2865389.72</v>
      </c>
    </row>
    <row r="144" spans="1:7" hidden="1" x14ac:dyDescent="0.25">
      <c r="A144" s="415" t="s">
        <v>470</v>
      </c>
      <c r="B144" t="s">
        <v>964</v>
      </c>
      <c r="D144" s="401"/>
      <c r="E144" s="401">
        <v>590069.82999999996</v>
      </c>
      <c r="F144" s="401">
        <f t="shared" si="4"/>
        <v>590069.82999999996</v>
      </c>
      <c r="G144" s="362">
        <f t="shared" si="5"/>
        <v>1180139.6599999999</v>
      </c>
    </row>
    <row r="145" spans="1:7" hidden="1" x14ac:dyDescent="0.25">
      <c r="A145" s="415" t="s">
        <v>472</v>
      </c>
      <c r="B145" t="s">
        <v>965</v>
      </c>
      <c r="C145" s="362">
        <v>148495.56</v>
      </c>
      <c r="D145" s="401"/>
      <c r="E145" s="401">
        <v>27608337.300000001</v>
      </c>
      <c r="F145" s="401">
        <f t="shared" si="4"/>
        <v>27608337.300000001</v>
      </c>
      <c r="G145" s="362">
        <f t="shared" si="5"/>
        <v>55216674.600000001</v>
      </c>
    </row>
    <row r="146" spans="1:7" hidden="1" x14ac:dyDescent="0.25">
      <c r="A146" s="415" t="s">
        <v>474</v>
      </c>
      <c r="B146" t="s">
        <v>1316</v>
      </c>
      <c r="D146" s="401"/>
      <c r="E146" s="401">
        <v>926746.27</v>
      </c>
      <c r="F146" s="401">
        <f t="shared" si="4"/>
        <v>926746.27</v>
      </c>
      <c r="G146" s="362">
        <f t="shared" si="5"/>
        <v>1853492.54</v>
      </c>
    </row>
    <row r="147" spans="1:7" hidden="1" x14ac:dyDescent="0.25">
      <c r="A147" s="415" t="s">
        <v>476</v>
      </c>
      <c r="B147" t="s">
        <v>967</v>
      </c>
      <c r="D147" s="401">
        <v>198207.6</v>
      </c>
      <c r="E147" s="401">
        <v>19592011.02</v>
      </c>
      <c r="F147" s="401">
        <f t="shared" si="4"/>
        <v>19790218.620000001</v>
      </c>
      <c r="G147" s="362">
        <f t="shared" si="5"/>
        <v>39580437.240000002</v>
      </c>
    </row>
    <row r="148" spans="1:7" hidden="1" x14ac:dyDescent="0.25">
      <c r="A148" s="415" t="s">
        <v>478</v>
      </c>
      <c r="B148" t="s">
        <v>968</v>
      </c>
      <c r="C148" s="362">
        <v>27413.39</v>
      </c>
      <c r="D148" s="401"/>
      <c r="E148" s="401">
        <v>2780463.14</v>
      </c>
      <c r="F148" s="401">
        <f t="shared" si="4"/>
        <v>2780463.14</v>
      </c>
      <c r="G148" s="362">
        <f t="shared" si="5"/>
        <v>5560926.2800000003</v>
      </c>
    </row>
    <row r="149" spans="1:7" hidden="1" x14ac:dyDescent="0.25">
      <c r="A149" s="415" t="s">
        <v>480</v>
      </c>
      <c r="B149" t="s">
        <v>969</v>
      </c>
      <c r="C149" s="362">
        <v>131041.46</v>
      </c>
      <c r="D149" s="401">
        <v>2843528.76</v>
      </c>
      <c r="E149" s="401">
        <v>7929272.8399999999</v>
      </c>
      <c r="F149" s="401">
        <f t="shared" si="4"/>
        <v>10772801.6</v>
      </c>
      <c r="G149" s="362">
        <f t="shared" si="5"/>
        <v>21545603.199999999</v>
      </c>
    </row>
    <row r="150" spans="1:7" hidden="1" x14ac:dyDescent="0.25">
      <c r="A150" s="415" t="s">
        <v>482</v>
      </c>
      <c r="B150" t="s">
        <v>970</v>
      </c>
      <c r="D150" s="401"/>
      <c r="E150" s="401">
        <v>3435325.78</v>
      </c>
      <c r="F150" s="401">
        <f t="shared" si="4"/>
        <v>3435325.78</v>
      </c>
      <c r="G150" s="362">
        <f t="shared" si="5"/>
        <v>6870651.5599999996</v>
      </c>
    </row>
    <row r="151" spans="1:7" hidden="1" x14ac:dyDescent="0.25">
      <c r="A151" s="415" t="s">
        <v>484</v>
      </c>
      <c r="B151" t="s">
        <v>971</v>
      </c>
      <c r="D151" s="401"/>
      <c r="E151" s="401">
        <v>752709.09</v>
      </c>
      <c r="F151" s="401">
        <f t="shared" si="4"/>
        <v>752709.09</v>
      </c>
      <c r="G151" s="362">
        <f t="shared" si="5"/>
        <v>1505418.18</v>
      </c>
    </row>
    <row r="152" spans="1:7" hidden="1" x14ac:dyDescent="0.25">
      <c r="A152" s="415" t="s">
        <v>486</v>
      </c>
      <c r="B152" t="s">
        <v>972</v>
      </c>
      <c r="D152" s="401"/>
      <c r="E152" s="401">
        <v>49047.6</v>
      </c>
      <c r="F152" s="401">
        <f t="shared" si="4"/>
        <v>49047.6</v>
      </c>
      <c r="G152" s="362">
        <f t="shared" si="5"/>
        <v>98095.2</v>
      </c>
    </row>
    <row r="153" spans="1:7" hidden="1" x14ac:dyDescent="0.25">
      <c r="A153" s="415" t="s">
        <v>488</v>
      </c>
      <c r="B153" t="s">
        <v>973</v>
      </c>
      <c r="C153" s="362">
        <v>37635.72</v>
      </c>
      <c r="D153" s="401">
        <v>432163.92</v>
      </c>
      <c r="E153" s="401">
        <v>13103257.24</v>
      </c>
      <c r="F153" s="401">
        <f t="shared" si="4"/>
        <v>13535421.16</v>
      </c>
      <c r="G153" s="362">
        <f t="shared" si="5"/>
        <v>27070842.32</v>
      </c>
    </row>
    <row r="154" spans="1:7" hidden="1" x14ac:dyDescent="0.25">
      <c r="A154" s="415" t="s">
        <v>490</v>
      </c>
      <c r="B154" t="s">
        <v>974</v>
      </c>
      <c r="D154" s="401">
        <v>186519.47</v>
      </c>
      <c r="E154" s="401">
        <v>2744950.54</v>
      </c>
      <c r="F154" s="401">
        <f t="shared" si="4"/>
        <v>2931470.0100000002</v>
      </c>
      <c r="G154" s="362">
        <f t="shared" si="5"/>
        <v>5862940.0200000005</v>
      </c>
    </row>
    <row r="155" spans="1:7" hidden="1" x14ac:dyDescent="0.25">
      <c r="A155" s="415" t="s">
        <v>492</v>
      </c>
      <c r="B155" t="s">
        <v>975</v>
      </c>
      <c r="C155" s="362">
        <v>2023.08</v>
      </c>
      <c r="D155" s="401">
        <v>197082.25</v>
      </c>
      <c r="E155" s="401">
        <v>682056.14</v>
      </c>
      <c r="F155" s="401">
        <f t="shared" si="4"/>
        <v>879138.39</v>
      </c>
      <c r="G155" s="362">
        <f t="shared" si="5"/>
        <v>1758276.78</v>
      </c>
    </row>
    <row r="156" spans="1:7" hidden="1" x14ac:dyDescent="0.25">
      <c r="A156" s="415" t="s">
        <v>494</v>
      </c>
      <c r="B156" t="s">
        <v>976</v>
      </c>
      <c r="C156" s="362">
        <v>46386.13</v>
      </c>
      <c r="D156" s="401">
        <v>4298284.51</v>
      </c>
      <c r="E156" s="401">
        <v>12398748.26</v>
      </c>
      <c r="F156" s="401">
        <f t="shared" si="4"/>
        <v>16697032.77</v>
      </c>
      <c r="G156" s="362">
        <f t="shared" si="5"/>
        <v>33394065.539999999</v>
      </c>
    </row>
    <row r="157" spans="1:7" hidden="1" x14ac:dyDescent="0.25">
      <c r="A157" s="415" t="s">
        <v>496</v>
      </c>
      <c r="B157" t="s">
        <v>977</v>
      </c>
      <c r="C157" s="362">
        <v>29036.84</v>
      </c>
      <c r="D157" s="401">
        <v>38303.14</v>
      </c>
      <c r="E157" s="401">
        <v>1010915.84</v>
      </c>
      <c r="F157" s="401">
        <f t="shared" si="4"/>
        <v>1049218.98</v>
      </c>
      <c r="G157" s="362">
        <f t="shared" si="5"/>
        <v>2098437.96</v>
      </c>
    </row>
    <row r="158" spans="1:7" hidden="1" x14ac:dyDescent="0.25">
      <c r="A158" s="415" t="s">
        <v>498</v>
      </c>
      <c r="B158" t="s">
        <v>978</v>
      </c>
      <c r="D158" s="401">
        <v>98765.99</v>
      </c>
      <c r="E158" s="401">
        <v>1366797.99</v>
      </c>
      <c r="F158" s="401">
        <f t="shared" si="4"/>
        <v>1465563.98</v>
      </c>
      <c r="G158" s="362">
        <f t="shared" si="5"/>
        <v>2931127.96</v>
      </c>
    </row>
    <row r="159" spans="1:7" hidden="1" x14ac:dyDescent="0.25">
      <c r="A159" s="415" t="s">
        <v>500</v>
      </c>
      <c r="B159" t="s">
        <v>979</v>
      </c>
      <c r="C159" s="362">
        <v>100873.39</v>
      </c>
      <c r="D159" s="401"/>
      <c r="E159" s="401">
        <v>4933325.3</v>
      </c>
      <c r="F159" s="401">
        <f t="shared" si="4"/>
        <v>4933325.3</v>
      </c>
      <c r="G159" s="362">
        <f t="shared" si="5"/>
        <v>9866650.5999999996</v>
      </c>
    </row>
    <row r="160" spans="1:7" hidden="1" x14ac:dyDescent="0.25">
      <c r="A160" s="415" t="s">
        <v>502</v>
      </c>
      <c r="B160" t="s">
        <v>980</v>
      </c>
      <c r="D160" s="401"/>
      <c r="E160" s="401">
        <v>63155.82</v>
      </c>
      <c r="F160" s="401">
        <f t="shared" si="4"/>
        <v>63155.82</v>
      </c>
      <c r="G160" s="362">
        <f t="shared" si="5"/>
        <v>126311.64</v>
      </c>
    </row>
    <row r="161" spans="1:7" hidden="1" x14ac:dyDescent="0.25">
      <c r="A161" s="415" t="s">
        <v>504</v>
      </c>
      <c r="B161" t="s">
        <v>1317</v>
      </c>
      <c r="C161" s="362">
        <v>167719.97</v>
      </c>
      <c r="D161" s="401">
        <v>4329402.57</v>
      </c>
      <c r="E161" s="401">
        <v>13396969.66</v>
      </c>
      <c r="F161" s="401">
        <f t="shared" si="4"/>
        <v>17726372.23</v>
      </c>
      <c r="G161" s="362">
        <f t="shared" si="5"/>
        <v>35452744.460000001</v>
      </c>
    </row>
    <row r="162" spans="1:7" hidden="1" x14ac:dyDescent="0.25">
      <c r="A162" s="415" t="s">
        <v>1370</v>
      </c>
      <c r="B162" t="s">
        <v>1371</v>
      </c>
      <c r="D162" s="401"/>
      <c r="E162" s="401">
        <v>876242.95</v>
      </c>
      <c r="F162" s="401">
        <f t="shared" si="4"/>
        <v>876242.95</v>
      </c>
      <c r="G162" s="362">
        <f t="shared" si="5"/>
        <v>1752485.9</v>
      </c>
    </row>
    <row r="163" spans="1:7" hidden="1" x14ac:dyDescent="0.25">
      <c r="A163" s="415" t="s">
        <v>506</v>
      </c>
      <c r="B163" t="s">
        <v>982</v>
      </c>
      <c r="D163" s="401">
        <v>12442712.09</v>
      </c>
      <c r="E163" s="401">
        <v>31252203.23</v>
      </c>
      <c r="F163" s="401">
        <f t="shared" si="4"/>
        <v>43694915.32</v>
      </c>
      <c r="G163" s="362">
        <f t="shared" si="5"/>
        <v>87389830.640000001</v>
      </c>
    </row>
    <row r="164" spans="1:7" hidden="1" x14ac:dyDescent="0.25">
      <c r="A164" s="415" t="s">
        <v>508</v>
      </c>
      <c r="B164" t="s">
        <v>983</v>
      </c>
      <c r="D164" s="401"/>
      <c r="E164" s="401">
        <v>1692799.14</v>
      </c>
      <c r="F164" s="401">
        <f t="shared" si="4"/>
        <v>1692799.14</v>
      </c>
      <c r="G164" s="362">
        <f t="shared" si="5"/>
        <v>3385598.28</v>
      </c>
    </row>
    <row r="165" spans="1:7" hidden="1" x14ac:dyDescent="0.25">
      <c r="A165" s="415" t="s">
        <v>510</v>
      </c>
      <c r="B165" t="s">
        <v>984</v>
      </c>
      <c r="C165" s="362">
        <v>6183.65</v>
      </c>
      <c r="D165" s="401"/>
      <c r="E165" s="401">
        <v>1488650.15</v>
      </c>
      <c r="F165" s="401">
        <f t="shared" si="4"/>
        <v>1488650.15</v>
      </c>
      <c r="G165" s="362">
        <f t="shared" si="5"/>
        <v>2977300.3</v>
      </c>
    </row>
    <row r="166" spans="1:7" hidden="1" x14ac:dyDescent="0.25">
      <c r="A166" s="415" t="s">
        <v>512</v>
      </c>
      <c r="B166" t="s">
        <v>1318</v>
      </c>
      <c r="D166" s="401"/>
      <c r="E166" s="401">
        <v>460515.01</v>
      </c>
      <c r="F166" s="401">
        <f t="shared" si="4"/>
        <v>460515.01</v>
      </c>
      <c r="G166" s="362">
        <f t="shared" si="5"/>
        <v>921030.02</v>
      </c>
    </row>
    <row r="167" spans="1:7" hidden="1" x14ac:dyDescent="0.25">
      <c r="A167" s="415" t="s">
        <v>514</v>
      </c>
      <c r="B167" t="s">
        <v>986</v>
      </c>
      <c r="D167" s="401"/>
      <c r="E167" s="401">
        <v>205316.63</v>
      </c>
      <c r="F167" s="401">
        <f t="shared" si="4"/>
        <v>205316.63</v>
      </c>
      <c r="G167" s="362">
        <f t="shared" si="5"/>
        <v>410633.26</v>
      </c>
    </row>
    <row r="168" spans="1:7" hidden="1" x14ac:dyDescent="0.25">
      <c r="A168" s="415" t="s">
        <v>516</v>
      </c>
      <c r="B168" t="s">
        <v>987</v>
      </c>
      <c r="D168" s="401"/>
      <c r="E168" s="401">
        <v>1760535.5</v>
      </c>
      <c r="F168" s="401">
        <f t="shared" si="4"/>
        <v>1760535.5</v>
      </c>
      <c r="G168" s="362">
        <f t="shared" si="5"/>
        <v>3521071</v>
      </c>
    </row>
    <row r="169" spans="1:7" hidden="1" x14ac:dyDescent="0.25">
      <c r="A169" s="415" t="s">
        <v>518</v>
      </c>
      <c r="B169" t="s">
        <v>988</v>
      </c>
      <c r="D169" s="401"/>
      <c r="E169" s="401">
        <v>2223354.5299999998</v>
      </c>
      <c r="F169" s="401">
        <f t="shared" si="4"/>
        <v>2223354.5299999998</v>
      </c>
      <c r="G169" s="362">
        <f t="shared" si="5"/>
        <v>4446709.0599999996</v>
      </c>
    </row>
    <row r="170" spans="1:7" hidden="1" x14ac:dyDescent="0.25">
      <c r="A170" s="415" t="s">
        <v>520</v>
      </c>
      <c r="B170" t="s">
        <v>989</v>
      </c>
      <c r="C170" s="362">
        <v>44239.86</v>
      </c>
      <c r="D170" s="401"/>
      <c r="E170" s="401">
        <v>3892274.26</v>
      </c>
      <c r="F170" s="401">
        <f t="shared" si="4"/>
        <v>3892274.26</v>
      </c>
      <c r="G170" s="362">
        <f t="shared" si="5"/>
        <v>7784548.5199999996</v>
      </c>
    </row>
    <row r="171" spans="1:7" hidden="1" x14ac:dyDescent="0.25">
      <c r="A171" s="415" t="s">
        <v>522</v>
      </c>
      <c r="B171" t="s">
        <v>990</v>
      </c>
      <c r="D171" s="401">
        <v>232393.44</v>
      </c>
      <c r="E171" s="401">
        <v>1406917.65</v>
      </c>
      <c r="F171" s="401">
        <f t="shared" si="4"/>
        <v>1639311.0899999999</v>
      </c>
      <c r="G171" s="362">
        <f t="shared" si="5"/>
        <v>3278622.1799999997</v>
      </c>
    </row>
    <row r="172" spans="1:7" hidden="1" x14ac:dyDescent="0.25">
      <c r="A172" s="415" t="s">
        <v>524</v>
      </c>
      <c r="B172" t="s">
        <v>991</v>
      </c>
      <c r="C172" s="362">
        <v>22267.65</v>
      </c>
      <c r="D172" s="401"/>
      <c r="E172" s="401">
        <v>3356460.97</v>
      </c>
      <c r="F172" s="401">
        <f t="shared" si="4"/>
        <v>3356460.97</v>
      </c>
      <c r="G172" s="362">
        <f t="shared" si="5"/>
        <v>6712921.9400000004</v>
      </c>
    </row>
    <row r="173" spans="1:7" hidden="1" x14ac:dyDescent="0.25">
      <c r="A173" s="415" t="s">
        <v>526</v>
      </c>
      <c r="B173" t="s">
        <v>992</v>
      </c>
      <c r="C173" s="362">
        <v>149458.32</v>
      </c>
      <c r="D173" s="401">
        <v>3132368.49</v>
      </c>
      <c r="E173" s="401">
        <v>10049648.15</v>
      </c>
      <c r="F173" s="401">
        <f t="shared" si="4"/>
        <v>13182016.640000001</v>
      </c>
      <c r="G173" s="362">
        <f t="shared" si="5"/>
        <v>26364033.280000001</v>
      </c>
    </row>
    <row r="174" spans="1:7" hidden="1" x14ac:dyDescent="0.25">
      <c r="A174" s="415" t="s">
        <v>528</v>
      </c>
      <c r="B174" t="s">
        <v>993</v>
      </c>
      <c r="C174" s="362">
        <v>16405.740000000002</v>
      </c>
      <c r="D174" s="401">
        <v>628736.22</v>
      </c>
      <c r="E174" s="401">
        <v>3893416.14</v>
      </c>
      <c r="F174" s="401">
        <f t="shared" si="4"/>
        <v>4522152.3600000003</v>
      </c>
      <c r="G174" s="362">
        <f t="shared" si="5"/>
        <v>9044304.7200000007</v>
      </c>
    </row>
    <row r="175" spans="1:7" hidden="1" x14ac:dyDescent="0.25">
      <c r="A175" s="415" t="s">
        <v>530</v>
      </c>
      <c r="B175" t="s">
        <v>994</v>
      </c>
      <c r="D175" s="401"/>
      <c r="E175" s="401">
        <v>186675.22</v>
      </c>
      <c r="F175" s="401">
        <f t="shared" si="4"/>
        <v>186675.22</v>
      </c>
      <c r="G175" s="362">
        <f t="shared" si="5"/>
        <v>373350.44</v>
      </c>
    </row>
    <row r="176" spans="1:7" hidden="1" x14ac:dyDescent="0.25">
      <c r="A176" s="415" t="s">
        <v>532</v>
      </c>
      <c r="B176" t="s">
        <v>995</v>
      </c>
      <c r="C176" s="362">
        <v>138762.25</v>
      </c>
      <c r="D176" s="401">
        <v>8139338.7699999996</v>
      </c>
      <c r="E176" s="401">
        <v>32677901.66</v>
      </c>
      <c r="F176" s="401">
        <f t="shared" si="4"/>
        <v>40817240.43</v>
      </c>
      <c r="G176" s="362">
        <f t="shared" si="5"/>
        <v>81634480.859999999</v>
      </c>
    </row>
    <row r="177" spans="1:7" hidden="1" x14ac:dyDescent="0.25">
      <c r="A177" s="415" t="s">
        <v>534</v>
      </c>
      <c r="B177" t="s">
        <v>996</v>
      </c>
      <c r="D177" s="401"/>
      <c r="E177" s="401">
        <v>329553.38</v>
      </c>
      <c r="F177" s="401">
        <f t="shared" si="4"/>
        <v>329553.38</v>
      </c>
      <c r="G177" s="362">
        <f t="shared" si="5"/>
        <v>659106.76</v>
      </c>
    </row>
    <row r="178" spans="1:7" hidden="1" x14ac:dyDescent="0.25">
      <c r="A178" s="415" t="s">
        <v>536</v>
      </c>
      <c r="B178" t="s">
        <v>997</v>
      </c>
      <c r="C178" s="362">
        <v>89933.64</v>
      </c>
      <c r="D178" s="401">
        <v>25558647.039999999</v>
      </c>
      <c r="E178" s="401">
        <v>45119063.579999998</v>
      </c>
      <c r="F178" s="401">
        <f t="shared" si="4"/>
        <v>70677710.620000005</v>
      </c>
      <c r="G178" s="362">
        <f t="shared" si="5"/>
        <v>141355421.24000001</v>
      </c>
    </row>
    <row r="179" spans="1:7" hidden="1" x14ac:dyDescent="0.25">
      <c r="A179" s="415" t="s">
        <v>538</v>
      </c>
      <c r="B179" t="s">
        <v>998</v>
      </c>
      <c r="C179" s="362">
        <v>6015417.1299999999</v>
      </c>
      <c r="D179" s="401">
        <v>639327.39</v>
      </c>
      <c r="E179" s="401">
        <v>11820129.24</v>
      </c>
      <c r="F179" s="401">
        <f t="shared" si="4"/>
        <v>12459456.630000001</v>
      </c>
      <c r="G179" s="362">
        <f t="shared" si="5"/>
        <v>24918913.260000002</v>
      </c>
    </row>
    <row r="180" spans="1:7" hidden="1" x14ac:dyDescent="0.25">
      <c r="A180" s="415" t="s">
        <v>540</v>
      </c>
      <c r="B180" t="s">
        <v>999</v>
      </c>
      <c r="D180" s="401"/>
      <c r="E180" s="401">
        <v>261736.17</v>
      </c>
      <c r="F180" s="401">
        <f t="shared" si="4"/>
        <v>261736.17</v>
      </c>
      <c r="G180" s="362">
        <f t="shared" si="5"/>
        <v>523472.34</v>
      </c>
    </row>
    <row r="181" spans="1:7" hidden="1" x14ac:dyDescent="0.25">
      <c r="A181" s="415" t="s">
        <v>542</v>
      </c>
      <c r="B181" t="s">
        <v>1000</v>
      </c>
      <c r="D181" s="401"/>
      <c r="E181" s="401">
        <v>624655.19999999995</v>
      </c>
      <c r="F181" s="401">
        <f t="shared" si="4"/>
        <v>624655.19999999995</v>
      </c>
      <c r="G181" s="362">
        <f t="shared" si="5"/>
        <v>1249310.3999999999</v>
      </c>
    </row>
    <row r="182" spans="1:7" hidden="1" x14ac:dyDescent="0.25">
      <c r="A182" s="415" t="s">
        <v>544</v>
      </c>
      <c r="B182" t="s">
        <v>1001</v>
      </c>
      <c r="D182" s="401"/>
      <c r="E182" s="401">
        <v>2312108.75</v>
      </c>
      <c r="F182" s="401">
        <f t="shared" si="4"/>
        <v>2312108.75</v>
      </c>
      <c r="G182" s="362">
        <f t="shared" si="5"/>
        <v>4624217.5</v>
      </c>
    </row>
    <row r="183" spans="1:7" hidden="1" x14ac:dyDescent="0.25">
      <c r="A183" s="415" t="s">
        <v>546</v>
      </c>
      <c r="B183" t="s">
        <v>1002</v>
      </c>
      <c r="C183" s="362">
        <v>1659.7</v>
      </c>
      <c r="D183" s="401"/>
      <c r="E183" s="401">
        <v>891508.53</v>
      </c>
      <c r="F183" s="401">
        <f t="shared" si="4"/>
        <v>891508.53</v>
      </c>
      <c r="G183" s="362">
        <f t="shared" si="5"/>
        <v>1783017.06</v>
      </c>
    </row>
    <row r="184" spans="1:7" hidden="1" x14ac:dyDescent="0.25">
      <c r="A184" s="415" t="s">
        <v>548</v>
      </c>
      <c r="B184" t="s">
        <v>1003</v>
      </c>
      <c r="D184" s="401"/>
      <c r="E184" s="401">
        <v>348821.14</v>
      </c>
      <c r="F184" s="401">
        <f t="shared" si="4"/>
        <v>348821.14</v>
      </c>
      <c r="G184" s="362">
        <f t="shared" si="5"/>
        <v>697642.28</v>
      </c>
    </row>
    <row r="185" spans="1:7" hidden="1" x14ac:dyDescent="0.25">
      <c r="A185" s="415" t="s">
        <v>550</v>
      </c>
      <c r="B185" t="s">
        <v>1004</v>
      </c>
      <c r="D185" s="401">
        <v>309060.12</v>
      </c>
      <c r="E185" s="401">
        <v>1647850.66</v>
      </c>
      <c r="F185" s="401">
        <f t="shared" si="4"/>
        <v>1956910.7799999998</v>
      </c>
      <c r="G185" s="362">
        <f t="shared" si="5"/>
        <v>3913821.5599999996</v>
      </c>
    </row>
    <row r="186" spans="1:7" hidden="1" x14ac:dyDescent="0.25">
      <c r="A186" s="415" t="s">
        <v>552</v>
      </c>
      <c r="B186" t="s">
        <v>1005</v>
      </c>
      <c r="C186" s="362">
        <v>35467.730000000003</v>
      </c>
      <c r="D186" s="401">
        <v>7568621.8399999999</v>
      </c>
      <c r="E186" s="401">
        <v>18788538.399999999</v>
      </c>
      <c r="F186" s="401">
        <f t="shared" si="4"/>
        <v>26357160.239999998</v>
      </c>
      <c r="G186" s="362">
        <f t="shared" si="5"/>
        <v>52714320.479999997</v>
      </c>
    </row>
    <row r="187" spans="1:7" hidden="1" x14ac:dyDescent="0.25">
      <c r="A187" s="415" t="s">
        <v>554</v>
      </c>
      <c r="B187" t="s">
        <v>1006</v>
      </c>
      <c r="D187" s="401">
        <v>40000</v>
      </c>
      <c r="E187" s="401">
        <v>8551473.6999999993</v>
      </c>
      <c r="F187" s="401">
        <f t="shared" si="4"/>
        <v>8591473.6999999993</v>
      </c>
      <c r="G187" s="362">
        <f t="shared" si="5"/>
        <v>17182947.399999999</v>
      </c>
    </row>
    <row r="188" spans="1:7" hidden="1" x14ac:dyDescent="0.25">
      <c r="A188" s="415" t="s">
        <v>556</v>
      </c>
      <c r="B188" t="s">
        <v>1007</v>
      </c>
      <c r="C188" s="362">
        <v>1920.3</v>
      </c>
      <c r="D188" s="401">
        <v>88270.54</v>
      </c>
      <c r="E188" s="401">
        <v>1464166.14</v>
      </c>
      <c r="F188" s="401">
        <f t="shared" si="4"/>
        <v>1552436.68</v>
      </c>
      <c r="G188" s="362">
        <f t="shared" si="5"/>
        <v>3104873.36</v>
      </c>
    </row>
    <row r="189" spans="1:7" hidden="1" x14ac:dyDescent="0.25">
      <c r="A189" s="415" t="s">
        <v>558</v>
      </c>
      <c r="B189" t="s">
        <v>1008</v>
      </c>
      <c r="D189" s="401"/>
      <c r="E189" s="401">
        <v>66732.33</v>
      </c>
      <c r="F189" s="401">
        <f t="shared" si="4"/>
        <v>66732.33</v>
      </c>
      <c r="G189" s="362">
        <f t="shared" si="5"/>
        <v>133464.66</v>
      </c>
    </row>
    <row r="190" spans="1:7" hidden="1" x14ac:dyDescent="0.25">
      <c r="A190" s="415" t="s">
        <v>560</v>
      </c>
      <c r="B190" t="s">
        <v>1319</v>
      </c>
      <c r="C190" s="362">
        <v>21382.959999999999</v>
      </c>
      <c r="D190" s="401">
        <v>78609.149999999994</v>
      </c>
      <c r="E190" s="401">
        <v>1464969.84</v>
      </c>
      <c r="F190" s="401">
        <f t="shared" si="4"/>
        <v>1543578.99</v>
      </c>
      <c r="G190" s="362">
        <f t="shared" si="5"/>
        <v>3087157.98</v>
      </c>
    </row>
    <row r="191" spans="1:7" hidden="1" x14ac:dyDescent="0.25">
      <c r="A191" s="415" t="s">
        <v>562</v>
      </c>
      <c r="B191" t="s">
        <v>1010</v>
      </c>
      <c r="D191" s="401"/>
      <c r="E191" s="401">
        <v>89865.15</v>
      </c>
      <c r="F191" s="401">
        <f t="shared" si="4"/>
        <v>89865.15</v>
      </c>
      <c r="G191" s="362">
        <f t="shared" si="5"/>
        <v>179730.3</v>
      </c>
    </row>
    <row r="192" spans="1:7" hidden="1" x14ac:dyDescent="0.25">
      <c r="A192" s="415" t="s">
        <v>564</v>
      </c>
      <c r="B192" t="s">
        <v>1011</v>
      </c>
      <c r="D192" s="401"/>
      <c r="E192" s="401">
        <v>70907.16</v>
      </c>
      <c r="F192" s="401">
        <f t="shared" si="4"/>
        <v>70907.16</v>
      </c>
      <c r="G192" s="362">
        <f t="shared" si="5"/>
        <v>141814.32</v>
      </c>
    </row>
    <row r="193" spans="1:7" hidden="1" x14ac:dyDescent="0.25">
      <c r="A193" s="415" t="s">
        <v>566</v>
      </c>
      <c r="B193" t="s">
        <v>1012</v>
      </c>
      <c r="D193" s="401"/>
      <c r="E193" s="401">
        <v>189424.73</v>
      </c>
      <c r="F193" s="401">
        <f t="shared" si="4"/>
        <v>189424.73</v>
      </c>
      <c r="G193" s="362">
        <f t="shared" si="5"/>
        <v>378849.46</v>
      </c>
    </row>
    <row r="194" spans="1:7" hidden="1" x14ac:dyDescent="0.25">
      <c r="A194" s="415" t="s">
        <v>568</v>
      </c>
      <c r="B194" t="s">
        <v>1013</v>
      </c>
      <c r="D194" s="401">
        <v>109058.97</v>
      </c>
      <c r="E194" s="401">
        <v>662933.22</v>
      </c>
      <c r="F194" s="401">
        <f t="shared" si="4"/>
        <v>771992.19</v>
      </c>
      <c r="G194" s="362">
        <f t="shared" si="5"/>
        <v>1543984.38</v>
      </c>
    </row>
    <row r="195" spans="1:7" hidden="1" x14ac:dyDescent="0.25">
      <c r="A195" s="415" t="s">
        <v>570</v>
      </c>
      <c r="B195" t="s">
        <v>1014</v>
      </c>
      <c r="C195" s="362">
        <v>44902.1</v>
      </c>
      <c r="D195" s="401">
        <v>399203.96</v>
      </c>
      <c r="E195" s="401">
        <v>6729121.0300000003</v>
      </c>
      <c r="F195" s="401">
        <f t="shared" si="4"/>
        <v>7128324.9900000002</v>
      </c>
      <c r="G195" s="362">
        <f t="shared" si="5"/>
        <v>14256649.98</v>
      </c>
    </row>
    <row r="196" spans="1:7" hidden="1" x14ac:dyDescent="0.25">
      <c r="A196" s="415" t="s">
        <v>572</v>
      </c>
      <c r="B196" t="s">
        <v>1015</v>
      </c>
      <c r="C196" s="362">
        <v>22029.71</v>
      </c>
      <c r="D196" s="401"/>
      <c r="E196" s="401">
        <v>6273503.8600000003</v>
      </c>
      <c r="F196" s="401">
        <f t="shared" si="4"/>
        <v>6273503.8600000003</v>
      </c>
      <c r="G196" s="362">
        <f t="shared" si="5"/>
        <v>12547007.720000001</v>
      </c>
    </row>
    <row r="197" spans="1:7" hidden="1" x14ac:dyDescent="0.25">
      <c r="A197" s="415" t="s">
        <v>574</v>
      </c>
      <c r="B197" t="s">
        <v>1016</v>
      </c>
      <c r="D197" s="401"/>
      <c r="E197" s="401">
        <v>19768.45</v>
      </c>
      <c r="F197" s="401">
        <f t="shared" si="4"/>
        <v>19768.45</v>
      </c>
      <c r="G197" s="362">
        <f t="shared" si="5"/>
        <v>39536.9</v>
      </c>
    </row>
    <row r="198" spans="1:7" hidden="1" x14ac:dyDescent="0.25">
      <c r="A198" s="415" t="s">
        <v>576</v>
      </c>
      <c r="B198" t="s">
        <v>1017</v>
      </c>
      <c r="D198" s="401">
        <v>3200.31</v>
      </c>
      <c r="E198" s="401">
        <v>228746.15</v>
      </c>
      <c r="F198" s="401">
        <f t="shared" si="4"/>
        <v>231946.46</v>
      </c>
      <c r="G198" s="362">
        <f t="shared" si="5"/>
        <v>463892.92</v>
      </c>
    </row>
    <row r="199" spans="1:7" hidden="1" x14ac:dyDescent="0.25">
      <c r="A199" s="415" t="s">
        <v>578</v>
      </c>
      <c r="B199" t="s">
        <v>1018</v>
      </c>
      <c r="C199" s="362">
        <v>146823.84</v>
      </c>
      <c r="D199" s="401">
        <v>466191.46</v>
      </c>
      <c r="E199" s="401">
        <v>29303988.850000001</v>
      </c>
      <c r="F199" s="401">
        <f t="shared" si="4"/>
        <v>29770180.310000002</v>
      </c>
      <c r="G199" s="362">
        <f t="shared" si="5"/>
        <v>59540360.620000005</v>
      </c>
    </row>
    <row r="200" spans="1:7" hidden="1" x14ac:dyDescent="0.25">
      <c r="A200" s="415" t="s">
        <v>580</v>
      </c>
      <c r="B200" t="s">
        <v>1019</v>
      </c>
      <c r="D200" s="401">
        <v>7688.03</v>
      </c>
      <c r="E200" s="401">
        <v>398504.36</v>
      </c>
      <c r="F200" s="401">
        <f t="shared" ref="F200:F263" si="6">D200+E200</f>
        <v>406192.39</v>
      </c>
      <c r="G200" s="362">
        <f t="shared" ref="G200:G263" si="7">D200+E200+F200</f>
        <v>812384.78</v>
      </c>
    </row>
    <row r="201" spans="1:7" hidden="1" x14ac:dyDescent="0.25">
      <c r="A201" s="415" t="s">
        <v>582</v>
      </c>
      <c r="B201" t="s">
        <v>1144</v>
      </c>
      <c r="D201" s="401"/>
      <c r="E201" s="401">
        <v>211502.47</v>
      </c>
      <c r="F201" s="401">
        <f t="shared" si="6"/>
        <v>211502.47</v>
      </c>
      <c r="G201" s="362">
        <f t="shared" si="7"/>
        <v>423004.94</v>
      </c>
    </row>
    <row r="202" spans="1:7" hidden="1" x14ac:dyDescent="0.25">
      <c r="A202" s="415" t="s">
        <v>584</v>
      </c>
      <c r="B202" t="s">
        <v>1020</v>
      </c>
      <c r="C202" s="362">
        <v>6599.62</v>
      </c>
      <c r="D202" s="401"/>
      <c r="E202" s="401">
        <v>640909.13</v>
      </c>
      <c r="F202" s="401">
        <f t="shared" si="6"/>
        <v>640909.13</v>
      </c>
      <c r="G202" s="362">
        <f t="shared" si="7"/>
        <v>1281818.26</v>
      </c>
    </row>
    <row r="203" spans="1:7" hidden="1" x14ac:dyDescent="0.25">
      <c r="A203" s="415" t="s">
        <v>586</v>
      </c>
      <c r="B203" t="s">
        <v>1021</v>
      </c>
      <c r="D203" s="401"/>
      <c r="E203" s="401">
        <v>21435304.640000001</v>
      </c>
      <c r="F203" s="401">
        <f t="shared" si="6"/>
        <v>21435304.640000001</v>
      </c>
      <c r="G203" s="362">
        <f t="shared" si="7"/>
        <v>42870609.280000001</v>
      </c>
    </row>
    <row r="204" spans="1:7" hidden="1" x14ac:dyDescent="0.25">
      <c r="A204" s="415" t="s">
        <v>1165</v>
      </c>
      <c r="B204" t="s">
        <v>1320</v>
      </c>
      <c r="D204" s="401"/>
      <c r="E204" s="401">
        <v>351666.22</v>
      </c>
      <c r="F204" s="401">
        <f t="shared" si="6"/>
        <v>351666.22</v>
      </c>
      <c r="G204" s="362">
        <f t="shared" si="7"/>
        <v>703332.44</v>
      </c>
    </row>
    <row r="205" spans="1:7" hidden="1" x14ac:dyDescent="0.25">
      <c r="A205" s="415" t="s">
        <v>588</v>
      </c>
      <c r="B205" t="s">
        <v>1022</v>
      </c>
      <c r="D205" s="401">
        <v>389591.64</v>
      </c>
      <c r="E205" s="401">
        <v>1766028.83</v>
      </c>
      <c r="F205" s="401">
        <f t="shared" si="6"/>
        <v>2155620.4700000002</v>
      </c>
      <c r="G205" s="362">
        <f t="shared" si="7"/>
        <v>4311240.9400000004</v>
      </c>
    </row>
    <row r="206" spans="1:7" hidden="1" x14ac:dyDescent="0.25">
      <c r="A206" s="415" t="s">
        <v>590</v>
      </c>
      <c r="B206" t="s">
        <v>1023</v>
      </c>
      <c r="D206" s="401"/>
      <c r="E206" s="401">
        <v>542703.42000000004</v>
      </c>
      <c r="F206" s="401">
        <f t="shared" si="6"/>
        <v>542703.42000000004</v>
      </c>
      <c r="G206" s="362">
        <f t="shared" si="7"/>
        <v>1085406.8400000001</v>
      </c>
    </row>
    <row r="207" spans="1:7" hidden="1" x14ac:dyDescent="0.25">
      <c r="A207" s="415" t="s">
        <v>592</v>
      </c>
      <c r="B207" t="s">
        <v>1024</v>
      </c>
      <c r="D207" s="401">
        <v>2525425.7400000002</v>
      </c>
      <c r="E207" s="401">
        <v>6299125.21</v>
      </c>
      <c r="F207" s="401">
        <f t="shared" si="6"/>
        <v>8824550.9499999993</v>
      </c>
      <c r="G207" s="362">
        <f t="shared" si="7"/>
        <v>17649101.899999999</v>
      </c>
    </row>
    <row r="208" spans="1:7" hidden="1" x14ac:dyDescent="0.25">
      <c r="A208" s="415" t="s">
        <v>594</v>
      </c>
      <c r="B208" t="s">
        <v>1025</v>
      </c>
      <c r="C208" s="362">
        <v>55183.82</v>
      </c>
      <c r="D208" s="401">
        <v>5067.1899999999996</v>
      </c>
      <c r="E208" s="401">
        <v>2586106.52</v>
      </c>
      <c r="F208" s="401">
        <f t="shared" si="6"/>
        <v>2591173.71</v>
      </c>
      <c r="G208" s="362">
        <f t="shared" si="7"/>
        <v>5182347.42</v>
      </c>
    </row>
    <row r="209" spans="1:7" hidden="1" x14ac:dyDescent="0.25">
      <c r="A209" s="415" t="s">
        <v>596</v>
      </c>
      <c r="B209" t="s">
        <v>1026</v>
      </c>
      <c r="D209" s="401"/>
      <c r="E209" s="401">
        <v>470692.04</v>
      </c>
      <c r="F209" s="401">
        <f t="shared" si="6"/>
        <v>470692.04</v>
      </c>
      <c r="G209" s="362">
        <f t="shared" si="7"/>
        <v>941384.08</v>
      </c>
    </row>
    <row r="210" spans="1:7" hidden="1" x14ac:dyDescent="0.25">
      <c r="A210" s="415" t="s">
        <v>598</v>
      </c>
      <c r="B210" t="s">
        <v>1321</v>
      </c>
      <c r="D210" s="401"/>
      <c r="E210" s="401">
        <v>740662.53</v>
      </c>
      <c r="F210" s="401">
        <f t="shared" si="6"/>
        <v>740662.53</v>
      </c>
      <c r="G210" s="362">
        <f t="shared" si="7"/>
        <v>1481325.06</v>
      </c>
    </row>
    <row r="211" spans="1:7" hidden="1" x14ac:dyDescent="0.25">
      <c r="A211" s="415" t="s">
        <v>600</v>
      </c>
      <c r="B211" t="s">
        <v>1028</v>
      </c>
      <c r="C211" s="362">
        <v>17406.509999999998</v>
      </c>
      <c r="D211" s="401">
        <v>573516.07999999996</v>
      </c>
      <c r="E211" s="401">
        <v>3632090.12</v>
      </c>
      <c r="F211" s="401">
        <f t="shared" si="6"/>
        <v>4205606.2</v>
      </c>
      <c r="G211" s="362">
        <f t="shared" si="7"/>
        <v>8411212.4000000004</v>
      </c>
    </row>
    <row r="212" spans="1:7" hidden="1" x14ac:dyDescent="0.25">
      <c r="A212" s="415" t="s">
        <v>602</v>
      </c>
      <c r="B212" t="s">
        <v>1029</v>
      </c>
      <c r="C212" s="362">
        <v>40089.050000000003</v>
      </c>
      <c r="D212" s="401"/>
      <c r="E212" s="401">
        <v>3865128.9</v>
      </c>
      <c r="F212" s="401">
        <f t="shared" si="6"/>
        <v>3865128.9</v>
      </c>
      <c r="G212" s="362">
        <f t="shared" si="7"/>
        <v>7730257.7999999998</v>
      </c>
    </row>
    <row r="213" spans="1:7" hidden="1" x14ac:dyDescent="0.25">
      <c r="A213" s="415" t="s">
        <v>1167</v>
      </c>
      <c r="B213" t="s">
        <v>1322</v>
      </c>
      <c r="D213" s="401"/>
      <c r="E213" s="401">
        <v>230500.32</v>
      </c>
      <c r="F213" s="401">
        <f t="shared" si="6"/>
        <v>230500.32</v>
      </c>
      <c r="G213" s="362">
        <f t="shared" si="7"/>
        <v>461000.64</v>
      </c>
    </row>
    <row r="214" spans="1:7" hidden="1" x14ac:dyDescent="0.25">
      <c r="A214" s="415" t="s">
        <v>604</v>
      </c>
      <c r="B214" t="s">
        <v>1030</v>
      </c>
      <c r="C214" s="362">
        <v>500212.28</v>
      </c>
      <c r="D214" s="401">
        <v>7085750.9900000002</v>
      </c>
      <c r="E214" s="401">
        <v>40333985.609999999</v>
      </c>
      <c r="F214" s="401">
        <f t="shared" si="6"/>
        <v>47419736.600000001</v>
      </c>
      <c r="G214" s="362">
        <f t="shared" si="7"/>
        <v>94839473.200000003</v>
      </c>
    </row>
    <row r="215" spans="1:7" hidden="1" x14ac:dyDescent="0.25">
      <c r="A215" s="415" t="s">
        <v>606</v>
      </c>
      <c r="B215" t="s">
        <v>1031</v>
      </c>
      <c r="C215" s="362">
        <v>117831.32</v>
      </c>
      <c r="D215" s="401"/>
      <c r="E215" s="401"/>
      <c r="F215" s="401">
        <f t="shared" si="6"/>
        <v>0</v>
      </c>
      <c r="G215" s="362">
        <f t="shared" si="7"/>
        <v>0</v>
      </c>
    </row>
    <row r="216" spans="1:7" hidden="1" x14ac:dyDescent="0.25">
      <c r="A216" s="415" t="s">
        <v>608</v>
      </c>
      <c r="B216" t="s">
        <v>1032</v>
      </c>
      <c r="D216" s="401"/>
      <c r="E216" s="401">
        <v>1019074.2</v>
      </c>
      <c r="F216" s="401">
        <f t="shared" si="6"/>
        <v>1019074.2</v>
      </c>
      <c r="G216" s="362">
        <f t="shared" si="7"/>
        <v>2038148.4</v>
      </c>
    </row>
    <row r="217" spans="1:7" hidden="1" x14ac:dyDescent="0.25">
      <c r="A217" s="415" t="s">
        <v>612</v>
      </c>
      <c r="B217" t="s">
        <v>1033</v>
      </c>
      <c r="D217" s="401"/>
      <c r="E217" s="401">
        <v>4859623.17</v>
      </c>
      <c r="F217" s="401">
        <f t="shared" si="6"/>
        <v>4859623.17</v>
      </c>
      <c r="G217" s="362">
        <f t="shared" si="7"/>
        <v>9719246.3399999999</v>
      </c>
    </row>
    <row r="218" spans="1:7" hidden="1" x14ac:dyDescent="0.25">
      <c r="A218" s="415" t="s">
        <v>437</v>
      </c>
      <c r="B218" t="s">
        <v>1369</v>
      </c>
      <c r="D218" s="401"/>
      <c r="E218" s="401">
        <v>355505.91999999998</v>
      </c>
      <c r="F218" s="401">
        <f t="shared" si="6"/>
        <v>355505.91999999998</v>
      </c>
      <c r="G218" s="362">
        <f t="shared" si="7"/>
        <v>711011.83999999997</v>
      </c>
    </row>
    <row r="219" spans="1:7" hidden="1" x14ac:dyDescent="0.25">
      <c r="A219" s="415" t="s">
        <v>614</v>
      </c>
      <c r="B219" t="s">
        <v>1034</v>
      </c>
      <c r="D219" s="401">
        <v>922467.47</v>
      </c>
      <c r="E219" s="401">
        <v>4700051.71</v>
      </c>
      <c r="F219" s="401">
        <f t="shared" si="6"/>
        <v>5622519.1799999997</v>
      </c>
      <c r="G219" s="362">
        <f t="shared" si="7"/>
        <v>11245038.359999999</v>
      </c>
    </row>
    <row r="220" spans="1:7" hidden="1" x14ac:dyDescent="0.25">
      <c r="A220" s="415" t="s">
        <v>616</v>
      </c>
      <c r="B220" t="s">
        <v>1035</v>
      </c>
      <c r="D220" s="401"/>
      <c r="E220" s="401">
        <v>1390558.81</v>
      </c>
      <c r="F220" s="401">
        <f t="shared" si="6"/>
        <v>1390558.81</v>
      </c>
      <c r="G220" s="362">
        <f t="shared" si="7"/>
        <v>2781117.62</v>
      </c>
    </row>
    <row r="221" spans="1:7" hidden="1" x14ac:dyDescent="0.25">
      <c r="A221" s="415" t="s">
        <v>618</v>
      </c>
      <c r="B221" t="s">
        <v>1324</v>
      </c>
      <c r="D221" s="401"/>
      <c r="E221" s="401">
        <v>38917.99</v>
      </c>
      <c r="F221" s="401">
        <f t="shared" si="6"/>
        <v>38917.99</v>
      </c>
      <c r="G221" s="362">
        <f t="shared" si="7"/>
        <v>77835.98</v>
      </c>
    </row>
    <row r="222" spans="1:7" hidden="1" x14ac:dyDescent="0.25">
      <c r="A222" s="415" t="s">
        <v>621</v>
      </c>
      <c r="B222" t="s">
        <v>1263</v>
      </c>
      <c r="D222" s="401"/>
      <c r="E222" s="401">
        <v>758359.89</v>
      </c>
      <c r="F222" s="401">
        <f t="shared" si="6"/>
        <v>758359.89</v>
      </c>
      <c r="G222" s="362">
        <f t="shared" si="7"/>
        <v>1516719.78</v>
      </c>
    </row>
    <row r="223" spans="1:7" hidden="1" x14ac:dyDescent="0.25">
      <c r="A223" s="415" t="s">
        <v>623</v>
      </c>
      <c r="B223" t="s">
        <v>1325</v>
      </c>
      <c r="D223" s="401"/>
      <c r="E223" s="401">
        <v>780381.14</v>
      </c>
      <c r="F223" s="401">
        <f t="shared" si="6"/>
        <v>780381.14</v>
      </c>
      <c r="G223" s="362">
        <f t="shared" si="7"/>
        <v>1560762.28</v>
      </c>
    </row>
    <row r="224" spans="1:7" hidden="1" x14ac:dyDescent="0.25">
      <c r="A224" s="415" t="s">
        <v>625</v>
      </c>
      <c r="B224" t="s">
        <v>1038</v>
      </c>
      <c r="C224" s="362">
        <v>161068.48000000001</v>
      </c>
      <c r="D224" s="401">
        <v>11516728.869999999</v>
      </c>
      <c r="E224" s="401">
        <v>32119251.77</v>
      </c>
      <c r="F224" s="401">
        <f t="shared" si="6"/>
        <v>43635980.640000001</v>
      </c>
      <c r="G224" s="362">
        <f t="shared" si="7"/>
        <v>87271961.280000001</v>
      </c>
    </row>
    <row r="225" spans="1:7" hidden="1" x14ac:dyDescent="0.25">
      <c r="A225" s="415" t="s">
        <v>627</v>
      </c>
      <c r="B225" t="s">
        <v>1039</v>
      </c>
      <c r="D225" s="401">
        <v>10000</v>
      </c>
      <c r="E225" s="401">
        <v>576749.06999999995</v>
      </c>
      <c r="F225" s="401">
        <f t="shared" si="6"/>
        <v>586749.06999999995</v>
      </c>
      <c r="G225" s="362">
        <f t="shared" si="7"/>
        <v>1173498.1399999999</v>
      </c>
    </row>
    <row r="226" spans="1:7" hidden="1" x14ac:dyDescent="0.25">
      <c r="A226" s="415" t="s">
        <v>629</v>
      </c>
      <c r="B226" t="s">
        <v>1040</v>
      </c>
      <c r="C226" s="362">
        <v>420629.1</v>
      </c>
      <c r="D226" s="401">
        <v>1835406.07</v>
      </c>
      <c r="E226" s="401">
        <v>23526379.609999999</v>
      </c>
      <c r="F226" s="401">
        <f t="shared" si="6"/>
        <v>25361785.68</v>
      </c>
      <c r="G226" s="362">
        <f t="shared" si="7"/>
        <v>50723571.359999999</v>
      </c>
    </row>
    <row r="227" spans="1:7" hidden="1" x14ac:dyDescent="0.25">
      <c r="A227" s="415" t="s">
        <v>631</v>
      </c>
      <c r="B227" t="s">
        <v>1041</v>
      </c>
      <c r="C227" s="362">
        <v>19010.88</v>
      </c>
      <c r="D227" s="401">
        <v>535152.31000000006</v>
      </c>
      <c r="E227" s="401">
        <v>6351742.7199999997</v>
      </c>
      <c r="F227" s="401">
        <f t="shared" si="6"/>
        <v>6886895.0299999993</v>
      </c>
      <c r="G227" s="362">
        <f t="shared" si="7"/>
        <v>13773790.059999999</v>
      </c>
    </row>
    <row r="228" spans="1:7" hidden="1" x14ac:dyDescent="0.25">
      <c r="A228" s="415" t="s">
        <v>633</v>
      </c>
      <c r="B228" t="s">
        <v>1042</v>
      </c>
      <c r="C228" s="362">
        <v>33762.35</v>
      </c>
      <c r="D228" s="401">
        <v>33542.019999999997</v>
      </c>
      <c r="E228" s="401">
        <v>359813.07</v>
      </c>
      <c r="F228" s="401">
        <f t="shared" si="6"/>
        <v>393355.09</v>
      </c>
      <c r="G228" s="362">
        <f t="shared" si="7"/>
        <v>786710.18</v>
      </c>
    </row>
    <row r="229" spans="1:7" hidden="1" x14ac:dyDescent="0.25">
      <c r="A229" s="415" t="s">
        <v>635</v>
      </c>
      <c r="B229" t="s">
        <v>1043</v>
      </c>
      <c r="D229" s="401"/>
      <c r="E229" s="401">
        <v>2280171</v>
      </c>
      <c r="F229" s="401">
        <f t="shared" si="6"/>
        <v>2280171</v>
      </c>
      <c r="G229" s="362">
        <f t="shared" si="7"/>
        <v>4560342</v>
      </c>
    </row>
    <row r="230" spans="1:7" hidden="1" x14ac:dyDescent="0.25">
      <c r="A230" s="415" t="s">
        <v>637</v>
      </c>
      <c r="B230" t="s">
        <v>1044</v>
      </c>
      <c r="D230" s="401">
        <v>923904.73</v>
      </c>
      <c r="E230" s="401">
        <v>4023894.73</v>
      </c>
      <c r="F230" s="401">
        <f t="shared" si="6"/>
        <v>4947799.46</v>
      </c>
      <c r="G230" s="362">
        <f t="shared" si="7"/>
        <v>9895598.9199999999</v>
      </c>
    </row>
    <row r="231" spans="1:7" hidden="1" x14ac:dyDescent="0.25">
      <c r="A231" s="415" t="s">
        <v>639</v>
      </c>
      <c r="B231" t="s">
        <v>1045</v>
      </c>
      <c r="C231" s="362">
        <v>57046.27</v>
      </c>
      <c r="D231" s="401">
        <v>1539246.63</v>
      </c>
      <c r="E231" s="401">
        <v>3899200.11</v>
      </c>
      <c r="F231" s="401">
        <f t="shared" si="6"/>
        <v>5438446.7400000002</v>
      </c>
      <c r="G231" s="362">
        <f t="shared" si="7"/>
        <v>10876893.48</v>
      </c>
    </row>
    <row r="232" spans="1:7" hidden="1" x14ac:dyDescent="0.25">
      <c r="A232" s="415" t="s">
        <v>641</v>
      </c>
      <c r="B232" t="s">
        <v>1046</v>
      </c>
      <c r="D232" s="401"/>
      <c r="E232" s="401">
        <v>25721.1</v>
      </c>
      <c r="F232" s="401">
        <f t="shared" si="6"/>
        <v>25721.1</v>
      </c>
      <c r="G232" s="362">
        <f t="shared" si="7"/>
        <v>51442.2</v>
      </c>
    </row>
    <row r="233" spans="1:7" hidden="1" x14ac:dyDescent="0.25">
      <c r="A233" s="415" t="s">
        <v>643</v>
      </c>
      <c r="B233" t="s">
        <v>1047</v>
      </c>
      <c r="D233" s="401"/>
      <c r="E233" s="401">
        <v>273831.95</v>
      </c>
      <c r="F233" s="401">
        <f t="shared" si="6"/>
        <v>273831.95</v>
      </c>
      <c r="G233" s="362">
        <f t="shared" si="7"/>
        <v>547663.9</v>
      </c>
    </row>
    <row r="234" spans="1:7" hidden="1" x14ac:dyDescent="0.25">
      <c r="A234" s="415" t="s">
        <v>645</v>
      </c>
      <c r="B234" t="s">
        <v>1048</v>
      </c>
      <c r="D234" s="401"/>
      <c r="E234" s="401">
        <v>2255687.86</v>
      </c>
      <c r="F234" s="401">
        <f t="shared" si="6"/>
        <v>2255687.86</v>
      </c>
      <c r="G234" s="362">
        <f t="shared" si="7"/>
        <v>4511375.72</v>
      </c>
    </row>
    <row r="235" spans="1:7" hidden="1" x14ac:dyDescent="0.25">
      <c r="A235" s="415" t="s">
        <v>620</v>
      </c>
      <c r="B235" t="s">
        <v>1326</v>
      </c>
      <c r="D235" s="401">
        <v>375615.96</v>
      </c>
      <c r="E235" s="401">
        <v>273884.94</v>
      </c>
      <c r="F235" s="401">
        <f t="shared" si="6"/>
        <v>649500.9</v>
      </c>
      <c r="G235" s="362">
        <f t="shared" si="7"/>
        <v>1299001.8</v>
      </c>
    </row>
    <row r="236" spans="1:7" hidden="1" x14ac:dyDescent="0.25">
      <c r="A236" s="415" t="s">
        <v>647</v>
      </c>
      <c r="B236" t="s">
        <v>1049</v>
      </c>
      <c r="C236" s="362">
        <v>20652.5</v>
      </c>
      <c r="D236" s="401">
        <v>101784.69</v>
      </c>
      <c r="E236" s="401">
        <v>2178455.9500000002</v>
      </c>
      <c r="F236" s="401">
        <f t="shared" si="6"/>
        <v>2280240.64</v>
      </c>
      <c r="G236" s="362">
        <f t="shared" si="7"/>
        <v>4560481.28</v>
      </c>
    </row>
    <row r="237" spans="1:7" hidden="1" x14ac:dyDescent="0.25">
      <c r="A237" s="415" t="s">
        <v>649</v>
      </c>
      <c r="B237" t="s">
        <v>1050</v>
      </c>
      <c r="D237" s="401"/>
      <c r="E237" s="401">
        <v>139182.47</v>
      </c>
      <c r="F237" s="401">
        <f t="shared" si="6"/>
        <v>139182.47</v>
      </c>
      <c r="G237" s="362">
        <f t="shared" si="7"/>
        <v>278364.94</v>
      </c>
    </row>
    <row r="238" spans="1:7" hidden="1" x14ac:dyDescent="0.25">
      <c r="A238" s="415" t="s">
        <v>655</v>
      </c>
      <c r="B238" t="s">
        <v>1051</v>
      </c>
      <c r="C238" s="362">
        <v>294069.78999999998</v>
      </c>
      <c r="D238" s="401">
        <v>41052490.939999998</v>
      </c>
      <c r="E238" s="401">
        <v>154193463.15000001</v>
      </c>
      <c r="F238" s="401">
        <f t="shared" si="6"/>
        <v>195245954.09</v>
      </c>
      <c r="G238" s="362">
        <f t="shared" si="7"/>
        <v>390491908.18000001</v>
      </c>
    </row>
    <row r="239" spans="1:7" hidden="1" x14ac:dyDescent="0.25">
      <c r="A239" s="415" t="s">
        <v>657</v>
      </c>
      <c r="B239" t="s">
        <v>1327</v>
      </c>
      <c r="C239" s="362">
        <v>106775.59</v>
      </c>
      <c r="D239" s="401"/>
      <c r="E239" s="401">
        <v>12651713.470000001</v>
      </c>
      <c r="F239" s="401">
        <f t="shared" si="6"/>
        <v>12651713.470000001</v>
      </c>
      <c r="G239" s="362">
        <f t="shared" si="7"/>
        <v>25303426.940000001</v>
      </c>
    </row>
    <row r="240" spans="1:7" hidden="1" x14ac:dyDescent="0.25">
      <c r="A240" s="415" t="s">
        <v>659</v>
      </c>
      <c r="B240" t="s">
        <v>1053</v>
      </c>
      <c r="D240" s="401"/>
      <c r="E240" s="401">
        <v>4894834.59</v>
      </c>
      <c r="F240" s="401">
        <f t="shared" si="6"/>
        <v>4894834.59</v>
      </c>
      <c r="G240" s="362">
        <f t="shared" si="7"/>
        <v>9789669.1799999997</v>
      </c>
    </row>
    <row r="241" spans="1:7" hidden="1" x14ac:dyDescent="0.25">
      <c r="A241" s="415" t="s">
        <v>661</v>
      </c>
      <c r="B241" t="s">
        <v>1054</v>
      </c>
      <c r="D241" s="401"/>
      <c r="E241" s="401">
        <v>422057.26</v>
      </c>
      <c r="F241" s="401">
        <f t="shared" si="6"/>
        <v>422057.26</v>
      </c>
      <c r="G241" s="362">
        <f t="shared" si="7"/>
        <v>844114.52</v>
      </c>
    </row>
    <row r="242" spans="1:7" hidden="1" x14ac:dyDescent="0.25">
      <c r="A242" s="415" t="s">
        <v>663</v>
      </c>
      <c r="B242" t="s">
        <v>1055</v>
      </c>
      <c r="C242" s="362">
        <v>132034.70000000001</v>
      </c>
      <c r="D242" s="401">
        <v>104586.29</v>
      </c>
      <c r="E242" s="401">
        <v>5457651.3099999996</v>
      </c>
      <c r="F242" s="401">
        <f t="shared" si="6"/>
        <v>5562237.5999999996</v>
      </c>
      <c r="G242" s="362">
        <f t="shared" si="7"/>
        <v>11124475.199999999</v>
      </c>
    </row>
    <row r="243" spans="1:7" hidden="1" x14ac:dyDescent="0.25">
      <c r="A243" s="415" t="s">
        <v>667</v>
      </c>
      <c r="B243" t="s">
        <v>1056</v>
      </c>
      <c r="D243" s="401">
        <v>1585233.45</v>
      </c>
      <c r="E243" s="401">
        <v>7564880.1500000004</v>
      </c>
      <c r="F243" s="401">
        <f t="shared" si="6"/>
        <v>9150113.5999999996</v>
      </c>
      <c r="G243" s="362">
        <f t="shared" si="7"/>
        <v>18300227.199999999</v>
      </c>
    </row>
    <row r="244" spans="1:7" hidden="1" x14ac:dyDescent="0.25">
      <c r="A244" s="415" t="s">
        <v>669</v>
      </c>
      <c r="B244" t="s">
        <v>1057</v>
      </c>
      <c r="C244" s="362">
        <v>33309.99</v>
      </c>
      <c r="D244" s="401">
        <v>5529730</v>
      </c>
      <c r="E244" s="401">
        <v>16730327.869999999</v>
      </c>
      <c r="F244" s="401">
        <f t="shared" si="6"/>
        <v>22260057.869999997</v>
      </c>
      <c r="G244" s="362">
        <f t="shared" si="7"/>
        <v>44520115.739999995</v>
      </c>
    </row>
    <row r="245" spans="1:7" hidden="1" x14ac:dyDescent="0.25">
      <c r="A245" s="415" t="s">
        <v>671</v>
      </c>
      <c r="B245" t="s">
        <v>1058</v>
      </c>
      <c r="D245" s="401"/>
      <c r="E245" s="401">
        <v>91259.67</v>
      </c>
      <c r="F245" s="401">
        <f t="shared" si="6"/>
        <v>91259.67</v>
      </c>
      <c r="G245" s="362">
        <f t="shared" si="7"/>
        <v>182519.34</v>
      </c>
    </row>
    <row r="246" spans="1:7" hidden="1" x14ac:dyDescent="0.25">
      <c r="A246" s="415" t="s">
        <v>673</v>
      </c>
      <c r="B246" t="s">
        <v>1059</v>
      </c>
      <c r="D246" s="401">
        <v>142114.82</v>
      </c>
      <c r="E246" s="401">
        <v>66180.73</v>
      </c>
      <c r="F246" s="401">
        <f t="shared" si="6"/>
        <v>208295.55</v>
      </c>
      <c r="G246" s="362">
        <f t="shared" si="7"/>
        <v>416591.1</v>
      </c>
    </row>
    <row r="247" spans="1:7" hidden="1" x14ac:dyDescent="0.25">
      <c r="A247" s="415" t="s">
        <v>675</v>
      </c>
      <c r="B247" t="s">
        <v>1060</v>
      </c>
      <c r="C247" s="362">
        <v>51153.49</v>
      </c>
      <c r="D247" s="401"/>
      <c r="E247" s="401">
        <v>22761567.07</v>
      </c>
      <c r="F247" s="401">
        <f t="shared" si="6"/>
        <v>22761567.07</v>
      </c>
      <c r="G247" s="362">
        <f t="shared" si="7"/>
        <v>45523134.140000001</v>
      </c>
    </row>
    <row r="248" spans="1:7" hidden="1" x14ac:dyDescent="0.25">
      <c r="A248" s="415" t="s">
        <v>677</v>
      </c>
      <c r="B248" t="s">
        <v>1061</v>
      </c>
      <c r="C248" s="362">
        <v>2073.62</v>
      </c>
      <c r="D248" s="401">
        <v>3148430.11</v>
      </c>
      <c r="E248" s="401">
        <v>12043664.550000001</v>
      </c>
      <c r="F248" s="401">
        <f t="shared" si="6"/>
        <v>15192094.66</v>
      </c>
      <c r="G248" s="362">
        <f t="shared" si="7"/>
        <v>30384189.32</v>
      </c>
    </row>
    <row r="249" spans="1:7" hidden="1" x14ac:dyDescent="0.25">
      <c r="A249" s="415" t="s">
        <v>679</v>
      </c>
      <c r="B249" t="s">
        <v>1062</v>
      </c>
      <c r="D249" s="401">
        <v>286672.08</v>
      </c>
      <c r="E249" s="401">
        <v>803422.28</v>
      </c>
      <c r="F249" s="401">
        <f t="shared" si="6"/>
        <v>1090094.3600000001</v>
      </c>
      <c r="G249" s="362">
        <f t="shared" si="7"/>
        <v>2180188.7200000002</v>
      </c>
    </row>
    <row r="250" spans="1:7" hidden="1" x14ac:dyDescent="0.25">
      <c r="A250" s="415" t="s">
        <v>682</v>
      </c>
      <c r="B250" t="s">
        <v>1063</v>
      </c>
      <c r="D250" s="401">
        <v>16178.33</v>
      </c>
      <c r="E250" s="401">
        <v>986726.27</v>
      </c>
      <c r="F250" s="401">
        <f t="shared" si="6"/>
        <v>1002904.6</v>
      </c>
      <c r="G250" s="362">
        <f t="shared" si="7"/>
        <v>2005809.2</v>
      </c>
    </row>
    <row r="251" spans="1:7" hidden="1" x14ac:dyDescent="0.25">
      <c r="A251" s="415" t="s">
        <v>684</v>
      </c>
      <c r="B251" t="s">
        <v>1064</v>
      </c>
      <c r="D251" s="401">
        <v>2078955.53</v>
      </c>
      <c r="E251" s="401">
        <v>24013207.539999999</v>
      </c>
      <c r="F251" s="401">
        <f t="shared" si="6"/>
        <v>26092163.07</v>
      </c>
      <c r="G251" s="362">
        <f t="shared" si="7"/>
        <v>52184326.140000001</v>
      </c>
    </row>
    <row r="252" spans="1:7" hidden="1" x14ac:dyDescent="0.25">
      <c r="A252" s="415" t="s">
        <v>686</v>
      </c>
      <c r="B252" t="s">
        <v>1065</v>
      </c>
      <c r="D252" s="401"/>
      <c r="E252" s="401">
        <v>2685147.94</v>
      </c>
      <c r="F252" s="401">
        <f t="shared" si="6"/>
        <v>2685147.94</v>
      </c>
      <c r="G252" s="362">
        <f t="shared" si="7"/>
        <v>5370295.8799999999</v>
      </c>
    </row>
    <row r="253" spans="1:7" hidden="1" x14ac:dyDescent="0.25">
      <c r="A253" s="415" t="s">
        <v>688</v>
      </c>
      <c r="B253" t="s">
        <v>1066</v>
      </c>
      <c r="D253" s="401"/>
      <c r="E253" s="401">
        <v>265986.53999999998</v>
      </c>
      <c r="F253" s="401">
        <f t="shared" si="6"/>
        <v>265986.53999999998</v>
      </c>
      <c r="G253" s="362">
        <f t="shared" si="7"/>
        <v>531973.07999999996</v>
      </c>
    </row>
    <row r="254" spans="1:7" hidden="1" x14ac:dyDescent="0.25">
      <c r="A254" s="415" t="s">
        <v>690</v>
      </c>
      <c r="B254" t="s">
        <v>1067</v>
      </c>
      <c r="C254" s="362">
        <v>691397.02</v>
      </c>
      <c r="D254" s="401">
        <v>5723875.46</v>
      </c>
      <c r="E254" s="401">
        <v>51666565.670000002</v>
      </c>
      <c r="F254" s="401">
        <f t="shared" si="6"/>
        <v>57390441.130000003</v>
      </c>
      <c r="G254" s="362">
        <f t="shared" si="7"/>
        <v>114780882.26000001</v>
      </c>
    </row>
    <row r="255" spans="1:7" hidden="1" x14ac:dyDescent="0.25">
      <c r="A255" s="415" t="s">
        <v>692</v>
      </c>
      <c r="B255" t="s">
        <v>1328</v>
      </c>
      <c r="D255" s="401"/>
      <c r="E255" s="401">
        <v>725815.7</v>
      </c>
      <c r="F255" s="401">
        <f t="shared" si="6"/>
        <v>725815.7</v>
      </c>
      <c r="G255" s="362">
        <f t="shared" si="7"/>
        <v>1451631.4</v>
      </c>
    </row>
    <row r="256" spans="1:7" hidden="1" x14ac:dyDescent="0.25">
      <c r="A256" s="415" t="s">
        <v>694</v>
      </c>
      <c r="B256" t="s">
        <v>1069</v>
      </c>
      <c r="D256" s="401"/>
      <c r="E256" s="401">
        <v>182270.24</v>
      </c>
      <c r="F256" s="401">
        <f t="shared" si="6"/>
        <v>182270.24</v>
      </c>
      <c r="G256" s="362">
        <f t="shared" si="7"/>
        <v>364540.48</v>
      </c>
    </row>
    <row r="257" spans="1:7" hidden="1" x14ac:dyDescent="0.25">
      <c r="A257" s="415" t="s">
        <v>696</v>
      </c>
      <c r="B257" t="s">
        <v>1070</v>
      </c>
      <c r="D257" s="401"/>
      <c r="E257" s="401">
        <v>185753.43</v>
      </c>
      <c r="F257" s="401">
        <f t="shared" si="6"/>
        <v>185753.43</v>
      </c>
      <c r="G257" s="362">
        <f t="shared" si="7"/>
        <v>371506.86</v>
      </c>
    </row>
    <row r="258" spans="1:7" hidden="1" x14ac:dyDescent="0.25">
      <c r="A258" s="415" t="s">
        <v>698</v>
      </c>
      <c r="B258" t="s">
        <v>1329</v>
      </c>
      <c r="D258" s="401">
        <v>8125</v>
      </c>
      <c r="E258" s="401">
        <v>14057224.390000001</v>
      </c>
      <c r="F258" s="401">
        <f t="shared" si="6"/>
        <v>14065349.390000001</v>
      </c>
      <c r="G258" s="362">
        <f t="shared" si="7"/>
        <v>28130698.780000001</v>
      </c>
    </row>
    <row r="259" spans="1:7" hidden="1" x14ac:dyDescent="0.25">
      <c r="A259" s="415" t="s">
        <v>700</v>
      </c>
      <c r="B259" t="s">
        <v>1146</v>
      </c>
      <c r="D259" s="401"/>
      <c r="E259" s="401">
        <v>2716.45</v>
      </c>
      <c r="F259" s="401">
        <f t="shared" si="6"/>
        <v>2716.45</v>
      </c>
      <c r="G259" s="362">
        <f t="shared" si="7"/>
        <v>5432.9</v>
      </c>
    </row>
    <row r="260" spans="1:7" hidden="1" x14ac:dyDescent="0.25">
      <c r="A260" s="415" t="s">
        <v>702</v>
      </c>
      <c r="B260" t="s">
        <v>1072</v>
      </c>
      <c r="D260" s="401"/>
      <c r="E260" s="401">
        <v>513156.55</v>
      </c>
      <c r="F260" s="401">
        <f t="shared" si="6"/>
        <v>513156.55</v>
      </c>
      <c r="G260" s="362">
        <f t="shared" si="7"/>
        <v>1026313.1</v>
      </c>
    </row>
    <row r="261" spans="1:7" hidden="1" x14ac:dyDescent="0.25">
      <c r="A261" s="415" t="s">
        <v>706</v>
      </c>
      <c r="B261" t="s">
        <v>1073</v>
      </c>
      <c r="C261" s="362">
        <v>57110.47</v>
      </c>
      <c r="D261" s="401">
        <v>524467.76</v>
      </c>
      <c r="E261" s="401">
        <v>5300027.51</v>
      </c>
      <c r="F261" s="401">
        <f t="shared" si="6"/>
        <v>5824495.2699999996</v>
      </c>
      <c r="G261" s="362">
        <f t="shared" si="7"/>
        <v>11648990.539999999</v>
      </c>
    </row>
    <row r="262" spans="1:7" hidden="1" x14ac:dyDescent="0.25">
      <c r="A262" s="415" t="s">
        <v>708</v>
      </c>
      <c r="B262" t="s">
        <v>1074</v>
      </c>
      <c r="D262" s="401"/>
      <c r="E262" s="401">
        <v>54778.46</v>
      </c>
      <c r="F262" s="401">
        <f t="shared" si="6"/>
        <v>54778.46</v>
      </c>
      <c r="G262" s="362">
        <f t="shared" si="7"/>
        <v>109556.92</v>
      </c>
    </row>
    <row r="263" spans="1:7" hidden="1" x14ac:dyDescent="0.25">
      <c r="A263" s="415" t="s">
        <v>710</v>
      </c>
      <c r="B263" t="s">
        <v>1075</v>
      </c>
      <c r="D263" s="401"/>
      <c r="E263" s="401">
        <v>1379803.61</v>
      </c>
      <c r="F263" s="401">
        <f t="shared" si="6"/>
        <v>1379803.61</v>
      </c>
      <c r="G263" s="362">
        <f t="shared" si="7"/>
        <v>2759607.22</v>
      </c>
    </row>
    <row r="264" spans="1:7" hidden="1" x14ac:dyDescent="0.25">
      <c r="A264" s="415" t="s">
        <v>712</v>
      </c>
      <c r="B264" t="s">
        <v>1076</v>
      </c>
      <c r="D264" s="401">
        <v>1690</v>
      </c>
      <c r="E264" s="401">
        <v>5043846.55</v>
      </c>
      <c r="F264" s="401">
        <f t="shared" ref="F264:F319" si="8">D264+E264</f>
        <v>5045536.55</v>
      </c>
      <c r="G264" s="362">
        <f t="shared" ref="G264:G319" si="9">D264+E264+F264</f>
        <v>10091073.1</v>
      </c>
    </row>
    <row r="265" spans="1:7" hidden="1" x14ac:dyDescent="0.25">
      <c r="A265" s="415" t="s">
        <v>714</v>
      </c>
      <c r="B265" t="s">
        <v>1330</v>
      </c>
      <c r="D265" s="401"/>
      <c r="E265" s="401">
        <v>774163.03</v>
      </c>
      <c r="F265" s="401">
        <f t="shared" si="8"/>
        <v>774163.03</v>
      </c>
      <c r="G265" s="362">
        <f t="shared" si="9"/>
        <v>1548326.06</v>
      </c>
    </row>
    <row r="266" spans="1:7" hidden="1" x14ac:dyDescent="0.25">
      <c r="A266" s="415" t="s">
        <v>716</v>
      </c>
      <c r="B266" t="s">
        <v>1331</v>
      </c>
      <c r="D266" s="401"/>
      <c r="E266" s="401">
        <v>356122.33</v>
      </c>
      <c r="F266" s="401">
        <f t="shared" si="8"/>
        <v>356122.33</v>
      </c>
      <c r="G266" s="362">
        <f t="shared" si="9"/>
        <v>712244.66</v>
      </c>
    </row>
    <row r="267" spans="1:7" hidden="1" x14ac:dyDescent="0.25">
      <c r="A267" s="415" t="s">
        <v>718</v>
      </c>
      <c r="B267" t="s">
        <v>1332</v>
      </c>
      <c r="D267" s="401">
        <v>9630</v>
      </c>
      <c r="E267" s="401">
        <v>461042.51</v>
      </c>
      <c r="F267" s="401">
        <f t="shared" si="8"/>
        <v>470672.51</v>
      </c>
      <c r="G267" s="362">
        <f t="shared" si="9"/>
        <v>941345.02</v>
      </c>
    </row>
    <row r="268" spans="1:7" hidden="1" x14ac:dyDescent="0.25">
      <c r="A268" s="415" t="s">
        <v>720</v>
      </c>
      <c r="B268" t="s">
        <v>1080</v>
      </c>
      <c r="D268" s="401"/>
      <c r="E268" s="401">
        <v>98394.03</v>
      </c>
      <c r="F268" s="401">
        <f t="shared" si="8"/>
        <v>98394.03</v>
      </c>
      <c r="G268" s="362">
        <f t="shared" si="9"/>
        <v>196788.06</v>
      </c>
    </row>
    <row r="269" spans="1:7" hidden="1" x14ac:dyDescent="0.25">
      <c r="A269" s="415" t="s">
        <v>722</v>
      </c>
      <c r="B269" t="s">
        <v>1081</v>
      </c>
      <c r="C269" s="362">
        <v>40978.31</v>
      </c>
      <c r="D269" s="401">
        <v>4127582.77</v>
      </c>
      <c r="E269" s="401">
        <v>17780497.629999999</v>
      </c>
      <c r="F269" s="401">
        <f t="shared" si="8"/>
        <v>21908080.399999999</v>
      </c>
      <c r="G269" s="362">
        <f t="shared" si="9"/>
        <v>43816160.799999997</v>
      </c>
    </row>
    <row r="270" spans="1:7" hidden="1" x14ac:dyDescent="0.25">
      <c r="A270" s="415" t="s">
        <v>724</v>
      </c>
      <c r="B270" t="s">
        <v>1082</v>
      </c>
      <c r="D270" s="401">
        <v>63487.38</v>
      </c>
      <c r="E270" s="401">
        <v>10643161.48</v>
      </c>
      <c r="F270" s="401">
        <f t="shared" si="8"/>
        <v>10706648.860000001</v>
      </c>
      <c r="G270" s="362">
        <f t="shared" si="9"/>
        <v>21413297.720000003</v>
      </c>
    </row>
    <row r="271" spans="1:7" hidden="1" x14ac:dyDescent="0.25">
      <c r="A271" s="415" t="s">
        <v>726</v>
      </c>
      <c r="B271" t="s">
        <v>1333</v>
      </c>
      <c r="C271" s="362">
        <v>139507.37</v>
      </c>
      <c r="D271" s="401"/>
      <c r="E271" s="401"/>
      <c r="F271" s="401">
        <f t="shared" si="8"/>
        <v>0</v>
      </c>
      <c r="G271" s="362">
        <f t="shared" si="9"/>
        <v>0</v>
      </c>
    </row>
    <row r="272" spans="1:7" hidden="1" x14ac:dyDescent="0.25">
      <c r="A272" s="415" t="s">
        <v>728</v>
      </c>
      <c r="B272" t="s">
        <v>1084</v>
      </c>
      <c r="C272" s="362">
        <v>268765.84999999998</v>
      </c>
      <c r="D272" s="401">
        <v>2169726.04</v>
      </c>
      <c r="E272" s="401">
        <v>61108097</v>
      </c>
      <c r="F272" s="401">
        <f t="shared" si="8"/>
        <v>63277823.039999999</v>
      </c>
      <c r="G272" s="362">
        <f t="shared" si="9"/>
        <v>126555646.08</v>
      </c>
    </row>
    <row r="273" spans="1:7" hidden="1" x14ac:dyDescent="0.25">
      <c r="A273" s="415" t="s">
        <v>730</v>
      </c>
      <c r="B273" t="s">
        <v>1148</v>
      </c>
      <c r="D273" s="401"/>
      <c r="E273" s="401">
        <v>206522.98</v>
      </c>
      <c r="F273" s="401">
        <f t="shared" si="8"/>
        <v>206522.98</v>
      </c>
      <c r="G273" s="362">
        <f t="shared" si="9"/>
        <v>413045.96</v>
      </c>
    </row>
    <row r="274" spans="1:7" hidden="1" x14ac:dyDescent="0.25">
      <c r="A274" s="415" t="s">
        <v>732</v>
      </c>
      <c r="B274" t="s">
        <v>1085</v>
      </c>
      <c r="D274" s="401">
        <v>5868980.5700000003</v>
      </c>
      <c r="E274" s="401">
        <v>18289924</v>
      </c>
      <c r="F274" s="401">
        <f t="shared" si="8"/>
        <v>24158904.57</v>
      </c>
      <c r="G274" s="362">
        <f t="shared" si="9"/>
        <v>48317809.140000001</v>
      </c>
    </row>
    <row r="275" spans="1:7" hidden="1" x14ac:dyDescent="0.25">
      <c r="A275" s="415" t="s">
        <v>734</v>
      </c>
      <c r="B275" t="s">
        <v>1086</v>
      </c>
      <c r="C275" s="362">
        <v>1900</v>
      </c>
      <c r="D275" s="401">
        <v>1500</v>
      </c>
      <c r="E275" s="401">
        <v>330004.3</v>
      </c>
      <c r="F275" s="401">
        <f t="shared" si="8"/>
        <v>331504.3</v>
      </c>
      <c r="G275" s="362">
        <f t="shared" si="9"/>
        <v>663008.6</v>
      </c>
    </row>
    <row r="276" spans="1:7" hidden="1" x14ac:dyDescent="0.25">
      <c r="A276" s="415" t="s">
        <v>736</v>
      </c>
      <c r="B276" t="s">
        <v>1087</v>
      </c>
      <c r="C276" s="362">
        <v>61583.3</v>
      </c>
      <c r="D276" s="401">
        <v>89135.039999999994</v>
      </c>
      <c r="E276" s="401">
        <v>2609450.35</v>
      </c>
      <c r="F276" s="401">
        <f t="shared" si="8"/>
        <v>2698585.39</v>
      </c>
      <c r="G276" s="362">
        <f t="shared" si="9"/>
        <v>5397170.7800000003</v>
      </c>
    </row>
    <row r="277" spans="1:7" hidden="1" x14ac:dyDescent="0.25">
      <c r="A277" s="415" t="s">
        <v>738</v>
      </c>
      <c r="B277" t="s">
        <v>1088</v>
      </c>
      <c r="D277" s="401"/>
      <c r="E277" s="401">
        <v>470387.20000000001</v>
      </c>
      <c r="F277" s="401">
        <f t="shared" si="8"/>
        <v>470387.20000000001</v>
      </c>
      <c r="G277" s="362">
        <f t="shared" si="9"/>
        <v>940774.40000000002</v>
      </c>
    </row>
    <row r="278" spans="1:7" hidden="1" x14ac:dyDescent="0.25">
      <c r="A278" s="415" t="s">
        <v>740</v>
      </c>
      <c r="B278" t="s">
        <v>1089</v>
      </c>
      <c r="C278" s="362">
        <v>12768.04</v>
      </c>
      <c r="D278" s="401"/>
      <c r="E278" s="401">
        <v>2261779.25</v>
      </c>
      <c r="F278" s="401">
        <f t="shared" si="8"/>
        <v>2261779.25</v>
      </c>
      <c r="G278" s="362">
        <f t="shared" si="9"/>
        <v>4523558.5</v>
      </c>
    </row>
    <row r="279" spans="1:7" hidden="1" x14ac:dyDescent="0.25">
      <c r="A279" s="415" t="s">
        <v>742</v>
      </c>
      <c r="B279" t="s">
        <v>1090</v>
      </c>
      <c r="D279" s="401"/>
      <c r="E279" s="401">
        <v>1330248.8400000001</v>
      </c>
      <c r="F279" s="401">
        <f t="shared" si="8"/>
        <v>1330248.8400000001</v>
      </c>
      <c r="G279" s="362">
        <f t="shared" si="9"/>
        <v>2660497.6800000002</v>
      </c>
    </row>
    <row r="280" spans="1:7" hidden="1" x14ac:dyDescent="0.25">
      <c r="A280" s="415" t="s">
        <v>744</v>
      </c>
      <c r="B280" t="s">
        <v>1091</v>
      </c>
      <c r="D280" s="401"/>
      <c r="E280" s="401">
        <v>5204552.09</v>
      </c>
      <c r="F280" s="401">
        <f t="shared" si="8"/>
        <v>5204552.09</v>
      </c>
      <c r="G280" s="362">
        <f t="shared" si="9"/>
        <v>10409104.18</v>
      </c>
    </row>
    <row r="281" spans="1:7" hidden="1" x14ac:dyDescent="0.25">
      <c r="A281" s="415" t="s">
        <v>746</v>
      </c>
      <c r="B281" t="s">
        <v>1092</v>
      </c>
      <c r="D281" s="401"/>
      <c r="E281" s="401">
        <v>235280.49</v>
      </c>
      <c r="F281" s="401">
        <f t="shared" si="8"/>
        <v>235280.49</v>
      </c>
      <c r="G281" s="362">
        <f t="shared" si="9"/>
        <v>470560.98</v>
      </c>
    </row>
    <row r="282" spans="1:7" hidden="1" x14ac:dyDescent="0.25">
      <c r="A282" s="415" t="s">
        <v>748</v>
      </c>
      <c r="B282" t="s">
        <v>1093</v>
      </c>
      <c r="D282" s="401"/>
      <c r="E282" s="401">
        <v>1012361.9</v>
      </c>
      <c r="F282" s="401">
        <f t="shared" si="8"/>
        <v>1012361.9</v>
      </c>
      <c r="G282" s="362">
        <f t="shared" si="9"/>
        <v>2024723.8</v>
      </c>
    </row>
    <row r="283" spans="1:7" hidden="1" x14ac:dyDescent="0.25">
      <c r="A283" s="415" t="s">
        <v>750</v>
      </c>
      <c r="B283" t="s">
        <v>1094</v>
      </c>
      <c r="D283" s="401"/>
      <c r="E283" s="401">
        <v>220585.5</v>
      </c>
      <c r="F283" s="401">
        <f t="shared" si="8"/>
        <v>220585.5</v>
      </c>
      <c r="G283" s="362">
        <f t="shared" si="9"/>
        <v>441171</v>
      </c>
    </row>
    <row r="284" spans="1:7" hidden="1" x14ac:dyDescent="0.25">
      <c r="A284" s="415" t="s">
        <v>752</v>
      </c>
      <c r="B284" t="s">
        <v>1095</v>
      </c>
      <c r="D284" s="401">
        <v>717451.21</v>
      </c>
      <c r="E284" s="401">
        <v>5210475</v>
      </c>
      <c r="F284" s="401">
        <f t="shared" si="8"/>
        <v>5927926.21</v>
      </c>
      <c r="G284" s="362">
        <f t="shared" si="9"/>
        <v>11855852.42</v>
      </c>
    </row>
    <row r="285" spans="1:7" hidden="1" x14ac:dyDescent="0.25">
      <c r="A285" s="415" t="s">
        <v>754</v>
      </c>
      <c r="B285" t="s">
        <v>1096</v>
      </c>
      <c r="D285" s="401">
        <v>1656925.41</v>
      </c>
      <c r="E285" s="401">
        <v>11333376.279999999</v>
      </c>
      <c r="F285" s="401">
        <f t="shared" si="8"/>
        <v>12990301.689999999</v>
      </c>
      <c r="G285" s="362">
        <f t="shared" si="9"/>
        <v>25980603.379999999</v>
      </c>
    </row>
    <row r="286" spans="1:7" hidden="1" x14ac:dyDescent="0.25">
      <c r="A286" s="415" t="s">
        <v>756</v>
      </c>
      <c r="B286" t="s">
        <v>1097</v>
      </c>
      <c r="D286" s="401"/>
      <c r="E286" s="401">
        <v>751493.11</v>
      </c>
      <c r="F286" s="401">
        <f t="shared" si="8"/>
        <v>751493.11</v>
      </c>
      <c r="G286" s="362">
        <f t="shared" si="9"/>
        <v>1502986.22</v>
      </c>
    </row>
    <row r="287" spans="1:7" hidden="1" x14ac:dyDescent="0.25">
      <c r="A287" s="415" t="s">
        <v>758</v>
      </c>
      <c r="B287" t="s">
        <v>1098</v>
      </c>
      <c r="C287" s="362">
        <v>107574.15</v>
      </c>
      <c r="D287" s="401">
        <v>75175.929999999993</v>
      </c>
      <c r="E287" s="401">
        <v>11049830.15</v>
      </c>
      <c r="F287" s="401">
        <f t="shared" si="8"/>
        <v>11125006.08</v>
      </c>
      <c r="G287" s="362">
        <f t="shared" si="9"/>
        <v>22250012.16</v>
      </c>
    </row>
    <row r="288" spans="1:7" hidden="1" x14ac:dyDescent="0.25">
      <c r="A288" s="415" t="s">
        <v>760</v>
      </c>
      <c r="B288" t="s">
        <v>1099</v>
      </c>
      <c r="D288" s="401"/>
      <c r="E288" s="401">
        <v>1102172.93</v>
      </c>
      <c r="F288" s="401">
        <f t="shared" si="8"/>
        <v>1102172.93</v>
      </c>
      <c r="G288" s="362">
        <f t="shared" si="9"/>
        <v>2204345.86</v>
      </c>
    </row>
    <row r="289" spans="1:7" hidden="1" x14ac:dyDescent="0.25">
      <c r="A289" s="415" t="s">
        <v>762</v>
      </c>
      <c r="B289" t="s">
        <v>1100</v>
      </c>
      <c r="C289" s="362">
        <v>789702.7</v>
      </c>
      <c r="D289" s="401">
        <v>12361749.710000001</v>
      </c>
      <c r="E289" s="401">
        <v>43575076</v>
      </c>
      <c r="F289" s="401">
        <f t="shared" si="8"/>
        <v>55936825.710000001</v>
      </c>
      <c r="G289" s="362">
        <f t="shared" si="9"/>
        <v>111873651.42</v>
      </c>
    </row>
    <row r="290" spans="1:7" hidden="1" x14ac:dyDescent="0.25">
      <c r="A290" s="415" t="s">
        <v>764</v>
      </c>
      <c r="B290" t="s">
        <v>1101</v>
      </c>
      <c r="C290" s="362">
        <v>19076.16</v>
      </c>
      <c r="D290" s="401">
        <v>558087.41</v>
      </c>
      <c r="E290" s="401">
        <v>2270971.88</v>
      </c>
      <c r="F290" s="401">
        <f t="shared" si="8"/>
        <v>2829059.29</v>
      </c>
      <c r="G290" s="362">
        <f t="shared" si="9"/>
        <v>5658118.5800000001</v>
      </c>
    </row>
    <row r="291" spans="1:7" hidden="1" x14ac:dyDescent="0.25">
      <c r="A291" s="415" t="s">
        <v>1334</v>
      </c>
      <c r="B291" t="s">
        <v>1335</v>
      </c>
      <c r="D291" s="401"/>
      <c r="E291" s="401">
        <v>187858.75</v>
      </c>
      <c r="F291" s="401">
        <f t="shared" si="8"/>
        <v>187858.75</v>
      </c>
      <c r="G291" s="362">
        <f t="shared" si="9"/>
        <v>375717.5</v>
      </c>
    </row>
    <row r="292" spans="1:7" hidden="1" x14ac:dyDescent="0.25">
      <c r="A292" s="415" t="s">
        <v>766</v>
      </c>
      <c r="B292" t="s">
        <v>1102</v>
      </c>
      <c r="D292" s="401"/>
      <c r="E292" s="401">
        <v>757827.12</v>
      </c>
      <c r="F292" s="401">
        <f t="shared" si="8"/>
        <v>757827.12</v>
      </c>
      <c r="G292" s="362">
        <f t="shared" si="9"/>
        <v>1515654.24</v>
      </c>
    </row>
    <row r="293" spans="1:7" hidden="1" x14ac:dyDescent="0.25">
      <c r="A293" s="415" t="s">
        <v>768</v>
      </c>
      <c r="B293" t="s">
        <v>1103</v>
      </c>
      <c r="D293" s="401"/>
      <c r="E293" s="401">
        <v>3758769.61</v>
      </c>
      <c r="F293" s="401">
        <f t="shared" si="8"/>
        <v>3758769.61</v>
      </c>
      <c r="G293" s="362">
        <f t="shared" si="9"/>
        <v>7517539.2199999997</v>
      </c>
    </row>
    <row r="294" spans="1:7" hidden="1" x14ac:dyDescent="0.25">
      <c r="A294" s="415" t="s">
        <v>770</v>
      </c>
      <c r="B294" t="s">
        <v>1104</v>
      </c>
      <c r="D294" s="401">
        <v>314779.40999999997</v>
      </c>
      <c r="E294" s="401">
        <v>25652.51</v>
      </c>
      <c r="F294" s="401">
        <f t="shared" si="8"/>
        <v>340431.92</v>
      </c>
      <c r="G294" s="362">
        <f t="shared" si="9"/>
        <v>680863.84</v>
      </c>
    </row>
    <row r="295" spans="1:7" hidden="1" x14ac:dyDescent="0.25">
      <c r="A295" s="415" t="s">
        <v>772</v>
      </c>
      <c r="B295" t="s">
        <v>1105</v>
      </c>
      <c r="C295" s="362">
        <v>257877.12</v>
      </c>
      <c r="D295" s="401"/>
      <c r="E295" s="401">
        <v>9102551.8599999994</v>
      </c>
      <c r="F295" s="401">
        <f t="shared" si="8"/>
        <v>9102551.8599999994</v>
      </c>
      <c r="G295" s="362">
        <f t="shared" si="9"/>
        <v>18205103.719999999</v>
      </c>
    </row>
    <row r="296" spans="1:7" hidden="1" x14ac:dyDescent="0.25">
      <c r="A296" s="415" t="s">
        <v>774</v>
      </c>
      <c r="B296" t="s">
        <v>1106</v>
      </c>
      <c r="D296" s="401"/>
      <c r="E296" s="401">
        <v>4832177.49</v>
      </c>
      <c r="F296" s="401">
        <f t="shared" si="8"/>
        <v>4832177.49</v>
      </c>
      <c r="G296" s="362">
        <f t="shared" si="9"/>
        <v>9664354.9800000004</v>
      </c>
    </row>
    <row r="297" spans="1:7" hidden="1" x14ac:dyDescent="0.25">
      <c r="A297" s="415" t="s">
        <v>776</v>
      </c>
      <c r="B297" t="s">
        <v>1107</v>
      </c>
      <c r="C297" s="362">
        <v>65693</v>
      </c>
      <c r="D297" s="401"/>
      <c r="E297" s="401">
        <v>1269260.54</v>
      </c>
      <c r="F297" s="401">
        <f t="shared" si="8"/>
        <v>1269260.54</v>
      </c>
      <c r="G297" s="362">
        <f t="shared" si="9"/>
        <v>2538521.08</v>
      </c>
    </row>
    <row r="298" spans="1:7" hidden="1" x14ac:dyDescent="0.25">
      <c r="A298" s="415" t="s">
        <v>778</v>
      </c>
      <c r="B298" t="s">
        <v>1108</v>
      </c>
      <c r="C298" s="362">
        <v>108222.31</v>
      </c>
      <c r="D298" s="401">
        <v>364992.54</v>
      </c>
      <c r="E298" s="401">
        <v>7192308.25</v>
      </c>
      <c r="F298" s="401">
        <f t="shared" si="8"/>
        <v>7557300.79</v>
      </c>
      <c r="G298" s="362">
        <f t="shared" si="9"/>
        <v>15114601.58</v>
      </c>
    </row>
    <row r="299" spans="1:7" hidden="1" x14ac:dyDescent="0.25">
      <c r="A299" s="415" t="s">
        <v>780</v>
      </c>
      <c r="B299" t="s">
        <v>1109</v>
      </c>
      <c r="D299" s="401"/>
      <c r="E299" s="401">
        <v>179211.01</v>
      </c>
      <c r="F299" s="401">
        <f t="shared" si="8"/>
        <v>179211.01</v>
      </c>
      <c r="G299" s="362">
        <f t="shared" si="9"/>
        <v>358422.02</v>
      </c>
    </row>
    <row r="300" spans="1:7" hidden="1" x14ac:dyDescent="0.25">
      <c r="A300" s="415" t="s">
        <v>782</v>
      </c>
      <c r="B300" t="s">
        <v>1110</v>
      </c>
      <c r="D300" s="401">
        <v>174.82</v>
      </c>
      <c r="E300" s="401">
        <v>447481.99</v>
      </c>
      <c r="F300" s="401">
        <f t="shared" si="8"/>
        <v>447656.81</v>
      </c>
      <c r="G300" s="362">
        <f t="shared" si="9"/>
        <v>895313.62</v>
      </c>
    </row>
    <row r="301" spans="1:7" hidden="1" x14ac:dyDescent="0.25">
      <c r="A301" s="415" t="s">
        <v>784</v>
      </c>
      <c r="B301" t="s">
        <v>1111</v>
      </c>
      <c r="D301" s="401">
        <v>131664.85</v>
      </c>
      <c r="E301" s="401">
        <v>597088.34</v>
      </c>
      <c r="F301" s="401">
        <f t="shared" si="8"/>
        <v>728753.19</v>
      </c>
      <c r="G301" s="362">
        <f t="shared" si="9"/>
        <v>1457506.38</v>
      </c>
    </row>
    <row r="302" spans="1:7" hidden="1" x14ac:dyDescent="0.25">
      <c r="A302" s="415" t="s">
        <v>786</v>
      </c>
      <c r="B302" t="s">
        <v>1112</v>
      </c>
      <c r="C302" s="362">
        <v>133269.47</v>
      </c>
      <c r="D302" s="401">
        <v>77995.179999999993</v>
      </c>
      <c r="E302" s="401">
        <v>13964533.25</v>
      </c>
      <c r="F302" s="401">
        <f t="shared" si="8"/>
        <v>14042528.43</v>
      </c>
      <c r="G302" s="362">
        <f t="shared" si="9"/>
        <v>28085056.859999999</v>
      </c>
    </row>
    <row r="303" spans="1:7" hidden="1" x14ac:dyDescent="0.25">
      <c r="A303" s="415" t="s">
        <v>790</v>
      </c>
      <c r="B303" t="s">
        <v>1336</v>
      </c>
      <c r="D303" s="401"/>
      <c r="E303" s="401">
        <v>6056715.1500000004</v>
      </c>
      <c r="F303" s="401">
        <f t="shared" si="8"/>
        <v>6056715.1500000004</v>
      </c>
      <c r="G303" s="362">
        <f t="shared" si="9"/>
        <v>12113430.300000001</v>
      </c>
    </row>
    <row r="304" spans="1:7" hidden="1" x14ac:dyDescent="0.25">
      <c r="A304" s="415" t="s">
        <v>788</v>
      </c>
      <c r="B304" t="s">
        <v>1337</v>
      </c>
      <c r="D304" s="401"/>
      <c r="E304" s="401">
        <v>8751645.1799999997</v>
      </c>
      <c r="F304" s="401">
        <f t="shared" si="8"/>
        <v>8751645.1799999997</v>
      </c>
      <c r="G304" s="362">
        <f t="shared" si="9"/>
        <v>17503290.359999999</v>
      </c>
    </row>
    <row r="305" spans="1:7" hidden="1" x14ac:dyDescent="0.25">
      <c r="A305" s="415" t="s">
        <v>1169</v>
      </c>
      <c r="B305" t="s">
        <v>1338</v>
      </c>
      <c r="D305" s="401"/>
      <c r="E305" s="401">
        <v>117581.89</v>
      </c>
      <c r="F305" s="401">
        <f t="shared" si="8"/>
        <v>117581.89</v>
      </c>
      <c r="G305" s="362">
        <f t="shared" si="9"/>
        <v>235163.78</v>
      </c>
    </row>
    <row r="306" spans="1:7" hidden="1" x14ac:dyDescent="0.25">
      <c r="A306" s="415" t="s">
        <v>792</v>
      </c>
      <c r="B306" t="s">
        <v>1115</v>
      </c>
      <c r="C306" s="362">
        <v>3873.15</v>
      </c>
      <c r="D306" s="401">
        <v>3694.14</v>
      </c>
      <c r="E306" s="401">
        <v>717632.41</v>
      </c>
      <c r="F306" s="401">
        <f t="shared" si="8"/>
        <v>721326.55</v>
      </c>
      <c r="G306" s="362">
        <f t="shared" si="9"/>
        <v>1442653.1</v>
      </c>
    </row>
    <row r="307" spans="1:7" hidden="1" x14ac:dyDescent="0.25">
      <c r="A307" s="415" t="s">
        <v>794</v>
      </c>
      <c r="B307" t="s">
        <v>1116</v>
      </c>
      <c r="C307" s="362">
        <v>19799.78</v>
      </c>
      <c r="D307" s="401">
        <v>997421.14</v>
      </c>
      <c r="E307" s="401">
        <v>7392093.9199999999</v>
      </c>
      <c r="F307" s="401">
        <f t="shared" si="8"/>
        <v>8389515.0600000005</v>
      </c>
      <c r="G307" s="362">
        <f t="shared" si="9"/>
        <v>16779030.120000001</v>
      </c>
    </row>
    <row r="308" spans="1:7" hidden="1" x14ac:dyDescent="0.25">
      <c r="A308" s="415" t="s">
        <v>796</v>
      </c>
      <c r="B308" t="s">
        <v>1117</v>
      </c>
      <c r="D308" s="401"/>
      <c r="E308" s="401">
        <v>1544072.37</v>
      </c>
      <c r="F308" s="401">
        <f t="shared" si="8"/>
        <v>1544072.37</v>
      </c>
      <c r="G308" s="362">
        <f t="shared" si="9"/>
        <v>3088144.74</v>
      </c>
    </row>
    <row r="309" spans="1:7" hidden="1" x14ac:dyDescent="0.25">
      <c r="A309" s="415" t="s">
        <v>247</v>
      </c>
      <c r="B309" t="s">
        <v>1339</v>
      </c>
      <c r="D309" s="401"/>
      <c r="E309" s="401">
        <v>251016.01</v>
      </c>
      <c r="F309" s="401">
        <f t="shared" si="8"/>
        <v>251016.01</v>
      </c>
      <c r="G309" s="362">
        <f t="shared" si="9"/>
        <v>502032.02</v>
      </c>
    </row>
    <row r="310" spans="1:7" hidden="1" x14ac:dyDescent="0.25">
      <c r="A310" s="415" t="s">
        <v>798</v>
      </c>
      <c r="B310" t="s">
        <v>1118</v>
      </c>
      <c r="D310" s="401">
        <v>72000</v>
      </c>
      <c r="E310" s="401">
        <v>355992.67</v>
      </c>
      <c r="F310" s="401">
        <f t="shared" si="8"/>
        <v>427992.67</v>
      </c>
      <c r="G310" s="362">
        <f t="shared" si="9"/>
        <v>855985.34</v>
      </c>
    </row>
    <row r="311" spans="1:7" hidden="1" x14ac:dyDescent="0.25">
      <c r="A311" s="415" t="s">
        <v>800</v>
      </c>
      <c r="B311" t="s">
        <v>1119</v>
      </c>
      <c r="D311" s="401">
        <v>138251.09</v>
      </c>
      <c r="E311" s="401">
        <v>490145.15</v>
      </c>
      <c r="F311" s="401">
        <f t="shared" si="8"/>
        <v>628396.24</v>
      </c>
      <c r="G311" s="362">
        <f t="shared" si="9"/>
        <v>1256792.48</v>
      </c>
    </row>
    <row r="312" spans="1:7" hidden="1" x14ac:dyDescent="0.25">
      <c r="A312" s="415" t="s">
        <v>802</v>
      </c>
      <c r="B312" t="s">
        <v>1149</v>
      </c>
      <c r="D312" s="401">
        <v>73984.990000000005</v>
      </c>
      <c r="E312" s="401">
        <v>178597.38</v>
      </c>
      <c r="F312" s="401">
        <f t="shared" si="8"/>
        <v>252582.37</v>
      </c>
      <c r="G312" s="362">
        <f t="shared" si="9"/>
        <v>505164.74</v>
      </c>
    </row>
    <row r="313" spans="1:7" hidden="1" x14ac:dyDescent="0.25">
      <c r="A313" s="415" t="s">
        <v>804</v>
      </c>
      <c r="B313" t="s">
        <v>1120</v>
      </c>
      <c r="D313" s="401"/>
      <c r="E313" s="401">
        <v>1507535.45</v>
      </c>
      <c r="F313" s="401">
        <f t="shared" si="8"/>
        <v>1507535.45</v>
      </c>
      <c r="G313" s="362">
        <f t="shared" si="9"/>
        <v>3015070.9</v>
      </c>
    </row>
    <row r="314" spans="1:7" hidden="1" x14ac:dyDescent="0.25">
      <c r="A314" s="415" t="s">
        <v>806</v>
      </c>
      <c r="B314" t="s">
        <v>1121</v>
      </c>
      <c r="D314" s="401"/>
      <c r="E314" s="401">
        <v>219897.42</v>
      </c>
      <c r="F314" s="401">
        <f t="shared" si="8"/>
        <v>219897.42</v>
      </c>
      <c r="G314" s="362">
        <f t="shared" si="9"/>
        <v>439794.84</v>
      </c>
    </row>
    <row r="315" spans="1:7" hidden="1" x14ac:dyDescent="0.25">
      <c r="A315" s="415" t="s">
        <v>808</v>
      </c>
      <c r="B315" t="s">
        <v>1122</v>
      </c>
      <c r="D315" s="401"/>
      <c r="E315" s="401">
        <v>79462.36</v>
      </c>
      <c r="F315" s="401">
        <f t="shared" si="8"/>
        <v>79462.36</v>
      </c>
      <c r="G315" s="362">
        <f t="shared" si="9"/>
        <v>158924.72</v>
      </c>
    </row>
    <row r="316" spans="1:7" hidden="1" x14ac:dyDescent="0.25">
      <c r="A316" s="415" t="s">
        <v>810</v>
      </c>
      <c r="B316" t="s">
        <v>1123</v>
      </c>
      <c r="C316" s="362">
        <v>11097.05</v>
      </c>
      <c r="D316" s="401">
        <v>550882.63</v>
      </c>
      <c r="E316" s="401">
        <v>4999171.68</v>
      </c>
      <c r="F316" s="401">
        <f t="shared" si="8"/>
        <v>5550054.3099999996</v>
      </c>
      <c r="G316" s="362">
        <f t="shared" si="9"/>
        <v>11100108.619999999</v>
      </c>
    </row>
    <row r="317" spans="1:7" hidden="1" x14ac:dyDescent="0.25">
      <c r="A317" s="415" t="s">
        <v>812</v>
      </c>
      <c r="B317" t="s">
        <v>1124</v>
      </c>
      <c r="D317" s="401">
        <v>5221919.3</v>
      </c>
      <c r="E317" s="401">
        <v>32066142.920000002</v>
      </c>
      <c r="F317" s="401">
        <f t="shared" si="8"/>
        <v>37288062.219999999</v>
      </c>
      <c r="G317" s="362">
        <f t="shared" si="9"/>
        <v>74576124.439999998</v>
      </c>
    </row>
    <row r="318" spans="1:7" hidden="1" x14ac:dyDescent="0.25">
      <c r="A318" s="415" t="s">
        <v>814</v>
      </c>
      <c r="B318" t="s">
        <v>1125</v>
      </c>
      <c r="C318" s="362">
        <v>76060.22</v>
      </c>
      <c r="D318" s="401">
        <v>2319000</v>
      </c>
      <c r="E318" s="401">
        <v>11829705.310000001</v>
      </c>
      <c r="F318" s="401">
        <f t="shared" si="8"/>
        <v>14148705.310000001</v>
      </c>
      <c r="G318" s="362">
        <f t="shared" si="9"/>
        <v>28297410.620000001</v>
      </c>
    </row>
    <row r="319" spans="1:7" hidden="1" x14ac:dyDescent="0.25">
      <c r="A319" s="415" t="s">
        <v>816</v>
      </c>
      <c r="B319" t="s">
        <v>1126</v>
      </c>
      <c r="D319" s="401"/>
      <c r="E319" s="401">
        <v>1696580.64</v>
      </c>
      <c r="F319" s="401">
        <f t="shared" si="8"/>
        <v>1696580.64</v>
      </c>
      <c r="G319" s="362">
        <f t="shared" si="9"/>
        <v>3393161.28</v>
      </c>
    </row>
  </sheetData>
  <autoFilter ref="A6:G319" xr:uid="{51F0C6FB-4C74-43CF-833E-670E9A021AD8}">
    <filterColumn colId="1">
      <filters>
        <filter val="Aberdeen"/>
      </filters>
    </filterColumn>
  </autoFilter>
  <sortState xmlns:xlrd2="http://schemas.microsoft.com/office/spreadsheetml/2017/richdata2" ref="A7:K319">
    <sortCondition ref="B7:B319"/>
  </sortState>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CC151-1BDF-4FE8-B659-CD7B0BCD99BF}">
  <dimension ref="A1:Y319"/>
  <sheetViews>
    <sheetView zoomScale="85" zoomScaleNormal="85" workbookViewId="0">
      <selection activeCell="F7" sqref="F7"/>
    </sheetView>
  </sheetViews>
  <sheetFormatPr defaultRowHeight="15" x14ac:dyDescent="0.25"/>
  <cols>
    <col min="1" max="1" width="27.5703125" customWidth="1"/>
    <col min="2" max="2" width="17.5703125" customWidth="1"/>
    <col min="4" max="4" width="10.85546875" customWidth="1"/>
    <col min="5" max="7" width="9.42578125" customWidth="1"/>
    <col min="8" max="18" width="10.42578125" customWidth="1"/>
    <col min="19" max="21" width="9.42578125" customWidth="1"/>
    <col min="22" max="23" width="9" customWidth="1"/>
    <col min="24" max="24" width="8.85546875" customWidth="1"/>
    <col min="25" max="25" width="11.42578125" bestFit="1" customWidth="1"/>
  </cols>
  <sheetData>
    <row r="1" spans="1:25" ht="15.75" x14ac:dyDescent="0.25">
      <c r="A1" s="1"/>
      <c r="B1" s="1"/>
      <c r="C1" s="569">
        <v>1</v>
      </c>
      <c r="D1" s="569">
        <v>2</v>
      </c>
      <c r="E1" s="569">
        <v>3</v>
      </c>
      <c r="F1" s="569">
        <v>4</v>
      </c>
      <c r="G1" s="569">
        <v>5</v>
      </c>
      <c r="H1" s="569">
        <v>6</v>
      </c>
      <c r="I1" s="569">
        <v>7</v>
      </c>
      <c r="J1" s="569">
        <v>8</v>
      </c>
      <c r="K1" s="569">
        <v>9</v>
      </c>
      <c r="L1" s="569">
        <v>10</v>
      </c>
      <c r="M1" s="569">
        <v>11</v>
      </c>
      <c r="N1" s="569">
        <v>12</v>
      </c>
      <c r="O1" s="569">
        <v>13</v>
      </c>
      <c r="P1" s="569">
        <v>14</v>
      </c>
      <c r="Q1" s="569">
        <v>15</v>
      </c>
      <c r="R1" s="569">
        <v>16</v>
      </c>
      <c r="S1" s="569">
        <v>17</v>
      </c>
      <c r="T1" s="569">
        <v>18</v>
      </c>
      <c r="U1" s="569">
        <v>19</v>
      </c>
      <c r="V1" s="569">
        <v>20</v>
      </c>
      <c r="W1" s="569">
        <v>21</v>
      </c>
      <c r="X1" s="569">
        <v>22</v>
      </c>
      <c r="Y1" s="569">
        <v>23</v>
      </c>
    </row>
    <row r="2" spans="1:25" s="2" customFormat="1" x14ac:dyDescent="0.25">
      <c r="E2" s="2" t="s">
        <v>1454</v>
      </c>
    </row>
    <row r="3" spans="1:25" s="368" customFormat="1" ht="45.75" thickBot="1" x14ac:dyDescent="0.3">
      <c r="A3" s="368" t="s">
        <v>187</v>
      </c>
      <c r="B3" s="368" t="s">
        <v>1455</v>
      </c>
      <c r="C3" s="566" t="s">
        <v>1437</v>
      </c>
      <c r="D3" s="567" t="s">
        <v>1456</v>
      </c>
      <c r="E3" s="566">
        <v>3</v>
      </c>
      <c r="F3" s="566">
        <v>4</v>
      </c>
      <c r="G3" s="566">
        <v>5</v>
      </c>
      <c r="H3" s="566">
        <v>6</v>
      </c>
      <c r="I3" s="566">
        <v>7</v>
      </c>
      <c r="J3" s="566">
        <v>8</v>
      </c>
      <c r="K3" s="566">
        <v>9</v>
      </c>
      <c r="L3" s="566">
        <v>10</v>
      </c>
      <c r="M3" s="566">
        <v>11</v>
      </c>
      <c r="N3" s="566">
        <v>12</v>
      </c>
      <c r="O3" s="566">
        <v>13</v>
      </c>
      <c r="P3" s="566">
        <v>14</v>
      </c>
      <c r="Q3" s="566">
        <v>15</v>
      </c>
      <c r="R3" s="568">
        <v>16</v>
      </c>
      <c r="S3" s="568">
        <v>17</v>
      </c>
      <c r="T3" s="568">
        <v>18</v>
      </c>
      <c r="U3" s="568">
        <v>19</v>
      </c>
      <c r="V3" s="568">
        <v>20</v>
      </c>
      <c r="W3" s="568">
        <v>21</v>
      </c>
      <c r="X3" s="566" t="s">
        <v>1457</v>
      </c>
      <c r="Y3" s="566" t="s">
        <v>1486</v>
      </c>
    </row>
    <row r="4" spans="1:25" ht="15.75" thickTop="1" x14ac:dyDescent="0.25">
      <c r="A4" t="s">
        <v>831</v>
      </c>
      <c r="C4" t="s">
        <v>188</v>
      </c>
      <c r="D4" s="560">
        <v>113</v>
      </c>
      <c r="E4">
        <v>19</v>
      </c>
      <c r="F4">
        <v>29</v>
      </c>
      <c r="G4">
        <v>41</v>
      </c>
      <c r="H4">
        <v>41</v>
      </c>
      <c r="I4">
        <v>40</v>
      </c>
      <c r="J4">
        <v>42</v>
      </c>
      <c r="K4">
        <v>51</v>
      </c>
      <c r="L4">
        <v>40</v>
      </c>
      <c r="M4">
        <v>38</v>
      </c>
      <c r="N4">
        <v>40</v>
      </c>
      <c r="O4">
        <v>44</v>
      </c>
      <c r="P4">
        <v>42</v>
      </c>
      <c r="Q4">
        <v>43</v>
      </c>
      <c r="R4">
        <v>37</v>
      </c>
      <c r="S4">
        <v>43</v>
      </c>
      <c r="T4">
        <v>15</v>
      </c>
      <c r="U4">
        <v>5</v>
      </c>
      <c r="V4">
        <v>3</v>
      </c>
      <c r="Y4">
        <f>SUM(E4:W4)</f>
        <v>613</v>
      </c>
    </row>
    <row r="5" spans="1:25" x14ac:dyDescent="0.25">
      <c r="A5" t="s">
        <v>832</v>
      </c>
      <c r="C5" t="s">
        <v>191</v>
      </c>
      <c r="D5" s="560">
        <v>113</v>
      </c>
      <c r="E5">
        <v>2</v>
      </c>
      <c r="F5">
        <v>1</v>
      </c>
      <c r="G5">
        <v>1</v>
      </c>
      <c r="H5">
        <v>6</v>
      </c>
      <c r="I5">
        <v>6</v>
      </c>
      <c r="J5">
        <v>8</v>
      </c>
      <c r="K5">
        <v>7</v>
      </c>
      <c r="L5">
        <v>6</v>
      </c>
      <c r="M5">
        <v>5</v>
      </c>
      <c r="N5">
        <v>5</v>
      </c>
      <c r="O5">
        <v>2</v>
      </c>
      <c r="P5">
        <v>7</v>
      </c>
      <c r="Q5">
        <v>4</v>
      </c>
      <c r="R5">
        <v>4</v>
      </c>
      <c r="S5">
        <v>6</v>
      </c>
      <c r="T5">
        <v>3</v>
      </c>
      <c r="Y5">
        <f t="shared" ref="Y5:Y68" si="0">SUM(E5:W5)</f>
        <v>73</v>
      </c>
    </row>
    <row r="6" spans="1:25" x14ac:dyDescent="0.25">
      <c r="A6" t="s">
        <v>1135</v>
      </c>
      <c r="C6" t="s">
        <v>193</v>
      </c>
      <c r="D6" s="560">
        <v>101</v>
      </c>
      <c r="H6">
        <v>1</v>
      </c>
      <c r="I6">
        <v>1</v>
      </c>
      <c r="J6">
        <v>1</v>
      </c>
      <c r="K6">
        <v>4</v>
      </c>
      <c r="L6">
        <v>3</v>
      </c>
      <c r="M6">
        <v>2</v>
      </c>
      <c r="N6">
        <v>2</v>
      </c>
      <c r="O6">
        <v>1</v>
      </c>
      <c r="P6">
        <v>3</v>
      </c>
      <c r="Y6">
        <f t="shared" si="0"/>
        <v>18</v>
      </c>
    </row>
    <row r="7" spans="1:25" x14ac:dyDescent="0.25">
      <c r="A7" t="s">
        <v>840</v>
      </c>
      <c r="C7" t="s">
        <v>196</v>
      </c>
      <c r="D7" s="560">
        <v>189</v>
      </c>
      <c r="E7">
        <v>6</v>
      </c>
      <c r="F7">
        <v>18</v>
      </c>
      <c r="G7">
        <v>25</v>
      </c>
      <c r="H7">
        <v>34</v>
      </c>
      <c r="I7">
        <v>37</v>
      </c>
      <c r="J7">
        <v>34</v>
      </c>
      <c r="K7">
        <v>39</v>
      </c>
      <c r="L7">
        <v>33</v>
      </c>
      <c r="M7">
        <v>24</v>
      </c>
      <c r="N7">
        <v>25</v>
      </c>
      <c r="O7">
        <v>19</v>
      </c>
      <c r="P7">
        <v>29</v>
      </c>
      <c r="Q7">
        <v>21</v>
      </c>
      <c r="R7">
        <v>24</v>
      </c>
      <c r="S7">
        <v>19</v>
      </c>
      <c r="T7">
        <v>3</v>
      </c>
      <c r="U7">
        <v>1</v>
      </c>
      <c r="V7">
        <v>3</v>
      </c>
      <c r="W7">
        <v>3</v>
      </c>
      <c r="Y7">
        <f t="shared" si="0"/>
        <v>397</v>
      </c>
    </row>
    <row r="8" spans="1:25" x14ac:dyDescent="0.25">
      <c r="A8" t="s">
        <v>841</v>
      </c>
      <c r="B8" t="s">
        <v>1133</v>
      </c>
      <c r="C8" t="s">
        <v>199</v>
      </c>
      <c r="D8" s="560">
        <v>189</v>
      </c>
      <c r="E8">
        <v>30</v>
      </c>
      <c r="F8">
        <v>36</v>
      </c>
      <c r="G8">
        <v>40</v>
      </c>
      <c r="H8">
        <v>67</v>
      </c>
      <c r="I8">
        <v>66</v>
      </c>
      <c r="J8">
        <v>68</v>
      </c>
      <c r="K8">
        <v>76</v>
      </c>
      <c r="L8">
        <v>73</v>
      </c>
      <c r="M8">
        <v>53</v>
      </c>
      <c r="N8">
        <v>64</v>
      </c>
      <c r="O8">
        <v>56</v>
      </c>
      <c r="P8">
        <v>71</v>
      </c>
      <c r="Q8">
        <v>72</v>
      </c>
      <c r="R8">
        <v>55</v>
      </c>
      <c r="S8">
        <v>51</v>
      </c>
      <c r="T8">
        <v>21</v>
      </c>
      <c r="U8">
        <v>12</v>
      </c>
      <c r="V8">
        <v>10</v>
      </c>
      <c r="W8">
        <v>1</v>
      </c>
      <c r="Y8">
        <f t="shared" si="0"/>
        <v>922</v>
      </c>
    </row>
    <row r="9" spans="1:25" x14ac:dyDescent="0.25">
      <c r="A9" t="s">
        <v>842</v>
      </c>
      <c r="C9" t="s">
        <v>201</v>
      </c>
      <c r="D9" s="560">
        <v>123</v>
      </c>
      <c r="E9">
        <v>3</v>
      </c>
      <c r="F9">
        <v>3</v>
      </c>
      <c r="G9">
        <v>4</v>
      </c>
      <c r="H9">
        <v>2</v>
      </c>
      <c r="I9">
        <v>6</v>
      </c>
      <c r="J9">
        <v>12</v>
      </c>
      <c r="K9">
        <v>8</v>
      </c>
      <c r="L9">
        <v>9</v>
      </c>
      <c r="M9">
        <v>4</v>
      </c>
      <c r="N9">
        <v>8</v>
      </c>
      <c r="O9">
        <v>6</v>
      </c>
      <c r="P9">
        <v>8</v>
      </c>
      <c r="Q9">
        <v>6</v>
      </c>
      <c r="R9">
        <v>7</v>
      </c>
      <c r="S9">
        <v>4</v>
      </c>
      <c r="T9">
        <v>2</v>
      </c>
      <c r="Y9">
        <f t="shared" si="0"/>
        <v>92</v>
      </c>
    </row>
    <row r="10" spans="1:25" x14ac:dyDescent="0.25">
      <c r="A10" t="s">
        <v>843</v>
      </c>
      <c r="C10" t="s">
        <v>204</v>
      </c>
      <c r="D10" s="560">
        <v>121</v>
      </c>
      <c r="E10">
        <v>83</v>
      </c>
      <c r="F10">
        <v>123</v>
      </c>
      <c r="G10">
        <v>121</v>
      </c>
      <c r="H10">
        <v>171</v>
      </c>
      <c r="I10">
        <v>160</v>
      </c>
      <c r="J10">
        <v>161</v>
      </c>
      <c r="K10">
        <v>184</v>
      </c>
      <c r="L10">
        <v>182</v>
      </c>
      <c r="M10">
        <v>152</v>
      </c>
      <c r="N10">
        <v>109</v>
      </c>
      <c r="O10">
        <v>118</v>
      </c>
      <c r="P10">
        <v>136</v>
      </c>
      <c r="Q10">
        <v>114</v>
      </c>
      <c r="R10">
        <v>130</v>
      </c>
      <c r="S10">
        <v>94</v>
      </c>
      <c r="T10">
        <v>54</v>
      </c>
      <c r="U10">
        <v>14</v>
      </c>
      <c r="V10">
        <v>9</v>
      </c>
      <c r="W10">
        <v>3</v>
      </c>
      <c r="Y10">
        <f t="shared" si="0"/>
        <v>2118</v>
      </c>
    </row>
    <row r="11" spans="1:25" x14ac:dyDescent="0.25">
      <c r="A11" t="s">
        <v>844</v>
      </c>
      <c r="C11" t="s">
        <v>207</v>
      </c>
      <c r="D11" s="560">
        <v>121</v>
      </c>
      <c r="E11">
        <v>2</v>
      </c>
      <c r="F11">
        <v>21</v>
      </c>
      <c r="G11">
        <v>20</v>
      </c>
      <c r="H11">
        <v>25</v>
      </c>
      <c r="I11">
        <v>34</v>
      </c>
      <c r="J11">
        <v>40</v>
      </c>
      <c r="K11">
        <v>43</v>
      </c>
      <c r="L11">
        <v>43</v>
      </c>
      <c r="M11">
        <v>43</v>
      </c>
      <c r="N11">
        <v>31</v>
      </c>
      <c r="O11">
        <v>27</v>
      </c>
      <c r="P11">
        <v>18</v>
      </c>
      <c r="Q11">
        <v>32</v>
      </c>
      <c r="R11">
        <v>29</v>
      </c>
      <c r="S11">
        <v>21</v>
      </c>
      <c r="T11">
        <v>18</v>
      </c>
      <c r="U11">
        <v>6</v>
      </c>
      <c r="V11">
        <v>5</v>
      </c>
      <c r="Y11">
        <f t="shared" si="0"/>
        <v>458</v>
      </c>
    </row>
    <row r="12" spans="1:25" x14ac:dyDescent="0.25">
      <c r="A12" t="s">
        <v>845</v>
      </c>
      <c r="C12" t="s">
        <v>209</v>
      </c>
      <c r="D12" s="560">
        <v>112</v>
      </c>
      <c r="E12">
        <v>27</v>
      </c>
      <c r="F12">
        <v>45</v>
      </c>
      <c r="G12">
        <v>75</v>
      </c>
      <c r="H12">
        <v>104</v>
      </c>
      <c r="I12">
        <v>125</v>
      </c>
      <c r="J12">
        <v>156</v>
      </c>
      <c r="K12">
        <v>116</v>
      </c>
      <c r="L12">
        <v>144</v>
      </c>
      <c r="M12">
        <v>142</v>
      </c>
      <c r="N12">
        <v>136</v>
      </c>
      <c r="O12">
        <v>127</v>
      </c>
      <c r="P12">
        <v>149</v>
      </c>
      <c r="Q12">
        <v>132</v>
      </c>
      <c r="R12">
        <v>137</v>
      </c>
      <c r="S12">
        <v>115</v>
      </c>
      <c r="T12">
        <v>39</v>
      </c>
      <c r="U12">
        <v>14</v>
      </c>
      <c r="V12">
        <v>12</v>
      </c>
      <c r="W12">
        <v>1</v>
      </c>
      <c r="Y12">
        <f t="shared" si="0"/>
        <v>1796</v>
      </c>
    </row>
    <row r="13" spans="1:25" x14ac:dyDescent="0.25">
      <c r="A13" t="s">
        <v>846</v>
      </c>
      <c r="C13" t="s">
        <v>212</v>
      </c>
      <c r="D13" s="560">
        <v>121</v>
      </c>
      <c r="E13">
        <v>58</v>
      </c>
      <c r="F13">
        <v>94</v>
      </c>
      <c r="G13">
        <v>101</v>
      </c>
      <c r="H13">
        <v>108</v>
      </c>
      <c r="I13">
        <v>121</v>
      </c>
      <c r="J13">
        <v>157</v>
      </c>
      <c r="K13">
        <v>138</v>
      </c>
      <c r="L13">
        <v>145</v>
      </c>
      <c r="M13">
        <v>157</v>
      </c>
      <c r="N13">
        <v>156</v>
      </c>
      <c r="O13">
        <v>139</v>
      </c>
      <c r="P13">
        <v>143</v>
      </c>
      <c r="Q13">
        <v>156</v>
      </c>
      <c r="R13">
        <v>162</v>
      </c>
      <c r="S13">
        <v>126</v>
      </c>
      <c r="T13">
        <v>57</v>
      </c>
      <c r="U13">
        <v>25</v>
      </c>
      <c r="V13">
        <v>19</v>
      </c>
      <c r="W13">
        <v>5</v>
      </c>
      <c r="Y13">
        <f t="shared" si="0"/>
        <v>2067</v>
      </c>
    </row>
    <row r="14" spans="1:25" x14ac:dyDescent="0.25">
      <c r="A14" t="s">
        <v>847</v>
      </c>
      <c r="C14" t="s">
        <v>214</v>
      </c>
      <c r="D14" s="560">
        <v>189</v>
      </c>
      <c r="E14">
        <v>61</v>
      </c>
      <c r="F14">
        <v>57</v>
      </c>
      <c r="G14">
        <v>79</v>
      </c>
      <c r="H14">
        <v>115</v>
      </c>
      <c r="I14">
        <v>119</v>
      </c>
      <c r="J14">
        <v>141</v>
      </c>
      <c r="K14">
        <v>162</v>
      </c>
      <c r="L14">
        <v>145</v>
      </c>
      <c r="M14">
        <v>133</v>
      </c>
      <c r="N14">
        <v>114</v>
      </c>
      <c r="O14">
        <v>146</v>
      </c>
      <c r="P14">
        <v>133</v>
      </c>
      <c r="Q14">
        <v>148</v>
      </c>
      <c r="R14">
        <v>106</v>
      </c>
      <c r="S14">
        <v>114</v>
      </c>
      <c r="T14">
        <v>53</v>
      </c>
      <c r="U14">
        <v>32</v>
      </c>
      <c r="V14">
        <v>19</v>
      </c>
      <c r="W14">
        <v>7</v>
      </c>
      <c r="Y14">
        <f t="shared" si="0"/>
        <v>1884</v>
      </c>
    </row>
    <row r="15" spans="1:25" x14ac:dyDescent="0.25">
      <c r="A15" t="s">
        <v>849</v>
      </c>
      <c r="C15" t="s">
        <v>218</v>
      </c>
      <c r="D15" s="560">
        <v>121</v>
      </c>
      <c r="E15">
        <v>113</v>
      </c>
      <c r="F15">
        <v>130</v>
      </c>
      <c r="G15">
        <v>127</v>
      </c>
      <c r="H15">
        <v>202</v>
      </c>
      <c r="I15">
        <v>219</v>
      </c>
      <c r="J15">
        <v>200</v>
      </c>
      <c r="K15">
        <v>209</v>
      </c>
      <c r="L15">
        <v>203</v>
      </c>
      <c r="M15">
        <v>205</v>
      </c>
      <c r="N15">
        <v>215</v>
      </c>
      <c r="O15">
        <v>198</v>
      </c>
      <c r="P15">
        <v>234</v>
      </c>
      <c r="Q15">
        <v>237</v>
      </c>
      <c r="R15">
        <v>197</v>
      </c>
      <c r="S15">
        <v>180</v>
      </c>
      <c r="T15">
        <v>103</v>
      </c>
      <c r="U15">
        <v>32</v>
      </c>
      <c r="V15">
        <v>22</v>
      </c>
      <c r="W15">
        <v>4</v>
      </c>
      <c r="Y15">
        <f t="shared" si="0"/>
        <v>3030</v>
      </c>
    </row>
    <row r="16" spans="1:25" x14ac:dyDescent="0.25">
      <c r="A16" t="s">
        <v>850</v>
      </c>
      <c r="C16" t="s">
        <v>220</v>
      </c>
      <c r="D16" s="560">
        <v>105</v>
      </c>
      <c r="F16">
        <v>1</v>
      </c>
      <c r="G16">
        <v>3</v>
      </c>
      <c r="H16">
        <v>1</v>
      </c>
      <c r="I16">
        <v>2</v>
      </c>
      <c r="J16">
        <v>3</v>
      </c>
      <c r="K16">
        <v>1</v>
      </c>
      <c r="N16">
        <v>1</v>
      </c>
      <c r="O16">
        <v>2</v>
      </c>
      <c r="P16">
        <v>1</v>
      </c>
      <c r="R16">
        <v>1</v>
      </c>
      <c r="Y16">
        <f t="shared" si="0"/>
        <v>16</v>
      </c>
    </row>
    <row r="17" spans="1:25" x14ac:dyDescent="0.25">
      <c r="A17" t="s">
        <v>851</v>
      </c>
      <c r="C17" t="s">
        <v>223</v>
      </c>
      <c r="D17" s="560">
        <v>189</v>
      </c>
      <c r="E17">
        <v>10</v>
      </c>
      <c r="F17">
        <v>18</v>
      </c>
      <c r="G17">
        <v>17</v>
      </c>
      <c r="H17">
        <v>27</v>
      </c>
      <c r="I17">
        <v>32</v>
      </c>
      <c r="J17">
        <v>24</v>
      </c>
      <c r="K17">
        <v>24</v>
      </c>
      <c r="L17">
        <v>27</v>
      </c>
      <c r="M17">
        <v>25</v>
      </c>
      <c r="N17">
        <v>20</v>
      </c>
      <c r="O17">
        <v>21</v>
      </c>
      <c r="P17">
        <v>25</v>
      </c>
      <c r="Q17">
        <v>19</v>
      </c>
      <c r="R17">
        <v>21</v>
      </c>
      <c r="S17">
        <v>23</v>
      </c>
      <c r="T17">
        <v>4</v>
      </c>
      <c r="U17">
        <v>2</v>
      </c>
      <c r="V17">
        <v>3</v>
      </c>
      <c r="Y17">
        <f t="shared" si="0"/>
        <v>342</v>
      </c>
    </row>
    <row r="18" spans="1:25" x14ac:dyDescent="0.25">
      <c r="A18" t="s">
        <v>852</v>
      </c>
      <c r="C18" t="s">
        <v>225</v>
      </c>
      <c r="D18" s="560">
        <v>113</v>
      </c>
      <c r="E18">
        <v>1</v>
      </c>
      <c r="F18">
        <v>2</v>
      </c>
      <c r="G18">
        <v>3</v>
      </c>
      <c r="H18">
        <v>1</v>
      </c>
      <c r="I18">
        <v>4</v>
      </c>
      <c r="K18">
        <v>3</v>
      </c>
      <c r="L18">
        <v>3</v>
      </c>
      <c r="M18">
        <v>2</v>
      </c>
      <c r="N18">
        <v>3</v>
      </c>
      <c r="O18">
        <v>5</v>
      </c>
      <c r="P18">
        <v>2</v>
      </c>
      <c r="Q18">
        <v>5</v>
      </c>
      <c r="R18">
        <v>4</v>
      </c>
      <c r="S18">
        <v>3</v>
      </c>
      <c r="T18">
        <v>1</v>
      </c>
      <c r="V18">
        <v>1</v>
      </c>
      <c r="Y18">
        <f t="shared" si="0"/>
        <v>43</v>
      </c>
    </row>
    <row r="19" spans="1:25" x14ac:dyDescent="0.25">
      <c r="A19" t="s">
        <v>853</v>
      </c>
      <c r="C19" t="s">
        <v>227</v>
      </c>
      <c r="D19" s="560">
        <v>114</v>
      </c>
      <c r="E19">
        <v>39</v>
      </c>
      <c r="F19">
        <v>37</v>
      </c>
      <c r="G19">
        <v>47</v>
      </c>
      <c r="H19">
        <v>49</v>
      </c>
      <c r="I19">
        <v>54</v>
      </c>
      <c r="J19">
        <v>62</v>
      </c>
      <c r="K19">
        <v>63</v>
      </c>
      <c r="L19">
        <v>52</v>
      </c>
      <c r="M19">
        <v>57</v>
      </c>
      <c r="N19">
        <v>50</v>
      </c>
      <c r="O19">
        <v>47</v>
      </c>
      <c r="P19">
        <v>53</v>
      </c>
      <c r="Q19">
        <v>52</v>
      </c>
      <c r="R19">
        <v>44</v>
      </c>
      <c r="S19">
        <v>58</v>
      </c>
      <c r="T19">
        <v>26</v>
      </c>
      <c r="U19">
        <v>9</v>
      </c>
      <c r="V19">
        <v>2</v>
      </c>
      <c r="Y19">
        <f t="shared" si="0"/>
        <v>801</v>
      </c>
    </row>
    <row r="20" spans="1:25" x14ac:dyDescent="0.25">
      <c r="A20" t="s">
        <v>854</v>
      </c>
      <c r="C20" t="s">
        <v>230</v>
      </c>
      <c r="D20" s="560">
        <v>171</v>
      </c>
      <c r="E20">
        <v>5</v>
      </c>
      <c r="F20">
        <v>8</v>
      </c>
      <c r="G20">
        <v>4</v>
      </c>
      <c r="H20">
        <v>9</v>
      </c>
      <c r="I20">
        <v>6</v>
      </c>
      <c r="J20">
        <v>10</v>
      </c>
      <c r="K20">
        <v>3</v>
      </c>
      <c r="L20">
        <v>8</v>
      </c>
      <c r="M20">
        <v>9</v>
      </c>
      <c r="N20">
        <v>10</v>
      </c>
      <c r="O20">
        <v>2</v>
      </c>
      <c r="P20">
        <v>13</v>
      </c>
      <c r="Q20">
        <v>6</v>
      </c>
      <c r="R20">
        <v>10</v>
      </c>
      <c r="S20">
        <v>5</v>
      </c>
      <c r="T20">
        <v>5</v>
      </c>
      <c r="U20">
        <v>3</v>
      </c>
      <c r="V20">
        <v>1</v>
      </c>
      <c r="Y20">
        <f t="shared" si="0"/>
        <v>117</v>
      </c>
    </row>
    <row r="21" spans="1:25" x14ac:dyDescent="0.25">
      <c r="A21" t="s">
        <v>855</v>
      </c>
      <c r="C21" t="s">
        <v>233</v>
      </c>
      <c r="D21" s="560">
        <v>171</v>
      </c>
      <c r="E21">
        <v>3</v>
      </c>
      <c r="F21">
        <v>6</v>
      </c>
      <c r="G21">
        <v>6</v>
      </c>
      <c r="H21">
        <v>8</v>
      </c>
      <c r="I21">
        <v>8</v>
      </c>
      <c r="J21">
        <v>5</v>
      </c>
      <c r="K21">
        <v>10</v>
      </c>
      <c r="L21">
        <v>5</v>
      </c>
      <c r="M21">
        <v>3</v>
      </c>
      <c r="N21">
        <v>3</v>
      </c>
      <c r="O21">
        <v>3</v>
      </c>
      <c r="P21">
        <v>8</v>
      </c>
      <c r="Q21">
        <v>5</v>
      </c>
      <c r="R21">
        <v>4</v>
      </c>
      <c r="S21">
        <v>6</v>
      </c>
      <c r="T21">
        <v>1</v>
      </c>
      <c r="U21">
        <v>2</v>
      </c>
      <c r="Y21">
        <f t="shared" si="0"/>
        <v>86</v>
      </c>
    </row>
    <row r="22" spans="1:25" x14ac:dyDescent="0.25">
      <c r="A22" t="s">
        <v>1136</v>
      </c>
      <c r="C22" t="s">
        <v>235</v>
      </c>
      <c r="D22" s="560">
        <v>114</v>
      </c>
      <c r="E22">
        <v>2</v>
      </c>
      <c r="H22">
        <v>1</v>
      </c>
      <c r="I22">
        <v>1</v>
      </c>
      <c r="J22">
        <v>2</v>
      </c>
      <c r="K22">
        <v>1</v>
      </c>
      <c r="O22">
        <v>1</v>
      </c>
      <c r="P22">
        <v>2</v>
      </c>
      <c r="Y22">
        <f t="shared" si="0"/>
        <v>10</v>
      </c>
    </row>
    <row r="23" spans="1:25" x14ac:dyDescent="0.25">
      <c r="A23" t="s">
        <v>857</v>
      </c>
      <c r="C23" t="s">
        <v>237</v>
      </c>
      <c r="D23" s="560">
        <v>189</v>
      </c>
      <c r="E23">
        <v>13</v>
      </c>
      <c r="F23">
        <v>19</v>
      </c>
      <c r="G23">
        <v>19</v>
      </c>
      <c r="H23">
        <v>36</v>
      </c>
      <c r="I23">
        <v>38</v>
      </c>
      <c r="J23">
        <v>45</v>
      </c>
      <c r="K23">
        <v>48</v>
      </c>
      <c r="L23">
        <v>49</v>
      </c>
      <c r="M23">
        <v>41</v>
      </c>
      <c r="N23">
        <v>35</v>
      </c>
      <c r="O23">
        <v>51</v>
      </c>
      <c r="P23">
        <v>40</v>
      </c>
      <c r="Q23">
        <v>44</v>
      </c>
      <c r="R23">
        <v>31</v>
      </c>
      <c r="S23">
        <v>32</v>
      </c>
      <c r="T23">
        <v>18</v>
      </c>
      <c r="U23">
        <v>6</v>
      </c>
      <c r="V23">
        <v>1</v>
      </c>
      <c r="Y23">
        <f t="shared" si="0"/>
        <v>566</v>
      </c>
    </row>
    <row r="24" spans="1:25" x14ac:dyDescent="0.25">
      <c r="A24" t="s">
        <v>858</v>
      </c>
      <c r="C24" t="s">
        <v>239</v>
      </c>
      <c r="D24" s="560">
        <v>112</v>
      </c>
      <c r="E24">
        <v>14</v>
      </c>
      <c r="F24">
        <v>37</v>
      </c>
      <c r="G24">
        <v>30</v>
      </c>
      <c r="H24">
        <v>49</v>
      </c>
      <c r="I24">
        <v>65</v>
      </c>
      <c r="J24">
        <v>66</v>
      </c>
      <c r="K24">
        <v>71</v>
      </c>
      <c r="L24">
        <v>96</v>
      </c>
      <c r="M24">
        <v>54</v>
      </c>
      <c r="N24">
        <v>56</v>
      </c>
      <c r="O24">
        <v>70</v>
      </c>
      <c r="P24">
        <v>64</v>
      </c>
      <c r="Q24">
        <v>72</v>
      </c>
      <c r="R24">
        <v>52</v>
      </c>
      <c r="S24">
        <v>73</v>
      </c>
      <c r="T24">
        <v>19</v>
      </c>
      <c r="U24">
        <v>7</v>
      </c>
      <c r="V24">
        <v>10</v>
      </c>
      <c r="W24">
        <v>2</v>
      </c>
      <c r="Y24">
        <f t="shared" si="0"/>
        <v>907</v>
      </c>
    </row>
    <row r="25" spans="1:25" x14ac:dyDescent="0.25">
      <c r="A25" t="s">
        <v>859</v>
      </c>
      <c r="C25" t="s">
        <v>241</v>
      </c>
      <c r="D25" s="560">
        <v>114</v>
      </c>
      <c r="F25">
        <v>1</v>
      </c>
      <c r="G25">
        <v>2</v>
      </c>
      <c r="H25">
        <v>3</v>
      </c>
      <c r="I25">
        <v>4</v>
      </c>
      <c r="J25">
        <v>4</v>
      </c>
      <c r="K25">
        <v>9</v>
      </c>
      <c r="L25">
        <v>9</v>
      </c>
      <c r="M25">
        <v>11</v>
      </c>
      <c r="N25">
        <v>5</v>
      </c>
      <c r="O25">
        <v>4</v>
      </c>
      <c r="P25">
        <v>7</v>
      </c>
      <c r="Q25">
        <v>8</v>
      </c>
      <c r="R25">
        <v>6</v>
      </c>
      <c r="S25">
        <v>3</v>
      </c>
      <c r="T25">
        <v>2</v>
      </c>
      <c r="Y25">
        <f t="shared" si="0"/>
        <v>78</v>
      </c>
    </row>
    <row r="26" spans="1:25" x14ac:dyDescent="0.25">
      <c r="A26" t="s">
        <v>1237</v>
      </c>
      <c r="C26" t="s">
        <v>243</v>
      </c>
      <c r="D26" s="560">
        <v>121</v>
      </c>
      <c r="E26">
        <v>1</v>
      </c>
      <c r="F26">
        <v>1</v>
      </c>
      <c r="G26">
        <v>1</v>
      </c>
      <c r="H26">
        <v>1</v>
      </c>
      <c r="I26">
        <v>4</v>
      </c>
      <c r="J26">
        <v>3</v>
      </c>
      <c r="K26">
        <v>1</v>
      </c>
      <c r="L26">
        <v>4</v>
      </c>
      <c r="M26">
        <v>6</v>
      </c>
      <c r="N26">
        <v>5</v>
      </c>
      <c r="O26">
        <v>2</v>
      </c>
      <c r="P26">
        <v>1</v>
      </c>
      <c r="Y26">
        <f t="shared" si="0"/>
        <v>30</v>
      </c>
    </row>
    <row r="27" spans="1:25" x14ac:dyDescent="0.25">
      <c r="A27" t="s">
        <v>861</v>
      </c>
      <c r="C27" t="s">
        <v>245</v>
      </c>
      <c r="D27" s="560">
        <v>171</v>
      </c>
      <c r="E27">
        <v>5</v>
      </c>
      <c r="F27">
        <v>6</v>
      </c>
      <c r="G27">
        <v>6</v>
      </c>
      <c r="H27">
        <v>8</v>
      </c>
      <c r="I27">
        <v>10</v>
      </c>
      <c r="J27">
        <v>16</v>
      </c>
      <c r="K27">
        <v>13</v>
      </c>
      <c r="L27">
        <v>9</v>
      </c>
      <c r="M27">
        <v>9</v>
      </c>
      <c r="N27">
        <v>10</v>
      </c>
      <c r="O27">
        <v>11</v>
      </c>
      <c r="P27">
        <v>9</v>
      </c>
      <c r="Q27">
        <v>13</v>
      </c>
      <c r="R27">
        <v>7</v>
      </c>
      <c r="S27">
        <v>4</v>
      </c>
      <c r="U27">
        <v>1</v>
      </c>
      <c r="W27">
        <v>1</v>
      </c>
      <c r="Y27">
        <f t="shared" si="0"/>
        <v>138</v>
      </c>
    </row>
    <row r="28" spans="1:25" x14ac:dyDescent="0.25">
      <c r="A28" t="s">
        <v>862</v>
      </c>
      <c r="C28" t="s">
        <v>248</v>
      </c>
      <c r="D28" s="560">
        <v>171</v>
      </c>
      <c r="E28">
        <v>5</v>
      </c>
      <c r="F28">
        <v>6</v>
      </c>
      <c r="G28">
        <v>13</v>
      </c>
      <c r="H28">
        <v>17</v>
      </c>
      <c r="I28">
        <v>11</v>
      </c>
      <c r="J28">
        <v>18</v>
      </c>
      <c r="K28">
        <v>9</v>
      </c>
      <c r="L28">
        <v>12</v>
      </c>
      <c r="M28">
        <v>11</v>
      </c>
      <c r="N28">
        <v>19</v>
      </c>
      <c r="O28">
        <v>8</v>
      </c>
      <c r="P28">
        <v>12</v>
      </c>
      <c r="Q28">
        <v>20</v>
      </c>
      <c r="R28">
        <v>12</v>
      </c>
      <c r="S28">
        <v>8</v>
      </c>
      <c r="T28">
        <v>5</v>
      </c>
      <c r="U28">
        <v>2</v>
      </c>
      <c r="Y28">
        <f t="shared" si="0"/>
        <v>188</v>
      </c>
    </row>
    <row r="29" spans="1:25" x14ac:dyDescent="0.25">
      <c r="A29" t="s">
        <v>863</v>
      </c>
      <c r="C29" t="s">
        <v>250</v>
      </c>
      <c r="D29" s="560">
        <v>112</v>
      </c>
      <c r="E29">
        <v>5</v>
      </c>
      <c r="F29">
        <v>6</v>
      </c>
      <c r="G29">
        <v>14</v>
      </c>
      <c r="H29">
        <v>13</v>
      </c>
      <c r="I29">
        <v>15</v>
      </c>
      <c r="J29">
        <v>12</v>
      </c>
      <c r="K29">
        <v>19</v>
      </c>
      <c r="L29">
        <v>14</v>
      </c>
      <c r="M29">
        <v>12</v>
      </c>
      <c r="N29">
        <v>27</v>
      </c>
      <c r="O29">
        <v>16</v>
      </c>
      <c r="P29">
        <v>15</v>
      </c>
      <c r="Q29">
        <v>22</v>
      </c>
      <c r="R29">
        <v>16</v>
      </c>
      <c r="S29">
        <v>13</v>
      </c>
      <c r="T29">
        <v>4</v>
      </c>
      <c r="U29">
        <v>1</v>
      </c>
      <c r="Y29">
        <f t="shared" si="0"/>
        <v>224</v>
      </c>
    </row>
    <row r="30" spans="1:25" x14ac:dyDescent="0.25">
      <c r="A30" t="s">
        <v>1233</v>
      </c>
      <c r="C30" t="s">
        <v>252</v>
      </c>
      <c r="D30" s="561" t="s">
        <v>228</v>
      </c>
      <c r="G30">
        <v>1</v>
      </c>
      <c r="H30">
        <v>2</v>
      </c>
      <c r="I30">
        <v>8</v>
      </c>
      <c r="J30">
        <v>7</v>
      </c>
      <c r="K30">
        <v>5</v>
      </c>
      <c r="L30">
        <v>9</v>
      </c>
      <c r="M30">
        <v>11</v>
      </c>
      <c r="N30">
        <v>10</v>
      </c>
      <c r="O30">
        <v>7</v>
      </c>
      <c r="P30">
        <v>3</v>
      </c>
      <c r="Y30">
        <f t="shared" si="0"/>
        <v>63</v>
      </c>
    </row>
    <row r="31" spans="1:25" x14ac:dyDescent="0.25">
      <c r="A31" t="s">
        <v>864</v>
      </c>
      <c r="C31" t="s">
        <v>254</v>
      </c>
      <c r="D31" s="560">
        <v>112</v>
      </c>
      <c r="G31">
        <v>1</v>
      </c>
      <c r="H31">
        <v>1</v>
      </c>
      <c r="I31">
        <v>2</v>
      </c>
      <c r="K31">
        <v>1</v>
      </c>
      <c r="M31">
        <v>2</v>
      </c>
      <c r="N31">
        <v>1</v>
      </c>
      <c r="P31">
        <v>1</v>
      </c>
      <c r="Y31">
        <f t="shared" si="0"/>
        <v>9</v>
      </c>
    </row>
    <row r="32" spans="1:25" x14ac:dyDescent="0.25">
      <c r="A32" t="s">
        <v>865</v>
      </c>
      <c r="C32" t="s">
        <v>256</v>
      </c>
      <c r="D32" s="560">
        <v>114</v>
      </c>
      <c r="E32">
        <v>40</v>
      </c>
      <c r="F32">
        <v>77</v>
      </c>
      <c r="G32">
        <v>89</v>
      </c>
      <c r="H32">
        <v>113</v>
      </c>
      <c r="I32">
        <v>142</v>
      </c>
      <c r="J32">
        <v>152</v>
      </c>
      <c r="K32">
        <v>153</v>
      </c>
      <c r="L32">
        <v>149</v>
      </c>
      <c r="M32">
        <v>136</v>
      </c>
      <c r="N32">
        <v>130</v>
      </c>
      <c r="O32">
        <v>115</v>
      </c>
      <c r="P32">
        <v>103</v>
      </c>
      <c r="Q32">
        <v>120</v>
      </c>
      <c r="R32">
        <v>117</v>
      </c>
      <c r="S32">
        <v>90</v>
      </c>
      <c r="T32">
        <v>41</v>
      </c>
      <c r="U32">
        <v>15</v>
      </c>
      <c r="V32">
        <v>14</v>
      </c>
      <c r="W32">
        <v>3</v>
      </c>
      <c r="Y32">
        <f t="shared" si="0"/>
        <v>1799</v>
      </c>
    </row>
    <row r="33" spans="1:25" x14ac:dyDescent="0.25">
      <c r="A33" t="s">
        <v>866</v>
      </c>
      <c r="C33" t="s">
        <v>258</v>
      </c>
      <c r="D33" s="560">
        <v>101</v>
      </c>
      <c r="E33">
        <v>73</v>
      </c>
      <c r="F33">
        <v>94</v>
      </c>
      <c r="G33">
        <v>109</v>
      </c>
      <c r="H33">
        <v>156</v>
      </c>
      <c r="I33">
        <v>175</v>
      </c>
      <c r="J33">
        <v>178</v>
      </c>
      <c r="K33">
        <v>189</v>
      </c>
      <c r="L33">
        <v>195</v>
      </c>
      <c r="M33">
        <v>161</v>
      </c>
      <c r="N33">
        <v>157</v>
      </c>
      <c r="O33">
        <v>163</v>
      </c>
      <c r="P33">
        <v>157</v>
      </c>
      <c r="Q33">
        <v>137</v>
      </c>
      <c r="R33">
        <v>143</v>
      </c>
      <c r="S33">
        <v>151</v>
      </c>
      <c r="T33">
        <v>54</v>
      </c>
      <c r="U33">
        <v>17</v>
      </c>
      <c r="V33">
        <v>11</v>
      </c>
      <c r="Y33">
        <f t="shared" si="0"/>
        <v>2320</v>
      </c>
    </row>
    <row r="34" spans="1:25" x14ac:dyDescent="0.25">
      <c r="A34" t="s">
        <v>867</v>
      </c>
      <c r="B34" t="s">
        <v>1133</v>
      </c>
      <c r="C34" t="s">
        <v>260</v>
      </c>
      <c r="D34" s="560">
        <v>113</v>
      </c>
      <c r="E34">
        <v>17</v>
      </c>
      <c r="F34">
        <v>17</v>
      </c>
      <c r="G34">
        <v>23</v>
      </c>
      <c r="H34">
        <v>49</v>
      </c>
      <c r="I34">
        <v>55</v>
      </c>
      <c r="J34">
        <v>47</v>
      </c>
      <c r="K34">
        <v>39</v>
      </c>
      <c r="L34">
        <v>47</v>
      </c>
      <c r="M34">
        <v>48</v>
      </c>
      <c r="N34">
        <v>47</v>
      </c>
      <c r="O34">
        <v>42</v>
      </c>
      <c r="P34">
        <v>25</v>
      </c>
      <c r="Q34">
        <v>26</v>
      </c>
      <c r="R34">
        <v>39</v>
      </c>
      <c r="S34">
        <v>33</v>
      </c>
      <c r="T34">
        <v>6</v>
      </c>
      <c r="U34">
        <v>2</v>
      </c>
      <c r="Y34">
        <f t="shared" si="0"/>
        <v>562</v>
      </c>
    </row>
    <row r="35" spans="1:25" x14ac:dyDescent="0.25">
      <c r="A35" t="s">
        <v>868</v>
      </c>
      <c r="B35" t="s">
        <v>1133</v>
      </c>
      <c r="C35" t="s">
        <v>262</v>
      </c>
      <c r="D35" s="560">
        <v>113</v>
      </c>
      <c r="E35">
        <v>9</v>
      </c>
      <c r="F35">
        <v>11</v>
      </c>
      <c r="G35">
        <v>19</v>
      </c>
      <c r="H35">
        <v>26</v>
      </c>
      <c r="I35">
        <v>33</v>
      </c>
      <c r="J35">
        <v>42</v>
      </c>
      <c r="K35">
        <v>32</v>
      </c>
      <c r="L35">
        <v>28</v>
      </c>
      <c r="M35">
        <v>32</v>
      </c>
      <c r="N35">
        <v>21</v>
      </c>
      <c r="O35">
        <v>39</v>
      </c>
      <c r="P35">
        <v>29</v>
      </c>
      <c r="Q35">
        <v>21</v>
      </c>
      <c r="R35">
        <v>40</v>
      </c>
      <c r="S35">
        <v>37</v>
      </c>
      <c r="T35">
        <v>30</v>
      </c>
      <c r="U35">
        <v>21</v>
      </c>
      <c r="V35">
        <v>12</v>
      </c>
      <c r="W35">
        <v>1</v>
      </c>
      <c r="Y35">
        <f t="shared" si="0"/>
        <v>483</v>
      </c>
    </row>
    <row r="36" spans="1:25" x14ac:dyDescent="0.25">
      <c r="A36" t="s">
        <v>869</v>
      </c>
      <c r="B36" t="s">
        <v>1133</v>
      </c>
      <c r="C36" t="s">
        <v>264</v>
      </c>
      <c r="D36" s="560">
        <v>101</v>
      </c>
      <c r="E36">
        <v>23</v>
      </c>
      <c r="F36">
        <v>46</v>
      </c>
      <c r="G36">
        <v>42</v>
      </c>
      <c r="H36">
        <v>63</v>
      </c>
      <c r="I36">
        <v>85</v>
      </c>
      <c r="J36">
        <v>74</v>
      </c>
      <c r="K36">
        <v>73</v>
      </c>
      <c r="L36">
        <v>82</v>
      </c>
      <c r="M36">
        <v>68</v>
      </c>
      <c r="N36">
        <v>58</v>
      </c>
      <c r="O36">
        <v>51</v>
      </c>
      <c r="P36">
        <v>55</v>
      </c>
      <c r="Q36">
        <v>61</v>
      </c>
      <c r="R36">
        <v>42</v>
      </c>
      <c r="S36">
        <v>45</v>
      </c>
      <c r="T36">
        <v>17</v>
      </c>
      <c r="U36">
        <v>6</v>
      </c>
      <c r="V36">
        <v>5</v>
      </c>
      <c r="Y36">
        <f t="shared" si="0"/>
        <v>896</v>
      </c>
    </row>
    <row r="37" spans="1:25" x14ac:dyDescent="0.25">
      <c r="A37" t="s">
        <v>870</v>
      </c>
      <c r="C37" t="s">
        <v>266</v>
      </c>
      <c r="D37" s="560">
        <v>101</v>
      </c>
      <c r="F37">
        <v>2</v>
      </c>
      <c r="G37">
        <v>4</v>
      </c>
      <c r="H37">
        <v>5</v>
      </c>
      <c r="I37">
        <v>10</v>
      </c>
      <c r="J37">
        <v>8</v>
      </c>
      <c r="K37">
        <v>14</v>
      </c>
      <c r="L37">
        <v>12</v>
      </c>
      <c r="M37">
        <v>11</v>
      </c>
      <c r="N37">
        <v>15</v>
      </c>
      <c r="O37">
        <v>12</v>
      </c>
      <c r="P37">
        <v>7</v>
      </c>
      <c r="Q37">
        <v>8</v>
      </c>
      <c r="R37">
        <v>9</v>
      </c>
      <c r="S37">
        <v>7</v>
      </c>
      <c r="T37">
        <v>5</v>
      </c>
      <c r="U37">
        <v>2</v>
      </c>
      <c r="V37">
        <v>1</v>
      </c>
      <c r="Y37">
        <f t="shared" si="0"/>
        <v>132</v>
      </c>
    </row>
    <row r="38" spans="1:25" x14ac:dyDescent="0.25">
      <c r="A38" t="s">
        <v>871</v>
      </c>
      <c r="C38" t="s">
        <v>268</v>
      </c>
      <c r="D38" s="560">
        <v>114</v>
      </c>
      <c r="E38">
        <v>3</v>
      </c>
      <c r="F38">
        <v>8</v>
      </c>
      <c r="G38">
        <v>6</v>
      </c>
      <c r="H38">
        <v>7</v>
      </c>
      <c r="I38">
        <v>12</v>
      </c>
      <c r="J38">
        <v>7</v>
      </c>
      <c r="K38">
        <v>12</v>
      </c>
      <c r="L38">
        <v>6</v>
      </c>
      <c r="M38">
        <v>8</v>
      </c>
      <c r="N38">
        <v>13</v>
      </c>
      <c r="O38">
        <v>3</v>
      </c>
      <c r="P38">
        <v>9</v>
      </c>
      <c r="Q38">
        <v>8</v>
      </c>
      <c r="R38">
        <v>9</v>
      </c>
      <c r="S38">
        <v>6</v>
      </c>
      <c r="T38">
        <v>4</v>
      </c>
      <c r="V38">
        <v>1</v>
      </c>
      <c r="Y38">
        <f t="shared" si="0"/>
        <v>122</v>
      </c>
    </row>
    <row r="39" spans="1:25" x14ac:dyDescent="0.25">
      <c r="A39" t="s">
        <v>872</v>
      </c>
      <c r="C39" t="s">
        <v>270</v>
      </c>
      <c r="D39" s="560">
        <v>123</v>
      </c>
      <c r="E39">
        <v>17</v>
      </c>
      <c r="F39">
        <v>28</v>
      </c>
      <c r="G39">
        <v>16</v>
      </c>
      <c r="H39">
        <v>21</v>
      </c>
      <c r="I39">
        <v>30</v>
      </c>
      <c r="J39">
        <v>37</v>
      </c>
      <c r="K39">
        <v>44</v>
      </c>
      <c r="L39">
        <v>44</v>
      </c>
      <c r="M39">
        <v>47</v>
      </c>
      <c r="N39">
        <v>27</v>
      </c>
      <c r="O39">
        <v>40</v>
      </c>
      <c r="P39">
        <v>28</v>
      </c>
      <c r="Q39">
        <v>30</v>
      </c>
      <c r="R39">
        <v>23</v>
      </c>
      <c r="S39">
        <v>35</v>
      </c>
      <c r="T39">
        <v>15</v>
      </c>
      <c r="U39">
        <v>4</v>
      </c>
      <c r="V39">
        <v>3</v>
      </c>
      <c r="Y39">
        <f t="shared" si="0"/>
        <v>489</v>
      </c>
    </row>
    <row r="40" spans="1:25" x14ac:dyDescent="0.25">
      <c r="A40" t="s">
        <v>873</v>
      </c>
      <c r="C40" t="s">
        <v>272</v>
      </c>
      <c r="D40" s="560">
        <v>105</v>
      </c>
      <c r="E40">
        <v>9</v>
      </c>
      <c r="F40">
        <v>14</v>
      </c>
      <c r="G40">
        <v>9</v>
      </c>
      <c r="H40">
        <v>7</v>
      </c>
      <c r="I40">
        <v>8</v>
      </c>
      <c r="J40">
        <v>8</v>
      </c>
      <c r="K40">
        <v>6</v>
      </c>
      <c r="L40">
        <v>9</v>
      </c>
      <c r="M40">
        <v>10</v>
      </c>
      <c r="N40">
        <v>12</v>
      </c>
      <c r="O40">
        <v>9</v>
      </c>
      <c r="P40">
        <v>11</v>
      </c>
      <c r="Q40">
        <v>9</v>
      </c>
      <c r="R40">
        <v>9</v>
      </c>
      <c r="S40">
        <v>8</v>
      </c>
      <c r="T40">
        <v>3</v>
      </c>
      <c r="Y40">
        <f t="shared" si="0"/>
        <v>141</v>
      </c>
    </row>
    <row r="41" spans="1:25" x14ac:dyDescent="0.25">
      <c r="A41" t="s">
        <v>874</v>
      </c>
      <c r="C41" t="s">
        <v>274</v>
      </c>
      <c r="D41" s="560">
        <v>121</v>
      </c>
      <c r="E41">
        <v>75</v>
      </c>
      <c r="F41">
        <v>111</v>
      </c>
      <c r="G41">
        <v>139</v>
      </c>
      <c r="H41">
        <v>189</v>
      </c>
      <c r="I41">
        <v>179</v>
      </c>
      <c r="J41">
        <v>182</v>
      </c>
      <c r="K41">
        <v>182</v>
      </c>
      <c r="L41">
        <v>161</v>
      </c>
      <c r="M41">
        <v>168</v>
      </c>
      <c r="N41">
        <v>129</v>
      </c>
      <c r="O41">
        <v>141</v>
      </c>
      <c r="P41">
        <v>115</v>
      </c>
      <c r="Q41">
        <v>117</v>
      </c>
      <c r="R41">
        <v>115</v>
      </c>
      <c r="S41">
        <v>109</v>
      </c>
      <c r="T41">
        <v>46</v>
      </c>
      <c r="U41">
        <v>10</v>
      </c>
      <c r="V41">
        <v>4</v>
      </c>
      <c r="W41">
        <v>2</v>
      </c>
      <c r="Y41">
        <f t="shared" si="0"/>
        <v>2174</v>
      </c>
    </row>
    <row r="42" spans="1:25" x14ac:dyDescent="0.25">
      <c r="A42" t="s">
        <v>875</v>
      </c>
      <c r="C42" t="s">
        <v>276</v>
      </c>
      <c r="D42" s="560">
        <v>101</v>
      </c>
      <c r="F42">
        <v>1</v>
      </c>
      <c r="G42">
        <v>3</v>
      </c>
      <c r="H42">
        <v>5</v>
      </c>
      <c r="I42">
        <v>4</v>
      </c>
      <c r="J42">
        <v>4</v>
      </c>
      <c r="K42">
        <v>9</v>
      </c>
      <c r="L42">
        <v>5</v>
      </c>
      <c r="M42">
        <v>4</v>
      </c>
      <c r="N42">
        <v>6</v>
      </c>
      <c r="O42">
        <v>3</v>
      </c>
      <c r="P42">
        <v>5</v>
      </c>
      <c r="Q42">
        <v>6</v>
      </c>
      <c r="R42">
        <v>5</v>
      </c>
      <c r="S42">
        <v>2</v>
      </c>
      <c r="T42">
        <v>4</v>
      </c>
      <c r="U42">
        <v>1</v>
      </c>
      <c r="W42">
        <v>1</v>
      </c>
      <c r="Y42">
        <f t="shared" si="0"/>
        <v>68</v>
      </c>
    </row>
    <row r="43" spans="1:25" x14ac:dyDescent="0.25">
      <c r="A43" t="s">
        <v>876</v>
      </c>
      <c r="C43" t="s">
        <v>278</v>
      </c>
      <c r="D43" s="560">
        <v>123</v>
      </c>
      <c r="E43">
        <v>9</v>
      </c>
      <c r="F43">
        <v>8</v>
      </c>
      <c r="G43">
        <v>14</v>
      </c>
      <c r="H43">
        <v>15</v>
      </c>
      <c r="I43">
        <v>23</v>
      </c>
      <c r="J43">
        <v>25</v>
      </c>
      <c r="K43">
        <v>33</v>
      </c>
      <c r="L43">
        <v>15</v>
      </c>
      <c r="M43">
        <v>16</v>
      </c>
      <c r="N43">
        <v>15</v>
      </c>
      <c r="O43">
        <v>15</v>
      </c>
      <c r="P43">
        <v>10</v>
      </c>
      <c r="Q43">
        <v>16</v>
      </c>
      <c r="R43">
        <v>14</v>
      </c>
      <c r="S43">
        <v>13</v>
      </c>
      <c r="T43">
        <v>4</v>
      </c>
      <c r="U43">
        <v>2</v>
      </c>
      <c r="V43">
        <v>2</v>
      </c>
      <c r="Y43">
        <f t="shared" si="0"/>
        <v>249</v>
      </c>
    </row>
    <row r="44" spans="1:25" x14ac:dyDescent="0.25">
      <c r="A44" t="s">
        <v>877</v>
      </c>
      <c r="C44" t="s">
        <v>280</v>
      </c>
      <c r="D44" s="560">
        <v>101</v>
      </c>
      <c r="E44">
        <v>1</v>
      </c>
      <c r="F44">
        <v>1</v>
      </c>
      <c r="G44">
        <v>1</v>
      </c>
      <c r="H44">
        <v>3</v>
      </c>
      <c r="I44">
        <v>1</v>
      </c>
      <c r="K44">
        <v>2</v>
      </c>
      <c r="L44">
        <v>4</v>
      </c>
      <c r="M44">
        <v>4</v>
      </c>
      <c r="N44">
        <v>2</v>
      </c>
      <c r="O44">
        <v>1</v>
      </c>
      <c r="P44">
        <v>2</v>
      </c>
      <c r="Q44">
        <v>2</v>
      </c>
      <c r="R44">
        <v>4</v>
      </c>
      <c r="Y44">
        <f t="shared" si="0"/>
        <v>28</v>
      </c>
    </row>
    <row r="45" spans="1:25" x14ac:dyDescent="0.25">
      <c r="A45" t="s">
        <v>1458</v>
      </c>
      <c r="C45" t="s">
        <v>282</v>
      </c>
      <c r="D45" s="560">
        <v>101</v>
      </c>
      <c r="G45">
        <v>3</v>
      </c>
      <c r="H45">
        <v>2</v>
      </c>
      <c r="I45">
        <v>1</v>
      </c>
      <c r="J45">
        <v>1</v>
      </c>
      <c r="K45">
        <v>3</v>
      </c>
      <c r="M45">
        <v>1</v>
      </c>
      <c r="N45">
        <v>2</v>
      </c>
      <c r="P45">
        <v>1</v>
      </c>
      <c r="Q45">
        <v>3</v>
      </c>
      <c r="R45">
        <v>1</v>
      </c>
      <c r="S45">
        <v>4</v>
      </c>
      <c r="Y45">
        <f t="shared" si="0"/>
        <v>22</v>
      </c>
    </row>
    <row r="46" spans="1:25" x14ac:dyDescent="0.25">
      <c r="A46" t="s">
        <v>1459</v>
      </c>
      <c r="C46" t="s">
        <v>284</v>
      </c>
      <c r="D46" s="560">
        <v>123</v>
      </c>
      <c r="E46">
        <v>3</v>
      </c>
      <c r="F46">
        <v>5</v>
      </c>
      <c r="G46">
        <v>5</v>
      </c>
      <c r="H46">
        <v>8</v>
      </c>
      <c r="I46">
        <v>11</v>
      </c>
      <c r="J46">
        <v>11</v>
      </c>
      <c r="K46">
        <v>7</v>
      </c>
      <c r="L46">
        <v>12</v>
      </c>
      <c r="M46">
        <v>5</v>
      </c>
      <c r="N46">
        <v>7</v>
      </c>
      <c r="O46">
        <v>13</v>
      </c>
      <c r="P46">
        <v>9</v>
      </c>
      <c r="Q46">
        <v>6</v>
      </c>
      <c r="R46">
        <v>4</v>
      </c>
      <c r="S46">
        <v>7</v>
      </c>
      <c r="T46">
        <v>4</v>
      </c>
      <c r="U46">
        <v>1</v>
      </c>
      <c r="Y46">
        <f t="shared" si="0"/>
        <v>118</v>
      </c>
    </row>
    <row r="47" spans="1:25" x14ac:dyDescent="0.25">
      <c r="A47" t="s">
        <v>1137</v>
      </c>
      <c r="B47" t="s">
        <v>1133</v>
      </c>
      <c r="C47" t="s">
        <v>286</v>
      </c>
      <c r="D47" s="560">
        <v>101</v>
      </c>
      <c r="E47">
        <v>16</v>
      </c>
      <c r="F47">
        <v>16</v>
      </c>
      <c r="G47">
        <v>24</v>
      </c>
      <c r="H47">
        <v>20</v>
      </c>
      <c r="I47">
        <v>24</v>
      </c>
      <c r="J47">
        <v>27</v>
      </c>
      <c r="K47">
        <v>31</v>
      </c>
      <c r="L47">
        <v>26</v>
      </c>
      <c r="M47">
        <v>28</v>
      </c>
      <c r="N47">
        <v>19</v>
      </c>
      <c r="O47">
        <v>25</v>
      </c>
      <c r="P47">
        <v>20</v>
      </c>
      <c r="Q47">
        <v>19</v>
      </c>
      <c r="R47">
        <v>10</v>
      </c>
      <c r="S47">
        <v>8</v>
      </c>
      <c r="T47">
        <v>7</v>
      </c>
      <c r="Y47">
        <f t="shared" si="0"/>
        <v>320</v>
      </c>
    </row>
    <row r="48" spans="1:25" x14ac:dyDescent="0.25">
      <c r="A48" t="s">
        <v>881</v>
      </c>
      <c r="C48" t="s">
        <v>288</v>
      </c>
      <c r="D48" s="560">
        <v>189</v>
      </c>
      <c r="E48">
        <v>1</v>
      </c>
      <c r="F48">
        <v>1</v>
      </c>
      <c r="G48">
        <v>4</v>
      </c>
      <c r="H48">
        <v>6</v>
      </c>
      <c r="I48">
        <v>7</v>
      </c>
      <c r="J48">
        <v>7</v>
      </c>
      <c r="K48">
        <v>7</v>
      </c>
      <c r="L48">
        <v>3</v>
      </c>
      <c r="M48">
        <v>10</v>
      </c>
      <c r="N48">
        <v>10</v>
      </c>
      <c r="O48">
        <v>6</v>
      </c>
      <c r="P48">
        <v>10</v>
      </c>
      <c r="Q48">
        <v>8</v>
      </c>
      <c r="R48">
        <v>5</v>
      </c>
      <c r="S48">
        <v>3</v>
      </c>
      <c r="T48">
        <v>1</v>
      </c>
      <c r="U48">
        <v>1</v>
      </c>
      <c r="Y48">
        <f t="shared" si="0"/>
        <v>90</v>
      </c>
    </row>
    <row r="49" spans="1:25" x14ac:dyDescent="0.25">
      <c r="A49" t="s">
        <v>882</v>
      </c>
      <c r="C49" t="s">
        <v>290</v>
      </c>
      <c r="D49" s="560">
        <v>189</v>
      </c>
      <c r="E49">
        <v>2</v>
      </c>
      <c r="F49">
        <v>2</v>
      </c>
      <c r="G49">
        <v>3</v>
      </c>
      <c r="H49">
        <v>3</v>
      </c>
      <c r="I49">
        <v>5</v>
      </c>
      <c r="J49">
        <v>4</v>
      </c>
      <c r="K49">
        <v>5</v>
      </c>
      <c r="L49">
        <v>2</v>
      </c>
      <c r="M49">
        <v>5</v>
      </c>
      <c r="N49">
        <v>4</v>
      </c>
      <c r="O49">
        <v>2</v>
      </c>
      <c r="P49">
        <v>2</v>
      </c>
      <c r="Y49">
        <f t="shared" si="0"/>
        <v>39</v>
      </c>
    </row>
    <row r="50" spans="1:25" x14ac:dyDescent="0.25">
      <c r="A50" t="s">
        <v>883</v>
      </c>
      <c r="C50" t="s">
        <v>292</v>
      </c>
      <c r="D50" s="560">
        <v>113</v>
      </c>
      <c r="F50">
        <v>2</v>
      </c>
      <c r="G50">
        <v>3</v>
      </c>
      <c r="I50">
        <v>5</v>
      </c>
      <c r="J50">
        <v>3</v>
      </c>
      <c r="K50">
        <v>3</v>
      </c>
      <c r="L50">
        <v>2</v>
      </c>
      <c r="M50">
        <v>1</v>
      </c>
      <c r="Y50">
        <f t="shared" si="0"/>
        <v>19</v>
      </c>
    </row>
    <row r="51" spans="1:25" x14ac:dyDescent="0.25">
      <c r="A51" t="s">
        <v>1228</v>
      </c>
      <c r="C51" t="s">
        <v>294</v>
      </c>
      <c r="D51" s="560">
        <v>171</v>
      </c>
      <c r="F51">
        <v>3</v>
      </c>
      <c r="H51">
        <v>2</v>
      </c>
      <c r="I51">
        <v>2</v>
      </c>
      <c r="J51">
        <v>1</v>
      </c>
      <c r="L51">
        <v>3</v>
      </c>
      <c r="M51">
        <v>1</v>
      </c>
      <c r="P51">
        <v>2</v>
      </c>
      <c r="Q51">
        <v>4</v>
      </c>
      <c r="R51">
        <v>2</v>
      </c>
      <c r="S51">
        <v>2</v>
      </c>
      <c r="T51">
        <v>2</v>
      </c>
      <c r="Y51">
        <f t="shared" si="0"/>
        <v>24</v>
      </c>
    </row>
    <row r="52" spans="1:25" x14ac:dyDescent="0.25">
      <c r="A52" t="s">
        <v>885</v>
      </c>
      <c r="C52" t="s">
        <v>296</v>
      </c>
      <c r="D52" s="560">
        <v>189</v>
      </c>
      <c r="E52">
        <v>5</v>
      </c>
      <c r="F52">
        <v>5</v>
      </c>
      <c r="G52">
        <v>9</v>
      </c>
      <c r="H52">
        <v>13</v>
      </c>
      <c r="I52">
        <v>13</v>
      </c>
      <c r="J52">
        <v>10</v>
      </c>
      <c r="K52">
        <v>17</v>
      </c>
      <c r="L52">
        <v>11</v>
      </c>
      <c r="M52">
        <v>11</v>
      </c>
      <c r="N52">
        <v>4</v>
      </c>
      <c r="O52">
        <v>11</v>
      </c>
      <c r="P52">
        <v>16</v>
      </c>
      <c r="Q52">
        <v>9</v>
      </c>
      <c r="R52">
        <v>10</v>
      </c>
      <c r="S52">
        <v>16</v>
      </c>
      <c r="T52">
        <v>11</v>
      </c>
      <c r="U52">
        <v>2</v>
      </c>
      <c r="V52">
        <v>3</v>
      </c>
      <c r="Y52">
        <f t="shared" si="0"/>
        <v>176</v>
      </c>
    </row>
    <row r="53" spans="1:25" x14ac:dyDescent="0.25">
      <c r="A53" t="s">
        <v>886</v>
      </c>
      <c r="C53" t="s">
        <v>298</v>
      </c>
      <c r="D53" s="560">
        <v>114</v>
      </c>
      <c r="H53">
        <v>1</v>
      </c>
      <c r="I53">
        <v>5</v>
      </c>
      <c r="J53">
        <v>4</v>
      </c>
      <c r="K53">
        <v>4</v>
      </c>
      <c r="L53">
        <v>4</v>
      </c>
      <c r="M53">
        <v>4</v>
      </c>
      <c r="N53">
        <v>1</v>
      </c>
      <c r="O53">
        <v>1</v>
      </c>
      <c r="P53">
        <v>2</v>
      </c>
      <c r="Q53">
        <v>1</v>
      </c>
      <c r="R53">
        <v>2</v>
      </c>
      <c r="S53">
        <v>4</v>
      </c>
      <c r="T53">
        <v>1</v>
      </c>
      <c r="Y53">
        <f t="shared" si="0"/>
        <v>34</v>
      </c>
    </row>
    <row r="54" spans="1:25" x14ac:dyDescent="0.25">
      <c r="A54" t="s">
        <v>887</v>
      </c>
      <c r="C54" t="s">
        <v>300</v>
      </c>
      <c r="D54" s="560">
        <v>101</v>
      </c>
      <c r="G54">
        <v>2</v>
      </c>
      <c r="H54">
        <v>1</v>
      </c>
      <c r="J54">
        <v>4</v>
      </c>
      <c r="L54">
        <v>2</v>
      </c>
      <c r="M54">
        <v>1</v>
      </c>
      <c r="N54">
        <v>3</v>
      </c>
      <c r="O54">
        <v>2</v>
      </c>
      <c r="R54">
        <v>1</v>
      </c>
      <c r="S54">
        <v>2</v>
      </c>
      <c r="T54">
        <v>1</v>
      </c>
      <c r="Y54">
        <f t="shared" si="0"/>
        <v>19</v>
      </c>
    </row>
    <row r="55" spans="1:25" x14ac:dyDescent="0.25">
      <c r="A55" t="s">
        <v>888</v>
      </c>
      <c r="C55" t="s">
        <v>302</v>
      </c>
      <c r="D55" s="560">
        <v>101</v>
      </c>
      <c r="G55">
        <v>1</v>
      </c>
      <c r="I55">
        <v>2</v>
      </c>
      <c r="J55">
        <v>4</v>
      </c>
      <c r="K55">
        <v>1</v>
      </c>
      <c r="L55">
        <v>2</v>
      </c>
      <c r="N55">
        <v>6</v>
      </c>
      <c r="O55">
        <v>1</v>
      </c>
      <c r="P55">
        <v>3</v>
      </c>
      <c r="Q55">
        <v>4</v>
      </c>
      <c r="R55">
        <v>4</v>
      </c>
      <c r="S55">
        <v>3</v>
      </c>
      <c r="U55">
        <v>2</v>
      </c>
      <c r="V55">
        <v>2</v>
      </c>
      <c r="Y55">
        <f t="shared" si="0"/>
        <v>35</v>
      </c>
    </row>
    <row r="56" spans="1:25" x14ac:dyDescent="0.25">
      <c r="A56" t="s">
        <v>889</v>
      </c>
      <c r="C56" t="s">
        <v>304</v>
      </c>
      <c r="D56" s="560">
        <v>101</v>
      </c>
      <c r="E56">
        <v>4</v>
      </c>
      <c r="F56">
        <v>2</v>
      </c>
      <c r="G56">
        <v>3</v>
      </c>
      <c r="H56">
        <v>3</v>
      </c>
      <c r="I56">
        <v>5</v>
      </c>
      <c r="J56">
        <v>4</v>
      </c>
      <c r="K56">
        <v>3</v>
      </c>
      <c r="L56">
        <v>4</v>
      </c>
      <c r="M56">
        <v>3</v>
      </c>
      <c r="N56">
        <v>5</v>
      </c>
      <c r="O56">
        <v>2</v>
      </c>
      <c r="P56">
        <v>2</v>
      </c>
      <c r="Q56">
        <v>5</v>
      </c>
      <c r="R56">
        <v>3</v>
      </c>
      <c r="S56">
        <v>2</v>
      </c>
      <c r="T56">
        <v>1</v>
      </c>
      <c r="Y56">
        <f t="shared" si="0"/>
        <v>51</v>
      </c>
    </row>
    <row r="57" spans="1:25" x14ac:dyDescent="0.25">
      <c r="A57" t="s">
        <v>1138</v>
      </c>
      <c r="C57" t="s">
        <v>306</v>
      </c>
      <c r="D57" s="560">
        <v>105</v>
      </c>
      <c r="I57">
        <v>1</v>
      </c>
      <c r="J57">
        <v>2</v>
      </c>
      <c r="K57">
        <v>1</v>
      </c>
      <c r="L57">
        <v>3</v>
      </c>
      <c r="M57">
        <v>1</v>
      </c>
      <c r="Y57">
        <f t="shared" si="0"/>
        <v>8</v>
      </c>
    </row>
    <row r="58" spans="1:25" x14ac:dyDescent="0.25">
      <c r="A58" t="s">
        <v>892</v>
      </c>
      <c r="C58" t="s">
        <v>308</v>
      </c>
      <c r="D58" s="560">
        <v>189</v>
      </c>
      <c r="E58">
        <v>1</v>
      </c>
      <c r="F58">
        <v>1</v>
      </c>
      <c r="G58">
        <v>3</v>
      </c>
      <c r="H58">
        <v>3</v>
      </c>
      <c r="I58">
        <v>6</v>
      </c>
      <c r="J58">
        <v>3</v>
      </c>
      <c r="K58">
        <v>8</v>
      </c>
      <c r="L58">
        <v>7</v>
      </c>
      <c r="M58">
        <v>6</v>
      </c>
      <c r="N58">
        <v>5</v>
      </c>
      <c r="O58">
        <v>11</v>
      </c>
      <c r="P58">
        <v>5</v>
      </c>
      <c r="Q58">
        <v>8</v>
      </c>
      <c r="R58">
        <v>5</v>
      </c>
      <c r="S58">
        <v>7</v>
      </c>
      <c r="T58">
        <v>1</v>
      </c>
      <c r="Y58">
        <f t="shared" si="0"/>
        <v>80</v>
      </c>
    </row>
    <row r="59" spans="1:25" x14ac:dyDescent="0.25">
      <c r="A59" t="s">
        <v>893</v>
      </c>
      <c r="C59" t="s">
        <v>310</v>
      </c>
      <c r="D59" s="560">
        <v>101</v>
      </c>
      <c r="E59">
        <v>1</v>
      </c>
      <c r="F59">
        <v>2</v>
      </c>
      <c r="G59">
        <v>5</v>
      </c>
      <c r="H59">
        <v>5</v>
      </c>
      <c r="I59">
        <v>13</v>
      </c>
      <c r="J59">
        <v>4</v>
      </c>
      <c r="K59">
        <v>8</v>
      </c>
      <c r="L59">
        <v>10</v>
      </c>
      <c r="M59">
        <v>6</v>
      </c>
      <c r="N59">
        <v>6</v>
      </c>
      <c r="O59">
        <v>8</v>
      </c>
      <c r="P59">
        <v>6</v>
      </c>
      <c r="Q59">
        <v>4</v>
      </c>
      <c r="R59">
        <v>5</v>
      </c>
      <c r="S59">
        <v>3</v>
      </c>
      <c r="U59">
        <v>1</v>
      </c>
      <c r="Y59">
        <f t="shared" si="0"/>
        <v>87</v>
      </c>
    </row>
    <row r="60" spans="1:25" x14ac:dyDescent="0.25">
      <c r="A60" t="s">
        <v>894</v>
      </c>
      <c r="C60" t="s">
        <v>312</v>
      </c>
      <c r="D60" s="560">
        <v>123</v>
      </c>
      <c r="F60">
        <v>2</v>
      </c>
      <c r="G60">
        <v>1</v>
      </c>
      <c r="H60">
        <v>4</v>
      </c>
      <c r="I60">
        <v>5</v>
      </c>
      <c r="J60">
        <v>6</v>
      </c>
      <c r="K60">
        <v>5</v>
      </c>
      <c r="L60">
        <v>5</v>
      </c>
      <c r="M60">
        <v>3</v>
      </c>
      <c r="N60">
        <v>5</v>
      </c>
      <c r="O60">
        <v>3</v>
      </c>
      <c r="P60">
        <v>1</v>
      </c>
      <c r="Q60">
        <v>1</v>
      </c>
      <c r="R60">
        <v>1</v>
      </c>
      <c r="S60">
        <v>5</v>
      </c>
      <c r="T60">
        <v>1</v>
      </c>
      <c r="V60">
        <v>1</v>
      </c>
      <c r="Y60">
        <f t="shared" si="0"/>
        <v>49</v>
      </c>
    </row>
    <row r="61" spans="1:25" x14ac:dyDescent="0.25">
      <c r="A61" t="s">
        <v>895</v>
      </c>
      <c r="B61" t="s">
        <v>1133</v>
      </c>
      <c r="C61" t="s">
        <v>314</v>
      </c>
      <c r="D61" s="560">
        <v>101</v>
      </c>
      <c r="E61">
        <v>12</v>
      </c>
      <c r="F61">
        <v>17</v>
      </c>
      <c r="G61">
        <v>29</v>
      </c>
      <c r="H61">
        <v>30</v>
      </c>
      <c r="I61">
        <v>28</v>
      </c>
      <c r="J61">
        <v>22</v>
      </c>
      <c r="K61">
        <v>24</v>
      </c>
      <c r="L61">
        <v>33</v>
      </c>
      <c r="M61">
        <v>17</v>
      </c>
      <c r="N61">
        <v>30</v>
      </c>
      <c r="O61">
        <v>20</v>
      </c>
      <c r="P61">
        <v>22</v>
      </c>
      <c r="Q61">
        <v>20</v>
      </c>
      <c r="R61">
        <v>19</v>
      </c>
      <c r="S61">
        <v>21</v>
      </c>
      <c r="T61">
        <v>4</v>
      </c>
      <c r="V61">
        <v>2</v>
      </c>
      <c r="Y61">
        <f t="shared" si="0"/>
        <v>350</v>
      </c>
    </row>
    <row r="62" spans="1:25" x14ac:dyDescent="0.25">
      <c r="A62" t="s">
        <v>896</v>
      </c>
      <c r="C62" t="s">
        <v>316</v>
      </c>
      <c r="D62" s="560">
        <v>121</v>
      </c>
      <c r="E62">
        <v>7</v>
      </c>
      <c r="F62">
        <v>9</v>
      </c>
      <c r="G62">
        <v>15</v>
      </c>
      <c r="H62">
        <v>18</v>
      </c>
      <c r="I62">
        <v>21</v>
      </c>
      <c r="J62">
        <v>15</v>
      </c>
      <c r="K62">
        <v>15</v>
      </c>
      <c r="L62">
        <v>11</v>
      </c>
      <c r="M62">
        <v>21</v>
      </c>
      <c r="N62">
        <v>15</v>
      </c>
      <c r="O62">
        <v>21</v>
      </c>
      <c r="P62">
        <v>7</v>
      </c>
      <c r="Q62">
        <v>1</v>
      </c>
      <c r="Y62">
        <f t="shared" si="0"/>
        <v>176</v>
      </c>
    </row>
    <row r="63" spans="1:25" x14ac:dyDescent="0.25">
      <c r="A63" t="s">
        <v>897</v>
      </c>
      <c r="C63" t="s">
        <v>318</v>
      </c>
      <c r="D63" s="560">
        <v>123</v>
      </c>
      <c r="H63">
        <v>1</v>
      </c>
      <c r="I63">
        <v>1</v>
      </c>
      <c r="Y63">
        <f t="shared" si="0"/>
        <v>2</v>
      </c>
    </row>
    <row r="64" spans="1:25" x14ac:dyDescent="0.25">
      <c r="A64" t="s">
        <v>1460</v>
      </c>
      <c r="C64" t="s">
        <v>320</v>
      </c>
      <c r="D64" s="560">
        <v>101</v>
      </c>
      <c r="E64">
        <v>17</v>
      </c>
      <c r="F64">
        <v>34</v>
      </c>
      <c r="G64">
        <v>32</v>
      </c>
      <c r="H64">
        <v>43</v>
      </c>
      <c r="I64">
        <v>44</v>
      </c>
      <c r="J64">
        <v>38</v>
      </c>
      <c r="K64">
        <v>44</v>
      </c>
      <c r="L64">
        <v>41</v>
      </c>
      <c r="M64">
        <v>51</v>
      </c>
      <c r="N64">
        <v>48</v>
      </c>
      <c r="O64">
        <v>44</v>
      </c>
      <c r="P64">
        <v>28</v>
      </c>
      <c r="Q64">
        <v>48</v>
      </c>
      <c r="R64">
        <v>42</v>
      </c>
      <c r="S64">
        <v>34</v>
      </c>
      <c r="T64">
        <v>13</v>
      </c>
      <c r="U64">
        <v>4</v>
      </c>
      <c r="V64">
        <v>8</v>
      </c>
      <c r="Y64">
        <f t="shared" si="0"/>
        <v>613</v>
      </c>
    </row>
    <row r="65" spans="1:25" x14ac:dyDescent="0.25">
      <c r="A65" t="s">
        <v>1461</v>
      </c>
      <c r="C65" t="s">
        <v>322</v>
      </c>
      <c r="D65" s="560">
        <v>105</v>
      </c>
      <c r="E65">
        <v>25</v>
      </c>
      <c r="F65">
        <v>22</v>
      </c>
      <c r="G65">
        <v>25</v>
      </c>
      <c r="H65">
        <v>22</v>
      </c>
      <c r="I65">
        <v>32</v>
      </c>
      <c r="J65">
        <v>30</v>
      </c>
      <c r="K65">
        <v>37</v>
      </c>
      <c r="L65">
        <v>42</v>
      </c>
      <c r="M65">
        <v>34</v>
      </c>
      <c r="N65">
        <v>31</v>
      </c>
      <c r="O65">
        <v>32</v>
      </c>
      <c r="P65">
        <v>38</v>
      </c>
      <c r="Q65">
        <v>34</v>
      </c>
      <c r="R65">
        <v>21</v>
      </c>
      <c r="S65">
        <v>10</v>
      </c>
      <c r="T65">
        <v>9</v>
      </c>
      <c r="U65">
        <v>1</v>
      </c>
      <c r="V65">
        <v>4</v>
      </c>
      <c r="Y65">
        <f t="shared" si="0"/>
        <v>449</v>
      </c>
    </row>
    <row r="66" spans="1:25" x14ac:dyDescent="0.25">
      <c r="A66" t="s">
        <v>900</v>
      </c>
      <c r="B66" t="s">
        <v>1133</v>
      </c>
      <c r="C66" t="s">
        <v>324</v>
      </c>
      <c r="D66" s="560">
        <v>171</v>
      </c>
      <c r="E66">
        <v>20</v>
      </c>
      <c r="F66">
        <v>38</v>
      </c>
      <c r="G66">
        <v>48</v>
      </c>
      <c r="H66">
        <v>52</v>
      </c>
      <c r="I66">
        <v>82</v>
      </c>
      <c r="J66">
        <v>61</v>
      </c>
      <c r="K66">
        <v>51</v>
      </c>
      <c r="L66">
        <v>57</v>
      </c>
      <c r="M66">
        <v>46</v>
      </c>
      <c r="N66">
        <v>41</v>
      </c>
      <c r="O66">
        <v>46</v>
      </c>
      <c r="P66">
        <v>45</v>
      </c>
      <c r="Q66">
        <v>46</v>
      </c>
      <c r="R66">
        <v>49</v>
      </c>
      <c r="S66">
        <v>49</v>
      </c>
      <c r="T66">
        <v>14</v>
      </c>
      <c r="U66">
        <v>4</v>
      </c>
      <c r="V66">
        <v>2</v>
      </c>
      <c r="Y66">
        <f t="shared" si="0"/>
        <v>751</v>
      </c>
    </row>
    <row r="67" spans="1:25" x14ac:dyDescent="0.25">
      <c r="A67" t="s">
        <v>901</v>
      </c>
      <c r="C67" t="s">
        <v>326</v>
      </c>
      <c r="D67" s="560">
        <v>105</v>
      </c>
      <c r="G67">
        <v>2</v>
      </c>
      <c r="H67">
        <v>2</v>
      </c>
      <c r="K67">
        <v>1</v>
      </c>
      <c r="N67">
        <v>2</v>
      </c>
      <c r="O67">
        <v>1</v>
      </c>
      <c r="P67">
        <v>2</v>
      </c>
      <c r="Q67">
        <v>3</v>
      </c>
      <c r="T67">
        <v>1</v>
      </c>
      <c r="Y67">
        <f t="shared" si="0"/>
        <v>14</v>
      </c>
    </row>
    <row r="68" spans="1:25" x14ac:dyDescent="0.25">
      <c r="A68" t="s">
        <v>902</v>
      </c>
      <c r="C68" t="s">
        <v>328</v>
      </c>
      <c r="D68" s="560">
        <v>121</v>
      </c>
      <c r="E68">
        <v>8</v>
      </c>
      <c r="F68">
        <v>11</v>
      </c>
      <c r="G68">
        <v>10</v>
      </c>
      <c r="H68">
        <v>19</v>
      </c>
      <c r="I68">
        <v>28</v>
      </c>
      <c r="J68">
        <v>15</v>
      </c>
      <c r="K68">
        <v>12</v>
      </c>
      <c r="L68">
        <v>14</v>
      </c>
      <c r="M68">
        <v>24</v>
      </c>
      <c r="N68">
        <v>17</v>
      </c>
      <c r="O68">
        <v>17</v>
      </c>
      <c r="P68">
        <v>20</v>
      </c>
      <c r="Q68">
        <v>17</v>
      </c>
      <c r="R68">
        <v>9</v>
      </c>
      <c r="S68">
        <v>12</v>
      </c>
      <c r="T68">
        <v>6</v>
      </c>
      <c r="Y68">
        <f t="shared" si="0"/>
        <v>239</v>
      </c>
    </row>
    <row r="69" spans="1:25" x14ac:dyDescent="0.25">
      <c r="A69" t="s">
        <v>903</v>
      </c>
      <c r="C69" t="s">
        <v>330</v>
      </c>
      <c r="D69" s="560">
        <v>189</v>
      </c>
      <c r="E69">
        <v>113</v>
      </c>
      <c r="F69">
        <v>147</v>
      </c>
      <c r="G69">
        <v>160</v>
      </c>
      <c r="H69">
        <v>222</v>
      </c>
      <c r="I69">
        <v>231</v>
      </c>
      <c r="J69">
        <v>251</v>
      </c>
      <c r="K69">
        <v>250</v>
      </c>
      <c r="L69">
        <v>247</v>
      </c>
      <c r="M69">
        <v>253</v>
      </c>
      <c r="N69">
        <v>236</v>
      </c>
      <c r="O69">
        <v>213</v>
      </c>
      <c r="P69">
        <v>225</v>
      </c>
      <c r="Q69">
        <v>221</v>
      </c>
      <c r="R69">
        <v>194</v>
      </c>
      <c r="S69">
        <v>193</v>
      </c>
      <c r="T69">
        <v>70</v>
      </c>
      <c r="U69">
        <v>20</v>
      </c>
      <c r="V69">
        <v>15</v>
      </c>
      <c r="W69">
        <v>3</v>
      </c>
      <c r="Y69">
        <f t="shared" ref="Y69:Y132" si="1">SUM(E69:W69)</f>
        <v>3264</v>
      </c>
    </row>
    <row r="70" spans="1:25" x14ac:dyDescent="0.25">
      <c r="A70" t="s">
        <v>904</v>
      </c>
      <c r="B70" t="s">
        <v>1133</v>
      </c>
      <c r="C70" t="s">
        <v>332</v>
      </c>
      <c r="D70" s="560">
        <v>105</v>
      </c>
      <c r="E70">
        <v>8</v>
      </c>
      <c r="F70">
        <v>23</v>
      </c>
      <c r="G70">
        <v>21</v>
      </c>
      <c r="H70">
        <v>19</v>
      </c>
      <c r="I70">
        <v>34</v>
      </c>
      <c r="J70">
        <v>40</v>
      </c>
      <c r="K70">
        <v>31</v>
      </c>
      <c r="L70">
        <v>39</v>
      </c>
      <c r="M70">
        <v>31</v>
      </c>
      <c r="N70">
        <v>40</v>
      </c>
      <c r="O70">
        <v>37</v>
      </c>
      <c r="P70">
        <v>46</v>
      </c>
      <c r="Q70">
        <v>33</v>
      </c>
      <c r="R70">
        <v>28</v>
      </c>
      <c r="S70">
        <v>32</v>
      </c>
      <c r="T70">
        <v>10</v>
      </c>
      <c r="U70">
        <v>2</v>
      </c>
      <c r="V70">
        <v>2</v>
      </c>
      <c r="Y70">
        <f t="shared" si="1"/>
        <v>476</v>
      </c>
    </row>
    <row r="71" spans="1:25" x14ac:dyDescent="0.25">
      <c r="A71" t="s">
        <v>905</v>
      </c>
      <c r="C71" t="s">
        <v>334</v>
      </c>
      <c r="D71" s="560">
        <v>113</v>
      </c>
      <c r="E71">
        <v>8</v>
      </c>
      <c r="F71">
        <v>7</v>
      </c>
      <c r="G71">
        <v>17</v>
      </c>
      <c r="H71">
        <v>15</v>
      </c>
      <c r="I71">
        <v>15</v>
      </c>
      <c r="J71">
        <v>17</v>
      </c>
      <c r="K71">
        <v>16</v>
      </c>
      <c r="L71">
        <v>16</v>
      </c>
      <c r="M71">
        <v>25</v>
      </c>
      <c r="N71">
        <v>10</v>
      </c>
      <c r="O71">
        <v>20</v>
      </c>
      <c r="P71">
        <v>20</v>
      </c>
      <c r="Q71">
        <v>22</v>
      </c>
      <c r="R71">
        <v>18</v>
      </c>
      <c r="S71">
        <v>21</v>
      </c>
      <c r="T71">
        <v>9</v>
      </c>
      <c r="U71">
        <v>3</v>
      </c>
      <c r="V71">
        <v>1</v>
      </c>
      <c r="Y71">
        <f t="shared" si="1"/>
        <v>260</v>
      </c>
    </row>
    <row r="72" spans="1:25" x14ac:dyDescent="0.25">
      <c r="A72" t="s">
        <v>906</v>
      </c>
      <c r="C72" t="s">
        <v>336</v>
      </c>
      <c r="D72" s="560">
        <v>101</v>
      </c>
      <c r="I72">
        <v>3</v>
      </c>
      <c r="J72">
        <v>3</v>
      </c>
      <c r="K72">
        <v>2</v>
      </c>
      <c r="L72">
        <v>1</v>
      </c>
      <c r="M72">
        <v>3</v>
      </c>
      <c r="N72">
        <v>4</v>
      </c>
      <c r="O72">
        <v>5</v>
      </c>
      <c r="P72">
        <v>1</v>
      </c>
      <c r="Y72">
        <f t="shared" si="1"/>
        <v>22</v>
      </c>
    </row>
    <row r="73" spans="1:25" x14ac:dyDescent="0.25">
      <c r="A73" t="s">
        <v>907</v>
      </c>
      <c r="C73" t="s">
        <v>338</v>
      </c>
      <c r="D73" s="560">
        <v>171</v>
      </c>
      <c r="E73">
        <v>1</v>
      </c>
      <c r="F73">
        <v>3</v>
      </c>
      <c r="G73">
        <v>1</v>
      </c>
      <c r="H73">
        <v>7</v>
      </c>
      <c r="I73">
        <v>5</v>
      </c>
      <c r="J73">
        <v>2</v>
      </c>
      <c r="K73">
        <v>2</v>
      </c>
      <c r="M73">
        <v>4</v>
      </c>
      <c r="N73">
        <v>1</v>
      </c>
      <c r="O73">
        <v>1</v>
      </c>
      <c r="P73">
        <v>1</v>
      </c>
      <c r="Q73">
        <v>2</v>
      </c>
      <c r="R73">
        <v>3</v>
      </c>
      <c r="S73">
        <v>1</v>
      </c>
      <c r="T73">
        <v>1</v>
      </c>
      <c r="Y73">
        <f t="shared" si="1"/>
        <v>35</v>
      </c>
    </row>
    <row r="74" spans="1:25" x14ac:dyDescent="0.25">
      <c r="A74" t="s">
        <v>908</v>
      </c>
      <c r="C74" t="s">
        <v>340</v>
      </c>
      <c r="D74" s="560">
        <v>121</v>
      </c>
      <c r="E74">
        <v>32</v>
      </c>
      <c r="F74">
        <v>47</v>
      </c>
      <c r="G74">
        <v>55</v>
      </c>
      <c r="H74">
        <v>62</v>
      </c>
      <c r="I74">
        <v>66</v>
      </c>
      <c r="J74">
        <v>51</v>
      </c>
      <c r="K74">
        <v>56</v>
      </c>
      <c r="L74">
        <v>52</v>
      </c>
      <c r="M74">
        <v>43</v>
      </c>
      <c r="N74">
        <v>46</v>
      </c>
      <c r="O74">
        <v>39</v>
      </c>
      <c r="P74">
        <v>55</v>
      </c>
      <c r="Q74">
        <v>58</v>
      </c>
      <c r="R74">
        <v>40</v>
      </c>
      <c r="S74">
        <v>44</v>
      </c>
      <c r="T74">
        <v>15</v>
      </c>
      <c r="U74">
        <v>4</v>
      </c>
      <c r="V74">
        <v>4</v>
      </c>
      <c r="Y74">
        <f t="shared" si="1"/>
        <v>769</v>
      </c>
    </row>
    <row r="75" spans="1:25" x14ac:dyDescent="0.25">
      <c r="A75" t="s">
        <v>909</v>
      </c>
      <c r="C75" t="s">
        <v>342</v>
      </c>
      <c r="D75" s="560">
        <v>171</v>
      </c>
      <c r="E75">
        <v>11</v>
      </c>
      <c r="F75">
        <v>10</v>
      </c>
      <c r="G75">
        <v>17</v>
      </c>
      <c r="H75">
        <v>28</v>
      </c>
      <c r="I75">
        <v>18</v>
      </c>
      <c r="J75">
        <v>34</v>
      </c>
      <c r="K75">
        <v>27</v>
      </c>
      <c r="L75">
        <v>25</v>
      </c>
      <c r="M75">
        <v>20</v>
      </c>
      <c r="N75">
        <v>28</v>
      </c>
      <c r="O75">
        <v>25</v>
      </c>
      <c r="P75">
        <v>28</v>
      </c>
      <c r="Q75">
        <v>20</v>
      </c>
      <c r="R75">
        <v>15</v>
      </c>
      <c r="S75">
        <v>20</v>
      </c>
      <c r="T75">
        <v>10</v>
      </c>
      <c r="U75">
        <v>8</v>
      </c>
      <c r="V75">
        <v>5</v>
      </c>
      <c r="W75">
        <v>1</v>
      </c>
      <c r="Y75">
        <f t="shared" si="1"/>
        <v>350</v>
      </c>
    </row>
    <row r="76" spans="1:25" x14ac:dyDescent="0.25">
      <c r="A76" t="s">
        <v>1139</v>
      </c>
      <c r="C76" t="s">
        <v>344</v>
      </c>
      <c r="D76" s="560">
        <v>113</v>
      </c>
      <c r="F76">
        <v>1</v>
      </c>
      <c r="G76">
        <v>1</v>
      </c>
      <c r="J76">
        <v>1</v>
      </c>
      <c r="M76">
        <v>1</v>
      </c>
      <c r="Y76">
        <f t="shared" si="1"/>
        <v>4</v>
      </c>
    </row>
    <row r="77" spans="1:25" x14ac:dyDescent="0.25">
      <c r="A77" t="s">
        <v>910</v>
      </c>
      <c r="C77" t="s">
        <v>346</v>
      </c>
      <c r="D77" s="560">
        <v>189</v>
      </c>
      <c r="E77">
        <v>77</v>
      </c>
      <c r="F77">
        <v>102</v>
      </c>
      <c r="G77">
        <v>146</v>
      </c>
      <c r="H77">
        <v>186</v>
      </c>
      <c r="I77">
        <v>204</v>
      </c>
      <c r="J77">
        <v>212</v>
      </c>
      <c r="K77">
        <v>281</v>
      </c>
      <c r="L77">
        <v>218</v>
      </c>
      <c r="M77">
        <v>207</v>
      </c>
      <c r="N77">
        <v>202</v>
      </c>
      <c r="O77">
        <v>160</v>
      </c>
      <c r="P77">
        <v>173</v>
      </c>
      <c r="Q77">
        <v>170</v>
      </c>
      <c r="R77">
        <v>151</v>
      </c>
      <c r="S77">
        <v>150</v>
      </c>
      <c r="T77">
        <v>46</v>
      </c>
      <c r="U77">
        <v>24</v>
      </c>
      <c r="V77">
        <v>19</v>
      </c>
      <c r="W77">
        <v>1</v>
      </c>
      <c r="Y77">
        <f t="shared" si="1"/>
        <v>2729</v>
      </c>
    </row>
    <row r="78" spans="1:25" x14ac:dyDescent="0.25">
      <c r="A78" t="s">
        <v>1462</v>
      </c>
      <c r="C78" t="s">
        <v>348</v>
      </c>
      <c r="D78" s="560">
        <v>112</v>
      </c>
      <c r="E78">
        <v>80</v>
      </c>
      <c r="F78">
        <v>129</v>
      </c>
      <c r="G78">
        <v>130</v>
      </c>
      <c r="H78">
        <v>195</v>
      </c>
      <c r="I78">
        <v>232</v>
      </c>
      <c r="J78">
        <v>259</v>
      </c>
      <c r="K78">
        <v>265</v>
      </c>
      <c r="L78">
        <v>263</v>
      </c>
      <c r="M78">
        <v>247</v>
      </c>
      <c r="N78">
        <v>225</v>
      </c>
      <c r="O78">
        <v>222</v>
      </c>
      <c r="P78">
        <v>275</v>
      </c>
      <c r="Q78">
        <v>232</v>
      </c>
      <c r="R78">
        <v>265</v>
      </c>
      <c r="S78">
        <v>235</v>
      </c>
      <c r="T78">
        <v>91</v>
      </c>
      <c r="U78">
        <v>31</v>
      </c>
      <c r="V78">
        <v>20</v>
      </c>
      <c r="W78">
        <v>3</v>
      </c>
      <c r="Y78">
        <f t="shared" si="1"/>
        <v>3399</v>
      </c>
    </row>
    <row r="79" spans="1:25" x14ac:dyDescent="0.25">
      <c r="A79" t="s">
        <v>1463</v>
      </c>
      <c r="C79" t="s">
        <v>350</v>
      </c>
      <c r="D79" s="560">
        <v>101</v>
      </c>
      <c r="J79">
        <v>1</v>
      </c>
      <c r="K79">
        <v>3</v>
      </c>
      <c r="Y79">
        <f t="shared" si="1"/>
        <v>4</v>
      </c>
    </row>
    <row r="80" spans="1:25" x14ac:dyDescent="0.25">
      <c r="A80" t="s">
        <v>913</v>
      </c>
      <c r="B80" t="s">
        <v>1133</v>
      </c>
      <c r="C80" t="s">
        <v>352</v>
      </c>
      <c r="D80" s="560">
        <v>121</v>
      </c>
      <c r="E80">
        <v>113</v>
      </c>
      <c r="F80">
        <v>161</v>
      </c>
      <c r="G80">
        <v>191</v>
      </c>
      <c r="H80">
        <v>207</v>
      </c>
      <c r="I80">
        <v>229</v>
      </c>
      <c r="J80">
        <v>203</v>
      </c>
      <c r="K80">
        <v>203</v>
      </c>
      <c r="L80">
        <v>210</v>
      </c>
      <c r="M80">
        <v>210</v>
      </c>
      <c r="N80">
        <v>188</v>
      </c>
      <c r="O80">
        <v>226</v>
      </c>
      <c r="P80">
        <v>200</v>
      </c>
      <c r="Q80">
        <v>219</v>
      </c>
      <c r="R80">
        <v>190</v>
      </c>
      <c r="S80">
        <v>192</v>
      </c>
      <c r="T80">
        <v>85</v>
      </c>
      <c r="U80">
        <v>36</v>
      </c>
      <c r="V80">
        <v>14</v>
      </c>
      <c r="W80">
        <v>4</v>
      </c>
      <c r="Y80">
        <f t="shared" si="1"/>
        <v>3081</v>
      </c>
    </row>
    <row r="81" spans="1:25" x14ac:dyDescent="0.25">
      <c r="A81" t="s">
        <v>914</v>
      </c>
      <c r="C81" t="s">
        <v>354</v>
      </c>
      <c r="D81" s="560">
        <v>189</v>
      </c>
      <c r="E81">
        <v>25</v>
      </c>
      <c r="F81">
        <v>24</v>
      </c>
      <c r="G81">
        <v>40</v>
      </c>
      <c r="H81">
        <v>47</v>
      </c>
      <c r="I81">
        <v>50</v>
      </c>
      <c r="J81">
        <v>54</v>
      </c>
      <c r="K81">
        <v>54</v>
      </c>
      <c r="L81">
        <v>55</v>
      </c>
      <c r="M81">
        <v>57</v>
      </c>
      <c r="N81">
        <v>46</v>
      </c>
      <c r="O81">
        <v>40</v>
      </c>
      <c r="P81">
        <v>48</v>
      </c>
      <c r="Q81">
        <v>53</v>
      </c>
      <c r="R81">
        <v>48</v>
      </c>
      <c r="S81">
        <v>32</v>
      </c>
      <c r="T81">
        <v>22</v>
      </c>
      <c r="U81">
        <v>12</v>
      </c>
      <c r="V81">
        <v>8</v>
      </c>
      <c r="Y81">
        <f t="shared" si="1"/>
        <v>715</v>
      </c>
    </row>
    <row r="82" spans="1:25" x14ac:dyDescent="0.25">
      <c r="A82" t="s">
        <v>915</v>
      </c>
      <c r="B82" t="s">
        <v>1133</v>
      </c>
      <c r="C82" t="s">
        <v>356</v>
      </c>
      <c r="D82" s="560">
        <v>121</v>
      </c>
      <c r="E82">
        <v>17</v>
      </c>
      <c r="F82">
        <v>18</v>
      </c>
      <c r="G82">
        <v>21</v>
      </c>
      <c r="H82">
        <v>26</v>
      </c>
      <c r="I82">
        <v>39</v>
      </c>
      <c r="J82">
        <v>34</v>
      </c>
      <c r="K82">
        <v>37</v>
      </c>
      <c r="L82">
        <v>38</v>
      </c>
      <c r="M82">
        <v>29</v>
      </c>
      <c r="N82">
        <v>34</v>
      </c>
      <c r="O82">
        <v>22</v>
      </c>
      <c r="P82">
        <v>34</v>
      </c>
      <c r="Q82">
        <v>33</v>
      </c>
      <c r="R82">
        <v>36</v>
      </c>
      <c r="S82">
        <v>22</v>
      </c>
      <c r="T82">
        <v>14</v>
      </c>
      <c r="U82">
        <v>1</v>
      </c>
      <c r="V82">
        <v>2</v>
      </c>
      <c r="W82">
        <v>2</v>
      </c>
      <c r="Y82">
        <f t="shared" si="1"/>
        <v>459</v>
      </c>
    </row>
    <row r="83" spans="1:25" x14ac:dyDescent="0.25">
      <c r="A83" t="s">
        <v>916</v>
      </c>
      <c r="C83" t="s">
        <v>358</v>
      </c>
      <c r="D83" s="560">
        <v>123</v>
      </c>
      <c r="E83">
        <v>7</v>
      </c>
      <c r="F83">
        <v>3</v>
      </c>
      <c r="G83">
        <v>6</v>
      </c>
      <c r="H83">
        <v>9</v>
      </c>
      <c r="I83">
        <v>9</v>
      </c>
      <c r="J83">
        <v>8</v>
      </c>
      <c r="K83">
        <v>4</v>
      </c>
      <c r="L83">
        <v>6</v>
      </c>
      <c r="M83">
        <v>7</v>
      </c>
      <c r="N83">
        <v>8</v>
      </c>
      <c r="O83">
        <v>7</v>
      </c>
      <c r="P83">
        <v>9</v>
      </c>
      <c r="Q83">
        <v>10</v>
      </c>
      <c r="R83">
        <v>16</v>
      </c>
      <c r="S83">
        <v>6</v>
      </c>
      <c r="T83">
        <v>3</v>
      </c>
      <c r="V83">
        <v>3</v>
      </c>
      <c r="Y83">
        <f t="shared" si="1"/>
        <v>121</v>
      </c>
    </row>
    <row r="84" spans="1:25" x14ac:dyDescent="0.25">
      <c r="A84" t="s">
        <v>917</v>
      </c>
      <c r="B84" t="s">
        <v>1133</v>
      </c>
      <c r="C84" t="s">
        <v>360</v>
      </c>
      <c r="D84" s="560">
        <v>121</v>
      </c>
      <c r="E84">
        <v>35</v>
      </c>
      <c r="F84">
        <v>53</v>
      </c>
      <c r="G84">
        <v>67</v>
      </c>
      <c r="H84">
        <v>75</v>
      </c>
      <c r="I84">
        <v>76</v>
      </c>
      <c r="J84">
        <v>86</v>
      </c>
      <c r="K84">
        <v>82</v>
      </c>
      <c r="L84">
        <v>96</v>
      </c>
      <c r="M84">
        <v>62</v>
      </c>
      <c r="N84">
        <v>74</v>
      </c>
      <c r="O84">
        <v>74</v>
      </c>
      <c r="P84">
        <v>84</v>
      </c>
      <c r="Q84">
        <v>64</v>
      </c>
      <c r="R84">
        <v>67</v>
      </c>
      <c r="S84">
        <v>77</v>
      </c>
      <c r="T84">
        <v>25</v>
      </c>
      <c r="U84">
        <v>7</v>
      </c>
      <c r="V84">
        <v>4</v>
      </c>
      <c r="W84">
        <v>1</v>
      </c>
      <c r="Y84">
        <f t="shared" si="1"/>
        <v>1109</v>
      </c>
    </row>
    <row r="85" spans="1:25" x14ac:dyDescent="0.25">
      <c r="A85" t="s">
        <v>918</v>
      </c>
      <c r="B85" t="s">
        <v>1133</v>
      </c>
      <c r="C85" t="s">
        <v>362</v>
      </c>
      <c r="D85" s="560">
        <v>101</v>
      </c>
      <c r="E85">
        <v>3</v>
      </c>
      <c r="F85">
        <v>3</v>
      </c>
      <c r="G85">
        <v>4</v>
      </c>
      <c r="H85">
        <v>5</v>
      </c>
      <c r="I85">
        <v>8</v>
      </c>
      <c r="J85">
        <v>6</v>
      </c>
      <c r="K85">
        <v>3</v>
      </c>
      <c r="L85">
        <v>9</v>
      </c>
      <c r="M85">
        <v>13</v>
      </c>
      <c r="N85">
        <v>7</v>
      </c>
      <c r="O85">
        <v>10</v>
      </c>
      <c r="P85">
        <v>9</v>
      </c>
      <c r="Q85">
        <v>8</v>
      </c>
      <c r="R85">
        <v>8</v>
      </c>
      <c r="S85">
        <v>6</v>
      </c>
      <c r="T85">
        <v>2</v>
      </c>
      <c r="U85">
        <v>1</v>
      </c>
      <c r="V85">
        <v>1</v>
      </c>
      <c r="W85">
        <v>1</v>
      </c>
      <c r="Y85">
        <f t="shared" si="1"/>
        <v>107</v>
      </c>
    </row>
    <row r="86" spans="1:25" x14ac:dyDescent="0.25">
      <c r="A86" t="s">
        <v>919</v>
      </c>
      <c r="C86" t="s">
        <v>364</v>
      </c>
      <c r="D86" s="560">
        <v>101</v>
      </c>
      <c r="H86">
        <v>1</v>
      </c>
      <c r="I86">
        <v>1</v>
      </c>
      <c r="J86">
        <v>1</v>
      </c>
      <c r="K86">
        <v>2</v>
      </c>
      <c r="L86">
        <v>4</v>
      </c>
      <c r="M86">
        <v>1</v>
      </c>
      <c r="N86">
        <v>4</v>
      </c>
      <c r="O86">
        <v>1</v>
      </c>
      <c r="R86">
        <v>1</v>
      </c>
      <c r="S86">
        <v>1</v>
      </c>
      <c r="Y86">
        <f t="shared" si="1"/>
        <v>17</v>
      </c>
    </row>
    <row r="87" spans="1:25" x14ac:dyDescent="0.25">
      <c r="A87" t="s">
        <v>920</v>
      </c>
      <c r="C87" t="s">
        <v>366</v>
      </c>
      <c r="D87" s="560">
        <v>112</v>
      </c>
      <c r="I87">
        <v>1</v>
      </c>
      <c r="J87">
        <v>1</v>
      </c>
      <c r="M87">
        <v>1</v>
      </c>
      <c r="N87">
        <v>1</v>
      </c>
      <c r="O87">
        <v>1</v>
      </c>
      <c r="Q87">
        <v>1</v>
      </c>
      <c r="R87">
        <v>2</v>
      </c>
      <c r="S87">
        <v>1</v>
      </c>
      <c r="T87">
        <v>2</v>
      </c>
      <c r="Y87">
        <f t="shared" si="1"/>
        <v>11</v>
      </c>
    </row>
    <row r="88" spans="1:25" x14ac:dyDescent="0.25">
      <c r="A88" t="s">
        <v>921</v>
      </c>
      <c r="C88" t="s">
        <v>368</v>
      </c>
      <c r="D88" s="560">
        <v>105</v>
      </c>
      <c r="E88">
        <v>4</v>
      </c>
      <c r="G88">
        <v>8</v>
      </c>
      <c r="H88">
        <v>12</v>
      </c>
      <c r="I88">
        <v>12</v>
      </c>
      <c r="J88">
        <v>20</v>
      </c>
      <c r="K88">
        <v>19</v>
      </c>
      <c r="L88">
        <v>18</v>
      </c>
      <c r="M88">
        <v>30</v>
      </c>
      <c r="N88">
        <v>41</v>
      </c>
      <c r="O88">
        <v>31</v>
      </c>
      <c r="P88">
        <v>57</v>
      </c>
      <c r="Q88">
        <v>69</v>
      </c>
      <c r="R88">
        <v>70</v>
      </c>
      <c r="S88">
        <v>61</v>
      </c>
      <c r="T88">
        <v>28</v>
      </c>
      <c r="U88">
        <v>2</v>
      </c>
      <c r="V88">
        <v>1</v>
      </c>
      <c r="Y88">
        <f t="shared" si="1"/>
        <v>483</v>
      </c>
    </row>
    <row r="89" spans="1:25" x14ac:dyDescent="0.25">
      <c r="A89" t="s">
        <v>922</v>
      </c>
      <c r="C89" t="s">
        <v>370</v>
      </c>
      <c r="D89" s="560">
        <v>171</v>
      </c>
      <c r="F89">
        <v>2</v>
      </c>
      <c r="G89">
        <v>1</v>
      </c>
      <c r="H89">
        <v>4</v>
      </c>
      <c r="I89">
        <v>4</v>
      </c>
      <c r="J89">
        <v>4</v>
      </c>
      <c r="K89">
        <v>8</v>
      </c>
      <c r="L89">
        <v>9</v>
      </c>
      <c r="M89">
        <v>6</v>
      </c>
      <c r="N89">
        <v>6</v>
      </c>
      <c r="O89">
        <v>5</v>
      </c>
      <c r="P89">
        <v>6</v>
      </c>
      <c r="Q89">
        <v>12</v>
      </c>
      <c r="R89">
        <v>11</v>
      </c>
      <c r="S89">
        <v>10</v>
      </c>
      <c r="T89">
        <v>5</v>
      </c>
      <c r="U89">
        <v>1</v>
      </c>
      <c r="V89">
        <v>1</v>
      </c>
      <c r="Y89">
        <f t="shared" si="1"/>
        <v>95</v>
      </c>
    </row>
    <row r="90" spans="1:25" x14ac:dyDescent="0.25">
      <c r="A90" t="s">
        <v>923</v>
      </c>
      <c r="C90" t="s">
        <v>372</v>
      </c>
      <c r="D90" s="560">
        <v>105</v>
      </c>
      <c r="E90">
        <v>7</v>
      </c>
      <c r="F90">
        <v>20</v>
      </c>
      <c r="G90">
        <v>21</v>
      </c>
      <c r="H90">
        <v>31</v>
      </c>
      <c r="I90">
        <v>33</v>
      </c>
      <c r="J90">
        <v>49</v>
      </c>
      <c r="K90">
        <v>60</v>
      </c>
      <c r="L90">
        <v>47</v>
      </c>
      <c r="M90">
        <v>43</v>
      </c>
      <c r="N90">
        <v>44</v>
      </c>
      <c r="O90">
        <v>50</v>
      </c>
      <c r="P90">
        <v>46</v>
      </c>
      <c r="Q90">
        <v>32</v>
      </c>
      <c r="R90">
        <v>44</v>
      </c>
      <c r="S90">
        <v>32</v>
      </c>
      <c r="T90">
        <v>26</v>
      </c>
      <c r="U90">
        <v>3</v>
      </c>
      <c r="V90">
        <v>2</v>
      </c>
      <c r="Y90">
        <f t="shared" si="1"/>
        <v>590</v>
      </c>
    </row>
    <row r="91" spans="1:25" x14ac:dyDescent="0.25">
      <c r="A91" t="s">
        <v>924</v>
      </c>
      <c r="C91" t="s">
        <v>374</v>
      </c>
      <c r="D91" s="560">
        <v>105</v>
      </c>
      <c r="E91">
        <v>5</v>
      </c>
      <c r="F91">
        <v>7</v>
      </c>
      <c r="G91">
        <v>14</v>
      </c>
      <c r="H91">
        <v>10</v>
      </c>
      <c r="I91">
        <v>12</v>
      </c>
      <c r="J91">
        <v>16</v>
      </c>
      <c r="K91">
        <v>18</v>
      </c>
      <c r="L91">
        <v>13</v>
      </c>
      <c r="M91">
        <v>14</v>
      </c>
      <c r="N91">
        <v>20</v>
      </c>
      <c r="O91">
        <v>8</v>
      </c>
      <c r="P91">
        <v>17</v>
      </c>
      <c r="Q91">
        <v>18</v>
      </c>
      <c r="R91">
        <v>16</v>
      </c>
      <c r="S91">
        <v>8</v>
      </c>
      <c r="T91">
        <v>7</v>
      </c>
      <c r="U91">
        <v>4</v>
      </c>
      <c r="Y91">
        <f t="shared" si="1"/>
        <v>207</v>
      </c>
    </row>
    <row r="92" spans="1:25" x14ac:dyDescent="0.25">
      <c r="A92" t="s">
        <v>925</v>
      </c>
      <c r="C92" t="s">
        <v>376</v>
      </c>
      <c r="D92" s="560">
        <v>189</v>
      </c>
      <c r="E92">
        <v>13</v>
      </c>
      <c r="F92">
        <v>26</v>
      </c>
      <c r="G92">
        <v>35</v>
      </c>
      <c r="H92">
        <v>40</v>
      </c>
      <c r="I92">
        <v>35</v>
      </c>
      <c r="J92">
        <v>32</v>
      </c>
      <c r="K92">
        <v>26</v>
      </c>
      <c r="L92">
        <v>33</v>
      </c>
      <c r="M92">
        <v>26</v>
      </c>
      <c r="N92">
        <v>34</v>
      </c>
      <c r="O92">
        <v>27</v>
      </c>
      <c r="P92">
        <v>17</v>
      </c>
      <c r="Q92">
        <v>29</v>
      </c>
      <c r="R92">
        <v>23</v>
      </c>
      <c r="S92">
        <v>34</v>
      </c>
      <c r="T92">
        <v>15</v>
      </c>
      <c r="U92">
        <v>9</v>
      </c>
      <c r="V92">
        <v>2</v>
      </c>
      <c r="Y92">
        <f t="shared" si="1"/>
        <v>456</v>
      </c>
    </row>
    <row r="93" spans="1:25" x14ac:dyDescent="0.25">
      <c r="A93" t="s">
        <v>1140</v>
      </c>
      <c r="C93" t="s">
        <v>378</v>
      </c>
      <c r="D93" s="560">
        <v>113</v>
      </c>
      <c r="F93">
        <v>2</v>
      </c>
      <c r="G93">
        <v>2</v>
      </c>
      <c r="H93">
        <v>3</v>
      </c>
      <c r="I93">
        <v>3</v>
      </c>
      <c r="J93">
        <v>2</v>
      </c>
      <c r="K93">
        <v>9</v>
      </c>
      <c r="L93">
        <v>5</v>
      </c>
      <c r="M93">
        <v>3</v>
      </c>
      <c r="N93">
        <v>6</v>
      </c>
      <c r="O93">
        <v>1</v>
      </c>
      <c r="P93">
        <v>1</v>
      </c>
      <c r="Y93">
        <f t="shared" si="1"/>
        <v>37</v>
      </c>
    </row>
    <row r="94" spans="1:25" x14ac:dyDescent="0.25">
      <c r="A94" t="s">
        <v>926</v>
      </c>
      <c r="C94" t="s">
        <v>380</v>
      </c>
      <c r="D94" s="560">
        <v>101</v>
      </c>
      <c r="H94">
        <v>2</v>
      </c>
      <c r="J94">
        <v>1</v>
      </c>
      <c r="K94">
        <v>2</v>
      </c>
      <c r="M94">
        <v>2</v>
      </c>
      <c r="N94">
        <v>1</v>
      </c>
      <c r="Y94">
        <f t="shared" si="1"/>
        <v>8</v>
      </c>
    </row>
    <row r="95" spans="1:25" x14ac:dyDescent="0.25">
      <c r="A95" t="s">
        <v>927</v>
      </c>
      <c r="C95" t="s">
        <v>384</v>
      </c>
      <c r="D95" s="560">
        <v>112</v>
      </c>
      <c r="H95">
        <v>2</v>
      </c>
      <c r="I95">
        <v>2</v>
      </c>
      <c r="K95">
        <v>4</v>
      </c>
      <c r="L95">
        <v>3</v>
      </c>
      <c r="M95">
        <v>1</v>
      </c>
      <c r="N95">
        <v>3</v>
      </c>
      <c r="O95">
        <v>2</v>
      </c>
      <c r="Y95">
        <f t="shared" si="1"/>
        <v>17</v>
      </c>
    </row>
    <row r="96" spans="1:25" x14ac:dyDescent="0.25">
      <c r="A96" t="s">
        <v>928</v>
      </c>
      <c r="C96" t="s">
        <v>386</v>
      </c>
      <c r="D96" s="560">
        <v>113</v>
      </c>
      <c r="E96">
        <v>4</v>
      </c>
      <c r="F96">
        <v>1</v>
      </c>
      <c r="G96">
        <v>13</v>
      </c>
      <c r="H96">
        <v>8</v>
      </c>
      <c r="I96">
        <v>9</v>
      </c>
      <c r="J96">
        <v>15</v>
      </c>
      <c r="K96">
        <v>6</v>
      </c>
      <c r="L96">
        <v>9</v>
      </c>
      <c r="M96">
        <v>11</v>
      </c>
      <c r="N96">
        <v>7</v>
      </c>
      <c r="O96">
        <v>4</v>
      </c>
      <c r="P96">
        <v>1</v>
      </c>
      <c r="Q96">
        <v>1</v>
      </c>
      <c r="Y96">
        <f t="shared" si="1"/>
        <v>89</v>
      </c>
    </row>
    <row r="97" spans="1:25" x14ac:dyDescent="0.25">
      <c r="A97" t="s">
        <v>929</v>
      </c>
      <c r="C97" t="s">
        <v>388</v>
      </c>
      <c r="D97" s="560">
        <v>101</v>
      </c>
      <c r="F97">
        <v>3</v>
      </c>
      <c r="G97">
        <v>1</v>
      </c>
      <c r="H97">
        <v>3</v>
      </c>
      <c r="I97">
        <v>3</v>
      </c>
      <c r="J97">
        <v>5</v>
      </c>
      <c r="L97">
        <v>4</v>
      </c>
      <c r="M97">
        <v>1</v>
      </c>
      <c r="N97">
        <v>3</v>
      </c>
      <c r="O97">
        <v>5</v>
      </c>
      <c r="Q97">
        <v>2</v>
      </c>
      <c r="R97">
        <v>4</v>
      </c>
      <c r="S97">
        <v>1</v>
      </c>
      <c r="U97">
        <v>1</v>
      </c>
      <c r="Y97">
        <f t="shared" si="1"/>
        <v>36</v>
      </c>
    </row>
    <row r="98" spans="1:25" x14ac:dyDescent="0.25">
      <c r="A98" t="s">
        <v>930</v>
      </c>
      <c r="C98" t="s">
        <v>390</v>
      </c>
      <c r="D98" s="560">
        <v>105</v>
      </c>
      <c r="E98">
        <v>9</v>
      </c>
      <c r="F98">
        <v>8</v>
      </c>
      <c r="G98">
        <v>8</v>
      </c>
      <c r="H98">
        <v>6</v>
      </c>
      <c r="I98">
        <v>14</v>
      </c>
      <c r="J98">
        <v>12</v>
      </c>
      <c r="K98">
        <v>11</v>
      </c>
      <c r="L98">
        <v>9</v>
      </c>
      <c r="M98">
        <v>8</v>
      </c>
      <c r="N98">
        <v>12</v>
      </c>
      <c r="O98">
        <v>16</v>
      </c>
      <c r="P98">
        <v>8</v>
      </c>
      <c r="Q98">
        <v>11</v>
      </c>
      <c r="R98">
        <v>10</v>
      </c>
      <c r="S98">
        <v>10</v>
      </c>
      <c r="T98">
        <v>2</v>
      </c>
      <c r="U98">
        <v>3</v>
      </c>
      <c r="V98">
        <v>1</v>
      </c>
      <c r="Y98">
        <f t="shared" si="1"/>
        <v>158</v>
      </c>
    </row>
    <row r="99" spans="1:25" x14ac:dyDescent="0.25">
      <c r="A99" t="s">
        <v>931</v>
      </c>
      <c r="B99" t="s">
        <v>1133</v>
      </c>
      <c r="C99" t="s">
        <v>392</v>
      </c>
      <c r="D99" s="560">
        <v>121</v>
      </c>
      <c r="E99">
        <v>67</v>
      </c>
      <c r="F99">
        <v>114</v>
      </c>
      <c r="G99">
        <v>150</v>
      </c>
      <c r="H99">
        <v>178</v>
      </c>
      <c r="I99">
        <v>206</v>
      </c>
      <c r="J99">
        <v>196</v>
      </c>
      <c r="K99">
        <v>201</v>
      </c>
      <c r="L99">
        <v>210</v>
      </c>
      <c r="M99">
        <v>207</v>
      </c>
      <c r="N99">
        <v>193</v>
      </c>
      <c r="O99">
        <v>158</v>
      </c>
      <c r="P99">
        <v>188</v>
      </c>
      <c r="Q99">
        <v>192</v>
      </c>
      <c r="R99">
        <v>190</v>
      </c>
      <c r="S99">
        <v>154</v>
      </c>
      <c r="T99">
        <v>73</v>
      </c>
      <c r="U99">
        <v>32</v>
      </c>
      <c r="V99">
        <v>29</v>
      </c>
      <c r="W99">
        <v>4</v>
      </c>
      <c r="Y99">
        <f t="shared" si="1"/>
        <v>2742</v>
      </c>
    </row>
    <row r="100" spans="1:25" x14ac:dyDescent="0.25">
      <c r="A100" t="s">
        <v>932</v>
      </c>
      <c r="C100" t="s">
        <v>394</v>
      </c>
      <c r="D100" s="560">
        <v>112</v>
      </c>
      <c r="E100">
        <v>3</v>
      </c>
      <c r="F100">
        <v>5</v>
      </c>
      <c r="G100">
        <v>13</v>
      </c>
      <c r="H100">
        <v>15</v>
      </c>
      <c r="I100">
        <v>11</v>
      </c>
      <c r="J100">
        <v>20</v>
      </c>
      <c r="K100">
        <v>14</v>
      </c>
      <c r="L100">
        <v>24</v>
      </c>
      <c r="M100">
        <v>14</v>
      </c>
      <c r="N100">
        <v>17</v>
      </c>
      <c r="O100">
        <v>20</v>
      </c>
      <c r="P100">
        <v>20</v>
      </c>
      <c r="Q100">
        <v>15</v>
      </c>
      <c r="R100">
        <v>10</v>
      </c>
      <c r="S100">
        <v>10</v>
      </c>
      <c r="T100">
        <v>9</v>
      </c>
      <c r="U100">
        <v>1</v>
      </c>
      <c r="V100">
        <v>1</v>
      </c>
      <c r="Y100">
        <f t="shared" si="1"/>
        <v>222</v>
      </c>
    </row>
    <row r="101" spans="1:25" x14ac:dyDescent="0.25">
      <c r="A101" t="s">
        <v>933</v>
      </c>
      <c r="C101" t="s">
        <v>396</v>
      </c>
      <c r="D101" s="560">
        <v>113</v>
      </c>
      <c r="F101">
        <v>5</v>
      </c>
      <c r="G101">
        <v>4</v>
      </c>
      <c r="H101">
        <v>3</v>
      </c>
      <c r="I101">
        <v>7</v>
      </c>
      <c r="J101">
        <v>6</v>
      </c>
      <c r="K101">
        <v>9</v>
      </c>
      <c r="L101">
        <v>6</v>
      </c>
      <c r="M101">
        <v>5</v>
      </c>
      <c r="N101">
        <v>2</v>
      </c>
      <c r="O101">
        <v>7</v>
      </c>
      <c r="P101">
        <v>2</v>
      </c>
      <c r="Y101">
        <f t="shared" si="1"/>
        <v>56</v>
      </c>
    </row>
    <row r="102" spans="1:25" x14ac:dyDescent="0.25">
      <c r="A102" t="s">
        <v>934</v>
      </c>
      <c r="C102" t="s">
        <v>398</v>
      </c>
      <c r="D102" s="560">
        <v>113</v>
      </c>
      <c r="E102">
        <v>4</v>
      </c>
      <c r="F102">
        <v>5</v>
      </c>
      <c r="G102">
        <v>13</v>
      </c>
      <c r="H102">
        <v>11</v>
      </c>
      <c r="I102">
        <v>10</v>
      </c>
      <c r="J102">
        <v>17</v>
      </c>
      <c r="K102">
        <v>24</v>
      </c>
      <c r="L102">
        <v>19</v>
      </c>
      <c r="M102">
        <v>19</v>
      </c>
      <c r="N102">
        <v>30</v>
      </c>
      <c r="O102">
        <v>22</v>
      </c>
      <c r="P102">
        <v>32</v>
      </c>
      <c r="Q102">
        <v>24</v>
      </c>
      <c r="R102">
        <v>23</v>
      </c>
      <c r="S102">
        <v>20</v>
      </c>
      <c r="T102">
        <v>6</v>
      </c>
      <c r="U102">
        <v>2</v>
      </c>
      <c r="V102">
        <v>1</v>
      </c>
      <c r="Y102">
        <f t="shared" si="1"/>
        <v>282</v>
      </c>
    </row>
    <row r="103" spans="1:25" x14ac:dyDescent="0.25">
      <c r="A103" t="s">
        <v>1464</v>
      </c>
      <c r="C103" t="s">
        <v>1465</v>
      </c>
      <c r="D103" s="560">
        <v>121</v>
      </c>
      <c r="G103">
        <v>2</v>
      </c>
      <c r="H103">
        <v>5</v>
      </c>
      <c r="I103">
        <v>4</v>
      </c>
      <c r="J103">
        <v>1</v>
      </c>
      <c r="Y103">
        <f t="shared" si="1"/>
        <v>12</v>
      </c>
    </row>
    <row r="104" spans="1:25" x14ac:dyDescent="0.25">
      <c r="A104" t="s">
        <v>1466</v>
      </c>
      <c r="C104" t="s">
        <v>1161</v>
      </c>
      <c r="D104" s="560">
        <v>121</v>
      </c>
      <c r="G104">
        <v>5</v>
      </c>
      <c r="H104">
        <v>7</v>
      </c>
      <c r="I104">
        <v>10</v>
      </c>
      <c r="J104">
        <v>8</v>
      </c>
      <c r="K104">
        <v>6</v>
      </c>
      <c r="Y104">
        <f t="shared" si="1"/>
        <v>36</v>
      </c>
    </row>
    <row r="105" spans="1:25" x14ac:dyDescent="0.25">
      <c r="A105" t="s">
        <v>1467</v>
      </c>
      <c r="C105" t="s">
        <v>400</v>
      </c>
      <c r="D105" s="560">
        <v>121</v>
      </c>
      <c r="G105">
        <v>7</v>
      </c>
      <c r="H105">
        <v>8</v>
      </c>
      <c r="I105">
        <v>10</v>
      </c>
      <c r="J105">
        <v>4</v>
      </c>
      <c r="K105">
        <v>11</v>
      </c>
      <c r="L105">
        <v>7</v>
      </c>
      <c r="M105">
        <v>1</v>
      </c>
      <c r="Y105">
        <f t="shared" si="1"/>
        <v>48</v>
      </c>
    </row>
    <row r="106" spans="1:25" x14ac:dyDescent="0.25">
      <c r="A106" t="s">
        <v>1468</v>
      </c>
      <c r="C106" t="s">
        <v>401</v>
      </c>
      <c r="D106" s="560">
        <v>121</v>
      </c>
      <c r="G106">
        <v>1</v>
      </c>
      <c r="H106">
        <v>5</v>
      </c>
      <c r="I106">
        <v>3</v>
      </c>
      <c r="J106">
        <v>4</v>
      </c>
      <c r="K106">
        <v>1</v>
      </c>
      <c r="Y106">
        <f t="shared" si="1"/>
        <v>14</v>
      </c>
    </row>
    <row r="107" spans="1:25" x14ac:dyDescent="0.25">
      <c r="A107" t="s">
        <v>935</v>
      </c>
      <c r="C107" t="s">
        <v>403</v>
      </c>
      <c r="D107" s="560">
        <v>101</v>
      </c>
      <c r="E107">
        <v>1</v>
      </c>
      <c r="H107">
        <v>3</v>
      </c>
      <c r="I107">
        <v>2</v>
      </c>
      <c r="J107">
        <v>1</v>
      </c>
      <c r="K107">
        <v>1</v>
      </c>
      <c r="M107">
        <v>1</v>
      </c>
      <c r="N107">
        <v>4</v>
      </c>
      <c r="O107">
        <v>2</v>
      </c>
      <c r="P107">
        <v>2</v>
      </c>
      <c r="R107">
        <v>4</v>
      </c>
      <c r="S107">
        <v>1</v>
      </c>
      <c r="Y107">
        <f t="shared" si="1"/>
        <v>22</v>
      </c>
    </row>
    <row r="108" spans="1:25" x14ac:dyDescent="0.25">
      <c r="A108" t="s">
        <v>936</v>
      </c>
      <c r="C108" t="s">
        <v>405</v>
      </c>
      <c r="D108" s="560">
        <v>189</v>
      </c>
      <c r="J108">
        <v>1</v>
      </c>
      <c r="K108">
        <v>2</v>
      </c>
      <c r="L108">
        <v>1</v>
      </c>
      <c r="M108">
        <v>1</v>
      </c>
      <c r="Y108">
        <f t="shared" si="1"/>
        <v>5</v>
      </c>
    </row>
    <row r="109" spans="1:25" x14ac:dyDescent="0.25">
      <c r="A109" t="s">
        <v>937</v>
      </c>
      <c r="C109" t="s">
        <v>407</v>
      </c>
      <c r="D109" s="560">
        <v>121</v>
      </c>
      <c r="E109">
        <v>49</v>
      </c>
      <c r="F109">
        <v>71</v>
      </c>
      <c r="G109">
        <v>90</v>
      </c>
      <c r="H109">
        <v>108</v>
      </c>
      <c r="I109">
        <v>118</v>
      </c>
      <c r="J109">
        <v>137</v>
      </c>
      <c r="K109">
        <v>154</v>
      </c>
      <c r="L109">
        <v>142</v>
      </c>
      <c r="M109">
        <v>139</v>
      </c>
      <c r="N109">
        <v>138</v>
      </c>
      <c r="O109">
        <v>154</v>
      </c>
      <c r="P109">
        <v>160</v>
      </c>
      <c r="Q109">
        <v>152</v>
      </c>
      <c r="R109">
        <v>140</v>
      </c>
      <c r="S109">
        <v>139</v>
      </c>
      <c r="T109">
        <v>38</v>
      </c>
      <c r="U109">
        <v>12</v>
      </c>
      <c r="V109">
        <v>15</v>
      </c>
      <c r="Y109">
        <f t="shared" si="1"/>
        <v>1956</v>
      </c>
    </row>
    <row r="110" spans="1:25" x14ac:dyDescent="0.25">
      <c r="A110" t="s">
        <v>938</v>
      </c>
      <c r="C110" t="s">
        <v>409</v>
      </c>
      <c r="D110" s="560">
        <v>123</v>
      </c>
      <c r="H110">
        <v>1</v>
      </c>
      <c r="I110">
        <v>1</v>
      </c>
      <c r="J110">
        <v>1</v>
      </c>
      <c r="K110">
        <v>1</v>
      </c>
      <c r="L110">
        <v>4</v>
      </c>
      <c r="M110">
        <v>1</v>
      </c>
      <c r="O110">
        <v>2</v>
      </c>
      <c r="Q110">
        <v>1</v>
      </c>
      <c r="T110">
        <v>1</v>
      </c>
      <c r="Y110">
        <f t="shared" si="1"/>
        <v>13</v>
      </c>
    </row>
    <row r="111" spans="1:25" x14ac:dyDescent="0.25">
      <c r="A111" t="s">
        <v>1274</v>
      </c>
      <c r="C111" t="s">
        <v>411</v>
      </c>
      <c r="D111" s="560">
        <v>112</v>
      </c>
      <c r="E111">
        <v>8</v>
      </c>
      <c r="F111">
        <v>10</v>
      </c>
      <c r="G111">
        <v>12</v>
      </c>
      <c r="H111">
        <v>12</v>
      </c>
      <c r="I111">
        <v>17</v>
      </c>
      <c r="J111">
        <v>11</v>
      </c>
      <c r="K111">
        <v>13</v>
      </c>
      <c r="L111">
        <v>17</v>
      </c>
      <c r="M111">
        <v>14</v>
      </c>
      <c r="N111">
        <v>15</v>
      </c>
      <c r="O111">
        <v>15</v>
      </c>
      <c r="P111">
        <v>10</v>
      </c>
      <c r="Q111">
        <v>14</v>
      </c>
      <c r="R111">
        <v>14</v>
      </c>
      <c r="S111">
        <v>9</v>
      </c>
      <c r="T111">
        <v>3</v>
      </c>
      <c r="U111">
        <v>4</v>
      </c>
      <c r="Y111">
        <f t="shared" si="1"/>
        <v>198</v>
      </c>
    </row>
    <row r="112" spans="1:25" x14ac:dyDescent="0.25">
      <c r="A112" t="s">
        <v>939</v>
      </c>
      <c r="C112" t="s">
        <v>413</v>
      </c>
      <c r="D112" s="560">
        <v>101</v>
      </c>
      <c r="G112">
        <v>1</v>
      </c>
      <c r="K112">
        <v>2</v>
      </c>
      <c r="L112">
        <v>2</v>
      </c>
      <c r="M112">
        <v>1</v>
      </c>
      <c r="Y112">
        <f t="shared" si="1"/>
        <v>6</v>
      </c>
    </row>
    <row r="113" spans="1:25" x14ac:dyDescent="0.25">
      <c r="A113" t="s">
        <v>940</v>
      </c>
      <c r="C113" t="s">
        <v>415</v>
      </c>
      <c r="D113" s="560">
        <v>112</v>
      </c>
      <c r="E113">
        <v>24</v>
      </c>
      <c r="F113">
        <v>39</v>
      </c>
      <c r="G113">
        <v>43</v>
      </c>
      <c r="H113">
        <v>57</v>
      </c>
      <c r="I113">
        <v>48</v>
      </c>
      <c r="J113">
        <v>50</v>
      </c>
      <c r="K113">
        <v>68</v>
      </c>
      <c r="L113">
        <v>71</v>
      </c>
      <c r="M113">
        <v>62</v>
      </c>
      <c r="N113">
        <v>51</v>
      </c>
      <c r="O113">
        <v>57</v>
      </c>
      <c r="P113">
        <v>64</v>
      </c>
      <c r="Q113">
        <v>72</v>
      </c>
      <c r="R113">
        <v>57</v>
      </c>
      <c r="S113">
        <v>54</v>
      </c>
      <c r="T113">
        <v>11</v>
      </c>
      <c r="U113">
        <v>2</v>
      </c>
      <c r="V113">
        <v>5</v>
      </c>
      <c r="W113">
        <v>2</v>
      </c>
      <c r="Y113">
        <f t="shared" si="1"/>
        <v>837</v>
      </c>
    </row>
    <row r="114" spans="1:25" x14ac:dyDescent="0.25">
      <c r="A114" t="s">
        <v>941</v>
      </c>
      <c r="C114" t="s">
        <v>417</v>
      </c>
      <c r="D114" s="560">
        <v>123</v>
      </c>
      <c r="E114">
        <v>64</v>
      </c>
      <c r="F114">
        <v>120</v>
      </c>
      <c r="G114">
        <v>143</v>
      </c>
      <c r="H114">
        <v>180</v>
      </c>
      <c r="I114">
        <v>209</v>
      </c>
      <c r="J114">
        <v>258</v>
      </c>
      <c r="K114">
        <v>242</v>
      </c>
      <c r="L114">
        <v>233</v>
      </c>
      <c r="M114">
        <v>174</v>
      </c>
      <c r="N114">
        <v>181</v>
      </c>
      <c r="O114">
        <v>158</v>
      </c>
      <c r="P114">
        <v>170</v>
      </c>
      <c r="Q114">
        <v>166</v>
      </c>
      <c r="R114">
        <v>157</v>
      </c>
      <c r="S114">
        <v>135</v>
      </c>
      <c r="T114">
        <v>67</v>
      </c>
      <c r="U114">
        <v>30</v>
      </c>
      <c r="V114">
        <v>18</v>
      </c>
      <c r="W114">
        <v>4</v>
      </c>
      <c r="Y114">
        <f t="shared" si="1"/>
        <v>2709</v>
      </c>
    </row>
    <row r="115" spans="1:25" x14ac:dyDescent="0.25">
      <c r="A115" t="s">
        <v>942</v>
      </c>
      <c r="C115" t="s">
        <v>419</v>
      </c>
      <c r="D115" s="560">
        <v>121</v>
      </c>
      <c r="E115">
        <v>107</v>
      </c>
      <c r="F115">
        <v>170</v>
      </c>
      <c r="G115">
        <v>181</v>
      </c>
      <c r="H115">
        <v>208</v>
      </c>
      <c r="I115">
        <v>239</v>
      </c>
      <c r="J115">
        <v>254</v>
      </c>
      <c r="K115">
        <v>280</v>
      </c>
      <c r="L115">
        <v>256</v>
      </c>
      <c r="M115">
        <v>275</v>
      </c>
      <c r="N115">
        <v>234</v>
      </c>
      <c r="O115">
        <v>225</v>
      </c>
      <c r="P115">
        <v>204</v>
      </c>
      <c r="Q115">
        <v>197</v>
      </c>
      <c r="R115">
        <v>212</v>
      </c>
      <c r="S115">
        <v>190</v>
      </c>
      <c r="T115">
        <v>73</v>
      </c>
      <c r="U115">
        <v>41</v>
      </c>
      <c r="V115">
        <v>26</v>
      </c>
      <c r="W115">
        <v>11</v>
      </c>
      <c r="Y115">
        <f t="shared" si="1"/>
        <v>3383</v>
      </c>
    </row>
    <row r="116" spans="1:25" x14ac:dyDescent="0.25">
      <c r="A116" t="s">
        <v>943</v>
      </c>
      <c r="C116" t="s">
        <v>421</v>
      </c>
      <c r="D116" s="560">
        <v>101</v>
      </c>
      <c r="E116">
        <v>2</v>
      </c>
      <c r="F116">
        <v>8</v>
      </c>
      <c r="G116">
        <v>8</v>
      </c>
      <c r="H116">
        <v>9</v>
      </c>
      <c r="I116">
        <v>12</v>
      </c>
      <c r="J116">
        <v>7</v>
      </c>
      <c r="K116">
        <v>15</v>
      </c>
      <c r="L116">
        <v>5</v>
      </c>
      <c r="M116">
        <v>5</v>
      </c>
      <c r="N116">
        <v>4</v>
      </c>
      <c r="O116">
        <v>3</v>
      </c>
      <c r="P116">
        <v>13</v>
      </c>
      <c r="Q116">
        <v>13</v>
      </c>
      <c r="R116">
        <v>16</v>
      </c>
      <c r="S116">
        <v>11</v>
      </c>
      <c r="T116">
        <v>6</v>
      </c>
      <c r="U116">
        <v>2</v>
      </c>
      <c r="V116">
        <v>2</v>
      </c>
      <c r="Y116">
        <f t="shared" si="1"/>
        <v>141</v>
      </c>
    </row>
    <row r="117" spans="1:25" x14ac:dyDescent="0.25">
      <c r="A117" t="s">
        <v>1226</v>
      </c>
      <c r="C117" t="s">
        <v>423</v>
      </c>
      <c r="D117" s="560">
        <v>123</v>
      </c>
      <c r="E117">
        <v>5</v>
      </c>
      <c r="F117">
        <v>8</v>
      </c>
      <c r="G117">
        <v>13</v>
      </c>
      <c r="H117">
        <v>9</v>
      </c>
      <c r="I117">
        <v>13</v>
      </c>
      <c r="J117">
        <v>12</v>
      </c>
      <c r="K117">
        <v>6</v>
      </c>
      <c r="L117">
        <v>15</v>
      </c>
      <c r="M117">
        <v>12</v>
      </c>
      <c r="N117">
        <v>12</v>
      </c>
      <c r="O117">
        <v>16</v>
      </c>
      <c r="P117">
        <v>11</v>
      </c>
      <c r="Q117">
        <v>12</v>
      </c>
      <c r="R117">
        <v>24</v>
      </c>
      <c r="S117">
        <v>13</v>
      </c>
      <c r="T117">
        <v>8</v>
      </c>
      <c r="U117">
        <v>1</v>
      </c>
      <c r="Y117">
        <f t="shared" si="1"/>
        <v>190</v>
      </c>
    </row>
    <row r="118" spans="1:25" x14ac:dyDescent="0.25">
      <c r="A118" t="s">
        <v>945</v>
      </c>
      <c r="C118" t="s">
        <v>425</v>
      </c>
      <c r="D118" s="560">
        <v>105</v>
      </c>
      <c r="E118">
        <v>2</v>
      </c>
      <c r="F118">
        <v>1</v>
      </c>
      <c r="G118">
        <v>5</v>
      </c>
      <c r="I118">
        <v>5</v>
      </c>
      <c r="J118">
        <v>3</v>
      </c>
      <c r="K118">
        <v>8</v>
      </c>
      <c r="L118">
        <v>7</v>
      </c>
      <c r="M118">
        <v>7</v>
      </c>
      <c r="N118">
        <v>10</v>
      </c>
      <c r="O118">
        <v>3</v>
      </c>
      <c r="P118">
        <v>3</v>
      </c>
      <c r="Q118">
        <v>4</v>
      </c>
      <c r="R118">
        <v>6</v>
      </c>
      <c r="S118">
        <v>1</v>
      </c>
      <c r="T118">
        <v>8</v>
      </c>
      <c r="U118">
        <v>1</v>
      </c>
      <c r="V118">
        <v>1</v>
      </c>
      <c r="Y118">
        <f t="shared" si="1"/>
        <v>75</v>
      </c>
    </row>
    <row r="119" spans="1:25" x14ac:dyDescent="0.25">
      <c r="A119" t="s">
        <v>1141</v>
      </c>
      <c r="C119" t="s">
        <v>427</v>
      </c>
      <c r="D119" s="560">
        <v>112</v>
      </c>
      <c r="H119">
        <v>2</v>
      </c>
      <c r="I119">
        <v>1</v>
      </c>
      <c r="L119">
        <v>1</v>
      </c>
      <c r="O119">
        <v>2</v>
      </c>
      <c r="Q119">
        <v>2</v>
      </c>
      <c r="R119">
        <v>1</v>
      </c>
      <c r="T119">
        <v>1</v>
      </c>
      <c r="Y119">
        <f t="shared" si="1"/>
        <v>10</v>
      </c>
    </row>
    <row r="120" spans="1:25" x14ac:dyDescent="0.25">
      <c r="A120" t="s">
        <v>946</v>
      </c>
      <c r="C120" t="s">
        <v>429</v>
      </c>
      <c r="D120" s="560">
        <v>112</v>
      </c>
      <c r="E120">
        <v>3</v>
      </c>
      <c r="F120">
        <v>6</v>
      </c>
      <c r="G120">
        <v>6</v>
      </c>
      <c r="H120">
        <v>16</v>
      </c>
      <c r="I120">
        <v>18</v>
      </c>
      <c r="J120">
        <v>18</v>
      </c>
      <c r="K120">
        <v>31</v>
      </c>
      <c r="L120">
        <v>24</v>
      </c>
      <c r="M120">
        <v>24</v>
      </c>
      <c r="N120">
        <v>19</v>
      </c>
      <c r="O120">
        <v>17</v>
      </c>
      <c r="P120">
        <v>20</v>
      </c>
      <c r="Q120">
        <v>27</v>
      </c>
      <c r="R120">
        <v>17</v>
      </c>
      <c r="S120">
        <v>15</v>
      </c>
      <c r="T120">
        <v>5</v>
      </c>
      <c r="U120">
        <v>1</v>
      </c>
      <c r="Y120">
        <f t="shared" si="1"/>
        <v>267</v>
      </c>
    </row>
    <row r="121" spans="1:25" x14ac:dyDescent="0.25">
      <c r="A121" t="s">
        <v>947</v>
      </c>
      <c r="C121" t="s">
        <v>431</v>
      </c>
      <c r="D121" s="560">
        <v>189</v>
      </c>
      <c r="E121">
        <v>3</v>
      </c>
      <c r="F121">
        <v>1</v>
      </c>
      <c r="H121">
        <v>2</v>
      </c>
      <c r="I121">
        <v>10</v>
      </c>
      <c r="J121">
        <v>4</v>
      </c>
      <c r="K121">
        <v>6</v>
      </c>
      <c r="L121">
        <v>8</v>
      </c>
      <c r="M121">
        <v>4</v>
      </c>
      <c r="N121">
        <v>11</v>
      </c>
      <c r="O121">
        <v>7</v>
      </c>
      <c r="P121">
        <v>7</v>
      </c>
      <c r="Q121">
        <v>10</v>
      </c>
      <c r="R121">
        <v>10</v>
      </c>
      <c r="S121">
        <v>6</v>
      </c>
      <c r="T121">
        <v>2</v>
      </c>
      <c r="U121">
        <v>1</v>
      </c>
      <c r="Y121">
        <f t="shared" si="1"/>
        <v>92</v>
      </c>
    </row>
    <row r="122" spans="1:25" x14ac:dyDescent="0.25">
      <c r="A122" t="s">
        <v>1469</v>
      </c>
      <c r="C122" t="s">
        <v>433</v>
      </c>
      <c r="D122" s="560">
        <v>101</v>
      </c>
      <c r="F122">
        <v>1</v>
      </c>
      <c r="I122">
        <v>2</v>
      </c>
      <c r="K122">
        <v>3</v>
      </c>
      <c r="M122">
        <v>1</v>
      </c>
      <c r="R122">
        <v>3</v>
      </c>
      <c r="T122">
        <v>1</v>
      </c>
      <c r="Y122">
        <f t="shared" si="1"/>
        <v>11</v>
      </c>
    </row>
    <row r="123" spans="1:25" x14ac:dyDescent="0.25">
      <c r="A123" t="s">
        <v>948</v>
      </c>
      <c r="C123" t="s">
        <v>435</v>
      </c>
      <c r="D123" s="560">
        <v>171</v>
      </c>
      <c r="E123">
        <v>5</v>
      </c>
      <c r="F123">
        <v>6</v>
      </c>
      <c r="G123">
        <v>4</v>
      </c>
      <c r="H123">
        <v>2</v>
      </c>
      <c r="I123">
        <v>10</v>
      </c>
      <c r="J123">
        <v>8</v>
      </c>
      <c r="K123">
        <v>6</v>
      </c>
      <c r="L123">
        <v>10</v>
      </c>
      <c r="M123">
        <v>9</v>
      </c>
      <c r="N123">
        <v>15</v>
      </c>
      <c r="O123">
        <v>11</v>
      </c>
      <c r="P123">
        <v>6</v>
      </c>
      <c r="Q123">
        <v>17</v>
      </c>
      <c r="R123">
        <v>7</v>
      </c>
      <c r="S123">
        <v>13</v>
      </c>
      <c r="T123">
        <v>5</v>
      </c>
      <c r="U123">
        <v>1</v>
      </c>
      <c r="Y123">
        <f t="shared" si="1"/>
        <v>135</v>
      </c>
    </row>
    <row r="124" spans="1:25" x14ac:dyDescent="0.25">
      <c r="A124" t="s">
        <v>1143</v>
      </c>
      <c r="C124" t="s">
        <v>437</v>
      </c>
      <c r="D124" s="560">
        <v>113</v>
      </c>
      <c r="F124">
        <v>1</v>
      </c>
      <c r="G124">
        <v>1</v>
      </c>
      <c r="H124">
        <v>1</v>
      </c>
      <c r="I124">
        <v>2</v>
      </c>
      <c r="J124">
        <v>3</v>
      </c>
      <c r="K124">
        <v>4</v>
      </c>
      <c r="L124">
        <v>4</v>
      </c>
      <c r="M124">
        <v>4</v>
      </c>
      <c r="N124">
        <v>2</v>
      </c>
      <c r="O124">
        <v>4</v>
      </c>
      <c r="P124">
        <v>6</v>
      </c>
      <c r="Q124">
        <v>2</v>
      </c>
      <c r="R124">
        <v>1</v>
      </c>
      <c r="S124">
        <v>1</v>
      </c>
      <c r="T124">
        <v>2</v>
      </c>
      <c r="Y124">
        <f t="shared" si="1"/>
        <v>38</v>
      </c>
    </row>
    <row r="125" spans="1:25" x14ac:dyDescent="0.25">
      <c r="A125" t="s">
        <v>949</v>
      </c>
      <c r="C125" t="s">
        <v>439</v>
      </c>
      <c r="D125" s="560">
        <v>189</v>
      </c>
      <c r="E125">
        <v>58</v>
      </c>
      <c r="F125">
        <v>98</v>
      </c>
      <c r="G125">
        <v>91</v>
      </c>
      <c r="H125">
        <v>107</v>
      </c>
      <c r="I125">
        <v>116</v>
      </c>
      <c r="J125">
        <v>126</v>
      </c>
      <c r="K125">
        <v>104</v>
      </c>
      <c r="L125">
        <v>129</v>
      </c>
      <c r="M125">
        <v>126</v>
      </c>
      <c r="N125">
        <v>102</v>
      </c>
      <c r="O125">
        <v>101</v>
      </c>
      <c r="P125">
        <v>117</v>
      </c>
      <c r="Q125">
        <v>91</v>
      </c>
      <c r="R125">
        <v>99</v>
      </c>
      <c r="S125">
        <v>97</v>
      </c>
      <c r="T125">
        <v>27</v>
      </c>
      <c r="U125">
        <v>5</v>
      </c>
      <c r="V125">
        <v>6</v>
      </c>
      <c r="W125">
        <v>1</v>
      </c>
      <c r="Y125">
        <f t="shared" si="1"/>
        <v>1601</v>
      </c>
    </row>
    <row r="126" spans="1:25" x14ac:dyDescent="0.25">
      <c r="A126" t="s">
        <v>950</v>
      </c>
      <c r="C126" t="s">
        <v>441</v>
      </c>
      <c r="D126" s="560">
        <v>121</v>
      </c>
      <c r="E126">
        <v>75</v>
      </c>
      <c r="F126">
        <v>130</v>
      </c>
      <c r="G126">
        <v>142</v>
      </c>
      <c r="H126">
        <v>177</v>
      </c>
      <c r="I126">
        <v>207</v>
      </c>
      <c r="J126">
        <v>205</v>
      </c>
      <c r="K126">
        <v>232</v>
      </c>
      <c r="L126">
        <v>230</v>
      </c>
      <c r="M126">
        <v>228</v>
      </c>
      <c r="N126">
        <v>209</v>
      </c>
      <c r="O126">
        <v>180</v>
      </c>
      <c r="P126">
        <v>179</v>
      </c>
      <c r="Q126">
        <v>164</v>
      </c>
      <c r="R126">
        <v>178</v>
      </c>
      <c r="S126">
        <v>177</v>
      </c>
      <c r="T126">
        <v>58</v>
      </c>
      <c r="U126">
        <v>26</v>
      </c>
      <c r="V126">
        <v>18</v>
      </c>
      <c r="W126">
        <v>3</v>
      </c>
      <c r="Y126">
        <f t="shared" si="1"/>
        <v>2818</v>
      </c>
    </row>
    <row r="127" spans="1:25" x14ac:dyDescent="0.25">
      <c r="A127" t="s">
        <v>951</v>
      </c>
      <c r="C127" t="s">
        <v>443</v>
      </c>
      <c r="D127" s="560">
        <v>189</v>
      </c>
      <c r="E127">
        <v>7</v>
      </c>
      <c r="F127">
        <v>21</v>
      </c>
      <c r="G127">
        <v>24</v>
      </c>
      <c r="H127">
        <v>31</v>
      </c>
      <c r="I127">
        <v>34</v>
      </c>
      <c r="J127">
        <v>39</v>
      </c>
      <c r="K127">
        <v>42</v>
      </c>
      <c r="L127">
        <v>40</v>
      </c>
      <c r="M127">
        <v>39</v>
      </c>
      <c r="N127">
        <v>40</v>
      </c>
      <c r="O127">
        <v>35</v>
      </c>
      <c r="P127">
        <v>38</v>
      </c>
      <c r="Q127">
        <v>38</v>
      </c>
      <c r="R127">
        <v>30</v>
      </c>
      <c r="S127">
        <v>26</v>
      </c>
      <c r="T127">
        <v>8</v>
      </c>
      <c r="U127">
        <v>1</v>
      </c>
      <c r="V127">
        <v>1</v>
      </c>
      <c r="W127">
        <v>1</v>
      </c>
      <c r="Y127">
        <f t="shared" si="1"/>
        <v>495</v>
      </c>
    </row>
    <row r="128" spans="1:25" x14ac:dyDescent="0.25">
      <c r="A128" t="s">
        <v>952</v>
      </c>
      <c r="C128" t="s">
        <v>445</v>
      </c>
      <c r="D128" s="560">
        <v>101</v>
      </c>
      <c r="L128">
        <v>2</v>
      </c>
      <c r="M128">
        <v>1</v>
      </c>
      <c r="N128">
        <v>2</v>
      </c>
      <c r="P128">
        <v>1</v>
      </c>
      <c r="Y128">
        <f t="shared" si="1"/>
        <v>6</v>
      </c>
    </row>
    <row r="129" spans="1:25" x14ac:dyDescent="0.25">
      <c r="A129" t="s">
        <v>953</v>
      </c>
      <c r="C129" t="s">
        <v>447</v>
      </c>
      <c r="D129" s="560">
        <v>101</v>
      </c>
      <c r="F129">
        <v>1</v>
      </c>
      <c r="H129">
        <v>2</v>
      </c>
      <c r="I129">
        <v>1</v>
      </c>
      <c r="J129">
        <v>5</v>
      </c>
      <c r="K129">
        <v>10</v>
      </c>
      <c r="L129">
        <v>5</v>
      </c>
      <c r="M129">
        <v>4</v>
      </c>
      <c r="N129">
        <v>6</v>
      </c>
      <c r="O129">
        <v>4</v>
      </c>
      <c r="P129">
        <v>4</v>
      </c>
      <c r="Q129">
        <v>10</v>
      </c>
      <c r="R129">
        <v>2</v>
      </c>
      <c r="S129">
        <v>3</v>
      </c>
      <c r="T129">
        <v>3</v>
      </c>
      <c r="U129">
        <v>1</v>
      </c>
      <c r="Y129">
        <f t="shared" si="1"/>
        <v>61</v>
      </c>
    </row>
    <row r="130" spans="1:25" x14ac:dyDescent="0.25">
      <c r="A130" t="s">
        <v>954</v>
      </c>
      <c r="C130" t="s">
        <v>449</v>
      </c>
      <c r="D130" s="560">
        <v>101</v>
      </c>
      <c r="H130">
        <v>3</v>
      </c>
      <c r="K130">
        <v>2</v>
      </c>
      <c r="L130">
        <v>5</v>
      </c>
      <c r="M130">
        <v>2</v>
      </c>
      <c r="N130">
        <v>1</v>
      </c>
      <c r="O130">
        <v>1</v>
      </c>
      <c r="P130">
        <v>2</v>
      </c>
      <c r="Q130">
        <v>1</v>
      </c>
      <c r="R130">
        <v>1</v>
      </c>
      <c r="S130">
        <v>1</v>
      </c>
      <c r="Y130">
        <f t="shared" si="1"/>
        <v>19</v>
      </c>
    </row>
    <row r="131" spans="1:25" x14ac:dyDescent="0.25">
      <c r="A131" t="s">
        <v>955</v>
      </c>
      <c r="C131" t="s">
        <v>451</v>
      </c>
      <c r="D131" s="560">
        <v>112</v>
      </c>
      <c r="E131">
        <v>43</v>
      </c>
      <c r="F131">
        <v>59</v>
      </c>
      <c r="G131">
        <v>69</v>
      </c>
      <c r="H131">
        <v>66</v>
      </c>
      <c r="I131">
        <v>87</v>
      </c>
      <c r="J131">
        <v>84</v>
      </c>
      <c r="K131">
        <v>100</v>
      </c>
      <c r="L131">
        <v>98</v>
      </c>
      <c r="M131">
        <v>104</v>
      </c>
      <c r="N131">
        <v>82</v>
      </c>
      <c r="O131">
        <v>101</v>
      </c>
      <c r="P131">
        <v>80</v>
      </c>
      <c r="Q131">
        <v>80</v>
      </c>
      <c r="R131">
        <v>58</v>
      </c>
      <c r="S131">
        <v>61</v>
      </c>
      <c r="T131">
        <v>16</v>
      </c>
      <c r="U131">
        <v>7</v>
      </c>
      <c r="V131">
        <v>7</v>
      </c>
      <c r="W131">
        <v>1</v>
      </c>
      <c r="Y131">
        <f t="shared" si="1"/>
        <v>1203</v>
      </c>
    </row>
    <row r="132" spans="1:25" x14ac:dyDescent="0.25">
      <c r="A132" t="s">
        <v>956</v>
      </c>
      <c r="C132" t="s">
        <v>453</v>
      </c>
      <c r="D132" s="560">
        <v>101</v>
      </c>
      <c r="E132">
        <v>1</v>
      </c>
      <c r="G132">
        <v>1</v>
      </c>
      <c r="I132">
        <v>1</v>
      </c>
      <c r="J132">
        <v>3</v>
      </c>
      <c r="K132">
        <v>2</v>
      </c>
      <c r="L132">
        <v>4</v>
      </c>
      <c r="M132">
        <v>2</v>
      </c>
      <c r="N132">
        <v>2</v>
      </c>
      <c r="Y132">
        <f t="shared" si="1"/>
        <v>16</v>
      </c>
    </row>
    <row r="133" spans="1:25" x14ac:dyDescent="0.25">
      <c r="A133" t="s">
        <v>1240</v>
      </c>
      <c r="C133" t="s">
        <v>455</v>
      </c>
      <c r="D133" s="560">
        <v>189</v>
      </c>
      <c r="E133">
        <v>1</v>
      </c>
      <c r="F133">
        <v>1</v>
      </c>
      <c r="G133">
        <v>1</v>
      </c>
      <c r="H133">
        <v>4</v>
      </c>
      <c r="I133">
        <v>2</v>
      </c>
      <c r="J133">
        <v>3</v>
      </c>
      <c r="K133">
        <v>3</v>
      </c>
      <c r="L133">
        <v>7</v>
      </c>
      <c r="M133">
        <v>2</v>
      </c>
      <c r="N133">
        <v>5</v>
      </c>
      <c r="O133">
        <v>8</v>
      </c>
      <c r="P133">
        <v>2</v>
      </c>
      <c r="Q133">
        <v>5</v>
      </c>
      <c r="R133">
        <v>1</v>
      </c>
      <c r="S133">
        <v>4</v>
      </c>
      <c r="T133">
        <v>2</v>
      </c>
      <c r="Y133">
        <f t="shared" ref="Y133:Y196" si="2">SUM(E133:W133)</f>
        <v>51</v>
      </c>
    </row>
    <row r="134" spans="1:25" x14ac:dyDescent="0.25">
      <c r="A134" t="s">
        <v>1440</v>
      </c>
      <c r="C134" t="s">
        <v>457</v>
      </c>
      <c r="D134" s="561" t="s">
        <v>194</v>
      </c>
      <c r="R134">
        <v>2</v>
      </c>
      <c r="S134">
        <v>2</v>
      </c>
      <c r="Y134">
        <f t="shared" si="2"/>
        <v>4</v>
      </c>
    </row>
    <row r="135" spans="1:25" x14ac:dyDescent="0.25">
      <c r="A135" t="s">
        <v>958</v>
      </c>
      <c r="C135" t="s">
        <v>458</v>
      </c>
      <c r="D135" s="560">
        <v>112</v>
      </c>
      <c r="H135">
        <v>4</v>
      </c>
      <c r="I135">
        <v>2</v>
      </c>
      <c r="K135">
        <v>2</v>
      </c>
      <c r="L135">
        <v>5</v>
      </c>
      <c r="M135">
        <v>5</v>
      </c>
      <c r="N135">
        <v>4</v>
      </c>
      <c r="O135">
        <v>1</v>
      </c>
      <c r="P135">
        <v>2</v>
      </c>
      <c r="Q135">
        <v>1</v>
      </c>
      <c r="S135">
        <v>4</v>
      </c>
      <c r="T135">
        <v>2</v>
      </c>
      <c r="Y135">
        <f t="shared" si="2"/>
        <v>32</v>
      </c>
    </row>
    <row r="136" spans="1:25" x14ac:dyDescent="0.25">
      <c r="A136" t="s">
        <v>959</v>
      </c>
      <c r="C136" t="s">
        <v>460</v>
      </c>
      <c r="D136" s="560">
        <v>189</v>
      </c>
      <c r="E136">
        <v>21</v>
      </c>
      <c r="F136">
        <v>22</v>
      </c>
      <c r="G136">
        <v>31</v>
      </c>
      <c r="H136">
        <v>33</v>
      </c>
      <c r="I136">
        <v>39</v>
      </c>
      <c r="J136">
        <v>42</v>
      </c>
      <c r="K136">
        <v>47</v>
      </c>
      <c r="L136">
        <v>28</v>
      </c>
      <c r="M136">
        <v>54</v>
      </c>
      <c r="N136">
        <v>33</v>
      </c>
      <c r="O136">
        <v>33</v>
      </c>
      <c r="P136">
        <v>27</v>
      </c>
      <c r="Q136">
        <v>37</v>
      </c>
      <c r="R136">
        <v>27</v>
      </c>
      <c r="S136">
        <v>34</v>
      </c>
      <c r="T136">
        <v>15</v>
      </c>
      <c r="U136">
        <v>2</v>
      </c>
      <c r="V136">
        <v>2</v>
      </c>
      <c r="W136">
        <v>1</v>
      </c>
      <c r="Y136">
        <f t="shared" si="2"/>
        <v>528</v>
      </c>
    </row>
    <row r="137" spans="1:25" x14ac:dyDescent="0.25">
      <c r="A137" t="s">
        <v>960</v>
      </c>
      <c r="C137" t="s">
        <v>462</v>
      </c>
      <c r="D137" s="560">
        <v>105</v>
      </c>
      <c r="E137">
        <v>1</v>
      </c>
      <c r="F137">
        <v>4</v>
      </c>
      <c r="G137">
        <v>7</v>
      </c>
      <c r="H137">
        <v>6</v>
      </c>
      <c r="I137">
        <v>3</v>
      </c>
      <c r="J137">
        <v>6</v>
      </c>
      <c r="K137">
        <v>9</v>
      </c>
      <c r="L137">
        <v>3</v>
      </c>
      <c r="M137">
        <v>8</v>
      </c>
      <c r="N137">
        <v>6</v>
      </c>
      <c r="O137">
        <v>10</v>
      </c>
      <c r="P137">
        <v>4</v>
      </c>
      <c r="Q137">
        <v>5</v>
      </c>
      <c r="R137">
        <v>6</v>
      </c>
      <c r="S137">
        <v>5</v>
      </c>
      <c r="T137">
        <v>1</v>
      </c>
      <c r="U137">
        <v>1</v>
      </c>
      <c r="Y137">
        <f t="shared" si="2"/>
        <v>85</v>
      </c>
    </row>
    <row r="138" spans="1:25" x14ac:dyDescent="0.25">
      <c r="A138" t="s">
        <v>961</v>
      </c>
      <c r="C138" t="s">
        <v>464</v>
      </c>
      <c r="D138" s="560">
        <v>171</v>
      </c>
      <c r="E138">
        <v>2</v>
      </c>
      <c r="H138">
        <v>1</v>
      </c>
      <c r="I138">
        <v>3</v>
      </c>
      <c r="J138">
        <v>2</v>
      </c>
      <c r="L138">
        <v>1</v>
      </c>
      <c r="M138">
        <v>1</v>
      </c>
      <c r="N138">
        <v>1</v>
      </c>
      <c r="O138">
        <v>1</v>
      </c>
      <c r="Q138">
        <v>2</v>
      </c>
      <c r="Y138">
        <f t="shared" si="2"/>
        <v>14</v>
      </c>
    </row>
    <row r="139" spans="1:25" x14ac:dyDescent="0.25">
      <c r="A139" t="s">
        <v>962</v>
      </c>
      <c r="C139" t="s">
        <v>466</v>
      </c>
      <c r="D139" s="560">
        <v>171</v>
      </c>
      <c r="E139">
        <v>2</v>
      </c>
      <c r="F139">
        <v>1</v>
      </c>
      <c r="G139">
        <v>2</v>
      </c>
      <c r="H139">
        <v>6</v>
      </c>
      <c r="I139">
        <v>8</v>
      </c>
      <c r="J139">
        <v>6</v>
      </c>
      <c r="K139">
        <v>4</v>
      </c>
      <c r="L139">
        <v>4</v>
      </c>
      <c r="M139">
        <v>8</v>
      </c>
      <c r="N139">
        <v>9</v>
      </c>
      <c r="O139">
        <v>6</v>
      </c>
      <c r="P139">
        <v>7</v>
      </c>
      <c r="Q139">
        <v>6</v>
      </c>
      <c r="R139">
        <v>6</v>
      </c>
      <c r="S139">
        <v>6</v>
      </c>
      <c r="T139">
        <v>3</v>
      </c>
      <c r="Y139">
        <f t="shared" si="2"/>
        <v>84</v>
      </c>
    </row>
    <row r="140" spans="1:25" x14ac:dyDescent="0.25">
      <c r="A140" t="s">
        <v>1235</v>
      </c>
      <c r="C140" t="s">
        <v>468</v>
      </c>
      <c r="D140" s="560">
        <v>113</v>
      </c>
      <c r="F140">
        <v>1</v>
      </c>
      <c r="G140">
        <v>2</v>
      </c>
      <c r="H140">
        <v>7</v>
      </c>
      <c r="I140">
        <v>6</v>
      </c>
      <c r="J140">
        <v>14</v>
      </c>
      <c r="K140">
        <v>18</v>
      </c>
      <c r="L140">
        <v>18</v>
      </c>
      <c r="M140">
        <v>18</v>
      </c>
      <c r="N140">
        <v>29</v>
      </c>
      <c r="O140">
        <v>16</v>
      </c>
      <c r="P140">
        <v>10</v>
      </c>
      <c r="Q140">
        <v>1</v>
      </c>
      <c r="R140">
        <v>3</v>
      </c>
      <c r="S140">
        <v>1</v>
      </c>
      <c r="Y140">
        <f t="shared" si="2"/>
        <v>144</v>
      </c>
    </row>
    <row r="141" spans="1:25" x14ac:dyDescent="0.25">
      <c r="A141" t="s">
        <v>964</v>
      </c>
      <c r="C141" t="s">
        <v>470</v>
      </c>
      <c r="D141" s="560">
        <v>101</v>
      </c>
      <c r="F141">
        <v>1</v>
      </c>
      <c r="H141">
        <v>5</v>
      </c>
      <c r="I141">
        <v>3</v>
      </c>
      <c r="J141">
        <v>3</v>
      </c>
      <c r="K141">
        <v>5</v>
      </c>
      <c r="M141">
        <v>1</v>
      </c>
      <c r="N141">
        <v>4</v>
      </c>
      <c r="O141">
        <v>4</v>
      </c>
      <c r="P141">
        <v>7</v>
      </c>
      <c r="Q141">
        <v>4</v>
      </c>
      <c r="R141">
        <v>4</v>
      </c>
      <c r="S141">
        <v>6</v>
      </c>
      <c r="T141">
        <v>2</v>
      </c>
      <c r="U141">
        <v>1</v>
      </c>
      <c r="Y141">
        <f t="shared" si="2"/>
        <v>50</v>
      </c>
    </row>
    <row r="142" spans="1:25" x14ac:dyDescent="0.25">
      <c r="A142" t="s">
        <v>965</v>
      </c>
      <c r="C142" t="s">
        <v>472</v>
      </c>
      <c r="D142" s="560">
        <v>189</v>
      </c>
      <c r="E142">
        <v>47</v>
      </c>
      <c r="F142">
        <v>71</v>
      </c>
      <c r="G142">
        <v>79</v>
      </c>
      <c r="H142">
        <v>107</v>
      </c>
      <c r="I142">
        <v>122</v>
      </c>
      <c r="J142">
        <v>139</v>
      </c>
      <c r="K142">
        <v>141</v>
      </c>
      <c r="L142">
        <v>122</v>
      </c>
      <c r="M142">
        <v>120</v>
      </c>
      <c r="N142">
        <v>99</v>
      </c>
      <c r="O142">
        <v>111</v>
      </c>
      <c r="P142">
        <v>114</v>
      </c>
      <c r="Q142">
        <v>115</v>
      </c>
      <c r="R142">
        <v>130</v>
      </c>
      <c r="S142">
        <v>99</v>
      </c>
      <c r="T142">
        <v>36</v>
      </c>
      <c r="U142">
        <v>20</v>
      </c>
      <c r="V142">
        <v>12</v>
      </c>
      <c r="W142">
        <v>2</v>
      </c>
      <c r="Y142">
        <f t="shared" si="2"/>
        <v>1686</v>
      </c>
    </row>
    <row r="143" spans="1:25" x14ac:dyDescent="0.25">
      <c r="A143" t="s">
        <v>1229</v>
      </c>
      <c r="C143" t="s">
        <v>474</v>
      </c>
      <c r="D143" s="560">
        <v>113</v>
      </c>
      <c r="E143">
        <v>1</v>
      </c>
      <c r="F143">
        <v>3</v>
      </c>
      <c r="G143">
        <v>5</v>
      </c>
      <c r="H143">
        <v>1</v>
      </c>
      <c r="I143">
        <v>8</v>
      </c>
      <c r="J143">
        <v>6</v>
      </c>
      <c r="K143">
        <v>7</v>
      </c>
      <c r="L143">
        <v>11</v>
      </c>
      <c r="M143">
        <v>8</v>
      </c>
      <c r="N143">
        <v>7</v>
      </c>
      <c r="O143">
        <v>8</v>
      </c>
      <c r="P143">
        <v>2</v>
      </c>
      <c r="Y143">
        <f t="shared" si="2"/>
        <v>67</v>
      </c>
    </row>
    <row r="144" spans="1:25" x14ac:dyDescent="0.25">
      <c r="A144" t="s">
        <v>967</v>
      </c>
      <c r="C144" t="s">
        <v>476</v>
      </c>
      <c r="D144" s="560">
        <v>101</v>
      </c>
      <c r="E144">
        <v>50</v>
      </c>
      <c r="F144">
        <v>46</v>
      </c>
      <c r="G144">
        <v>54</v>
      </c>
      <c r="H144">
        <v>112</v>
      </c>
      <c r="I144">
        <v>145</v>
      </c>
      <c r="J144">
        <v>138</v>
      </c>
      <c r="K144">
        <v>148</v>
      </c>
      <c r="L144">
        <v>144</v>
      </c>
      <c r="M144">
        <v>117</v>
      </c>
      <c r="N144">
        <v>122</v>
      </c>
      <c r="O144">
        <v>97</v>
      </c>
      <c r="P144">
        <v>118</v>
      </c>
      <c r="Q144">
        <v>107</v>
      </c>
      <c r="R144">
        <v>96</v>
      </c>
      <c r="S144">
        <v>114</v>
      </c>
      <c r="T144">
        <v>37</v>
      </c>
      <c r="U144">
        <v>12</v>
      </c>
      <c r="V144">
        <v>10</v>
      </c>
      <c r="W144">
        <v>1</v>
      </c>
      <c r="Y144">
        <f t="shared" si="2"/>
        <v>1668</v>
      </c>
    </row>
    <row r="145" spans="1:25" x14ac:dyDescent="0.25">
      <c r="A145" t="s">
        <v>968</v>
      </c>
      <c r="C145" t="s">
        <v>478</v>
      </c>
      <c r="D145" s="560">
        <v>101</v>
      </c>
      <c r="E145">
        <v>9</v>
      </c>
      <c r="F145">
        <v>12</v>
      </c>
      <c r="G145">
        <v>12</v>
      </c>
      <c r="H145">
        <v>12</v>
      </c>
      <c r="I145">
        <v>27</v>
      </c>
      <c r="J145">
        <v>14</v>
      </c>
      <c r="K145">
        <v>16</v>
      </c>
      <c r="L145">
        <v>22</v>
      </c>
      <c r="M145">
        <v>11</v>
      </c>
      <c r="N145">
        <v>18</v>
      </c>
      <c r="O145">
        <v>11</v>
      </c>
      <c r="P145">
        <v>20</v>
      </c>
      <c r="Q145">
        <v>11</v>
      </c>
      <c r="R145">
        <v>7</v>
      </c>
      <c r="S145">
        <v>21</v>
      </c>
      <c r="T145">
        <v>8</v>
      </c>
      <c r="Y145">
        <f t="shared" si="2"/>
        <v>231</v>
      </c>
    </row>
    <row r="146" spans="1:25" x14ac:dyDescent="0.25">
      <c r="A146" t="s">
        <v>969</v>
      </c>
      <c r="B146" t="s">
        <v>1133</v>
      </c>
      <c r="C146" t="s">
        <v>480</v>
      </c>
      <c r="D146" s="560">
        <v>121</v>
      </c>
      <c r="E146">
        <v>8</v>
      </c>
      <c r="F146">
        <v>13</v>
      </c>
      <c r="G146">
        <v>10</v>
      </c>
      <c r="H146">
        <v>18</v>
      </c>
      <c r="I146">
        <v>28</v>
      </c>
      <c r="J146">
        <v>35</v>
      </c>
      <c r="K146">
        <v>36</v>
      </c>
      <c r="L146">
        <v>32</v>
      </c>
      <c r="M146">
        <v>33</v>
      </c>
      <c r="N146">
        <v>28</v>
      </c>
      <c r="O146">
        <v>33</v>
      </c>
      <c r="P146">
        <v>28</v>
      </c>
      <c r="Q146">
        <v>44</v>
      </c>
      <c r="R146">
        <v>38</v>
      </c>
      <c r="S146">
        <v>39</v>
      </c>
      <c r="T146">
        <v>14</v>
      </c>
      <c r="U146">
        <v>6</v>
      </c>
      <c r="V146">
        <v>3</v>
      </c>
      <c r="W146">
        <v>1</v>
      </c>
      <c r="Y146">
        <f t="shared" si="2"/>
        <v>447</v>
      </c>
    </row>
    <row r="147" spans="1:25" x14ac:dyDescent="0.25">
      <c r="A147" t="s">
        <v>970</v>
      </c>
      <c r="C147" t="s">
        <v>482</v>
      </c>
      <c r="D147" s="560">
        <v>189</v>
      </c>
      <c r="E147">
        <v>9</v>
      </c>
      <c r="F147">
        <v>13</v>
      </c>
      <c r="G147">
        <v>8</v>
      </c>
      <c r="H147">
        <v>15</v>
      </c>
      <c r="I147">
        <v>17</v>
      </c>
      <c r="J147">
        <v>16</v>
      </c>
      <c r="K147">
        <v>14</v>
      </c>
      <c r="L147">
        <v>18</v>
      </c>
      <c r="M147">
        <v>11</v>
      </c>
      <c r="N147">
        <v>28</v>
      </c>
      <c r="O147">
        <v>19</v>
      </c>
      <c r="P147">
        <v>17</v>
      </c>
      <c r="Q147">
        <v>11</v>
      </c>
      <c r="R147">
        <v>15</v>
      </c>
      <c r="S147">
        <v>14</v>
      </c>
      <c r="T147">
        <v>4</v>
      </c>
      <c r="U147">
        <v>2</v>
      </c>
      <c r="Y147">
        <f t="shared" si="2"/>
        <v>231</v>
      </c>
    </row>
    <row r="148" spans="1:25" x14ac:dyDescent="0.25">
      <c r="A148" t="s">
        <v>971</v>
      </c>
      <c r="C148" t="s">
        <v>484</v>
      </c>
      <c r="D148" s="560">
        <v>171</v>
      </c>
      <c r="E148">
        <v>3</v>
      </c>
      <c r="F148">
        <v>3</v>
      </c>
      <c r="G148">
        <v>2</v>
      </c>
      <c r="H148">
        <v>6</v>
      </c>
      <c r="I148">
        <v>3</v>
      </c>
      <c r="J148">
        <v>7</v>
      </c>
      <c r="K148">
        <v>7</v>
      </c>
      <c r="L148">
        <v>9</v>
      </c>
      <c r="M148">
        <v>3</v>
      </c>
      <c r="N148">
        <v>9</v>
      </c>
      <c r="O148">
        <v>5</v>
      </c>
      <c r="P148">
        <v>8</v>
      </c>
      <c r="Q148">
        <v>7</v>
      </c>
      <c r="R148">
        <v>10</v>
      </c>
      <c r="S148">
        <v>4</v>
      </c>
      <c r="T148">
        <v>6</v>
      </c>
      <c r="Y148">
        <f t="shared" si="2"/>
        <v>92</v>
      </c>
    </row>
    <row r="149" spans="1:25" x14ac:dyDescent="0.25">
      <c r="A149" t="s">
        <v>972</v>
      </c>
      <c r="C149" t="s">
        <v>486</v>
      </c>
      <c r="D149" s="560">
        <v>112</v>
      </c>
      <c r="H149">
        <v>1</v>
      </c>
      <c r="I149">
        <v>1</v>
      </c>
      <c r="J149">
        <v>1</v>
      </c>
      <c r="K149">
        <v>1</v>
      </c>
      <c r="M149">
        <v>2</v>
      </c>
      <c r="Y149">
        <f t="shared" si="2"/>
        <v>6</v>
      </c>
    </row>
    <row r="150" spans="1:25" x14ac:dyDescent="0.25">
      <c r="A150" t="s">
        <v>973</v>
      </c>
      <c r="C150" t="s">
        <v>488</v>
      </c>
      <c r="D150" s="560">
        <v>189</v>
      </c>
      <c r="E150">
        <v>23</v>
      </c>
      <c r="F150">
        <v>34</v>
      </c>
      <c r="G150">
        <v>33</v>
      </c>
      <c r="H150">
        <v>43</v>
      </c>
      <c r="I150">
        <v>57</v>
      </c>
      <c r="J150">
        <v>51</v>
      </c>
      <c r="K150">
        <v>67</v>
      </c>
      <c r="L150">
        <v>70</v>
      </c>
      <c r="M150">
        <v>62</v>
      </c>
      <c r="N150">
        <v>51</v>
      </c>
      <c r="O150">
        <v>58</v>
      </c>
      <c r="P150">
        <v>55</v>
      </c>
      <c r="Q150">
        <v>54</v>
      </c>
      <c r="R150">
        <v>63</v>
      </c>
      <c r="S150">
        <v>51</v>
      </c>
      <c r="T150">
        <v>21</v>
      </c>
      <c r="U150">
        <v>6</v>
      </c>
      <c r="V150">
        <v>6</v>
      </c>
      <c r="W150">
        <v>2</v>
      </c>
      <c r="Y150">
        <f t="shared" si="2"/>
        <v>807</v>
      </c>
    </row>
    <row r="151" spans="1:25" x14ac:dyDescent="0.25">
      <c r="A151" t="s">
        <v>974</v>
      </c>
      <c r="C151" t="s">
        <v>490</v>
      </c>
      <c r="D151" s="560">
        <v>113</v>
      </c>
      <c r="E151">
        <v>11</v>
      </c>
      <c r="F151">
        <v>18</v>
      </c>
      <c r="G151">
        <v>20</v>
      </c>
      <c r="H151">
        <v>22</v>
      </c>
      <c r="I151">
        <v>19</v>
      </c>
      <c r="J151">
        <v>22</v>
      </c>
      <c r="K151">
        <v>15</v>
      </c>
      <c r="L151">
        <v>14</v>
      </c>
      <c r="M151">
        <v>12</v>
      </c>
      <c r="N151">
        <v>22</v>
      </c>
      <c r="O151">
        <v>17</v>
      </c>
      <c r="P151">
        <v>8</v>
      </c>
      <c r="Q151">
        <v>10</v>
      </c>
      <c r="R151">
        <v>11</v>
      </c>
      <c r="S151">
        <v>7</v>
      </c>
      <c r="T151">
        <v>11</v>
      </c>
      <c r="V151">
        <v>5</v>
      </c>
      <c r="Y151">
        <f t="shared" si="2"/>
        <v>244</v>
      </c>
    </row>
    <row r="152" spans="1:25" x14ac:dyDescent="0.25">
      <c r="A152" t="s">
        <v>975</v>
      </c>
      <c r="C152" t="s">
        <v>492</v>
      </c>
      <c r="D152" s="560">
        <v>113</v>
      </c>
      <c r="E152">
        <v>1</v>
      </c>
      <c r="F152">
        <v>4</v>
      </c>
      <c r="G152">
        <v>4</v>
      </c>
      <c r="H152">
        <v>6</v>
      </c>
      <c r="I152">
        <v>3</v>
      </c>
      <c r="J152">
        <v>8</v>
      </c>
      <c r="K152">
        <v>10</v>
      </c>
      <c r="L152">
        <v>5</v>
      </c>
      <c r="M152">
        <v>2</v>
      </c>
      <c r="N152">
        <v>1</v>
      </c>
      <c r="O152">
        <v>3</v>
      </c>
      <c r="P152">
        <v>3</v>
      </c>
      <c r="Q152">
        <v>4</v>
      </c>
      <c r="R152">
        <v>3</v>
      </c>
      <c r="S152">
        <v>2</v>
      </c>
      <c r="Y152">
        <f t="shared" si="2"/>
        <v>59</v>
      </c>
    </row>
    <row r="153" spans="1:25" x14ac:dyDescent="0.25">
      <c r="A153" t="s">
        <v>976</v>
      </c>
      <c r="C153" t="s">
        <v>494</v>
      </c>
      <c r="D153" s="560">
        <v>171</v>
      </c>
      <c r="E153">
        <v>38</v>
      </c>
      <c r="F153">
        <v>69</v>
      </c>
      <c r="G153">
        <v>80</v>
      </c>
      <c r="H153">
        <v>108</v>
      </c>
      <c r="I153">
        <v>104</v>
      </c>
      <c r="J153">
        <v>99</v>
      </c>
      <c r="K153">
        <v>113</v>
      </c>
      <c r="L153">
        <v>116</v>
      </c>
      <c r="M153">
        <v>101</v>
      </c>
      <c r="N153">
        <v>97</v>
      </c>
      <c r="O153">
        <v>84</v>
      </c>
      <c r="P153">
        <v>86</v>
      </c>
      <c r="Q153">
        <v>77</v>
      </c>
      <c r="R153">
        <v>79</v>
      </c>
      <c r="S153">
        <v>74</v>
      </c>
      <c r="T153">
        <v>38</v>
      </c>
      <c r="U153">
        <v>30</v>
      </c>
      <c r="V153">
        <v>8</v>
      </c>
      <c r="W153">
        <v>4</v>
      </c>
      <c r="Y153">
        <f t="shared" si="2"/>
        <v>1405</v>
      </c>
    </row>
    <row r="154" spans="1:25" x14ac:dyDescent="0.25">
      <c r="A154" t="s">
        <v>977</v>
      </c>
      <c r="C154" t="s">
        <v>496</v>
      </c>
      <c r="D154" s="560">
        <v>113</v>
      </c>
      <c r="F154">
        <v>1</v>
      </c>
      <c r="G154">
        <v>4</v>
      </c>
      <c r="H154">
        <v>3</v>
      </c>
      <c r="I154">
        <v>8</v>
      </c>
      <c r="J154">
        <v>14</v>
      </c>
      <c r="K154">
        <v>15</v>
      </c>
      <c r="L154">
        <v>14</v>
      </c>
      <c r="M154">
        <v>12</v>
      </c>
      <c r="N154">
        <v>11</v>
      </c>
      <c r="O154">
        <v>4</v>
      </c>
      <c r="P154">
        <v>10</v>
      </c>
      <c r="Q154">
        <v>7</v>
      </c>
      <c r="R154">
        <v>6</v>
      </c>
      <c r="S154">
        <v>5</v>
      </c>
      <c r="T154">
        <v>5</v>
      </c>
      <c r="Y154">
        <f t="shared" si="2"/>
        <v>119</v>
      </c>
    </row>
    <row r="155" spans="1:25" x14ac:dyDescent="0.25">
      <c r="A155" t="s">
        <v>978</v>
      </c>
      <c r="C155" t="s">
        <v>498</v>
      </c>
      <c r="D155" s="560">
        <v>105</v>
      </c>
      <c r="E155">
        <v>2</v>
      </c>
      <c r="F155">
        <v>3</v>
      </c>
      <c r="G155">
        <v>3</v>
      </c>
      <c r="H155">
        <v>4</v>
      </c>
      <c r="I155">
        <v>12</v>
      </c>
      <c r="J155">
        <v>9</v>
      </c>
      <c r="K155">
        <v>6</v>
      </c>
      <c r="L155">
        <v>6</v>
      </c>
      <c r="M155">
        <v>8</v>
      </c>
      <c r="N155">
        <v>12</v>
      </c>
      <c r="O155">
        <v>9</v>
      </c>
      <c r="P155">
        <v>16</v>
      </c>
      <c r="Q155">
        <v>14</v>
      </c>
      <c r="R155">
        <v>8</v>
      </c>
      <c r="S155">
        <v>7</v>
      </c>
      <c r="T155">
        <v>4</v>
      </c>
      <c r="V155">
        <v>1</v>
      </c>
      <c r="Y155">
        <f t="shared" si="2"/>
        <v>124</v>
      </c>
    </row>
    <row r="156" spans="1:25" x14ac:dyDescent="0.25">
      <c r="A156" t="s">
        <v>979</v>
      </c>
      <c r="C156" t="s">
        <v>500</v>
      </c>
      <c r="D156" s="560">
        <v>189</v>
      </c>
      <c r="E156">
        <v>13</v>
      </c>
      <c r="F156">
        <v>14</v>
      </c>
      <c r="G156">
        <v>15</v>
      </c>
      <c r="H156">
        <v>21</v>
      </c>
      <c r="I156">
        <v>19</v>
      </c>
      <c r="J156">
        <v>33</v>
      </c>
      <c r="K156">
        <v>22</v>
      </c>
      <c r="L156">
        <v>34</v>
      </c>
      <c r="M156">
        <v>29</v>
      </c>
      <c r="N156">
        <v>25</v>
      </c>
      <c r="O156">
        <v>20</v>
      </c>
      <c r="P156">
        <v>15</v>
      </c>
      <c r="Q156">
        <v>27</v>
      </c>
      <c r="R156">
        <v>17</v>
      </c>
      <c r="S156">
        <v>16</v>
      </c>
      <c r="T156">
        <v>3</v>
      </c>
      <c r="U156">
        <v>2</v>
      </c>
      <c r="V156">
        <v>1</v>
      </c>
      <c r="Y156">
        <f t="shared" si="2"/>
        <v>326</v>
      </c>
    </row>
    <row r="157" spans="1:25" x14ac:dyDescent="0.25">
      <c r="A157" t="s">
        <v>980</v>
      </c>
      <c r="C157" t="s">
        <v>502</v>
      </c>
      <c r="D157" s="560">
        <v>112</v>
      </c>
      <c r="G157">
        <v>1</v>
      </c>
      <c r="H157">
        <v>1</v>
      </c>
      <c r="L157">
        <v>4</v>
      </c>
      <c r="N157">
        <v>1</v>
      </c>
      <c r="O157">
        <v>1</v>
      </c>
      <c r="Y157">
        <f t="shared" si="2"/>
        <v>8</v>
      </c>
    </row>
    <row r="158" spans="1:25" x14ac:dyDescent="0.25">
      <c r="A158" t="s">
        <v>981</v>
      </c>
      <c r="C158" t="s">
        <v>504</v>
      </c>
      <c r="D158" s="560">
        <v>189</v>
      </c>
      <c r="E158">
        <v>37</v>
      </c>
      <c r="F158">
        <v>78</v>
      </c>
      <c r="G158">
        <v>68</v>
      </c>
      <c r="H158">
        <v>85</v>
      </c>
      <c r="I158">
        <v>79</v>
      </c>
      <c r="J158">
        <v>72</v>
      </c>
      <c r="K158">
        <v>83</v>
      </c>
      <c r="L158">
        <v>65</v>
      </c>
      <c r="M158">
        <v>72</v>
      </c>
      <c r="N158">
        <v>79</v>
      </c>
      <c r="O158">
        <v>46</v>
      </c>
      <c r="P158">
        <v>47</v>
      </c>
      <c r="Q158">
        <v>62</v>
      </c>
      <c r="R158">
        <v>52</v>
      </c>
      <c r="S158">
        <v>70</v>
      </c>
      <c r="T158">
        <v>28</v>
      </c>
      <c r="U158">
        <v>14</v>
      </c>
      <c r="V158">
        <v>6</v>
      </c>
      <c r="W158">
        <v>2</v>
      </c>
      <c r="Y158">
        <f t="shared" si="2"/>
        <v>1045</v>
      </c>
    </row>
    <row r="159" spans="1:25" x14ac:dyDescent="0.25">
      <c r="A159" t="s">
        <v>982</v>
      </c>
      <c r="C159" t="s">
        <v>506</v>
      </c>
      <c r="D159" s="560">
        <v>189</v>
      </c>
      <c r="E159">
        <v>76</v>
      </c>
      <c r="F159">
        <v>96</v>
      </c>
      <c r="G159">
        <v>111</v>
      </c>
      <c r="H159">
        <v>150</v>
      </c>
      <c r="I159">
        <v>178</v>
      </c>
      <c r="J159">
        <v>151</v>
      </c>
      <c r="K159">
        <v>200</v>
      </c>
      <c r="L159">
        <v>145</v>
      </c>
      <c r="M159">
        <v>174</v>
      </c>
      <c r="N159">
        <v>167</v>
      </c>
      <c r="O159">
        <v>161</v>
      </c>
      <c r="P159">
        <v>172</v>
      </c>
      <c r="Q159">
        <v>161</v>
      </c>
      <c r="R159">
        <v>158</v>
      </c>
      <c r="S159">
        <v>108</v>
      </c>
      <c r="T159">
        <v>44</v>
      </c>
      <c r="U159">
        <v>16</v>
      </c>
      <c r="V159">
        <v>14</v>
      </c>
      <c r="W159">
        <v>2</v>
      </c>
      <c r="Y159">
        <f t="shared" si="2"/>
        <v>2284</v>
      </c>
    </row>
    <row r="160" spans="1:25" x14ac:dyDescent="0.25">
      <c r="A160" t="s">
        <v>983</v>
      </c>
      <c r="C160" t="s">
        <v>508</v>
      </c>
      <c r="D160" s="560">
        <v>105</v>
      </c>
      <c r="E160">
        <v>6</v>
      </c>
      <c r="F160">
        <v>7</v>
      </c>
      <c r="G160">
        <v>8</v>
      </c>
      <c r="H160">
        <v>16</v>
      </c>
      <c r="I160">
        <v>24</v>
      </c>
      <c r="J160">
        <v>25</v>
      </c>
      <c r="K160">
        <v>16</v>
      </c>
      <c r="L160">
        <v>15</v>
      </c>
      <c r="M160">
        <v>17</v>
      </c>
      <c r="N160">
        <v>10</v>
      </c>
      <c r="O160">
        <v>10</v>
      </c>
      <c r="P160">
        <v>15</v>
      </c>
      <c r="Q160">
        <v>7</v>
      </c>
      <c r="R160">
        <v>10</v>
      </c>
      <c r="S160">
        <v>9</v>
      </c>
      <c r="T160">
        <v>5</v>
      </c>
      <c r="U160">
        <v>1</v>
      </c>
      <c r="Y160">
        <f t="shared" si="2"/>
        <v>201</v>
      </c>
    </row>
    <row r="161" spans="1:25" x14ac:dyDescent="0.25">
      <c r="A161" t="s">
        <v>984</v>
      </c>
      <c r="C161" t="s">
        <v>510</v>
      </c>
      <c r="D161" s="560">
        <v>113</v>
      </c>
      <c r="E161">
        <v>9</v>
      </c>
      <c r="G161">
        <v>6</v>
      </c>
      <c r="H161">
        <v>7</v>
      </c>
      <c r="I161">
        <v>5</v>
      </c>
      <c r="J161">
        <v>10</v>
      </c>
      <c r="K161">
        <v>6</v>
      </c>
      <c r="L161">
        <v>6</v>
      </c>
      <c r="M161">
        <v>6</v>
      </c>
      <c r="N161">
        <v>6</v>
      </c>
      <c r="O161">
        <v>6</v>
      </c>
      <c r="P161">
        <v>7</v>
      </c>
      <c r="Q161">
        <v>4</v>
      </c>
      <c r="R161">
        <v>11</v>
      </c>
      <c r="S161">
        <v>2</v>
      </c>
      <c r="T161">
        <v>2</v>
      </c>
      <c r="Y161">
        <f t="shared" si="2"/>
        <v>93</v>
      </c>
    </row>
    <row r="162" spans="1:25" x14ac:dyDescent="0.25">
      <c r="A162" t="s">
        <v>985</v>
      </c>
      <c r="C162" t="s">
        <v>512</v>
      </c>
      <c r="D162" s="560">
        <v>112</v>
      </c>
      <c r="E162">
        <v>2</v>
      </c>
      <c r="G162">
        <v>1</v>
      </c>
      <c r="H162">
        <v>3</v>
      </c>
      <c r="I162">
        <v>2</v>
      </c>
      <c r="J162">
        <v>4</v>
      </c>
      <c r="K162">
        <v>3</v>
      </c>
      <c r="L162">
        <v>7</v>
      </c>
      <c r="M162">
        <v>2</v>
      </c>
      <c r="N162">
        <v>5</v>
      </c>
      <c r="O162">
        <v>6</v>
      </c>
      <c r="P162">
        <v>2</v>
      </c>
      <c r="Q162">
        <v>2</v>
      </c>
      <c r="R162">
        <v>3</v>
      </c>
      <c r="S162">
        <v>3</v>
      </c>
      <c r="Y162">
        <f t="shared" si="2"/>
        <v>45</v>
      </c>
    </row>
    <row r="163" spans="1:25" x14ac:dyDescent="0.25">
      <c r="A163" t="s">
        <v>986</v>
      </c>
      <c r="C163" t="s">
        <v>514</v>
      </c>
      <c r="D163" s="560">
        <v>171</v>
      </c>
      <c r="E163">
        <v>2</v>
      </c>
      <c r="F163">
        <v>2</v>
      </c>
      <c r="G163">
        <v>3</v>
      </c>
      <c r="H163">
        <v>1</v>
      </c>
      <c r="I163">
        <v>2</v>
      </c>
      <c r="J163">
        <v>2</v>
      </c>
      <c r="K163">
        <v>1</v>
      </c>
      <c r="L163">
        <v>2</v>
      </c>
      <c r="M163">
        <v>1</v>
      </c>
      <c r="N163">
        <v>2</v>
      </c>
      <c r="O163">
        <v>3</v>
      </c>
      <c r="Q163">
        <v>3</v>
      </c>
      <c r="Y163">
        <f t="shared" si="2"/>
        <v>24</v>
      </c>
    </row>
    <row r="164" spans="1:25" x14ac:dyDescent="0.25">
      <c r="A164" t="s">
        <v>987</v>
      </c>
      <c r="C164" t="s">
        <v>516</v>
      </c>
      <c r="D164" s="560">
        <v>101</v>
      </c>
      <c r="E164">
        <v>7</v>
      </c>
      <c r="F164">
        <v>5</v>
      </c>
      <c r="G164">
        <v>11</v>
      </c>
      <c r="H164">
        <v>11</v>
      </c>
      <c r="I164">
        <v>19</v>
      </c>
      <c r="J164">
        <v>9</v>
      </c>
      <c r="K164">
        <v>14</v>
      </c>
      <c r="L164">
        <v>9</v>
      </c>
      <c r="M164">
        <v>15</v>
      </c>
      <c r="N164">
        <v>11</v>
      </c>
      <c r="O164">
        <v>13</v>
      </c>
      <c r="P164">
        <v>22</v>
      </c>
      <c r="Q164">
        <v>11</v>
      </c>
      <c r="R164">
        <v>16</v>
      </c>
      <c r="S164">
        <v>11</v>
      </c>
      <c r="T164">
        <v>2</v>
      </c>
      <c r="V164">
        <v>2</v>
      </c>
      <c r="Y164">
        <f t="shared" si="2"/>
        <v>188</v>
      </c>
    </row>
    <row r="165" spans="1:25" x14ac:dyDescent="0.25">
      <c r="A165" t="s">
        <v>988</v>
      </c>
      <c r="C165" t="s">
        <v>518</v>
      </c>
      <c r="D165" s="560">
        <v>101</v>
      </c>
      <c r="E165">
        <v>3</v>
      </c>
      <c r="F165">
        <v>5</v>
      </c>
      <c r="G165">
        <v>11</v>
      </c>
      <c r="H165">
        <v>6</v>
      </c>
      <c r="I165">
        <v>10</v>
      </c>
      <c r="J165">
        <v>15</v>
      </c>
      <c r="K165">
        <v>18</v>
      </c>
      <c r="L165">
        <v>14</v>
      </c>
      <c r="M165">
        <v>17</v>
      </c>
      <c r="N165">
        <v>18</v>
      </c>
      <c r="O165">
        <v>13</v>
      </c>
      <c r="P165">
        <v>18</v>
      </c>
      <c r="Q165">
        <v>14</v>
      </c>
      <c r="R165">
        <v>18</v>
      </c>
      <c r="S165">
        <v>7</v>
      </c>
      <c r="T165">
        <v>6</v>
      </c>
      <c r="U165">
        <v>4</v>
      </c>
      <c r="Y165">
        <f t="shared" si="2"/>
        <v>197</v>
      </c>
    </row>
    <row r="166" spans="1:25" x14ac:dyDescent="0.25">
      <c r="A166" t="s">
        <v>989</v>
      </c>
      <c r="C166" t="s">
        <v>520</v>
      </c>
      <c r="D166" s="560">
        <v>189</v>
      </c>
      <c r="E166">
        <v>9</v>
      </c>
      <c r="F166">
        <v>13</v>
      </c>
      <c r="G166">
        <v>22</v>
      </c>
      <c r="H166">
        <v>18</v>
      </c>
      <c r="I166">
        <v>28</v>
      </c>
      <c r="J166">
        <v>28</v>
      </c>
      <c r="K166">
        <v>26</v>
      </c>
      <c r="L166">
        <v>26</v>
      </c>
      <c r="M166">
        <v>33</v>
      </c>
      <c r="N166">
        <v>29</v>
      </c>
      <c r="O166">
        <v>19</v>
      </c>
      <c r="P166">
        <v>22</v>
      </c>
      <c r="Q166">
        <v>18</v>
      </c>
      <c r="R166">
        <v>15</v>
      </c>
      <c r="S166">
        <v>13</v>
      </c>
      <c r="T166">
        <v>2</v>
      </c>
      <c r="Y166">
        <f t="shared" si="2"/>
        <v>321</v>
      </c>
    </row>
    <row r="167" spans="1:25" x14ac:dyDescent="0.25">
      <c r="A167" t="s">
        <v>990</v>
      </c>
      <c r="C167" t="s">
        <v>522</v>
      </c>
      <c r="D167" s="560">
        <v>113</v>
      </c>
      <c r="E167">
        <v>1</v>
      </c>
      <c r="F167">
        <v>1</v>
      </c>
      <c r="G167">
        <v>4</v>
      </c>
      <c r="H167">
        <v>5</v>
      </c>
      <c r="I167">
        <v>9</v>
      </c>
      <c r="J167">
        <v>10</v>
      </c>
      <c r="K167">
        <v>7</v>
      </c>
      <c r="L167">
        <v>9</v>
      </c>
      <c r="M167">
        <v>11</v>
      </c>
      <c r="N167">
        <v>7</v>
      </c>
      <c r="O167">
        <v>12</v>
      </c>
      <c r="P167">
        <v>9</v>
      </c>
      <c r="Q167">
        <v>6</v>
      </c>
      <c r="R167">
        <v>9</v>
      </c>
      <c r="S167">
        <v>5</v>
      </c>
      <c r="T167">
        <v>4</v>
      </c>
      <c r="Y167">
        <f t="shared" si="2"/>
        <v>109</v>
      </c>
    </row>
    <row r="168" spans="1:25" x14ac:dyDescent="0.25">
      <c r="A168" t="s">
        <v>991</v>
      </c>
      <c r="C168" t="s">
        <v>524</v>
      </c>
      <c r="D168" s="560">
        <v>123</v>
      </c>
      <c r="E168">
        <v>5</v>
      </c>
      <c r="F168">
        <v>17</v>
      </c>
      <c r="G168">
        <v>15</v>
      </c>
      <c r="H168">
        <v>13</v>
      </c>
      <c r="I168">
        <v>24</v>
      </c>
      <c r="J168">
        <v>19</v>
      </c>
      <c r="K168">
        <v>26</v>
      </c>
      <c r="L168">
        <v>31</v>
      </c>
      <c r="M168">
        <v>24</v>
      </c>
      <c r="N168">
        <v>19</v>
      </c>
      <c r="O168">
        <v>20</v>
      </c>
      <c r="P168">
        <v>25</v>
      </c>
      <c r="Q168">
        <v>25</v>
      </c>
      <c r="R168">
        <v>23</v>
      </c>
      <c r="S168">
        <v>17</v>
      </c>
      <c r="T168">
        <v>9</v>
      </c>
      <c r="U168">
        <v>1</v>
      </c>
      <c r="W168">
        <v>1</v>
      </c>
      <c r="Y168">
        <f t="shared" si="2"/>
        <v>314</v>
      </c>
    </row>
    <row r="169" spans="1:25" x14ac:dyDescent="0.25">
      <c r="A169" t="s">
        <v>992</v>
      </c>
      <c r="B169" t="s">
        <v>1470</v>
      </c>
      <c r="C169" t="s">
        <v>526</v>
      </c>
      <c r="D169" s="560">
        <v>114</v>
      </c>
      <c r="E169">
        <v>21</v>
      </c>
      <c r="F169">
        <v>36</v>
      </c>
      <c r="G169">
        <v>43</v>
      </c>
      <c r="H169">
        <v>44</v>
      </c>
      <c r="I169">
        <v>44</v>
      </c>
      <c r="J169">
        <v>55</v>
      </c>
      <c r="K169">
        <v>62</v>
      </c>
      <c r="L169">
        <v>65</v>
      </c>
      <c r="M169">
        <v>50</v>
      </c>
      <c r="N169">
        <v>54</v>
      </c>
      <c r="O169">
        <v>38</v>
      </c>
      <c r="P169">
        <v>45</v>
      </c>
      <c r="Q169">
        <v>55</v>
      </c>
      <c r="R169">
        <v>44</v>
      </c>
      <c r="S169">
        <v>48</v>
      </c>
      <c r="T169">
        <v>17</v>
      </c>
      <c r="U169">
        <v>3</v>
      </c>
      <c r="V169">
        <v>5</v>
      </c>
      <c r="W169">
        <v>1</v>
      </c>
      <c r="Y169">
        <f t="shared" si="2"/>
        <v>730</v>
      </c>
    </row>
    <row r="170" spans="1:25" x14ac:dyDescent="0.25">
      <c r="A170" t="s">
        <v>993</v>
      </c>
      <c r="C170" t="s">
        <v>528</v>
      </c>
      <c r="D170" s="560">
        <v>114</v>
      </c>
      <c r="E170">
        <v>8</v>
      </c>
      <c r="F170">
        <v>15</v>
      </c>
      <c r="G170">
        <v>20</v>
      </c>
      <c r="H170">
        <v>28</v>
      </c>
      <c r="I170">
        <v>19</v>
      </c>
      <c r="J170">
        <v>22</v>
      </c>
      <c r="K170">
        <v>25</v>
      </c>
      <c r="L170">
        <v>31</v>
      </c>
      <c r="M170">
        <v>29</v>
      </c>
      <c r="N170">
        <v>24</v>
      </c>
      <c r="O170">
        <v>19</v>
      </c>
      <c r="P170">
        <v>29</v>
      </c>
      <c r="Q170">
        <v>23</v>
      </c>
      <c r="R170">
        <v>30</v>
      </c>
      <c r="S170">
        <v>28</v>
      </c>
      <c r="T170">
        <v>10</v>
      </c>
      <c r="U170">
        <v>4</v>
      </c>
      <c r="V170">
        <v>3</v>
      </c>
      <c r="Y170">
        <f t="shared" si="2"/>
        <v>367</v>
      </c>
    </row>
    <row r="171" spans="1:25" x14ac:dyDescent="0.25">
      <c r="A171" t="s">
        <v>994</v>
      </c>
      <c r="C171" t="s">
        <v>530</v>
      </c>
      <c r="D171" s="560">
        <v>113</v>
      </c>
      <c r="K171">
        <v>2</v>
      </c>
      <c r="L171">
        <v>2</v>
      </c>
      <c r="M171">
        <v>1</v>
      </c>
      <c r="O171">
        <v>1</v>
      </c>
      <c r="Y171">
        <f t="shared" si="2"/>
        <v>6</v>
      </c>
    </row>
    <row r="172" spans="1:25" x14ac:dyDescent="0.25">
      <c r="A172" t="s">
        <v>995</v>
      </c>
      <c r="B172" t="s">
        <v>1470</v>
      </c>
      <c r="C172" t="s">
        <v>532</v>
      </c>
      <c r="D172" s="560">
        <v>113</v>
      </c>
      <c r="E172">
        <v>99</v>
      </c>
      <c r="F172">
        <v>163</v>
      </c>
      <c r="G172">
        <v>155</v>
      </c>
      <c r="H172">
        <v>205</v>
      </c>
      <c r="I172">
        <v>209</v>
      </c>
      <c r="J172">
        <v>210</v>
      </c>
      <c r="K172">
        <v>225</v>
      </c>
      <c r="L172">
        <v>228</v>
      </c>
      <c r="M172">
        <v>177</v>
      </c>
      <c r="N172">
        <v>185</v>
      </c>
      <c r="O172">
        <v>184</v>
      </c>
      <c r="P172">
        <v>171</v>
      </c>
      <c r="Q172">
        <v>165</v>
      </c>
      <c r="R172">
        <v>153</v>
      </c>
      <c r="S172">
        <v>132</v>
      </c>
      <c r="T172">
        <v>37</v>
      </c>
      <c r="U172">
        <v>16</v>
      </c>
      <c r="V172">
        <v>10</v>
      </c>
      <c r="W172">
        <v>2</v>
      </c>
      <c r="Y172">
        <f t="shared" si="2"/>
        <v>2726</v>
      </c>
    </row>
    <row r="173" spans="1:25" x14ac:dyDescent="0.25">
      <c r="A173" t="s">
        <v>996</v>
      </c>
      <c r="C173" t="s">
        <v>534</v>
      </c>
      <c r="D173" s="560">
        <v>101</v>
      </c>
      <c r="E173">
        <v>1</v>
      </c>
      <c r="I173">
        <v>4</v>
      </c>
      <c r="J173">
        <v>4</v>
      </c>
      <c r="K173">
        <v>3</v>
      </c>
      <c r="L173">
        <v>3</v>
      </c>
      <c r="M173">
        <v>2</v>
      </c>
      <c r="O173">
        <v>4</v>
      </c>
      <c r="P173">
        <v>2</v>
      </c>
      <c r="Q173">
        <v>5</v>
      </c>
      <c r="R173">
        <v>3</v>
      </c>
      <c r="S173">
        <v>2</v>
      </c>
      <c r="Y173">
        <f t="shared" si="2"/>
        <v>33</v>
      </c>
    </row>
    <row r="174" spans="1:25" x14ac:dyDescent="0.25">
      <c r="A174" t="s">
        <v>997</v>
      </c>
      <c r="C174" t="s">
        <v>536</v>
      </c>
      <c r="D174" s="560">
        <v>121</v>
      </c>
      <c r="E174">
        <v>94</v>
      </c>
      <c r="F174">
        <v>138</v>
      </c>
      <c r="G174">
        <v>122</v>
      </c>
      <c r="H174">
        <v>155</v>
      </c>
      <c r="I174">
        <v>212</v>
      </c>
      <c r="J174">
        <v>245</v>
      </c>
      <c r="K174">
        <v>245</v>
      </c>
      <c r="L174">
        <v>259</v>
      </c>
      <c r="M174">
        <v>228</v>
      </c>
      <c r="N174">
        <v>231</v>
      </c>
      <c r="O174">
        <v>220</v>
      </c>
      <c r="P174">
        <v>206</v>
      </c>
      <c r="Q174">
        <v>213</v>
      </c>
      <c r="R174">
        <v>185</v>
      </c>
      <c r="S174">
        <v>165</v>
      </c>
      <c r="T174">
        <v>73</v>
      </c>
      <c r="U174">
        <v>16</v>
      </c>
      <c r="V174">
        <v>21</v>
      </c>
      <c r="W174">
        <v>4</v>
      </c>
      <c r="Y174">
        <f t="shared" si="2"/>
        <v>3032</v>
      </c>
    </row>
    <row r="175" spans="1:25" x14ac:dyDescent="0.25">
      <c r="A175" t="s">
        <v>998</v>
      </c>
      <c r="B175" t="s">
        <v>1470</v>
      </c>
      <c r="C175" t="s">
        <v>538</v>
      </c>
      <c r="D175" s="560">
        <v>189</v>
      </c>
      <c r="E175">
        <v>56</v>
      </c>
      <c r="F175">
        <v>80</v>
      </c>
      <c r="G175">
        <v>85</v>
      </c>
      <c r="H175">
        <v>108</v>
      </c>
      <c r="I175">
        <v>94</v>
      </c>
      <c r="J175">
        <v>95</v>
      </c>
      <c r="K175">
        <v>106</v>
      </c>
      <c r="L175">
        <v>91</v>
      </c>
      <c r="M175">
        <v>95</v>
      </c>
      <c r="N175">
        <v>76</v>
      </c>
      <c r="O175">
        <v>56</v>
      </c>
      <c r="P175">
        <v>58</v>
      </c>
      <c r="Q175">
        <v>61</v>
      </c>
      <c r="R175">
        <v>61</v>
      </c>
      <c r="S175">
        <v>53</v>
      </c>
      <c r="T175">
        <v>22</v>
      </c>
      <c r="U175">
        <v>14</v>
      </c>
      <c r="V175">
        <v>4</v>
      </c>
      <c r="W175">
        <v>1</v>
      </c>
      <c r="Y175">
        <f t="shared" si="2"/>
        <v>1216</v>
      </c>
    </row>
    <row r="176" spans="1:25" x14ac:dyDescent="0.25">
      <c r="A176" t="s">
        <v>999</v>
      </c>
      <c r="C176" t="s">
        <v>540</v>
      </c>
      <c r="D176" s="560">
        <v>101</v>
      </c>
      <c r="E176">
        <v>1</v>
      </c>
      <c r="F176">
        <v>1</v>
      </c>
      <c r="H176">
        <v>1</v>
      </c>
      <c r="I176">
        <v>4</v>
      </c>
      <c r="J176">
        <v>1</v>
      </c>
      <c r="K176">
        <v>2</v>
      </c>
      <c r="L176">
        <v>2</v>
      </c>
      <c r="M176">
        <v>3</v>
      </c>
      <c r="N176">
        <v>2</v>
      </c>
      <c r="O176">
        <v>1</v>
      </c>
      <c r="Q176">
        <v>4</v>
      </c>
      <c r="R176">
        <v>3</v>
      </c>
      <c r="S176">
        <v>1</v>
      </c>
      <c r="T176">
        <v>2</v>
      </c>
      <c r="Y176">
        <f t="shared" si="2"/>
        <v>28</v>
      </c>
    </row>
    <row r="177" spans="1:25" x14ac:dyDescent="0.25">
      <c r="A177" t="s">
        <v>1000</v>
      </c>
      <c r="C177" t="s">
        <v>542</v>
      </c>
      <c r="D177" s="560">
        <v>113</v>
      </c>
      <c r="E177">
        <v>3</v>
      </c>
      <c r="F177">
        <v>1</v>
      </c>
      <c r="G177">
        <v>3</v>
      </c>
      <c r="H177">
        <v>10</v>
      </c>
      <c r="I177">
        <v>5</v>
      </c>
      <c r="J177">
        <v>3</v>
      </c>
      <c r="K177">
        <v>9</v>
      </c>
      <c r="L177">
        <v>3</v>
      </c>
      <c r="M177">
        <v>2</v>
      </c>
      <c r="N177">
        <v>4</v>
      </c>
      <c r="O177">
        <v>6</v>
      </c>
      <c r="P177">
        <v>3</v>
      </c>
      <c r="Q177">
        <v>2</v>
      </c>
      <c r="R177">
        <v>2</v>
      </c>
      <c r="S177">
        <v>7</v>
      </c>
      <c r="Y177">
        <f t="shared" si="2"/>
        <v>63</v>
      </c>
    </row>
    <row r="178" spans="1:25" x14ac:dyDescent="0.25">
      <c r="A178" t="s">
        <v>1001</v>
      </c>
      <c r="C178" t="s">
        <v>544</v>
      </c>
      <c r="D178" s="560">
        <v>112</v>
      </c>
      <c r="E178">
        <v>7</v>
      </c>
      <c r="F178">
        <v>9</v>
      </c>
      <c r="G178">
        <v>16</v>
      </c>
      <c r="H178">
        <v>13</v>
      </c>
      <c r="I178">
        <v>14</v>
      </c>
      <c r="J178">
        <v>17</v>
      </c>
      <c r="K178">
        <v>20</v>
      </c>
      <c r="L178">
        <v>12</v>
      </c>
      <c r="M178">
        <v>19</v>
      </c>
      <c r="N178">
        <v>18</v>
      </c>
      <c r="O178">
        <v>19</v>
      </c>
      <c r="P178">
        <v>17</v>
      </c>
      <c r="Q178">
        <v>16</v>
      </c>
      <c r="R178">
        <v>13</v>
      </c>
      <c r="S178">
        <v>13</v>
      </c>
      <c r="T178">
        <v>3</v>
      </c>
      <c r="U178">
        <v>3</v>
      </c>
      <c r="Y178">
        <f t="shared" si="2"/>
        <v>229</v>
      </c>
    </row>
    <row r="179" spans="1:25" x14ac:dyDescent="0.25">
      <c r="A179" t="s">
        <v>1002</v>
      </c>
      <c r="C179" t="s">
        <v>546</v>
      </c>
      <c r="D179" s="560">
        <v>113</v>
      </c>
      <c r="F179">
        <v>2</v>
      </c>
      <c r="G179">
        <v>3</v>
      </c>
      <c r="H179">
        <v>3</v>
      </c>
      <c r="I179">
        <v>8</v>
      </c>
      <c r="J179">
        <v>7</v>
      </c>
      <c r="K179">
        <v>3</v>
      </c>
      <c r="L179">
        <v>6</v>
      </c>
      <c r="M179">
        <v>7</v>
      </c>
      <c r="N179">
        <v>6</v>
      </c>
      <c r="O179">
        <v>3</v>
      </c>
      <c r="P179">
        <v>7</v>
      </c>
      <c r="Q179">
        <v>5</v>
      </c>
      <c r="R179">
        <v>4</v>
      </c>
      <c r="S179">
        <v>3</v>
      </c>
      <c r="T179">
        <v>3</v>
      </c>
      <c r="V179">
        <v>3</v>
      </c>
      <c r="Y179">
        <f t="shared" si="2"/>
        <v>73</v>
      </c>
    </row>
    <row r="180" spans="1:25" x14ac:dyDescent="0.25">
      <c r="A180" t="s">
        <v>1003</v>
      </c>
      <c r="C180" t="s">
        <v>548</v>
      </c>
      <c r="D180" s="560">
        <v>101</v>
      </c>
      <c r="G180">
        <v>1</v>
      </c>
      <c r="H180">
        <v>4</v>
      </c>
      <c r="I180">
        <v>5</v>
      </c>
      <c r="J180">
        <v>3</v>
      </c>
      <c r="K180">
        <v>3</v>
      </c>
      <c r="M180">
        <v>1</v>
      </c>
      <c r="N180">
        <v>1</v>
      </c>
      <c r="O180">
        <v>3</v>
      </c>
      <c r="P180">
        <v>3</v>
      </c>
      <c r="R180">
        <v>4</v>
      </c>
      <c r="S180">
        <v>1</v>
      </c>
      <c r="T180">
        <v>2</v>
      </c>
      <c r="U180">
        <v>1</v>
      </c>
      <c r="Y180">
        <f t="shared" si="2"/>
        <v>32</v>
      </c>
    </row>
    <row r="181" spans="1:25" x14ac:dyDescent="0.25">
      <c r="A181" t="s">
        <v>1004</v>
      </c>
      <c r="C181" t="s">
        <v>550</v>
      </c>
      <c r="D181" s="560">
        <v>171</v>
      </c>
      <c r="E181">
        <v>5</v>
      </c>
      <c r="F181">
        <v>5</v>
      </c>
      <c r="G181">
        <v>3</v>
      </c>
      <c r="H181">
        <v>9</v>
      </c>
      <c r="I181">
        <v>7</v>
      </c>
      <c r="J181">
        <v>16</v>
      </c>
      <c r="K181">
        <v>9</v>
      </c>
      <c r="L181">
        <v>11</v>
      </c>
      <c r="M181">
        <v>11</v>
      </c>
      <c r="N181">
        <v>19</v>
      </c>
      <c r="O181">
        <v>11</v>
      </c>
      <c r="P181">
        <v>13</v>
      </c>
      <c r="Q181">
        <v>11</v>
      </c>
      <c r="R181">
        <v>11</v>
      </c>
      <c r="S181">
        <v>18</v>
      </c>
      <c r="T181">
        <v>4</v>
      </c>
      <c r="V181">
        <v>1</v>
      </c>
      <c r="Y181">
        <f t="shared" si="2"/>
        <v>164</v>
      </c>
    </row>
    <row r="182" spans="1:25" x14ac:dyDescent="0.25">
      <c r="A182" t="s">
        <v>553</v>
      </c>
      <c r="C182" t="s">
        <v>552</v>
      </c>
      <c r="D182" s="560">
        <v>113</v>
      </c>
      <c r="E182">
        <v>40</v>
      </c>
      <c r="F182">
        <v>67</v>
      </c>
      <c r="G182">
        <v>82</v>
      </c>
      <c r="H182">
        <v>83</v>
      </c>
      <c r="I182">
        <v>119</v>
      </c>
      <c r="J182">
        <v>137</v>
      </c>
      <c r="K182">
        <v>146</v>
      </c>
      <c r="L182">
        <v>145</v>
      </c>
      <c r="M182">
        <v>150</v>
      </c>
      <c r="N182">
        <v>132</v>
      </c>
      <c r="O182">
        <v>105</v>
      </c>
      <c r="P182">
        <v>127</v>
      </c>
      <c r="Q182">
        <v>106</v>
      </c>
      <c r="R182">
        <v>90</v>
      </c>
      <c r="S182">
        <v>75</v>
      </c>
      <c r="T182">
        <v>27</v>
      </c>
      <c r="U182">
        <v>17</v>
      </c>
      <c r="V182">
        <v>12</v>
      </c>
      <c r="W182">
        <v>2</v>
      </c>
      <c r="Y182">
        <f t="shared" si="2"/>
        <v>1662</v>
      </c>
    </row>
    <row r="183" spans="1:25" x14ac:dyDescent="0.25">
      <c r="A183" t="s">
        <v>1471</v>
      </c>
      <c r="C183" t="s">
        <v>1278</v>
      </c>
      <c r="D183" s="560">
        <v>114</v>
      </c>
      <c r="N183">
        <v>1</v>
      </c>
      <c r="O183">
        <v>1</v>
      </c>
      <c r="Q183">
        <v>1</v>
      </c>
      <c r="R183">
        <v>2</v>
      </c>
      <c r="S183">
        <v>2</v>
      </c>
      <c r="Y183">
        <f t="shared" si="2"/>
        <v>7</v>
      </c>
    </row>
    <row r="184" spans="1:25" x14ac:dyDescent="0.25">
      <c r="A184" t="s">
        <v>1006</v>
      </c>
      <c r="C184" t="s">
        <v>554</v>
      </c>
      <c r="D184" s="560">
        <v>171</v>
      </c>
      <c r="E184">
        <v>13</v>
      </c>
      <c r="F184">
        <v>16</v>
      </c>
      <c r="G184">
        <v>20</v>
      </c>
      <c r="H184">
        <v>34</v>
      </c>
      <c r="I184">
        <v>63</v>
      </c>
      <c r="J184">
        <v>53</v>
      </c>
      <c r="K184">
        <v>58</v>
      </c>
      <c r="L184">
        <v>58</v>
      </c>
      <c r="M184">
        <v>65</v>
      </c>
      <c r="N184">
        <v>71</v>
      </c>
      <c r="O184">
        <v>80</v>
      </c>
      <c r="P184">
        <v>94</v>
      </c>
      <c r="Q184">
        <v>92</v>
      </c>
      <c r="R184">
        <v>74</v>
      </c>
      <c r="S184">
        <v>75</v>
      </c>
      <c r="T184">
        <v>33</v>
      </c>
      <c r="U184">
        <v>5</v>
      </c>
      <c r="Y184">
        <f t="shared" si="2"/>
        <v>904</v>
      </c>
    </row>
    <row r="185" spans="1:25" x14ac:dyDescent="0.25">
      <c r="A185" t="s">
        <v>1007</v>
      </c>
      <c r="C185" t="s">
        <v>556</v>
      </c>
      <c r="D185" s="560">
        <v>113</v>
      </c>
      <c r="E185">
        <v>3</v>
      </c>
      <c r="F185">
        <v>9</v>
      </c>
      <c r="G185">
        <v>8</v>
      </c>
      <c r="H185">
        <v>8</v>
      </c>
      <c r="I185">
        <v>16</v>
      </c>
      <c r="J185">
        <v>6</v>
      </c>
      <c r="K185">
        <v>10</v>
      </c>
      <c r="L185">
        <v>10</v>
      </c>
      <c r="M185">
        <v>12</v>
      </c>
      <c r="N185">
        <v>14</v>
      </c>
      <c r="O185">
        <v>14</v>
      </c>
      <c r="P185">
        <v>14</v>
      </c>
      <c r="Q185">
        <v>3</v>
      </c>
      <c r="R185">
        <v>13</v>
      </c>
      <c r="S185">
        <v>11</v>
      </c>
      <c r="T185">
        <v>7</v>
      </c>
      <c r="Y185">
        <f t="shared" si="2"/>
        <v>158</v>
      </c>
    </row>
    <row r="186" spans="1:25" x14ac:dyDescent="0.25">
      <c r="A186" t="s">
        <v>1008</v>
      </c>
      <c r="C186" t="s">
        <v>558</v>
      </c>
      <c r="D186" s="560">
        <v>101</v>
      </c>
      <c r="H186">
        <v>1</v>
      </c>
      <c r="J186">
        <v>1</v>
      </c>
      <c r="K186">
        <v>2</v>
      </c>
      <c r="N186">
        <v>1</v>
      </c>
      <c r="O186">
        <v>1</v>
      </c>
      <c r="Y186">
        <f t="shared" si="2"/>
        <v>6</v>
      </c>
    </row>
    <row r="187" spans="1:25" x14ac:dyDescent="0.25">
      <c r="A187" t="s">
        <v>1009</v>
      </c>
      <c r="C187" t="s">
        <v>560</v>
      </c>
      <c r="D187" s="560">
        <v>189</v>
      </c>
      <c r="E187">
        <v>2</v>
      </c>
      <c r="F187">
        <v>3</v>
      </c>
      <c r="G187">
        <v>5</v>
      </c>
      <c r="H187">
        <v>5</v>
      </c>
      <c r="I187">
        <v>9</v>
      </c>
      <c r="J187">
        <v>8</v>
      </c>
      <c r="K187">
        <v>7</v>
      </c>
      <c r="L187">
        <v>16</v>
      </c>
      <c r="M187">
        <v>8</v>
      </c>
      <c r="N187">
        <v>12</v>
      </c>
      <c r="O187">
        <v>8</v>
      </c>
      <c r="P187">
        <v>11</v>
      </c>
      <c r="Q187">
        <v>4</v>
      </c>
      <c r="R187">
        <v>8</v>
      </c>
      <c r="S187">
        <v>6</v>
      </c>
      <c r="T187">
        <v>4</v>
      </c>
      <c r="U187">
        <v>1</v>
      </c>
      <c r="Y187">
        <f t="shared" si="2"/>
        <v>117</v>
      </c>
    </row>
    <row r="188" spans="1:25" x14ac:dyDescent="0.25">
      <c r="A188" t="s">
        <v>1010</v>
      </c>
      <c r="C188" t="s">
        <v>562</v>
      </c>
      <c r="D188" s="560">
        <v>101</v>
      </c>
      <c r="H188">
        <v>2</v>
      </c>
      <c r="I188">
        <v>2</v>
      </c>
      <c r="J188">
        <v>1</v>
      </c>
      <c r="K188">
        <v>1</v>
      </c>
      <c r="L188">
        <v>1</v>
      </c>
      <c r="M188">
        <v>1</v>
      </c>
      <c r="Y188">
        <f t="shared" si="2"/>
        <v>8</v>
      </c>
    </row>
    <row r="189" spans="1:25" x14ac:dyDescent="0.25">
      <c r="A189" t="s">
        <v>1011</v>
      </c>
      <c r="C189" t="s">
        <v>564</v>
      </c>
      <c r="D189" s="560">
        <v>101</v>
      </c>
      <c r="J189">
        <v>1</v>
      </c>
      <c r="K189">
        <v>1</v>
      </c>
      <c r="N189">
        <v>1</v>
      </c>
      <c r="O189">
        <v>2</v>
      </c>
      <c r="P189">
        <v>1</v>
      </c>
      <c r="Y189">
        <f t="shared" si="2"/>
        <v>6</v>
      </c>
    </row>
    <row r="190" spans="1:25" x14ac:dyDescent="0.25">
      <c r="A190" t="s">
        <v>1012</v>
      </c>
      <c r="C190" t="s">
        <v>566</v>
      </c>
      <c r="D190" s="560">
        <v>171</v>
      </c>
      <c r="F190">
        <v>2</v>
      </c>
      <c r="G190">
        <v>1</v>
      </c>
      <c r="H190">
        <v>2</v>
      </c>
      <c r="I190">
        <v>3</v>
      </c>
      <c r="J190">
        <v>1</v>
      </c>
      <c r="K190">
        <v>1</v>
      </c>
      <c r="L190">
        <v>3</v>
      </c>
      <c r="M190">
        <v>2</v>
      </c>
      <c r="N190">
        <v>3</v>
      </c>
      <c r="O190">
        <v>1</v>
      </c>
      <c r="Y190">
        <f t="shared" si="2"/>
        <v>19</v>
      </c>
    </row>
    <row r="191" spans="1:25" x14ac:dyDescent="0.25">
      <c r="A191" t="s">
        <v>1013</v>
      </c>
      <c r="C191" t="s">
        <v>568</v>
      </c>
      <c r="D191" s="560">
        <v>171</v>
      </c>
      <c r="E191">
        <v>9</v>
      </c>
      <c r="F191">
        <v>5</v>
      </c>
      <c r="G191">
        <v>1</v>
      </c>
      <c r="H191">
        <v>2</v>
      </c>
      <c r="I191">
        <v>1</v>
      </c>
      <c r="J191">
        <v>5</v>
      </c>
      <c r="K191">
        <v>12</v>
      </c>
      <c r="L191">
        <v>1</v>
      </c>
      <c r="M191">
        <v>11</v>
      </c>
      <c r="N191">
        <v>5</v>
      </c>
      <c r="O191">
        <v>4</v>
      </c>
      <c r="P191">
        <v>6</v>
      </c>
      <c r="Q191">
        <v>2</v>
      </c>
      <c r="R191">
        <v>2</v>
      </c>
      <c r="S191">
        <v>2</v>
      </c>
      <c r="T191">
        <v>2</v>
      </c>
      <c r="U191">
        <v>1</v>
      </c>
      <c r="Y191">
        <f t="shared" si="2"/>
        <v>71</v>
      </c>
    </row>
    <row r="192" spans="1:25" x14ac:dyDescent="0.25">
      <c r="A192" t="s">
        <v>1014</v>
      </c>
      <c r="C192" t="s">
        <v>570</v>
      </c>
      <c r="D192" s="560">
        <v>121</v>
      </c>
      <c r="E192">
        <v>18</v>
      </c>
      <c r="F192">
        <v>27</v>
      </c>
      <c r="G192">
        <v>22</v>
      </c>
      <c r="H192">
        <v>29</v>
      </c>
      <c r="I192">
        <v>26</v>
      </c>
      <c r="J192">
        <v>34</v>
      </c>
      <c r="K192">
        <v>37</v>
      </c>
      <c r="L192">
        <v>29</v>
      </c>
      <c r="M192">
        <v>31</v>
      </c>
      <c r="N192">
        <v>41</v>
      </c>
      <c r="O192">
        <v>33</v>
      </c>
      <c r="P192">
        <v>29</v>
      </c>
      <c r="Q192">
        <v>35</v>
      </c>
      <c r="R192">
        <v>25</v>
      </c>
      <c r="S192">
        <v>28</v>
      </c>
      <c r="T192">
        <v>8</v>
      </c>
      <c r="U192">
        <v>2</v>
      </c>
      <c r="V192">
        <v>1</v>
      </c>
      <c r="Y192">
        <f t="shared" si="2"/>
        <v>455</v>
      </c>
    </row>
    <row r="193" spans="1:25" x14ac:dyDescent="0.25">
      <c r="A193" t="s">
        <v>1015</v>
      </c>
      <c r="C193" t="s">
        <v>572</v>
      </c>
      <c r="D193" s="560">
        <v>123</v>
      </c>
      <c r="E193">
        <v>10</v>
      </c>
      <c r="F193">
        <v>30</v>
      </c>
      <c r="G193">
        <v>32</v>
      </c>
      <c r="H193">
        <v>29</v>
      </c>
      <c r="I193">
        <v>32</v>
      </c>
      <c r="J193">
        <v>45</v>
      </c>
      <c r="K193">
        <v>32</v>
      </c>
      <c r="L193">
        <v>31</v>
      </c>
      <c r="M193">
        <v>40</v>
      </c>
      <c r="N193">
        <v>45</v>
      </c>
      <c r="O193">
        <v>39</v>
      </c>
      <c r="P193">
        <v>45</v>
      </c>
      <c r="Q193">
        <v>46</v>
      </c>
      <c r="R193">
        <v>50</v>
      </c>
      <c r="S193">
        <v>42</v>
      </c>
      <c r="T193">
        <v>18</v>
      </c>
      <c r="U193">
        <v>3</v>
      </c>
      <c r="V193">
        <v>3</v>
      </c>
      <c r="Y193">
        <f t="shared" si="2"/>
        <v>572</v>
      </c>
    </row>
    <row r="194" spans="1:25" x14ac:dyDescent="0.25">
      <c r="A194" t="s">
        <v>1016</v>
      </c>
      <c r="C194" t="s">
        <v>574</v>
      </c>
      <c r="D194" s="560">
        <v>171</v>
      </c>
      <c r="G194">
        <v>1</v>
      </c>
      <c r="K194">
        <v>1</v>
      </c>
      <c r="L194">
        <v>1</v>
      </c>
      <c r="N194">
        <v>1</v>
      </c>
      <c r="Y194">
        <f t="shared" si="2"/>
        <v>4</v>
      </c>
    </row>
    <row r="195" spans="1:25" x14ac:dyDescent="0.25">
      <c r="A195" t="s">
        <v>1017</v>
      </c>
      <c r="C195" t="s">
        <v>576</v>
      </c>
      <c r="D195" s="560">
        <v>101</v>
      </c>
      <c r="H195">
        <v>1</v>
      </c>
      <c r="J195">
        <v>2</v>
      </c>
      <c r="K195">
        <v>2</v>
      </c>
      <c r="L195">
        <v>5</v>
      </c>
      <c r="M195">
        <v>4</v>
      </c>
      <c r="N195">
        <v>3</v>
      </c>
      <c r="P195">
        <v>2</v>
      </c>
      <c r="Q195">
        <v>2</v>
      </c>
      <c r="R195">
        <v>1</v>
      </c>
      <c r="T195">
        <v>1</v>
      </c>
      <c r="Y195">
        <f t="shared" si="2"/>
        <v>23</v>
      </c>
    </row>
    <row r="196" spans="1:25" x14ac:dyDescent="0.25">
      <c r="A196" t="s">
        <v>1018</v>
      </c>
      <c r="B196" t="s">
        <v>1133</v>
      </c>
      <c r="C196" t="s">
        <v>578</v>
      </c>
      <c r="D196" s="560">
        <v>123</v>
      </c>
      <c r="E196">
        <v>63</v>
      </c>
      <c r="F196">
        <v>99</v>
      </c>
      <c r="G196">
        <v>108</v>
      </c>
      <c r="H196">
        <v>149</v>
      </c>
      <c r="I196">
        <v>195</v>
      </c>
      <c r="J196">
        <v>208</v>
      </c>
      <c r="K196">
        <v>193</v>
      </c>
      <c r="L196">
        <v>198</v>
      </c>
      <c r="M196">
        <v>205</v>
      </c>
      <c r="N196">
        <v>173</v>
      </c>
      <c r="O196">
        <v>151</v>
      </c>
      <c r="P196">
        <v>205</v>
      </c>
      <c r="Q196">
        <v>180</v>
      </c>
      <c r="R196">
        <v>169</v>
      </c>
      <c r="S196">
        <v>155</v>
      </c>
      <c r="T196">
        <v>79</v>
      </c>
      <c r="U196">
        <v>20</v>
      </c>
      <c r="V196">
        <v>13</v>
      </c>
      <c r="W196">
        <v>2</v>
      </c>
      <c r="Y196">
        <f t="shared" si="2"/>
        <v>2565</v>
      </c>
    </row>
    <row r="197" spans="1:25" x14ac:dyDescent="0.25">
      <c r="A197" t="s">
        <v>1019</v>
      </c>
      <c r="C197" t="s">
        <v>580</v>
      </c>
      <c r="D197" s="560">
        <v>171</v>
      </c>
      <c r="F197">
        <v>2</v>
      </c>
      <c r="H197">
        <v>2</v>
      </c>
      <c r="I197">
        <v>5</v>
      </c>
      <c r="J197">
        <v>2</v>
      </c>
      <c r="K197">
        <v>3</v>
      </c>
      <c r="L197">
        <v>3</v>
      </c>
      <c r="M197">
        <v>4</v>
      </c>
      <c r="N197">
        <v>3</v>
      </c>
      <c r="O197">
        <v>4</v>
      </c>
      <c r="P197">
        <v>3</v>
      </c>
      <c r="R197">
        <v>4</v>
      </c>
      <c r="S197">
        <v>2</v>
      </c>
      <c r="T197">
        <v>1</v>
      </c>
      <c r="Y197">
        <f t="shared" ref="Y197:Y260" si="3">SUM(E197:W197)</f>
        <v>38</v>
      </c>
    </row>
    <row r="198" spans="1:25" x14ac:dyDescent="0.25">
      <c r="A198" t="s">
        <v>1144</v>
      </c>
      <c r="C198" t="s">
        <v>582</v>
      </c>
      <c r="D198" s="560">
        <v>123</v>
      </c>
      <c r="H198">
        <v>2</v>
      </c>
      <c r="I198">
        <v>6</v>
      </c>
      <c r="J198">
        <v>5</v>
      </c>
      <c r="K198">
        <v>5</v>
      </c>
      <c r="L198">
        <v>3</v>
      </c>
      <c r="M198">
        <v>1</v>
      </c>
      <c r="P198">
        <v>2</v>
      </c>
      <c r="Y198">
        <f t="shared" si="3"/>
        <v>24</v>
      </c>
    </row>
    <row r="199" spans="1:25" x14ac:dyDescent="0.25">
      <c r="A199" t="s">
        <v>1020</v>
      </c>
      <c r="C199" t="s">
        <v>584</v>
      </c>
      <c r="D199" s="560">
        <v>113</v>
      </c>
      <c r="E199">
        <v>4</v>
      </c>
      <c r="F199">
        <v>2</v>
      </c>
      <c r="G199">
        <v>6</v>
      </c>
      <c r="H199">
        <v>3</v>
      </c>
      <c r="I199">
        <v>4</v>
      </c>
      <c r="J199">
        <v>1</v>
      </c>
      <c r="K199">
        <v>5</v>
      </c>
      <c r="L199">
        <v>6</v>
      </c>
      <c r="M199">
        <v>8</v>
      </c>
      <c r="N199">
        <v>6</v>
      </c>
      <c r="O199">
        <v>2</v>
      </c>
      <c r="P199">
        <v>5</v>
      </c>
      <c r="Q199">
        <v>4</v>
      </c>
      <c r="R199">
        <v>2</v>
      </c>
      <c r="S199">
        <v>1</v>
      </c>
      <c r="T199">
        <v>1</v>
      </c>
      <c r="V199">
        <v>1</v>
      </c>
      <c r="Y199">
        <f t="shared" si="3"/>
        <v>61</v>
      </c>
    </row>
    <row r="200" spans="1:25" x14ac:dyDescent="0.25">
      <c r="A200" t="s">
        <v>1021</v>
      </c>
      <c r="C200" t="s">
        <v>586</v>
      </c>
      <c r="D200" s="560">
        <v>121</v>
      </c>
      <c r="E200">
        <v>28</v>
      </c>
      <c r="F200">
        <v>59</v>
      </c>
      <c r="G200">
        <v>65</v>
      </c>
      <c r="H200">
        <v>102</v>
      </c>
      <c r="I200">
        <v>107</v>
      </c>
      <c r="J200">
        <v>109</v>
      </c>
      <c r="K200">
        <v>130</v>
      </c>
      <c r="L200">
        <v>104</v>
      </c>
      <c r="M200">
        <v>89</v>
      </c>
      <c r="N200">
        <v>86</v>
      </c>
      <c r="O200">
        <v>75</v>
      </c>
      <c r="P200">
        <v>85</v>
      </c>
      <c r="Q200">
        <v>74</v>
      </c>
      <c r="R200">
        <v>70</v>
      </c>
      <c r="S200">
        <v>81</v>
      </c>
      <c r="T200">
        <v>19</v>
      </c>
      <c r="U200">
        <v>10</v>
      </c>
      <c r="V200">
        <v>7</v>
      </c>
      <c r="W200">
        <v>1</v>
      </c>
      <c r="Y200">
        <f t="shared" si="3"/>
        <v>1301</v>
      </c>
    </row>
    <row r="201" spans="1:25" x14ac:dyDescent="0.25">
      <c r="A201" t="s">
        <v>1280</v>
      </c>
      <c r="C201" t="s">
        <v>1165</v>
      </c>
      <c r="D201" s="561" t="s">
        <v>231</v>
      </c>
      <c r="M201">
        <v>6</v>
      </c>
      <c r="N201">
        <v>12</v>
      </c>
      <c r="O201">
        <v>12</v>
      </c>
      <c r="P201">
        <v>11</v>
      </c>
      <c r="Q201">
        <v>4</v>
      </c>
      <c r="R201">
        <v>1</v>
      </c>
      <c r="Y201">
        <f t="shared" si="3"/>
        <v>46</v>
      </c>
    </row>
    <row r="202" spans="1:25" x14ac:dyDescent="0.25">
      <c r="A202" t="s">
        <v>1022</v>
      </c>
      <c r="C202" t="s">
        <v>588</v>
      </c>
      <c r="D202" s="560">
        <v>113</v>
      </c>
      <c r="F202">
        <v>10</v>
      </c>
      <c r="G202">
        <v>12</v>
      </c>
      <c r="H202">
        <v>11</v>
      </c>
      <c r="I202">
        <v>19</v>
      </c>
      <c r="J202">
        <v>8</v>
      </c>
      <c r="K202">
        <v>11</v>
      </c>
      <c r="L202">
        <v>12</v>
      </c>
      <c r="M202">
        <v>14</v>
      </c>
      <c r="N202">
        <v>15</v>
      </c>
      <c r="O202">
        <v>10</v>
      </c>
      <c r="P202">
        <v>5</v>
      </c>
      <c r="Y202">
        <f t="shared" si="3"/>
        <v>127</v>
      </c>
    </row>
    <row r="203" spans="1:25" x14ac:dyDescent="0.25">
      <c r="A203" t="s">
        <v>1023</v>
      </c>
      <c r="C203" t="s">
        <v>590</v>
      </c>
      <c r="D203" s="560">
        <v>123</v>
      </c>
      <c r="F203">
        <v>1</v>
      </c>
      <c r="G203">
        <v>5</v>
      </c>
      <c r="H203">
        <v>4</v>
      </c>
      <c r="I203">
        <v>7</v>
      </c>
      <c r="J203">
        <v>6</v>
      </c>
      <c r="K203">
        <v>4</v>
      </c>
      <c r="L203">
        <v>4</v>
      </c>
      <c r="M203">
        <v>6</v>
      </c>
      <c r="N203">
        <v>5</v>
      </c>
      <c r="O203">
        <v>4</v>
      </c>
      <c r="P203">
        <v>4</v>
      </c>
      <c r="Q203">
        <v>1</v>
      </c>
      <c r="R203">
        <v>4</v>
      </c>
      <c r="T203">
        <v>4</v>
      </c>
      <c r="Y203">
        <f t="shared" si="3"/>
        <v>59</v>
      </c>
    </row>
    <row r="204" spans="1:25" x14ac:dyDescent="0.25">
      <c r="A204" t="s">
        <v>1024</v>
      </c>
      <c r="C204" t="s">
        <v>592</v>
      </c>
      <c r="D204" s="560">
        <v>114</v>
      </c>
      <c r="E204">
        <v>8</v>
      </c>
      <c r="F204">
        <v>16</v>
      </c>
      <c r="G204">
        <v>34</v>
      </c>
      <c r="H204">
        <v>40</v>
      </c>
      <c r="I204">
        <v>52</v>
      </c>
      <c r="J204">
        <v>58</v>
      </c>
      <c r="K204">
        <v>63</v>
      </c>
      <c r="L204">
        <v>61</v>
      </c>
      <c r="M204">
        <v>54</v>
      </c>
      <c r="N204">
        <v>42</v>
      </c>
      <c r="O204">
        <v>49</v>
      </c>
      <c r="P204">
        <v>33</v>
      </c>
      <c r="Q204">
        <v>32</v>
      </c>
      <c r="R204">
        <v>43</v>
      </c>
      <c r="S204">
        <v>34</v>
      </c>
      <c r="T204">
        <v>15</v>
      </c>
      <c r="U204">
        <v>1</v>
      </c>
      <c r="V204">
        <v>3</v>
      </c>
      <c r="Y204">
        <f t="shared" si="3"/>
        <v>638</v>
      </c>
    </row>
    <row r="205" spans="1:25" x14ac:dyDescent="0.25">
      <c r="A205" t="s">
        <v>1025</v>
      </c>
      <c r="C205" t="s">
        <v>594</v>
      </c>
      <c r="D205" s="560">
        <v>114</v>
      </c>
      <c r="E205">
        <v>3</v>
      </c>
      <c r="F205">
        <v>6</v>
      </c>
      <c r="G205">
        <v>2</v>
      </c>
      <c r="H205">
        <v>10</v>
      </c>
      <c r="I205">
        <v>5</v>
      </c>
      <c r="J205">
        <v>11</v>
      </c>
      <c r="K205">
        <v>11</v>
      </c>
      <c r="L205">
        <v>8</v>
      </c>
      <c r="M205">
        <v>11</v>
      </c>
      <c r="N205">
        <v>16</v>
      </c>
      <c r="O205">
        <v>10</v>
      </c>
      <c r="P205">
        <v>15</v>
      </c>
      <c r="Q205">
        <v>12</v>
      </c>
      <c r="R205">
        <v>18</v>
      </c>
      <c r="S205">
        <v>9</v>
      </c>
      <c r="T205">
        <v>2</v>
      </c>
      <c r="U205">
        <v>2</v>
      </c>
      <c r="V205">
        <v>1</v>
      </c>
      <c r="Y205">
        <f t="shared" si="3"/>
        <v>152</v>
      </c>
    </row>
    <row r="206" spans="1:25" x14ac:dyDescent="0.25">
      <c r="A206" t="s">
        <v>1026</v>
      </c>
      <c r="C206" t="s">
        <v>596</v>
      </c>
      <c r="D206" s="560">
        <v>123</v>
      </c>
      <c r="I206">
        <v>2</v>
      </c>
      <c r="J206">
        <v>4</v>
      </c>
      <c r="K206">
        <v>2</v>
      </c>
      <c r="L206">
        <v>3</v>
      </c>
      <c r="M206">
        <v>4</v>
      </c>
      <c r="N206">
        <v>1</v>
      </c>
      <c r="O206">
        <v>4</v>
      </c>
      <c r="P206">
        <v>1</v>
      </c>
      <c r="Q206">
        <v>2</v>
      </c>
      <c r="R206">
        <v>1</v>
      </c>
      <c r="S206">
        <v>4</v>
      </c>
      <c r="T206">
        <v>1</v>
      </c>
      <c r="U206">
        <v>1</v>
      </c>
      <c r="Y206">
        <f t="shared" si="3"/>
        <v>30</v>
      </c>
    </row>
    <row r="207" spans="1:25" x14ac:dyDescent="0.25">
      <c r="A207" t="s">
        <v>1028</v>
      </c>
      <c r="B207" t="s">
        <v>1133</v>
      </c>
      <c r="C207" t="s">
        <v>600</v>
      </c>
      <c r="D207" s="560">
        <v>123</v>
      </c>
      <c r="E207">
        <v>5</v>
      </c>
      <c r="F207">
        <v>8</v>
      </c>
      <c r="G207">
        <v>4</v>
      </c>
      <c r="H207">
        <v>17</v>
      </c>
      <c r="I207">
        <v>18</v>
      </c>
      <c r="J207">
        <v>20</v>
      </c>
      <c r="K207">
        <v>32</v>
      </c>
      <c r="L207">
        <v>35</v>
      </c>
      <c r="M207">
        <v>34</v>
      </c>
      <c r="N207">
        <v>36</v>
      </c>
      <c r="O207">
        <v>29</v>
      </c>
      <c r="P207">
        <v>16</v>
      </c>
      <c r="Q207">
        <v>23</v>
      </c>
      <c r="R207">
        <v>34</v>
      </c>
      <c r="S207">
        <v>19</v>
      </c>
      <c r="T207">
        <v>8</v>
      </c>
      <c r="U207">
        <v>3</v>
      </c>
      <c r="V207">
        <v>2</v>
      </c>
      <c r="Y207">
        <f t="shared" si="3"/>
        <v>343</v>
      </c>
    </row>
    <row r="208" spans="1:25" x14ac:dyDescent="0.25">
      <c r="A208" t="s">
        <v>1029</v>
      </c>
      <c r="C208" t="s">
        <v>602</v>
      </c>
      <c r="D208" s="560">
        <v>101</v>
      </c>
      <c r="E208">
        <v>16</v>
      </c>
      <c r="F208">
        <v>14</v>
      </c>
      <c r="G208">
        <v>12</v>
      </c>
      <c r="H208">
        <v>23</v>
      </c>
      <c r="I208">
        <v>29</v>
      </c>
      <c r="J208">
        <v>32</v>
      </c>
      <c r="K208">
        <v>22</v>
      </c>
      <c r="L208">
        <v>33</v>
      </c>
      <c r="M208">
        <v>30</v>
      </c>
      <c r="N208">
        <v>37</v>
      </c>
      <c r="O208">
        <v>25</v>
      </c>
      <c r="P208">
        <v>22</v>
      </c>
      <c r="Q208">
        <v>26</v>
      </c>
      <c r="R208">
        <v>25</v>
      </c>
      <c r="S208">
        <v>21</v>
      </c>
      <c r="T208">
        <v>9</v>
      </c>
      <c r="U208">
        <v>4</v>
      </c>
      <c r="V208">
        <v>1</v>
      </c>
      <c r="Y208">
        <f t="shared" si="3"/>
        <v>381</v>
      </c>
    </row>
    <row r="209" spans="1:25" x14ac:dyDescent="0.25">
      <c r="A209" t="s">
        <v>1281</v>
      </c>
      <c r="C209" t="s">
        <v>1167</v>
      </c>
      <c r="D209" s="560">
        <v>101</v>
      </c>
      <c r="G209">
        <v>1</v>
      </c>
      <c r="H209">
        <v>3</v>
      </c>
      <c r="I209">
        <v>5</v>
      </c>
      <c r="J209">
        <v>1</v>
      </c>
      <c r="K209">
        <v>3</v>
      </c>
      <c r="L209">
        <v>3</v>
      </c>
      <c r="M209">
        <v>1</v>
      </c>
      <c r="N209">
        <v>1</v>
      </c>
      <c r="Y209">
        <f t="shared" si="3"/>
        <v>18</v>
      </c>
    </row>
    <row r="210" spans="1:25" x14ac:dyDescent="0.25">
      <c r="A210" t="s">
        <v>1030</v>
      </c>
      <c r="C210" t="s">
        <v>604</v>
      </c>
      <c r="D210" s="560">
        <v>121</v>
      </c>
      <c r="E210">
        <v>109</v>
      </c>
      <c r="F210">
        <v>166</v>
      </c>
      <c r="G210">
        <v>188</v>
      </c>
      <c r="H210">
        <v>195</v>
      </c>
      <c r="I210">
        <v>227</v>
      </c>
      <c r="J210">
        <v>237</v>
      </c>
      <c r="K210">
        <v>290</v>
      </c>
      <c r="L210">
        <v>244</v>
      </c>
      <c r="M210">
        <v>202</v>
      </c>
      <c r="N210">
        <v>184</v>
      </c>
      <c r="O210">
        <v>165</v>
      </c>
      <c r="P210">
        <v>187</v>
      </c>
      <c r="Q210">
        <v>200</v>
      </c>
      <c r="R210">
        <v>181</v>
      </c>
      <c r="S210">
        <v>157</v>
      </c>
      <c r="T210">
        <v>71</v>
      </c>
      <c r="U210">
        <v>25</v>
      </c>
      <c r="V210">
        <v>17</v>
      </c>
      <c r="W210">
        <v>7</v>
      </c>
      <c r="Y210">
        <f t="shared" si="3"/>
        <v>3052</v>
      </c>
    </row>
    <row r="211" spans="1:25" x14ac:dyDescent="0.25">
      <c r="A211" t="s">
        <v>1031</v>
      </c>
      <c r="C211" t="s">
        <v>606</v>
      </c>
      <c r="D211" s="560">
        <v>114</v>
      </c>
      <c r="I211">
        <v>2</v>
      </c>
      <c r="K211">
        <v>2</v>
      </c>
      <c r="L211">
        <v>2</v>
      </c>
      <c r="O211">
        <v>1</v>
      </c>
      <c r="Q211">
        <v>1</v>
      </c>
      <c r="Y211">
        <f t="shared" si="3"/>
        <v>8</v>
      </c>
    </row>
    <row r="212" spans="1:25" x14ac:dyDescent="0.25">
      <c r="A212" t="s">
        <v>1032</v>
      </c>
      <c r="C212" t="s">
        <v>608</v>
      </c>
      <c r="D212" s="560">
        <v>114</v>
      </c>
      <c r="G212">
        <v>5</v>
      </c>
      <c r="H212">
        <v>4</v>
      </c>
      <c r="I212">
        <v>2</v>
      </c>
      <c r="J212">
        <v>7</v>
      </c>
      <c r="K212">
        <v>9</v>
      </c>
      <c r="L212">
        <v>6</v>
      </c>
      <c r="M212">
        <v>6</v>
      </c>
      <c r="N212">
        <v>7</v>
      </c>
      <c r="O212">
        <v>9</v>
      </c>
      <c r="P212">
        <v>5</v>
      </c>
      <c r="Q212">
        <v>4</v>
      </c>
      <c r="R212">
        <v>2</v>
      </c>
      <c r="S212">
        <v>7</v>
      </c>
      <c r="Y212">
        <f t="shared" si="3"/>
        <v>73</v>
      </c>
    </row>
    <row r="213" spans="1:25" x14ac:dyDescent="0.25">
      <c r="A213" t="s">
        <v>1033</v>
      </c>
      <c r="C213" t="s">
        <v>612</v>
      </c>
      <c r="D213" s="560">
        <v>114</v>
      </c>
      <c r="E213">
        <v>2</v>
      </c>
      <c r="F213">
        <v>3</v>
      </c>
      <c r="G213">
        <v>6</v>
      </c>
      <c r="H213">
        <v>14</v>
      </c>
      <c r="I213">
        <v>13</v>
      </c>
      <c r="J213">
        <v>24</v>
      </c>
      <c r="K213">
        <v>29</v>
      </c>
      <c r="L213">
        <v>26</v>
      </c>
      <c r="M213">
        <v>28</v>
      </c>
      <c r="N213">
        <v>38</v>
      </c>
      <c r="O213">
        <v>47</v>
      </c>
      <c r="P213">
        <v>54</v>
      </c>
      <c r="Q213">
        <v>86</v>
      </c>
      <c r="R213">
        <v>101</v>
      </c>
      <c r="S213">
        <v>89</v>
      </c>
      <c r="T213">
        <v>44</v>
      </c>
      <c r="U213">
        <v>22</v>
      </c>
      <c r="V213">
        <v>8</v>
      </c>
      <c r="Y213">
        <f t="shared" si="3"/>
        <v>634</v>
      </c>
    </row>
    <row r="214" spans="1:25" x14ac:dyDescent="0.25">
      <c r="A214" t="s">
        <v>1034</v>
      </c>
      <c r="C214" t="s">
        <v>614</v>
      </c>
      <c r="D214" s="560">
        <v>171</v>
      </c>
      <c r="E214">
        <v>9</v>
      </c>
      <c r="F214">
        <v>16</v>
      </c>
      <c r="G214">
        <v>24</v>
      </c>
      <c r="H214">
        <v>24</v>
      </c>
      <c r="I214">
        <v>23</v>
      </c>
      <c r="J214">
        <v>36</v>
      </c>
      <c r="K214">
        <v>42</v>
      </c>
      <c r="L214">
        <v>30</v>
      </c>
      <c r="M214">
        <v>33</v>
      </c>
      <c r="N214">
        <v>40</v>
      </c>
      <c r="O214">
        <v>30</v>
      </c>
      <c r="P214">
        <v>27</v>
      </c>
      <c r="Q214">
        <v>37</v>
      </c>
      <c r="R214">
        <v>24</v>
      </c>
      <c r="S214">
        <v>23</v>
      </c>
      <c r="T214">
        <v>11</v>
      </c>
      <c r="U214">
        <v>1</v>
      </c>
      <c r="Y214">
        <f t="shared" si="3"/>
        <v>430</v>
      </c>
    </row>
    <row r="215" spans="1:25" x14ac:dyDescent="0.25">
      <c r="A215" t="s">
        <v>1035</v>
      </c>
      <c r="C215" t="s">
        <v>616</v>
      </c>
      <c r="D215" s="560">
        <v>113</v>
      </c>
      <c r="E215">
        <v>3</v>
      </c>
      <c r="F215">
        <v>7</v>
      </c>
      <c r="G215">
        <v>8</v>
      </c>
      <c r="H215">
        <v>8</v>
      </c>
      <c r="I215">
        <v>5</v>
      </c>
      <c r="J215">
        <v>11</v>
      </c>
      <c r="K215">
        <v>11</v>
      </c>
      <c r="L215">
        <v>11</v>
      </c>
      <c r="M215">
        <v>13</v>
      </c>
      <c r="N215">
        <v>14</v>
      </c>
      <c r="O215">
        <v>12</v>
      </c>
      <c r="P215">
        <v>8</v>
      </c>
      <c r="Q215">
        <v>13</v>
      </c>
      <c r="R215">
        <v>6</v>
      </c>
      <c r="S215">
        <v>7</v>
      </c>
      <c r="T215">
        <v>2</v>
      </c>
      <c r="Y215">
        <f t="shared" si="3"/>
        <v>139</v>
      </c>
    </row>
    <row r="216" spans="1:25" x14ac:dyDescent="0.25">
      <c r="A216" t="s">
        <v>1324</v>
      </c>
      <c r="C216" t="s">
        <v>618</v>
      </c>
      <c r="D216" s="560">
        <v>121</v>
      </c>
      <c r="L216">
        <v>7</v>
      </c>
      <c r="M216">
        <v>7</v>
      </c>
      <c r="N216">
        <v>8</v>
      </c>
      <c r="O216">
        <v>7</v>
      </c>
      <c r="P216">
        <v>1</v>
      </c>
      <c r="Y216">
        <f t="shared" si="3"/>
        <v>30</v>
      </c>
    </row>
    <row r="217" spans="1:25" x14ac:dyDescent="0.25">
      <c r="A217" t="s">
        <v>1472</v>
      </c>
      <c r="C217" t="s">
        <v>620</v>
      </c>
      <c r="D217" s="560">
        <v>121</v>
      </c>
      <c r="M217">
        <v>6</v>
      </c>
      <c r="N217">
        <v>5</v>
      </c>
      <c r="O217">
        <v>4</v>
      </c>
      <c r="Q217">
        <v>6</v>
      </c>
      <c r="R217">
        <v>3</v>
      </c>
      <c r="S217">
        <v>9</v>
      </c>
      <c r="Y217">
        <f t="shared" si="3"/>
        <v>33</v>
      </c>
    </row>
    <row r="218" spans="1:25" x14ac:dyDescent="0.25">
      <c r="A218" t="s">
        <v>1263</v>
      </c>
      <c r="C218" t="s">
        <v>621</v>
      </c>
      <c r="D218" s="560">
        <v>113</v>
      </c>
      <c r="E218">
        <v>1</v>
      </c>
      <c r="F218">
        <v>3</v>
      </c>
      <c r="G218">
        <v>1</v>
      </c>
      <c r="H218">
        <v>2</v>
      </c>
      <c r="I218">
        <v>4</v>
      </c>
      <c r="J218">
        <v>6</v>
      </c>
      <c r="K218">
        <v>7</v>
      </c>
      <c r="L218">
        <v>4</v>
      </c>
      <c r="M218">
        <v>4</v>
      </c>
      <c r="N218">
        <v>6</v>
      </c>
      <c r="O218">
        <v>7</v>
      </c>
      <c r="P218">
        <v>5</v>
      </c>
      <c r="Q218">
        <v>9</v>
      </c>
      <c r="R218">
        <v>9</v>
      </c>
      <c r="S218">
        <v>5</v>
      </c>
      <c r="T218">
        <v>2</v>
      </c>
      <c r="U218">
        <v>1</v>
      </c>
      <c r="Y218">
        <f t="shared" si="3"/>
        <v>76</v>
      </c>
    </row>
    <row r="219" spans="1:25" x14ac:dyDescent="0.25">
      <c r="A219" t="s">
        <v>1037</v>
      </c>
      <c r="C219" t="s">
        <v>623</v>
      </c>
      <c r="D219" s="560">
        <v>101</v>
      </c>
      <c r="E219">
        <v>2</v>
      </c>
      <c r="F219">
        <v>1</v>
      </c>
      <c r="G219">
        <v>4</v>
      </c>
      <c r="H219">
        <v>2</v>
      </c>
      <c r="I219">
        <v>3</v>
      </c>
      <c r="J219">
        <v>9</v>
      </c>
      <c r="K219">
        <v>6</v>
      </c>
      <c r="L219">
        <v>4</v>
      </c>
      <c r="M219">
        <v>7</v>
      </c>
      <c r="N219">
        <v>5</v>
      </c>
      <c r="O219">
        <v>8</v>
      </c>
      <c r="P219">
        <v>6</v>
      </c>
      <c r="Q219">
        <v>8</v>
      </c>
      <c r="R219">
        <v>8</v>
      </c>
      <c r="S219">
        <v>8</v>
      </c>
      <c r="T219">
        <v>3</v>
      </c>
      <c r="V219">
        <v>3</v>
      </c>
      <c r="Y219">
        <f t="shared" si="3"/>
        <v>87</v>
      </c>
    </row>
    <row r="220" spans="1:25" x14ac:dyDescent="0.25">
      <c r="A220" t="s">
        <v>1038</v>
      </c>
      <c r="C220" t="s">
        <v>625</v>
      </c>
      <c r="D220" s="560">
        <v>121</v>
      </c>
      <c r="E220">
        <v>82</v>
      </c>
      <c r="F220">
        <v>116</v>
      </c>
      <c r="G220">
        <v>133</v>
      </c>
      <c r="H220">
        <v>148</v>
      </c>
      <c r="I220">
        <v>147</v>
      </c>
      <c r="J220">
        <v>181</v>
      </c>
      <c r="K220">
        <v>177</v>
      </c>
      <c r="L220">
        <v>176</v>
      </c>
      <c r="M220">
        <v>145</v>
      </c>
      <c r="N220">
        <v>152</v>
      </c>
      <c r="O220">
        <v>147</v>
      </c>
      <c r="P220">
        <v>145</v>
      </c>
      <c r="Q220">
        <v>144</v>
      </c>
      <c r="R220">
        <v>142</v>
      </c>
      <c r="S220">
        <v>111</v>
      </c>
      <c r="T220">
        <v>34</v>
      </c>
      <c r="U220">
        <v>9</v>
      </c>
      <c r="V220">
        <v>10</v>
      </c>
      <c r="W220">
        <v>2</v>
      </c>
      <c r="Y220">
        <f t="shared" si="3"/>
        <v>2201</v>
      </c>
    </row>
    <row r="221" spans="1:25" x14ac:dyDescent="0.25">
      <c r="A221" t="s">
        <v>1039</v>
      </c>
      <c r="C221" t="s">
        <v>627</v>
      </c>
      <c r="D221" s="560">
        <v>101</v>
      </c>
      <c r="F221">
        <v>1</v>
      </c>
      <c r="H221">
        <v>5</v>
      </c>
      <c r="I221">
        <v>6</v>
      </c>
      <c r="J221">
        <v>8</v>
      </c>
      <c r="K221">
        <v>4</v>
      </c>
      <c r="L221">
        <v>5</v>
      </c>
      <c r="M221">
        <v>6</v>
      </c>
      <c r="N221">
        <v>9</v>
      </c>
      <c r="O221">
        <v>8</v>
      </c>
      <c r="P221">
        <v>7</v>
      </c>
      <c r="Q221">
        <v>6</v>
      </c>
      <c r="R221">
        <v>8</v>
      </c>
      <c r="S221">
        <v>5</v>
      </c>
      <c r="T221">
        <v>1</v>
      </c>
      <c r="Y221">
        <f t="shared" si="3"/>
        <v>79</v>
      </c>
    </row>
    <row r="222" spans="1:25" x14ac:dyDescent="0.25">
      <c r="A222" t="s">
        <v>1040</v>
      </c>
      <c r="B222" t="s">
        <v>1133</v>
      </c>
      <c r="C222" t="s">
        <v>629</v>
      </c>
      <c r="D222" s="560">
        <v>123</v>
      </c>
      <c r="E222">
        <v>50</v>
      </c>
      <c r="F222">
        <v>75</v>
      </c>
      <c r="G222">
        <v>108</v>
      </c>
      <c r="H222">
        <v>159</v>
      </c>
      <c r="I222">
        <v>175</v>
      </c>
      <c r="J222">
        <v>170</v>
      </c>
      <c r="K222">
        <v>165</v>
      </c>
      <c r="L222">
        <v>154</v>
      </c>
      <c r="M222">
        <v>153</v>
      </c>
      <c r="N222">
        <v>161</v>
      </c>
      <c r="O222">
        <v>146</v>
      </c>
      <c r="P222">
        <v>131</v>
      </c>
      <c r="Q222">
        <v>142</v>
      </c>
      <c r="R222">
        <v>151</v>
      </c>
      <c r="S222">
        <v>116</v>
      </c>
      <c r="T222">
        <v>48</v>
      </c>
      <c r="U222">
        <v>24</v>
      </c>
      <c r="V222">
        <v>19</v>
      </c>
      <c r="W222">
        <v>1</v>
      </c>
      <c r="Y222">
        <f t="shared" si="3"/>
        <v>2148</v>
      </c>
    </row>
    <row r="223" spans="1:25" x14ac:dyDescent="0.25">
      <c r="A223" t="s">
        <v>1041</v>
      </c>
      <c r="C223" t="s">
        <v>631</v>
      </c>
      <c r="D223" s="560">
        <v>112</v>
      </c>
      <c r="E223">
        <v>16</v>
      </c>
      <c r="F223">
        <v>28</v>
      </c>
      <c r="G223">
        <v>25</v>
      </c>
      <c r="H223">
        <v>39</v>
      </c>
      <c r="I223">
        <v>37</v>
      </c>
      <c r="J223">
        <v>40</v>
      </c>
      <c r="K223">
        <v>43</v>
      </c>
      <c r="L223">
        <v>43</v>
      </c>
      <c r="M223">
        <v>43</v>
      </c>
      <c r="N223">
        <v>40</v>
      </c>
      <c r="O223">
        <v>40</v>
      </c>
      <c r="P223">
        <v>30</v>
      </c>
      <c r="Q223">
        <v>27</v>
      </c>
      <c r="R223">
        <v>28</v>
      </c>
      <c r="S223">
        <v>24</v>
      </c>
      <c r="T223">
        <v>12</v>
      </c>
      <c r="U223">
        <v>1</v>
      </c>
      <c r="V223">
        <v>3</v>
      </c>
      <c r="W223">
        <v>2</v>
      </c>
      <c r="Y223">
        <f t="shared" si="3"/>
        <v>521</v>
      </c>
    </row>
    <row r="224" spans="1:25" x14ac:dyDescent="0.25">
      <c r="A224" t="s">
        <v>1042</v>
      </c>
      <c r="C224" t="s">
        <v>633</v>
      </c>
      <c r="D224" s="560">
        <v>101</v>
      </c>
      <c r="E224">
        <v>1</v>
      </c>
      <c r="F224">
        <v>4</v>
      </c>
      <c r="G224">
        <v>1</v>
      </c>
      <c r="H224">
        <v>5</v>
      </c>
      <c r="I224">
        <v>4</v>
      </c>
      <c r="J224">
        <v>2</v>
      </c>
      <c r="K224">
        <v>6</v>
      </c>
      <c r="L224">
        <v>3</v>
      </c>
      <c r="M224">
        <v>3</v>
      </c>
      <c r="N224">
        <v>4</v>
      </c>
      <c r="O224">
        <v>2</v>
      </c>
      <c r="P224">
        <v>1</v>
      </c>
      <c r="Q224">
        <v>2</v>
      </c>
      <c r="R224">
        <v>3</v>
      </c>
      <c r="S224">
        <v>1</v>
      </c>
      <c r="T224">
        <v>2</v>
      </c>
      <c r="Y224">
        <f t="shared" si="3"/>
        <v>44</v>
      </c>
    </row>
    <row r="225" spans="1:25" x14ac:dyDescent="0.25">
      <c r="A225" t="s">
        <v>1043</v>
      </c>
      <c r="B225" t="s">
        <v>1133</v>
      </c>
      <c r="C225" t="s">
        <v>635</v>
      </c>
      <c r="D225" s="560">
        <v>101</v>
      </c>
      <c r="E225">
        <v>4</v>
      </c>
      <c r="F225">
        <v>3</v>
      </c>
      <c r="G225">
        <v>12</v>
      </c>
      <c r="H225">
        <v>23</v>
      </c>
      <c r="I225">
        <v>20</v>
      </c>
      <c r="J225">
        <v>20</v>
      </c>
      <c r="K225">
        <v>23</v>
      </c>
      <c r="L225">
        <v>11</v>
      </c>
      <c r="M225">
        <v>15</v>
      </c>
      <c r="N225">
        <v>15</v>
      </c>
      <c r="O225">
        <v>17</v>
      </c>
      <c r="P225">
        <v>16</v>
      </c>
      <c r="Q225">
        <v>11</v>
      </c>
      <c r="R225">
        <v>11</v>
      </c>
      <c r="S225">
        <v>15</v>
      </c>
      <c r="T225">
        <v>4</v>
      </c>
      <c r="U225">
        <v>1</v>
      </c>
      <c r="V225">
        <v>1</v>
      </c>
      <c r="Y225">
        <f t="shared" si="3"/>
        <v>222</v>
      </c>
    </row>
    <row r="226" spans="1:25" x14ac:dyDescent="0.25">
      <c r="A226" t="s">
        <v>1044</v>
      </c>
      <c r="C226" t="s">
        <v>637</v>
      </c>
      <c r="D226" s="560">
        <v>121</v>
      </c>
      <c r="E226">
        <v>6</v>
      </c>
      <c r="F226">
        <v>10</v>
      </c>
      <c r="G226">
        <v>20</v>
      </c>
      <c r="H226">
        <v>17</v>
      </c>
      <c r="I226">
        <v>28</v>
      </c>
      <c r="J226">
        <v>34</v>
      </c>
      <c r="K226">
        <v>27</v>
      </c>
      <c r="L226">
        <v>25</v>
      </c>
      <c r="M226">
        <v>26</v>
      </c>
      <c r="N226">
        <v>18</v>
      </c>
      <c r="O226">
        <v>18</v>
      </c>
      <c r="P226">
        <v>30</v>
      </c>
      <c r="Q226">
        <v>18</v>
      </c>
      <c r="R226">
        <v>20</v>
      </c>
      <c r="S226">
        <v>21</v>
      </c>
      <c r="T226">
        <v>5</v>
      </c>
      <c r="U226">
        <v>1</v>
      </c>
      <c r="V226">
        <v>2</v>
      </c>
      <c r="W226">
        <v>1</v>
      </c>
      <c r="Y226">
        <f t="shared" si="3"/>
        <v>327</v>
      </c>
    </row>
    <row r="227" spans="1:25" x14ac:dyDescent="0.25">
      <c r="A227" t="s">
        <v>1045</v>
      </c>
      <c r="B227" t="s">
        <v>1133</v>
      </c>
      <c r="C227" t="s">
        <v>639</v>
      </c>
      <c r="D227" s="560">
        <v>113</v>
      </c>
      <c r="E227">
        <v>14</v>
      </c>
      <c r="F227">
        <v>8</v>
      </c>
      <c r="G227">
        <v>22</v>
      </c>
      <c r="H227">
        <v>22</v>
      </c>
      <c r="I227">
        <v>35</v>
      </c>
      <c r="J227">
        <v>29</v>
      </c>
      <c r="K227">
        <v>16</v>
      </c>
      <c r="L227">
        <v>13</v>
      </c>
      <c r="M227">
        <v>30</v>
      </c>
      <c r="N227">
        <v>24</v>
      </c>
      <c r="O227">
        <v>25</v>
      </c>
      <c r="P227">
        <v>23</v>
      </c>
      <c r="Q227">
        <v>17</v>
      </c>
      <c r="R227">
        <v>29</v>
      </c>
      <c r="S227">
        <v>14</v>
      </c>
      <c r="T227">
        <v>7</v>
      </c>
      <c r="U227">
        <v>4</v>
      </c>
      <c r="V227">
        <v>2</v>
      </c>
      <c r="W227">
        <v>1</v>
      </c>
      <c r="Y227">
        <f t="shared" si="3"/>
        <v>335</v>
      </c>
    </row>
    <row r="228" spans="1:25" x14ac:dyDescent="0.25">
      <c r="A228" t="s">
        <v>1046</v>
      </c>
      <c r="C228" t="s">
        <v>641</v>
      </c>
      <c r="D228" s="560">
        <v>112</v>
      </c>
      <c r="H228">
        <v>1</v>
      </c>
      <c r="M228">
        <v>1</v>
      </c>
      <c r="N228">
        <v>1</v>
      </c>
      <c r="Y228">
        <f t="shared" si="3"/>
        <v>3</v>
      </c>
    </row>
    <row r="229" spans="1:25" x14ac:dyDescent="0.25">
      <c r="A229" t="s">
        <v>1473</v>
      </c>
      <c r="C229" t="s">
        <v>1474</v>
      </c>
      <c r="D229" s="561" t="s">
        <v>210</v>
      </c>
      <c r="P229">
        <v>7</v>
      </c>
      <c r="Q229">
        <v>4</v>
      </c>
      <c r="Y229">
        <f t="shared" si="3"/>
        <v>11</v>
      </c>
    </row>
    <row r="230" spans="1:25" x14ac:dyDescent="0.25">
      <c r="A230" t="s">
        <v>1047</v>
      </c>
      <c r="C230" t="s">
        <v>643</v>
      </c>
      <c r="D230" s="560">
        <v>101</v>
      </c>
      <c r="G230">
        <v>1</v>
      </c>
      <c r="H230">
        <v>4</v>
      </c>
      <c r="I230">
        <v>2</v>
      </c>
      <c r="J230">
        <v>2</v>
      </c>
      <c r="K230">
        <v>3</v>
      </c>
      <c r="L230">
        <v>1</v>
      </c>
      <c r="M230">
        <v>4</v>
      </c>
      <c r="O230">
        <v>4</v>
      </c>
      <c r="P230">
        <v>2</v>
      </c>
      <c r="Q230">
        <v>3</v>
      </c>
      <c r="R230">
        <v>3</v>
      </c>
      <c r="S230">
        <v>1</v>
      </c>
      <c r="Y230">
        <f t="shared" si="3"/>
        <v>30</v>
      </c>
    </row>
    <row r="231" spans="1:25" x14ac:dyDescent="0.25">
      <c r="A231" t="s">
        <v>1048</v>
      </c>
      <c r="C231" t="s">
        <v>645</v>
      </c>
      <c r="D231" s="560">
        <v>105</v>
      </c>
      <c r="E231">
        <v>5</v>
      </c>
      <c r="F231">
        <v>11</v>
      </c>
      <c r="G231">
        <v>9</v>
      </c>
      <c r="H231">
        <v>11</v>
      </c>
      <c r="I231">
        <v>15</v>
      </c>
      <c r="J231">
        <v>9</v>
      </c>
      <c r="K231">
        <v>13</v>
      </c>
      <c r="L231">
        <v>18</v>
      </c>
      <c r="M231">
        <v>17</v>
      </c>
      <c r="N231">
        <v>20</v>
      </c>
      <c r="O231">
        <v>9</v>
      </c>
      <c r="P231">
        <v>20</v>
      </c>
      <c r="Q231">
        <v>24</v>
      </c>
      <c r="R231">
        <v>16</v>
      </c>
      <c r="S231">
        <v>21</v>
      </c>
      <c r="T231">
        <v>5</v>
      </c>
      <c r="Y231">
        <f t="shared" si="3"/>
        <v>223</v>
      </c>
    </row>
    <row r="232" spans="1:25" x14ac:dyDescent="0.25">
      <c r="A232" t="s">
        <v>1241</v>
      </c>
      <c r="C232" t="s">
        <v>647</v>
      </c>
      <c r="D232" s="560">
        <v>189</v>
      </c>
      <c r="E232">
        <v>2</v>
      </c>
      <c r="F232">
        <v>4</v>
      </c>
      <c r="G232">
        <v>1</v>
      </c>
      <c r="H232">
        <v>2</v>
      </c>
      <c r="I232">
        <v>6</v>
      </c>
      <c r="J232">
        <v>6</v>
      </c>
      <c r="K232">
        <v>14</v>
      </c>
      <c r="L232">
        <v>9</v>
      </c>
      <c r="M232">
        <v>7</v>
      </c>
      <c r="N232">
        <v>15</v>
      </c>
      <c r="O232">
        <v>16</v>
      </c>
      <c r="P232">
        <v>20</v>
      </c>
      <c r="Q232">
        <v>9</v>
      </c>
      <c r="R232">
        <v>12</v>
      </c>
      <c r="S232">
        <v>9</v>
      </c>
      <c r="T232">
        <v>7</v>
      </c>
      <c r="U232">
        <v>2</v>
      </c>
      <c r="Y232">
        <f t="shared" si="3"/>
        <v>141</v>
      </c>
    </row>
    <row r="233" spans="1:25" x14ac:dyDescent="0.25">
      <c r="A233" t="s">
        <v>1050</v>
      </c>
      <c r="C233" t="s">
        <v>649</v>
      </c>
      <c r="D233" s="560">
        <v>113</v>
      </c>
      <c r="E233">
        <v>1</v>
      </c>
      <c r="H233">
        <v>1</v>
      </c>
      <c r="I233">
        <v>2</v>
      </c>
      <c r="J233">
        <v>1</v>
      </c>
      <c r="K233">
        <v>1</v>
      </c>
      <c r="L233">
        <v>1</v>
      </c>
      <c r="M233">
        <v>2</v>
      </c>
      <c r="N233">
        <v>2</v>
      </c>
      <c r="Y233">
        <f t="shared" si="3"/>
        <v>11</v>
      </c>
    </row>
    <row r="234" spans="1:25" x14ac:dyDescent="0.25">
      <c r="A234" t="s">
        <v>1051</v>
      </c>
      <c r="B234" t="s">
        <v>1133</v>
      </c>
      <c r="C234" t="s">
        <v>655</v>
      </c>
      <c r="D234" s="560">
        <v>121</v>
      </c>
      <c r="E234">
        <v>183</v>
      </c>
      <c r="F234">
        <v>260</v>
      </c>
      <c r="G234">
        <v>305</v>
      </c>
      <c r="H234">
        <v>426</v>
      </c>
      <c r="I234">
        <v>548</v>
      </c>
      <c r="J234">
        <v>584</v>
      </c>
      <c r="K234">
        <v>729</v>
      </c>
      <c r="L234">
        <v>661</v>
      </c>
      <c r="M234">
        <v>636</v>
      </c>
      <c r="N234">
        <v>607</v>
      </c>
      <c r="O234">
        <v>547</v>
      </c>
      <c r="P234">
        <v>535</v>
      </c>
      <c r="Q234">
        <v>550</v>
      </c>
      <c r="R234">
        <v>558</v>
      </c>
      <c r="S234">
        <v>492</v>
      </c>
      <c r="T234">
        <v>207</v>
      </c>
      <c r="U234">
        <v>59</v>
      </c>
      <c r="V234">
        <v>64</v>
      </c>
      <c r="W234">
        <v>6</v>
      </c>
      <c r="Y234">
        <f t="shared" si="3"/>
        <v>7957</v>
      </c>
    </row>
    <row r="235" spans="1:25" x14ac:dyDescent="0.25">
      <c r="A235" t="s">
        <v>1052</v>
      </c>
      <c r="C235" t="s">
        <v>657</v>
      </c>
      <c r="D235" s="560">
        <v>189</v>
      </c>
      <c r="E235">
        <v>25</v>
      </c>
      <c r="F235">
        <v>43</v>
      </c>
      <c r="G235">
        <v>37</v>
      </c>
      <c r="H235">
        <v>49</v>
      </c>
      <c r="I235">
        <v>50</v>
      </c>
      <c r="J235">
        <v>63</v>
      </c>
      <c r="K235">
        <v>73</v>
      </c>
      <c r="L235">
        <v>53</v>
      </c>
      <c r="M235">
        <v>69</v>
      </c>
      <c r="N235">
        <v>45</v>
      </c>
      <c r="O235">
        <v>55</v>
      </c>
      <c r="P235">
        <v>59</v>
      </c>
      <c r="Q235">
        <v>61</v>
      </c>
      <c r="R235">
        <v>46</v>
      </c>
      <c r="S235">
        <v>49</v>
      </c>
      <c r="T235">
        <v>20</v>
      </c>
      <c r="U235">
        <v>4</v>
      </c>
      <c r="V235">
        <v>6</v>
      </c>
      <c r="W235">
        <v>1</v>
      </c>
      <c r="Y235">
        <f t="shared" si="3"/>
        <v>808</v>
      </c>
    </row>
    <row r="236" spans="1:25" x14ac:dyDescent="0.25">
      <c r="A236" t="s">
        <v>1053</v>
      </c>
      <c r="B236" t="s">
        <v>1133</v>
      </c>
      <c r="C236" t="s">
        <v>659</v>
      </c>
      <c r="D236" s="560">
        <v>105</v>
      </c>
      <c r="E236">
        <v>9</v>
      </c>
      <c r="F236">
        <v>25</v>
      </c>
      <c r="G236">
        <v>28</v>
      </c>
      <c r="H236">
        <v>24</v>
      </c>
      <c r="I236">
        <v>41</v>
      </c>
      <c r="J236">
        <v>35</v>
      </c>
      <c r="K236">
        <v>46</v>
      </c>
      <c r="L236">
        <v>34</v>
      </c>
      <c r="M236">
        <v>28</v>
      </c>
      <c r="N236">
        <v>37</v>
      </c>
      <c r="O236">
        <v>39</v>
      </c>
      <c r="P236">
        <v>30</v>
      </c>
      <c r="Q236">
        <v>36</v>
      </c>
      <c r="R236">
        <v>31</v>
      </c>
      <c r="S236">
        <v>33</v>
      </c>
      <c r="T236">
        <v>15</v>
      </c>
      <c r="U236">
        <v>2</v>
      </c>
      <c r="V236">
        <v>2</v>
      </c>
      <c r="Y236">
        <f t="shared" si="3"/>
        <v>495</v>
      </c>
    </row>
    <row r="237" spans="1:25" x14ac:dyDescent="0.25">
      <c r="A237" t="s">
        <v>1054</v>
      </c>
      <c r="C237" t="s">
        <v>661</v>
      </c>
      <c r="D237" s="560">
        <v>101</v>
      </c>
      <c r="E237">
        <v>3</v>
      </c>
      <c r="G237">
        <v>1</v>
      </c>
      <c r="H237">
        <v>4</v>
      </c>
      <c r="I237">
        <v>2</v>
      </c>
      <c r="J237">
        <v>2</v>
      </c>
      <c r="K237">
        <v>3</v>
      </c>
      <c r="L237">
        <v>4</v>
      </c>
      <c r="M237">
        <v>2</v>
      </c>
      <c r="N237">
        <v>7</v>
      </c>
      <c r="O237">
        <v>5</v>
      </c>
      <c r="P237">
        <v>4</v>
      </c>
      <c r="Q237">
        <v>6</v>
      </c>
      <c r="R237">
        <v>4</v>
      </c>
      <c r="S237">
        <v>2</v>
      </c>
      <c r="T237">
        <v>2</v>
      </c>
      <c r="Y237">
        <f t="shared" si="3"/>
        <v>51</v>
      </c>
    </row>
    <row r="238" spans="1:25" x14ac:dyDescent="0.25">
      <c r="A238" t="s">
        <v>1055</v>
      </c>
      <c r="C238" t="s">
        <v>663</v>
      </c>
      <c r="D238" s="560">
        <v>114</v>
      </c>
      <c r="E238">
        <v>8</v>
      </c>
      <c r="F238">
        <v>18</v>
      </c>
      <c r="G238">
        <v>15</v>
      </c>
      <c r="H238">
        <v>26</v>
      </c>
      <c r="I238">
        <v>31</v>
      </c>
      <c r="J238">
        <v>33</v>
      </c>
      <c r="K238">
        <v>39</v>
      </c>
      <c r="L238">
        <v>41</v>
      </c>
      <c r="M238">
        <v>36</v>
      </c>
      <c r="N238">
        <v>35</v>
      </c>
      <c r="O238">
        <v>33</v>
      </c>
      <c r="P238">
        <v>33</v>
      </c>
      <c r="Q238">
        <v>34</v>
      </c>
      <c r="R238">
        <v>24</v>
      </c>
      <c r="S238">
        <v>15</v>
      </c>
      <c r="T238">
        <v>17</v>
      </c>
      <c r="U238">
        <v>4</v>
      </c>
      <c r="V238">
        <v>2</v>
      </c>
      <c r="Y238">
        <f t="shared" si="3"/>
        <v>444</v>
      </c>
    </row>
    <row r="239" spans="1:25" x14ac:dyDescent="0.25">
      <c r="A239" t="s">
        <v>1145</v>
      </c>
      <c r="C239" t="s">
        <v>665</v>
      </c>
      <c r="D239" s="560">
        <v>189</v>
      </c>
      <c r="J239">
        <v>1</v>
      </c>
      <c r="Y239">
        <f t="shared" si="3"/>
        <v>1</v>
      </c>
    </row>
    <row r="240" spans="1:25" x14ac:dyDescent="0.25">
      <c r="A240" t="s">
        <v>1056</v>
      </c>
      <c r="B240" t="s">
        <v>1133</v>
      </c>
      <c r="C240" t="s">
        <v>667</v>
      </c>
      <c r="D240" s="560">
        <v>113</v>
      </c>
      <c r="E240">
        <v>34</v>
      </c>
      <c r="F240">
        <v>51</v>
      </c>
      <c r="G240">
        <v>55</v>
      </c>
      <c r="H240">
        <v>34</v>
      </c>
      <c r="I240">
        <v>42</v>
      </c>
      <c r="J240">
        <v>41</v>
      </c>
      <c r="K240">
        <v>65</v>
      </c>
      <c r="L240">
        <v>41</v>
      </c>
      <c r="M240">
        <v>53</v>
      </c>
      <c r="N240">
        <v>34</v>
      </c>
      <c r="O240">
        <v>35</v>
      </c>
      <c r="P240">
        <v>55</v>
      </c>
      <c r="Q240">
        <v>52</v>
      </c>
      <c r="R240">
        <v>52</v>
      </c>
      <c r="S240">
        <v>50</v>
      </c>
      <c r="T240">
        <v>19</v>
      </c>
      <c r="U240">
        <v>11</v>
      </c>
      <c r="V240">
        <v>2</v>
      </c>
      <c r="Y240">
        <f t="shared" si="3"/>
        <v>726</v>
      </c>
    </row>
    <row r="241" spans="1:25" x14ac:dyDescent="0.25">
      <c r="A241" t="s">
        <v>1057</v>
      </c>
      <c r="C241" t="s">
        <v>669</v>
      </c>
      <c r="D241" s="560">
        <v>121</v>
      </c>
      <c r="E241">
        <v>51</v>
      </c>
      <c r="F241">
        <v>59</v>
      </c>
      <c r="G241">
        <v>76</v>
      </c>
      <c r="H241">
        <v>65</v>
      </c>
      <c r="I241">
        <v>88</v>
      </c>
      <c r="J241">
        <v>91</v>
      </c>
      <c r="K241">
        <v>114</v>
      </c>
      <c r="L241">
        <v>98</v>
      </c>
      <c r="M241">
        <v>95</v>
      </c>
      <c r="N241">
        <v>101</v>
      </c>
      <c r="O241">
        <v>78</v>
      </c>
      <c r="P241">
        <v>78</v>
      </c>
      <c r="Q241">
        <v>74</v>
      </c>
      <c r="R241">
        <v>93</v>
      </c>
      <c r="S241">
        <v>65</v>
      </c>
      <c r="T241">
        <v>27</v>
      </c>
      <c r="U241">
        <v>7</v>
      </c>
      <c r="V241">
        <v>12</v>
      </c>
      <c r="W241">
        <v>1</v>
      </c>
      <c r="Y241">
        <f t="shared" si="3"/>
        <v>1273</v>
      </c>
    </row>
    <row r="242" spans="1:25" x14ac:dyDescent="0.25">
      <c r="A242" t="s">
        <v>1058</v>
      </c>
      <c r="C242" t="s">
        <v>671</v>
      </c>
      <c r="D242" s="560">
        <v>112</v>
      </c>
      <c r="H242">
        <v>1</v>
      </c>
      <c r="I242">
        <v>4</v>
      </c>
      <c r="J242">
        <v>3</v>
      </c>
      <c r="M242">
        <v>3</v>
      </c>
      <c r="Y242">
        <f t="shared" si="3"/>
        <v>11</v>
      </c>
    </row>
    <row r="243" spans="1:25" x14ac:dyDescent="0.25">
      <c r="A243" t="s">
        <v>1059</v>
      </c>
      <c r="C243" t="s">
        <v>673</v>
      </c>
      <c r="D243" s="560">
        <v>121</v>
      </c>
      <c r="G243">
        <v>1</v>
      </c>
      <c r="H243">
        <v>1</v>
      </c>
      <c r="I243">
        <v>1</v>
      </c>
      <c r="J243">
        <v>1</v>
      </c>
      <c r="K243">
        <v>1</v>
      </c>
      <c r="L243">
        <v>1</v>
      </c>
      <c r="N243">
        <v>2</v>
      </c>
      <c r="O243">
        <v>1</v>
      </c>
      <c r="P243">
        <v>2</v>
      </c>
      <c r="Q243">
        <v>1</v>
      </c>
      <c r="R243">
        <v>3</v>
      </c>
      <c r="S243">
        <v>1</v>
      </c>
      <c r="Y243">
        <f t="shared" si="3"/>
        <v>16</v>
      </c>
    </row>
    <row r="244" spans="1:25" x14ac:dyDescent="0.25">
      <c r="A244" t="s">
        <v>1060</v>
      </c>
      <c r="C244" t="s">
        <v>675</v>
      </c>
      <c r="D244" s="560">
        <v>189</v>
      </c>
      <c r="E244">
        <v>38</v>
      </c>
      <c r="F244">
        <v>63</v>
      </c>
      <c r="G244">
        <v>63</v>
      </c>
      <c r="H244">
        <v>82</v>
      </c>
      <c r="I244">
        <v>87</v>
      </c>
      <c r="J244">
        <v>84</v>
      </c>
      <c r="K244">
        <v>99</v>
      </c>
      <c r="L244">
        <v>95</v>
      </c>
      <c r="M244">
        <v>75</v>
      </c>
      <c r="N244">
        <v>96</v>
      </c>
      <c r="O244">
        <v>85</v>
      </c>
      <c r="P244">
        <v>89</v>
      </c>
      <c r="Q244">
        <v>115</v>
      </c>
      <c r="R244">
        <v>87</v>
      </c>
      <c r="S244">
        <v>80</v>
      </c>
      <c r="T244">
        <v>48</v>
      </c>
      <c r="U244">
        <v>9</v>
      </c>
      <c r="V244">
        <v>14</v>
      </c>
      <c r="W244">
        <v>2</v>
      </c>
      <c r="Y244">
        <f t="shared" si="3"/>
        <v>1311</v>
      </c>
    </row>
    <row r="245" spans="1:25" x14ac:dyDescent="0.25">
      <c r="A245" t="s">
        <v>1061</v>
      </c>
      <c r="C245" t="s">
        <v>677</v>
      </c>
      <c r="D245" s="560">
        <v>121</v>
      </c>
      <c r="E245">
        <v>18</v>
      </c>
      <c r="F245">
        <v>34</v>
      </c>
      <c r="G245">
        <v>31</v>
      </c>
      <c r="H245">
        <v>48</v>
      </c>
      <c r="I245">
        <v>45</v>
      </c>
      <c r="J245">
        <v>34</v>
      </c>
      <c r="K245">
        <v>68</v>
      </c>
      <c r="L245">
        <v>74</v>
      </c>
      <c r="M245">
        <v>48</v>
      </c>
      <c r="N245">
        <v>57</v>
      </c>
      <c r="O245">
        <v>61</v>
      </c>
      <c r="P245">
        <v>60</v>
      </c>
      <c r="Q245">
        <v>58</v>
      </c>
      <c r="R245">
        <v>54</v>
      </c>
      <c r="S245">
        <v>52</v>
      </c>
      <c r="T245">
        <v>17</v>
      </c>
      <c r="U245">
        <v>7</v>
      </c>
      <c r="V245">
        <v>9</v>
      </c>
      <c r="Y245">
        <f t="shared" si="3"/>
        <v>775</v>
      </c>
    </row>
    <row r="246" spans="1:25" x14ac:dyDescent="0.25">
      <c r="A246" t="s">
        <v>1062</v>
      </c>
      <c r="C246" t="s">
        <v>679</v>
      </c>
      <c r="D246" s="560">
        <v>171</v>
      </c>
      <c r="E246">
        <v>1</v>
      </c>
      <c r="F246">
        <v>7</v>
      </c>
      <c r="G246">
        <v>4</v>
      </c>
      <c r="H246">
        <v>9</v>
      </c>
      <c r="I246">
        <v>12</v>
      </c>
      <c r="J246">
        <v>5</v>
      </c>
      <c r="K246">
        <v>7</v>
      </c>
      <c r="L246">
        <v>7</v>
      </c>
      <c r="M246">
        <v>8</v>
      </c>
      <c r="N246">
        <v>8</v>
      </c>
      <c r="O246">
        <v>11</v>
      </c>
      <c r="P246">
        <v>3</v>
      </c>
      <c r="Q246">
        <v>5</v>
      </c>
      <c r="R246">
        <v>6</v>
      </c>
      <c r="S246">
        <v>4</v>
      </c>
      <c r="T246">
        <v>2</v>
      </c>
      <c r="U246">
        <v>1</v>
      </c>
      <c r="Y246">
        <f t="shared" si="3"/>
        <v>100</v>
      </c>
    </row>
    <row r="247" spans="1:25" x14ac:dyDescent="0.25">
      <c r="A247" t="s">
        <v>1063</v>
      </c>
      <c r="C247" t="s">
        <v>682</v>
      </c>
      <c r="D247" s="560">
        <v>113</v>
      </c>
      <c r="E247">
        <v>1</v>
      </c>
      <c r="F247">
        <v>1</v>
      </c>
      <c r="G247">
        <v>6</v>
      </c>
      <c r="H247">
        <v>4</v>
      </c>
      <c r="I247">
        <v>5</v>
      </c>
      <c r="J247">
        <v>5</v>
      </c>
      <c r="K247">
        <v>5</v>
      </c>
      <c r="L247">
        <v>5</v>
      </c>
      <c r="M247">
        <v>9</v>
      </c>
      <c r="N247">
        <v>6</v>
      </c>
      <c r="O247">
        <v>6</v>
      </c>
      <c r="P247">
        <v>4</v>
      </c>
      <c r="Q247">
        <v>14</v>
      </c>
      <c r="R247">
        <v>9</v>
      </c>
      <c r="S247">
        <v>9</v>
      </c>
      <c r="T247">
        <v>4</v>
      </c>
      <c r="U247">
        <v>1</v>
      </c>
      <c r="Y247">
        <f t="shared" si="3"/>
        <v>94</v>
      </c>
    </row>
    <row r="248" spans="1:25" x14ac:dyDescent="0.25">
      <c r="A248" t="s">
        <v>1064</v>
      </c>
      <c r="C248" t="s">
        <v>684</v>
      </c>
      <c r="D248" s="560">
        <v>114</v>
      </c>
      <c r="E248">
        <v>38</v>
      </c>
      <c r="F248">
        <v>68</v>
      </c>
      <c r="G248">
        <v>86</v>
      </c>
      <c r="H248">
        <v>111</v>
      </c>
      <c r="I248">
        <v>132</v>
      </c>
      <c r="J248">
        <v>103</v>
      </c>
      <c r="K248">
        <v>130</v>
      </c>
      <c r="L248">
        <v>133</v>
      </c>
      <c r="M248">
        <v>114</v>
      </c>
      <c r="N248">
        <v>107</v>
      </c>
      <c r="O248">
        <v>103</v>
      </c>
      <c r="P248">
        <v>100</v>
      </c>
      <c r="Q248">
        <v>93</v>
      </c>
      <c r="R248">
        <v>93</v>
      </c>
      <c r="S248">
        <v>103</v>
      </c>
      <c r="T248">
        <v>41</v>
      </c>
      <c r="U248">
        <v>14</v>
      </c>
      <c r="V248">
        <v>6</v>
      </c>
      <c r="W248">
        <v>1</v>
      </c>
      <c r="Y248">
        <f t="shared" si="3"/>
        <v>1576</v>
      </c>
    </row>
    <row r="249" spans="1:25" x14ac:dyDescent="0.25">
      <c r="A249" t="s">
        <v>1065</v>
      </c>
      <c r="C249" t="s">
        <v>686</v>
      </c>
      <c r="D249" s="560">
        <v>189</v>
      </c>
      <c r="E249">
        <v>4</v>
      </c>
      <c r="F249">
        <v>6</v>
      </c>
      <c r="G249">
        <v>5</v>
      </c>
      <c r="H249">
        <v>8</v>
      </c>
      <c r="I249">
        <v>10</v>
      </c>
      <c r="J249">
        <v>16</v>
      </c>
      <c r="K249">
        <v>17</v>
      </c>
      <c r="L249">
        <v>15</v>
      </c>
      <c r="M249">
        <v>12</v>
      </c>
      <c r="N249">
        <v>9</v>
      </c>
      <c r="O249">
        <v>12</v>
      </c>
      <c r="P249">
        <v>24</v>
      </c>
      <c r="Q249">
        <v>9</v>
      </c>
      <c r="R249">
        <v>16</v>
      </c>
      <c r="S249">
        <v>12</v>
      </c>
      <c r="T249">
        <v>5</v>
      </c>
      <c r="U249">
        <v>1</v>
      </c>
      <c r="V249">
        <v>1</v>
      </c>
      <c r="Y249">
        <f t="shared" si="3"/>
        <v>182</v>
      </c>
    </row>
    <row r="250" spans="1:25" x14ac:dyDescent="0.25">
      <c r="A250" t="s">
        <v>1066</v>
      </c>
      <c r="C250" t="s">
        <v>688</v>
      </c>
      <c r="D250" s="560">
        <v>113</v>
      </c>
      <c r="G250">
        <v>4</v>
      </c>
      <c r="H250">
        <v>6</v>
      </c>
      <c r="I250">
        <v>3</v>
      </c>
      <c r="J250">
        <v>7</v>
      </c>
      <c r="K250">
        <v>2</v>
      </c>
      <c r="L250">
        <v>4</v>
      </c>
      <c r="M250">
        <v>3</v>
      </c>
      <c r="N250">
        <v>3</v>
      </c>
      <c r="O250">
        <v>2</v>
      </c>
      <c r="Y250">
        <f t="shared" si="3"/>
        <v>34</v>
      </c>
    </row>
    <row r="251" spans="1:25" x14ac:dyDescent="0.25">
      <c r="A251" t="s">
        <v>1067</v>
      </c>
      <c r="B251" t="s">
        <v>1133</v>
      </c>
      <c r="C251" t="s">
        <v>690</v>
      </c>
      <c r="D251" s="560">
        <v>101</v>
      </c>
      <c r="E251">
        <v>119</v>
      </c>
      <c r="F251">
        <v>180</v>
      </c>
      <c r="G251">
        <v>239</v>
      </c>
      <c r="H251">
        <v>354</v>
      </c>
      <c r="I251">
        <v>454</v>
      </c>
      <c r="J251">
        <v>456</v>
      </c>
      <c r="K251">
        <v>470</v>
      </c>
      <c r="L251">
        <v>446</v>
      </c>
      <c r="M251">
        <v>375</v>
      </c>
      <c r="N251">
        <v>337</v>
      </c>
      <c r="O251">
        <v>344</v>
      </c>
      <c r="P251">
        <v>342</v>
      </c>
      <c r="Q251">
        <v>314</v>
      </c>
      <c r="R251">
        <v>330</v>
      </c>
      <c r="S251">
        <v>287</v>
      </c>
      <c r="T251">
        <v>121</v>
      </c>
      <c r="U251">
        <v>44</v>
      </c>
      <c r="V251">
        <v>43</v>
      </c>
      <c r="W251">
        <v>5</v>
      </c>
      <c r="Y251">
        <f t="shared" si="3"/>
        <v>5260</v>
      </c>
    </row>
    <row r="252" spans="1:25" x14ac:dyDescent="0.25">
      <c r="A252" t="s">
        <v>1244</v>
      </c>
      <c r="C252" t="s">
        <v>692</v>
      </c>
      <c r="D252" s="560">
        <v>101</v>
      </c>
      <c r="G252">
        <v>1</v>
      </c>
      <c r="H252">
        <v>1</v>
      </c>
      <c r="I252">
        <v>6</v>
      </c>
      <c r="J252">
        <v>5</v>
      </c>
      <c r="K252">
        <v>9</v>
      </c>
      <c r="L252">
        <v>2</v>
      </c>
      <c r="M252">
        <v>10</v>
      </c>
      <c r="N252">
        <v>3</v>
      </c>
      <c r="O252">
        <v>5</v>
      </c>
      <c r="P252">
        <v>3</v>
      </c>
      <c r="Q252">
        <v>3</v>
      </c>
      <c r="R252">
        <v>1</v>
      </c>
      <c r="Y252">
        <f t="shared" si="3"/>
        <v>49</v>
      </c>
    </row>
    <row r="253" spans="1:25" x14ac:dyDescent="0.25">
      <c r="A253" t="s">
        <v>1069</v>
      </c>
      <c r="C253" t="s">
        <v>694</v>
      </c>
      <c r="D253" s="560">
        <v>101</v>
      </c>
      <c r="F253">
        <v>1</v>
      </c>
      <c r="G253">
        <v>1</v>
      </c>
      <c r="H253">
        <v>2</v>
      </c>
      <c r="I253">
        <v>2</v>
      </c>
      <c r="J253">
        <v>2</v>
      </c>
      <c r="K253">
        <v>2</v>
      </c>
      <c r="Q253">
        <v>1</v>
      </c>
      <c r="R253">
        <v>1</v>
      </c>
      <c r="S253">
        <v>1</v>
      </c>
      <c r="U253">
        <v>1</v>
      </c>
      <c r="Y253">
        <f t="shared" si="3"/>
        <v>14</v>
      </c>
    </row>
    <row r="254" spans="1:25" x14ac:dyDescent="0.25">
      <c r="A254" t="s">
        <v>1475</v>
      </c>
      <c r="C254" t="s">
        <v>696</v>
      </c>
      <c r="D254" s="560">
        <v>101</v>
      </c>
      <c r="H254">
        <v>1</v>
      </c>
      <c r="I254">
        <v>4</v>
      </c>
      <c r="J254">
        <v>5</v>
      </c>
      <c r="K254">
        <v>2</v>
      </c>
      <c r="L254">
        <v>2</v>
      </c>
      <c r="S254">
        <v>3</v>
      </c>
      <c r="Y254">
        <f t="shared" si="3"/>
        <v>17</v>
      </c>
    </row>
    <row r="255" spans="1:25" x14ac:dyDescent="0.25">
      <c r="A255" t="s">
        <v>1071</v>
      </c>
      <c r="C255" t="s">
        <v>698</v>
      </c>
      <c r="D255" s="560">
        <v>189</v>
      </c>
      <c r="E255">
        <v>21</v>
      </c>
      <c r="F255">
        <v>42</v>
      </c>
      <c r="G255">
        <v>42</v>
      </c>
      <c r="H255">
        <v>66</v>
      </c>
      <c r="I255">
        <v>37</v>
      </c>
      <c r="J255">
        <v>56</v>
      </c>
      <c r="K255">
        <v>63</v>
      </c>
      <c r="L255">
        <v>53</v>
      </c>
      <c r="M255">
        <v>51</v>
      </c>
      <c r="N255">
        <v>62</v>
      </c>
      <c r="O255">
        <v>48</v>
      </c>
      <c r="P255">
        <v>44</v>
      </c>
      <c r="Q255">
        <v>41</v>
      </c>
      <c r="R255">
        <v>57</v>
      </c>
      <c r="S255">
        <v>41</v>
      </c>
      <c r="T255">
        <v>24</v>
      </c>
      <c r="U255">
        <v>5</v>
      </c>
      <c r="V255">
        <v>4</v>
      </c>
      <c r="Y255">
        <f t="shared" si="3"/>
        <v>757</v>
      </c>
    </row>
    <row r="256" spans="1:25" x14ac:dyDescent="0.25">
      <c r="A256" t="s">
        <v>1072</v>
      </c>
      <c r="C256" t="s">
        <v>702</v>
      </c>
      <c r="D256" s="560">
        <v>123</v>
      </c>
      <c r="G256">
        <v>2</v>
      </c>
      <c r="H256">
        <v>4</v>
      </c>
      <c r="I256">
        <v>3</v>
      </c>
      <c r="J256">
        <v>4</v>
      </c>
      <c r="K256">
        <v>7</v>
      </c>
      <c r="L256">
        <v>4</v>
      </c>
      <c r="M256">
        <v>10</v>
      </c>
      <c r="N256">
        <v>12</v>
      </c>
      <c r="O256">
        <v>13</v>
      </c>
      <c r="P256">
        <v>11</v>
      </c>
      <c r="Q256">
        <v>17</v>
      </c>
      <c r="R256">
        <v>8</v>
      </c>
      <c r="S256">
        <v>8</v>
      </c>
      <c r="T256">
        <v>5</v>
      </c>
      <c r="V256">
        <v>1</v>
      </c>
      <c r="Y256">
        <f t="shared" si="3"/>
        <v>109</v>
      </c>
    </row>
    <row r="257" spans="1:25" x14ac:dyDescent="0.25">
      <c r="A257" t="s">
        <v>1236</v>
      </c>
      <c r="C257" t="s">
        <v>706</v>
      </c>
      <c r="D257" s="560">
        <v>121</v>
      </c>
      <c r="E257">
        <v>14</v>
      </c>
      <c r="F257">
        <v>21</v>
      </c>
      <c r="G257">
        <v>19</v>
      </c>
      <c r="H257">
        <v>26</v>
      </c>
      <c r="I257">
        <v>41</v>
      </c>
      <c r="J257">
        <v>30</v>
      </c>
      <c r="K257">
        <v>36</v>
      </c>
      <c r="L257">
        <v>38</v>
      </c>
      <c r="M257">
        <v>38</v>
      </c>
      <c r="N257">
        <v>34</v>
      </c>
      <c r="O257">
        <v>26</v>
      </c>
      <c r="P257">
        <v>32</v>
      </c>
      <c r="Q257">
        <v>30</v>
      </c>
      <c r="R257">
        <v>26</v>
      </c>
      <c r="S257">
        <v>16</v>
      </c>
      <c r="T257">
        <v>8</v>
      </c>
      <c r="U257">
        <v>2</v>
      </c>
      <c r="V257">
        <v>3</v>
      </c>
      <c r="Y257">
        <f t="shared" si="3"/>
        <v>440</v>
      </c>
    </row>
    <row r="258" spans="1:25" x14ac:dyDescent="0.25">
      <c r="A258" t="s">
        <v>1074</v>
      </c>
      <c r="C258" t="s">
        <v>708</v>
      </c>
      <c r="D258" s="560">
        <v>101</v>
      </c>
      <c r="G258">
        <v>1</v>
      </c>
      <c r="H258">
        <v>1</v>
      </c>
      <c r="K258">
        <v>1</v>
      </c>
      <c r="L258">
        <v>1</v>
      </c>
      <c r="O258">
        <v>3</v>
      </c>
      <c r="Y258">
        <f t="shared" si="3"/>
        <v>7</v>
      </c>
    </row>
    <row r="259" spans="1:25" x14ac:dyDescent="0.25">
      <c r="A259" t="s">
        <v>1075</v>
      </c>
      <c r="C259" t="s">
        <v>710</v>
      </c>
      <c r="D259" s="560">
        <v>112</v>
      </c>
      <c r="E259">
        <v>1</v>
      </c>
      <c r="F259">
        <v>4</v>
      </c>
      <c r="G259">
        <v>2</v>
      </c>
      <c r="H259">
        <v>8</v>
      </c>
      <c r="I259">
        <v>10</v>
      </c>
      <c r="J259">
        <v>10</v>
      </c>
      <c r="K259">
        <v>8</v>
      </c>
      <c r="L259">
        <v>16</v>
      </c>
      <c r="M259">
        <v>10</v>
      </c>
      <c r="N259">
        <v>6</v>
      </c>
      <c r="O259">
        <v>8</v>
      </c>
      <c r="P259">
        <v>8</v>
      </c>
      <c r="Q259">
        <v>8</v>
      </c>
      <c r="R259">
        <v>11</v>
      </c>
      <c r="S259">
        <v>6</v>
      </c>
      <c r="T259">
        <v>6</v>
      </c>
      <c r="Y259">
        <f t="shared" si="3"/>
        <v>122</v>
      </c>
    </row>
    <row r="260" spans="1:25" x14ac:dyDescent="0.25">
      <c r="A260" t="s">
        <v>1076</v>
      </c>
      <c r="C260" t="s">
        <v>712</v>
      </c>
      <c r="D260" s="560">
        <v>189</v>
      </c>
      <c r="E260">
        <v>9</v>
      </c>
      <c r="F260">
        <v>12</v>
      </c>
      <c r="G260">
        <v>20</v>
      </c>
      <c r="H260">
        <v>26</v>
      </c>
      <c r="I260">
        <v>18</v>
      </c>
      <c r="J260">
        <v>16</v>
      </c>
      <c r="K260">
        <v>31</v>
      </c>
      <c r="L260">
        <v>31</v>
      </c>
      <c r="M260">
        <v>23</v>
      </c>
      <c r="N260">
        <v>22</v>
      </c>
      <c r="O260">
        <v>21</v>
      </c>
      <c r="P260">
        <v>32</v>
      </c>
      <c r="Q260">
        <v>18</v>
      </c>
      <c r="R260">
        <v>29</v>
      </c>
      <c r="S260">
        <v>22</v>
      </c>
      <c r="T260">
        <v>6</v>
      </c>
      <c r="U260">
        <v>1</v>
      </c>
      <c r="V260">
        <v>1</v>
      </c>
      <c r="Y260">
        <f t="shared" si="3"/>
        <v>338</v>
      </c>
    </row>
    <row r="261" spans="1:25" x14ac:dyDescent="0.25">
      <c r="A261" t="s">
        <v>1476</v>
      </c>
      <c r="C261" t="s">
        <v>714</v>
      </c>
      <c r="D261" s="560">
        <v>121</v>
      </c>
      <c r="M261">
        <v>14</v>
      </c>
      <c r="N261">
        <v>16</v>
      </c>
      <c r="O261">
        <v>20</v>
      </c>
      <c r="P261">
        <v>18</v>
      </c>
      <c r="Q261">
        <v>17</v>
      </c>
      <c r="R261">
        <v>10</v>
      </c>
      <c r="S261">
        <v>13</v>
      </c>
      <c r="T261">
        <v>5</v>
      </c>
      <c r="V261">
        <v>1</v>
      </c>
      <c r="Y261">
        <f t="shared" ref="Y261:Y317" si="4">SUM(E261:W261)</f>
        <v>114</v>
      </c>
    </row>
    <row r="262" spans="1:25" x14ac:dyDescent="0.25">
      <c r="A262" t="s">
        <v>1239</v>
      </c>
      <c r="C262" t="s">
        <v>716</v>
      </c>
      <c r="D262" s="560">
        <v>121</v>
      </c>
      <c r="P262">
        <v>3</v>
      </c>
      <c r="Q262">
        <v>7</v>
      </c>
      <c r="R262">
        <v>4</v>
      </c>
      <c r="S262">
        <v>5</v>
      </c>
      <c r="T262">
        <v>3</v>
      </c>
      <c r="U262">
        <v>1</v>
      </c>
      <c r="Y262">
        <f t="shared" si="4"/>
        <v>23</v>
      </c>
    </row>
    <row r="263" spans="1:25" x14ac:dyDescent="0.25">
      <c r="A263" t="s">
        <v>1477</v>
      </c>
      <c r="C263" t="s">
        <v>718</v>
      </c>
      <c r="D263" s="560">
        <v>121</v>
      </c>
      <c r="P263">
        <v>9</v>
      </c>
      <c r="Q263">
        <v>18</v>
      </c>
      <c r="R263">
        <v>10</v>
      </c>
      <c r="S263">
        <v>16</v>
      </c>
      <c r="T263">
        <v>2</v>
      </c>
      <c r="Y263">
        <f t="shared" si="4"/>
        <v>55</v>
      </c>
    </row>
    <row r="264" spans="1:25" x14ac:dyDescent="0.25">
      <c r="A264" t="s">
        <v>1080</v>
      </c>
      <c r="C264" t="s">
        <v>720</v>
      </c>
      <c r="D264" s="560">
        <v>101</v>
      </c>
      <c r="H264">
        <v>4</v>
      </c>
      <c r="J264">
        <v>3</v>
      </c>
      <c r="K264">
        <v>2</v>
      </c>
      <c r="M264">
        <v>3</v>
      </c>
      <c r="O264">
        <v>1</v>
      </c>
      <c r="Y264">
        <f t="shared" si="4"/>
        <v>13</v>
      </c>
    </row>
    <row r="265" spans="1:25" x14ac:dyDescent="0.25">
      <c r="A265" t="s">
        <v>1238</v>
      </c>
      <c r="C265" t="s">
        <v>722</v>
      </c>
      <c r="D265" s="560">
        <v>121</v>
      </c>
      <c r="E265">
        <v>46</v>
      </c>
      <c r="F265">
        <v>85</v>
      </c>
      <c r="G265">
        <v>99</v>
      </c>
      <c r="H265">
        <v>99</v>
      </c>
      <c r="I265">
        <v>118</v>
      </c>
      <c r="J265">
        <v>94</v>
      </c>
      <c r="K265">
        <v>103</v>
      </c>
      <c r="L265">
        <v>95</v>
      </c>
      <c r="M265">
        <v>82</v>
      </c>
      <c r="N265">
        <v>82</v>
      </c>
      <c r="O265">
        <v>99</v>
      </c>
      <c r="P265">
        <v>93</v>
      </c>
      <c r="Q265">
        <v>102</v>
      </c>
      <c r="R265">
        <v>86</v>
      </c>
      <c r="S265">
        <v>93</v>
      </c>
      <c r="T265">
        <v>46</v>
      </c>
      <c r="U265">
        <v>12</v>
      </c>
      <c r="V265">
        <v>10</v>
      </c>
      <c r="Y265">
        <f t="shared" si="4"/>
        <v>1444</v>
      </c>
    </row>
    <row r="266" spans="1:25" x14ac:dyDescent="0.25">
      <c r="A266" t="s">
        <v>1082</v>
      </c>
      <c r="C266" t="s">
        <v>724</v>
      </c>
      <c r="D266" s="560">
        <v>105</v>
      </c>
      <c r="E266">
        <v>13</v>
      </c>
      <c r="F266">
        <v>29</v>
      </c>
      <c r="G266">
        <v>38</v>
      </c>
      <c r="H266">
        <v>55</v>
      </c>
      <c r="I266">
        <v>65</v>
      </c>
      <c r="J266">
        <v>62</v>
      </c>
      <c r="K266">
        <v>77</v>
      </c>
      <c r="L266">
        <v>66</v>
      </c>
      <c r="M266">
        <v>66</v>
      </c>
      <c r="N266">
        <v>68</v>
      </c>
      <c r="O266">
        <v>57</v>
      </c>
      <c r="P266">
        <v>64</v>
      </c>
      <c r="Q266">
        <v>80</v>
      </c>
      <c r="R266">
        <v>67</v>
      </c>
      <c r="S266">
        <v>63</v>
      </c>
      <c r="T266">
        <v>26</v>
      </c>
      <c r="U266">
        <v>7</v>
      </c>
      <c r="V266">
        <v>5</v>
      </c>
      <c r="W266">
        <v>1</v>
      </c>
      <c r="Y266">
        <f t="shared" si="4"/>
        <v>909</v>
      </c>
    </row>
    <row r="267" spans="1:25" x14ac:dyDescent="0.25">
      <c r="A267" t="s">
        <v>1478</v>
      </c>
      <c r="C267" t="s">
        <v>726</v>
      </c>
      <c r="D267" s="560">
        <v>900</v>
      </c>
      <c r="M267">
        <v>2</v>
      </c>
      <c r="N267">
        <v>2</v>
      </c>
      <c r="O267">
        <v>2</v>
      </c>
      <c r="P267">
        <v>4</v>
      </c>
      <c r="Q267">
        <v>3</v>
      </c>
      <c r="R267">
        <v>2</v>
      </c>
      <c r="S267">
        <v>5</v>
      </c>
      <c r="Y267">
        <f t="shared" si="4"/>
        <v>20</v>
      </c>
    </row>
    <row r="268" spans="1:25" x14ac:dyDescent="0.25">
      <c r="A268" t="s">
        <v>1084</v>
      </c>
      <c r="B268" t="s">
        <v>1133</v>
      </c>
      <c r="C268" t="s">
        <v>728</v>
      </c>
      <c r="D268" s="560">
        <v>121</v>
      </c>
      <c r="E268">
        <v>126</v>
      </c>
      <c r="F268">
        <v>180</v>
      </c>
      <c r="G268">
        <v>204</v>
      </c>
      <c r="H268">
        <v>264</v>
      </c>
      <c r="I268">
        <v>320</v>
      </c>
      <c r="J268">
        <v>335</v>
      </c>
      <c r="K268">
        <v>327</v>
      </c>
      <c r="L268">
        <v>359</v>
      </c>
      <c r="M268">
        <v>345</v>
      </c>
      <c r="N268">
        <v>305</v>
      </c>
      <c r="O268">
        <v>303</v>
      </c>
      <c r="P268">
        <v>343</v>
      </c>
      <c r="Q268">
        <v>335</v>
      </c>
      <c r="R268">
        <v>287</v>
      </c>
      <c r="S268">
        <v>259</v>
      </c>
      <c r="T268">
        <v>109</v>
      </c>
      <c r="U268">
        <v>34</v>
      </c>
      <c r="V268">
        <v>21</v>
      </c>
      <c r="W268">
        <v>7</v>
      </c>
      <c r="Y268">
        <f t="shared" si="4"/>
        <v>4463</v>
      </c>
    </row>
    <row r="269" spans="1:25" x14ac:dyDescent="0.25">
      <c r="A269" t="s">
        <v>1148</v>
      </c>
      <c r="C269" t="s">
        <v>730</v>
      </c>
      <c r="D269" s="560">
        <v>113</v>
      </c>
      <c r="H269">
        <v>2</v>
      </c>
      <c r="I269">
        <v>5</v>
      </c>
      <c r="J269">
        <v>1</v>
      </c>
      <c r="K269">
        <v>5</v>
      </c>
      <c r="L269">
        <v>1</v>
      </c>
      <c r="M269">
        <v>2</v>
      </c>
      <c r="N269">
        <v>5</v>
      </c>
      <c r="P269">
        <v>3</v>
      </c>
      <c r="Q269">
        <v>4</v>
      </c>
      <c r="R269">
        <v>1</v>
      </c>
      <c r="S269">
        <v>5</v>
      </c>
      <c r="T269">
        <v>1</v>
      </c>
      <c r="Y269">
        <f t="shared" si="4"/>
        <v>35</v>
      </c>
    </row>
    <row r="270" spans="1:25" x14ac:dyDescent="0.25">
      <c r="A270" t="s">
        <v>1085</v>
      </c>
      <c r="B270" t="s">
        <v>1133</v>
      </c>
      <c r="C270" t="s">
        <v>732</v>
      </c>
      <c r="D270" s="560">
        <v>121</v>
      </c>
      <c r="E270">
        <v>24</v>
      </c>
      <c r="F270">
        <v>56</v>
      </c>
      <c r="G270">
        <v>77</v>
      </c>
      <c r="H270">
        <v>90</v>
      </c>
      <c r="I270">
        <v>86</v>
      </c>
      <c r="J270">
        <v>91</v>
      </c>
      <c r="K270">
        <v>123</v>
      </c>
      <c r="L270">
        <v>110</v>
      </c>
      <c r="M270">
        <v>88</v>
      </c>
      <c r="N270">
        <v>82</v>
      </c>
      <c r="O270">
        <v>78</v>
      </c>
      <c r="P270">
        <v>76</v>
      </c>
      <c r="Q270">
        <v>61</v>
      </c>
      <c r="R270">
        <v>56</v>
      </c>
      <c r="S270">
        <v>55</v>
      </c>
      <c r="T270">
        <v>17</v>
      </c>
      <c r="U270">
        <v>7</v>
      </c>
      <c r="V270">
        <v>5</v>
      </c>
      <c r="W270">
        <v>1</v>
      </c>
      <c r="Y270">
        <f t="shared" si="4"/>
        <v>1183</v>
      </c>
    </row>
    <row r="271" spans="1:25" x14ac:dyDescent="0.25">
      <c r="A271" t="s">
        <v>1086</v>
      </c>
      <c r="C271" t="s">
        <v>734</v>
      </c>
      <c r="D271" s="560">
        <v>101</v>
      </c>
      <c r="G271">
        <v>2</v>
      </c>
      <c r="H271">
        <v>2</v>
      </c>
      <c r="I271">
        <v>2</v>
      </c>
      <c r="J271">
        <v>3</v>
      </c>
      <c r="K271">
        <v>4</v>
      </c>
      <c r="L271">
        <v>3</v>
      </c>
      <c r="M271">
        <v>4</v>
      </c>
      <c r="N271">
        <v>6</v>
      </c>
      <c r="O271">
        <v>3</v>
      </c>
      <c r="P271">
        <v>1</v>
      </c>
      <c r="Q271">
        <v>3</v>
      </c>
      <c r="R271">
        <v>2</v>
      </c>
      <c r="S271">
        <v>3</v>
      </c>
      <c r="T271">
        <v>1</v>
      </c>
      <c r="Y271">
        <f t="shared" si="4"/>
        <v>39</v>
      </c>
    </row>
    <row r="272" spans="1:25" x14ac:dyDescent="0.25">
      <c r="A272" t="s">
        <v>1087</v>
      </c>
      <c r="C272" t="s">
        <v>736</v>
      </c>
      <c r="D272" s="560">
        <v>113</v>
      </c>
      <c r="E272">
        <v>7</v>
      </c>
      <c r="F272">
        <v>6</v>
      </c>
      <c r="G272">
        <v>13</v>
      </c>
      <c r="H272">
        <v>12</v>
      </c>
      <c r="I272">
        <v>18</v>
      </c>
      <c r="J272">
        <v>17</v>
      </c>
      <c r="K272">
        <v>25</v>
      </c>
      <c r="L272">
        <v>15</v>
      </c>
      <c r="M272">
        <v>20</v>
      </c>
      <c r="N272">
        <v>19</v>
      </c>
      <c r="O272">
        <v>13</v>
      </c>
      <c r="P272">
        <v>14</v>
      </c>
      <c r="Q272">
        <v>11</v>
      </c>
      <c r="R272">
        <v>16</v>
      </c>
      <c r="S272">
        <v>11</v>
      </c>
      <c r="T272">
        <v>7</v>
      </c>
      <c r="U272">
        <v>2</v>
      </c>
      <c r="V272">
        <v>1</v>
      </c>
      <c r="Y272">
        <f t="shared" si="4"/>
        <v>227</v>
      </c>
    </row>
    <row r="273" spans="1:25" x14ac:dyDescent="0.25">
      <c r="A273" t="s">
        <v>1088</v>
      </c>
      <c r="C273" t="s">
        <v>738</v>
      </c>
      <c r="D273" s="560">
        <v>105</v>
      </c>
      <c r="E273">
        <v>1</v>
      </c>
      <c r="F273">
        <v>3</v>
      </c>
      <c r="G273">
        <v>3</v>
      </c>
      <c r="H273">
        <v>3</v>
      </c>
      <c r="I273">
        <v>4</v>
      </c>
      <c r="J273">
        <v>2</v>
      </c>
      <c r="K273">
        <v>5</v>
      </c>
      <c r="L273">
        <v>4</v>
      </c>
      <c r="M273">
        <v>8</v>
      </c>
      <c r="N273">
        <v>4</v>
      </c>
      <c r="O273">
        <v>1</v>
      </c>
      <c r="P273">
        <v>1</v>
      </c>
      <c r="R273">
        <v>2</v>
      </c>
      <c r="Y273">
        <f t="shared" si="4"/>
        <v>41</v>
      </c>
    </row>
    <row r="274" spans="1:25" x14ac:dyDescent="0.25">
      <c r="A274" t="s">
        <v>1089</v>
      </c>
      <c r="C274" t="s">
        <v>740</v>
      </c>
      <c r="D274" s="560">
        <v>113</v>
      </c>
      <c r="E274">
        <v>3</v>
      </c>
      <c r="F274">
        <v>3</v>
      </c>
      <c r="G274">
        <v>6</v>
      </c>
      <c r="H274">
        <v>10</v>
      </c>
      <c r="I274">
        <v>13</v>
      </c>
      <c r="J274">
        <v>12</v>
      </c>
      <c r="K274">
        <v>16</v>
      </c>
      <c r="L274">
        <v>7</v>
      </c>
      <c r="M274">
        <v>14</v>
      </c>
      <c r="N274">
        <v>13</v>
      </c>
      <c r="O274">
        <v>7</v>
      </c>
      <c r="P274">
        <v>7</v>
      </c>
      <c r="Q274">
        <v>9</v>
      </c>
      <c r="R274">
        <v>9</v>
      </c>
      <c r="S274">
        <v>15</v>
      </c>
      <c r="T274">
        <v>5</v>
      </c>
      <c r="U274">
        <v>4</v>
      </c>
      <c r="Y274">
        <f t="shared" si="4"/>
        <v>153</v>
      </c>
    </row>
    <row r="275" spans="1:25" x14ac:dyDescent="0.25">
      <c r="A275" t="s">
        <v>1090</v>
      </c>
      <c r="B275" t="s">
        <v>1133</v>
      </c>
      <c r="C275" t="s">
        <v>742</v>
      </c>
      <c r="D275" s="560">
        <v>171</v>
      </c>
      <c r="E275">
        <v>2</v>
      </c>
      <c r="F275">
        <v>3</v>
      </c>
      <c r="G275">
        <v>7</v>
      </c>
      <c r="H275">
        <v>7</v>
      </c>
      <c r="I275">
        <v>7</v>
      </c>
      <c r="J275">
        <v>7</v>
      </c>
      <c r="K275">
        <v>13</v>
      </c>
      <c r="L275">
        <v>8</v>
      </c>
      <c r="M275">
        <v>13</v>
      </c>
      <c r="N275">
        <v>9</v>
      </c>
      <c r="O275">
        <v>14</v>
      </c>
      <c r="P275">
        <v>11</v>
      </c>
      <c r="Q275">
        <v>5</v>
      </c>
      <c r="R275">
        <v>9</v>
      </c>
      <c r="S275">
        <v>12</v>
      </c>
      <c r="T275">
        <v>6</v>
      </c>
      <c r="U275">
        <v>2</v>
      </c>
      <c r="Y275">
        <f t="shared" si="4"/>
        <v>135</v>
      </c>
    </row>
    <row r="276" spans="1:25" x14ac:dyDescent="0.25">
      <c r="A276" t="s">
        <v>1091</v>
      </c>
      <c r="B276" t="s">
        <v>1133</v>
      </c>
      <c r="C276" t="s">
        <v>744</v>
      </c>
      <c r="D276" s="560">
        <v>105</v>
      </c>
      <c r="E276">
        <v>6</v>
      </c>
      <c r="F276">
        <v>17</v>
      </c>
      <c r="G276">
        <v>29</v>
      </c>
      <c r="H276">
        <v>22</v>
      </c>
      <c r="I276">
        <v>30</v>
      </c>
      <c r="J276">
        <v>39</v>
      </c>
      <c r="K276">
        <v>38</v>
      </c>
      <c r="L276">
        <v>27</v>
      </c>
      <c r="M276">
        <v>32</v>
      </c>
      <c r="N276">
        <v>34</v>
      </c>
      <c r="O276">
        <v>42</v>
      </c>
      <c r="P276">
        <v>48</v>
      </c>
      <c r="Q276">
        <v>47</v>
      </c>
      <c r="R276">
        <v>45</v>
      </c>
      <c r="S276">
        <v>42</v>
      </c>
      <c r="T276">
        <v>18</v>
      </c>
      <c r="U276">
        <v>3</v>
      </c>
      <c r="V276">
        <v>7</v>
      </c>
      <c r="W276">
        <v>2</v>
      </c>
      <c r="Y276">
        <f t="shared" si="4"/>
        <v>528</v>
      </c>
    </row>
    <row r="277" spans="1:25" x14ac:dyDescent="0.25">
      <c r="A277" t="s">
        <v>1092</v>
      </c>
      <c r="C277" t="s">
        <v>746</v>
      </c>
      <c r="D277" s="560">
        <v>123</v>
      </c>
      <c r="F277">
        <v>3</v>
      </c>
      <c r="J277">
        <v>2</v>
      </c>
      <c r="L277">
        <v>3</v>
      </c>
      <c r="M277">
        <v>1</v>
      </c>
      <c r="O277">
        <v>1</v>
      </c>
      <c r="P277">
        <v>1</v>
      </c>
      <c r="R277">
        <v>1</v>
      </c>
      <c r="S277">
        <v>2</v>
      </c>
      <c r="T277">
        <v>1</v>
      </c>
      <c r="Y277">
        <f t="shared" si="4"/>
        <v>15</v>
      </c>
    </row>
    <row r="278" spans="1:25" x14ac:dyDescent="0.25">
      <c r="A278" t="s">
        <v>1093</v>
      </c>
      <c r="B278" t="s">
        <v>1133</v>
      </c>
      <c r="C278" t="s">
        <v>748</v>
      </c>
      <c r="D278" s="560">
        <v>112</v>
      </c>
      <c r="E278">
        <v>1</v>
      </c>
      <c r="F278">
        <v>1</v>
      </c>
      <c r="G278">
        <v>3</v>
      </c>
      <c r="H278">
        <v>7</v>
      </c>
      <c r="I278">
        <v>13</v>
      </c>
      <c r="J278">
        <v>8</v>
      </c>
      <c r="K278">
        <v>5</v>
      </c>
      <c r="L278">
        <v>5</v>
      </c>
      <c r="M278">
        <v>9</v>
      </c>
      <c r="N278">
        <v>12</v>
      </c>
      <c r="O278">
        <v>8</v>
      </c>
      <c r="P278">
        <v>7</v>
      </c>
      <c r="Q278">
        <v>3</v>
      </c>
      <c r="R278">
        <v>5</v>
      </c>
      <c r="S278">
        <v>5</v>
      </c>
      <c r="T278">
        <v>5</v>
      </c>
      <c r="Y278">
        <f t="shared" si="4"/>
        <v>97</v>
      </c>
    </row>
    <row r="279" spans="1:25" x14ac:dyDescent="0.25">
      <c r="A279" t="s">
        <v>1094</v>
      </c>
      <c r="C279" t="s">
        <v>750</v>
      </c>
      <c r="D279" s="560">
        <v>112</v>
      </c>
      <c r="F279">
        <v>2</v>
      </c>
      <c r="G279">
        <v>1</v>
      </c>
      <c r="H279">
        <v>2</v>
      </c>
      <c r="I279">
        <v>1</v>
      </c>
      <c r="J279">
        <v>3</v>
      </c>
      <c r="M279">
        <v>1</v>
      </c>
      <c r="N279">
        <v>3</v>
      </c>
      <c r="P279">
        <v>2</v>
      </c>
      <c r="Q279">
        <v>2</v>
      </c>
      <c r="R279">
        <v>2</v>
      </c>
      <c r="S279">
        <v>3</v>
      </c>
      <c r="Y279">
        <f t="shared" si="4"/>
        <v>22</v>
      </c>
    </row>
    <row r="280" spans="1:25" x14ac:dyDescent="0.25">
      <c r="A280" t="s">
        <v>1095</v>
      </c>
      <c r="C280" t="s">
        <v>752</v>
      </c>
      <c r="D280" s="560">
        <v>121</v>
      </c>
      <c r="E280">
        <v>6</v>
      </c>
      <c r="F280">
        <v>8</v>
      </c>
      <c r="G280">
        <v>16</v>
      </c>
      <c r="H280">
        <v>22</v>
      </c>
      <c r="I280">
        <v>18</v>
      </c>
      <c r="J280">
        <v>23</v>
      </c>
      <c r="K280">
        <v>27</v>
      </c>
      <c r="L280">
        <v>39</v>
      </c>
      <c r="M280">
        <v>30</v>
      </c>
      <c r="N280">
        <v>34</v>
      </c>
      <c r="O280">
        <v>17</v>
      </c>
      <c r="P280">
        <v>21</v>
      </c>
      <c r="Q280">
        <v>22</v>
      </c>
      <c r="R280">
        <v>28</v>
      </c>
      <c r="S280">
        <v>14</v>
      </c>
      <c r="T280">
        <v>5</v>
      </c>
      <c r="U280">
        <v>3</v>
      </c>
      <c r="V280">
        <v>1</v>
      </c>
      <c r="Y280">
        <f t="shared" si="4"/>
        <v>334</v>
      </c>
    </row>
    <row r="281" spans="1:25" x14ac:dyDescent="0.25">
      <c r="A281" t="s">
        <v>1096</v>
      </c>
      <c r="B281" t="s">
        <v>1133</v>
      </c>
      <c r="C281" t="s">
        <v>754</v>
      </c>
      <c r="D281" s="560">
        <v>113</v>
      </c>
      <c r="E281">
        <v>27</v>
      </c>
      <c r="F281">
        <v>38</v>
      </c>
      <c r="G281">
        <v>48</v>
      </c>
      <c r="H281">
        <v>57</v>
      </c>
      <c r="I281">
        <v>62</v>
      </c>
      <c r="J281">
        <v>74</v>
      </c>
      <c r="K281">
        <v>75</v>
      </c>
      <c r="L281">
        <v>66</v>
      </c>
      <c r="M281">
        <v>72</v>
      </c>
      <c r="N281">
        <v>78</v>
      </c>
      <c r="O281">
        <v>70</v>
      </c>
      <c r="P281">
        <v>48</v>
      </c>
      <c r="Q281">
        <v>66</v>
      </c>
      <c r="R281">
        <v>59</v>
      </c>
      <c r="S281">
        <v>57</v>
      </c>
      <c r="T281">
        <v>22</v>
      </c>
      <c r="U281">
        <v>8</v>
      </c>
      <c r="V281">
        <v>4</v>
      </c>
      <c r="Y281">
        <f t="shared" si="4"/>
        <v>931</v>
      </c>
    </row>
    <row r="282" spans="1:25" x14ac:dyDescent="0.25">
      <c r="A282" t="s">
        <v>1097</v>
      </c>
      <c r="C282" t="s">
        <v>756</v>
      </c>
      <c r="D282" s="560">
        <v>105</v>
      </c>
      <c r="E282">
        <v>6</v>
      </c>
      <c r="F282">
        <v>5</v>
      </c>
      <c r="G282">
        <v>5</v>
      </c>
      <c r="H282">
        <v>8</v>
      </c>
      <c r="I282">
        <v>7</v>
      </c>
      <c r="J282">
        <v>7</v>
      </c>
      <c r="K282">
        <v>4</v>
      </c>
      <c r="L282">
        <v>9</v>
      </c>
      <c r="M282">
        <v>8</v>
      </c>
      <c r="N282">
        <v>8</v>
      </c>
      <c r="O282">
        <v>14</v>
      </c>
      <c r="P282">
        <v>3</v>
      </c>
      <c r="Y282">
        <f t="shared" si="4"/>
        <v>84</v>
      </c>
    </row>
    <row r="283" spans="1:25" x14ac:dyDescent="0.25">
      <c r="A283" t="s">
        <v>1098</v>
      </c>
      <c r="B283" t="s">
        <v>1133</v>
      </c>
      <c r="C283" t="s">
        <v>758</v>
      </c>
      <c r="D283" s="560">
        <v>121</v>
      </c>
      <c r="E283">
        <v>21</v>
      </c>
      <c r="F283">
        <v>25</v>
      </c>
      <c r="G283">
        <v>27</v>
      </c>
      <c r="H283">
        <v>44</v>
      </c>
      <c r="I283">
        <v>37</v>
      </c>
      <c r="J283">
        <v>46</v>
      </c>
      <c r="K283">
        <v>43</v>
      </c>
      <c r="L283">
        <v>46</v>
      </c>
      <c r="M283">
        <v>48</v>
      </c>
      <c r="N283">
        <v>31</v>
      </c>
      <c r="O283">
        <v>31</v>
      </c>
      <c r="P283">
        <v>41</v>
      </c>
      <c r="Q283">
        <v>30</v>
      </c>
      <c r="R283">
        <v>32</v>
      </c>
      <c r="S283">
        <v>26</v>
      </c>
      <c r="T283">
        <v>16</v>
      </c>
      <c r="U283">
        <v>5</v>
      </c>
      <c r="V283">
        <v>4</v>
      </c>
      <c r="W283">
        <v>2</v>
      </c>
      <c r="Y283">
        <f t="shared" si="4"/>
        <v>555</v>
      </c>
    </row>
    <row r="284" spans="1:25" x14ac:dyDescent="0.25">
      <c r="A284" t="s">
        <v>1099</v>
      </c>
      <c r="C284" t="s">
        <v>760</v>
      </c>
      <c r="D284" s="560">
        <v>101</v>
      </c>
      <c r="E284">
        <v>6</v>
      </c>
      <c r="F284">
        <v>1</v>
      </c>
      <c r="G284">
        <v>6</v>
      </c>
      <c r="H284">
        <v>10</v>
      </c>
      <c r="I284">
        <v>4</v>
      </c>
      <c r="J284">
        <v>9</v>
      </c>
      <c r="K284">
        <v>6</v>
      </c>
      <c r="L284">
        <v>12</v>
      </c>
      <c r="M284">
        <v>8</v>
      </c>
      <c r="N284">
        <v>12</v>
      </c>
      <c r="O284">
        <v>14</v>
      </c>
      <c r="P284">
        <v>7</v>
      </c>
      <c r="Q284">
        <v>4</v>
      </c>
      <c r="R284">
        <v>3</v>
      </c>
      <c r="S284">
        <v>1</v>
      </c>
      <c r="Y284">
        <f t="shared" si="4"/>
        <v>103</v>
      </c>
    </row>
    <row r="285" spans="1:25" x14ac:dyDescent="0.25">
      <c r="A285" t="s">
        <v>1100</v>
      </c>
      <c r="B285" t="s">
        <v>1133</v>
      </c>
      <c r="C285" t="s">
        <v>762</v>
      </c>
      <c r="D285" s="560">
        <v>112</v>
      </c>
      <c r="E285">
        <v>74</v>
      </c>
      <c r="F285">
        <v>134</v>
      </c>
      <c r="G285">
        <v>181</v>
      </c>
      <c r="H285">
        <v>256</v>
      </c>
      <c r="I285">
        <v>291</v>
      </c>
      <c r="J285">
        <v>309</v>
      </c>
      <c r="K285">
        <v>297</v>
      </c>
      <c r="L285">
        <v>265</v>
      </c>
      <c r="M285">
        <v>262</v>
      </c>
      <c r="N285">
        <v>239</v>
      </c>
      <c r="O285">
        <v>213</v>
      </c>
      <c r="P285">
        <v>224</v>
      </c>
      <c r="Q285">
        <v>234</v>
      </c>
      <c r="R285">
        <v>188</v>
      </c>
      <c r="S285">
        <v>204</v>
      </c>
      <c r="T285">
        <v>81</v>
      </c>
      <c r="U285">
        <v>30</v>
      </c>
      <c r="V285">
        <v>16</v>
      </c>
      <c r="W285">
        <v>4</v>
      </c>
      <c r="Y285">
        <f t="shared" si="4"/>
        <v>3502</v>
      </c>
    </row>
    <row r="286" spans="1:25" x14ac:dyDescent="0.25">
      <c r="A286" t="s">
        <v>1101</v>
      </c>
      <c r="C286" t="s">
        <v>764</v>
      </c>
      <c r="D286" s="560">
        <v>121</v>
      </c>
      <c r="E286">
        <v>5</v>
      </c>
      <c r="F286">
        <v>6</v>
      </c>
      <c r="G286">
        <v>8</v>
      </c>
      <c r="H286">
        <v>10</v>
      </c>
      <c r="I286">
        <v>10</v>
      </c>
      <c r="J286">
        <v>11</v>
      </c>
      <c r="K286">
        <v>12</v>
      </c>
      <c r="L286">
        <v>10</v>
      </c>
      <c r="M286">
        <v>15</v>
      </c>
      <c r="N286">
        <v>16</v>
      </c>
      <c r="O286">
        <v>17</v>
      </c>
      <c r="P286">
        <v>13</v>
      </c>
      <c r="Q286">
        <v>13</v>
      </c>
      <c r="R286">
        <v>20</v>
      </c>
      <c r="S286">
        <v>10</v>
      </c>
      <c r="T286">
        <v>5</v>
      </c>
      <c r="Y286">
        <f t="shared" si="4"/>
        <v>181</v>
      </c>
    </row>
    <row r="287" spans="1:25" x14ac:dyDescent="0.25">
      <c r="A287" t="s">
        <v>1479</v>
      </c>
      <c r="C287" t="s">
        <v>1282</v>
      </c>
      <c r="D287" s="560">
        <v>900</v>
      </c>
      <c r="R287">
        <v>1</v>
      </c>
      <c r="S287">
        <v>9</v>
      </c>
      <c r="T287">
        <v>5</v>
      </c>
      <c r="U287">
        <v>4</v>
      </c>
      <c r="Y287">
        <f t="shared" si="4"/>
        <v>19</v>
      </c>
    </row>
    <row r="288" spans="1:25" x14ac:dyDescent="0.25">
      <c r="A288" t="s">
        <v>1480</v>
      </c>
      <c r="C288" t="s">
        <v>653</v>
      </c>
      <c r="D288" s="560">
        <v>900</v>
      </c>
      <c r="E288">
        <v>2</v>
      </c>
      <c r="F288">
        <v>1</v>
      </c>
      <c r="G288">
        <v>4</v>
      </c>
      <c r="I288">
        <v>6</v>
      </c>
      <c r="J288">
        <v>4</v>
      </c>
      <c r="K288">
        <v>2</v>
      </c>
      <c r="L288">
        <v>7</v>
      </c>
      <c r="M288">
        <v>4</v>
      </c>
      <c r="N288">
        <v>7</v>
      </c>
      <c r="O288">
        <v>9</v>
      </c>
      <c r="P288">
        <v>9</v>
      </c>
      <c r="Q288">
        <v>7</v>
      </c>
      <c r="R288">
        <v>9</v>
      </c>
      <c r="S288">
        <v>11</v>
      </c>
      <c r="T288">
        <v>6</v>
      </c>
      <c r="U288">
        <v>3</v>
      </c>
      <c r="V288">
        <v>1</v>
      </c>
      <c r="Y288">
        <f t="shared" si="4"/>
        <v>92</v>
      </c>
    </row>
    <row r="289" spans="1:25" x14ac:dyDescent="0.25">
      <c r="A289" t="s">
        <v>1481</v>
      </c>
      <c r="C289" t="s">
        <v>651</v>
      </c>
      <c r="D289" s="560">
        <v>900</v>
      </c>
      <c r="N289">
        <v>6</v>
      </c>
      <c r="O289">
        <v>2</v>
      </c>
      <c r="P289">
        <v>6</v>
      </c>
      <c r="Q289">
        <v>8</v>
      </c>
      <c r="R289">
        <v>7</v>
      </c>
      <c r="S289">
        <v>14</v>
      </c>
      <c r="T289">
        <v>5</v>
      </c>
      <c r="U289">
        <v>5</v>
      </c>
      <c r="V289">
        <v>2</v>
      </c>
      <c r="Y289">
        <f t="shared" si="4"/>
        <v>55</v>
      </c>
    </row>
    <row r="290" spans="1:25" x14ac:dyDescent="0.25">
      <c r="A290" t="s">
        <v>1102</v>
      </c>
      <c r="C290" t="s">
        <v>766</v>
      </c>
      <c r="D290" s="560">
        <v>112</v>
      </c>
      <c r="F290">
        <v>1</v>
      </c>
      <c r="G290">
        <v>6</v>
      </c>
      <c r="H290">
        <v>12</v>
      </c>
      <c r="I290">
        <v>1</v>
      </c>
      <c r="J290">
        <v>2</v>
      </c>
      <c r="K290">
        <v>5</v>
      </c>
      <c r="L290">
        <v>6</v>
      </c>
      <c r="M290">
        <v>6</v>
      </c>
      <c r="N290">
        <v>3</v>
      </c>
      <c r="O290">
        <v>3</v>
      </c>
      <c r="P290">
        <v>10</v>
      </c>
      <c r="Q290">
        <v>4</v>
      </c>
      <c r="R290">
        <v>6</v>
      </c>
      <c r="S290">
        <v>2</v>
      </c>
      <c r="T290">
        <v>2</v>
      </c>
      <c r="Y290">
        <f t="shared" si="4"/>
        <v>69</v>
      </c>
    </row>
    <row r="291" spans="1:25" x14ac:dyDescent="0.25">
      <c r="A291" t="s">
        <v>1103</v>
      </c>
      <c r="B291" t="s">
        <v>1133</v>
      </c>
      <c r="C291" t="s">
        <v>768</v>
      </c>
      <c r="D291" s="560">
        <v>105</v>
      </c>
      <c r="E291">
        <v>10</v>
      </c>
      <c r="F291">
        <v>24</v>
      </c>
      <c r="G291">
        <v>22</v>
      </c>
      <c r="H291">
        <v>15</v>
      </c>
      <c r="I291">
        <v>20</v>
      </c>
      <c r="J291">
        <v>22</v>
      </c>
      <c r="K291">
        <v>16</v>
      </c>
      <c r="L291">
        <v>19</v>
      </c>
      <c r="M291">
        <v>24</v>
      </c>
      <c r="N291">
        <v>27</v>
      </c>
      <c r="O291">
        <v>20</v>
      </c>
      <c r="P291">
        <v>13</v>
      </c>
      <c r="Q291">
        <v>26</v>
      </c>
      <c r="R291">
        <v>19</v>
      </c>
      <c r="S291">
        <v>24</v>
      </c>
      <c r="T291">
        <v>8</v>
      </c>
      <c r="V291">
        <v>4</v>
      </c>
      <c r="Y291">
        <f t="shared" si="4"/>
        <v>313</v>
      </c>
    </row>
    <row r="292" spans="1:25" x14ac:dyDescent="0.25">
      <c r="A292" t="s">
        <v>1104</v>
      </c>
      <c r="C292" t="s">
        <v>770</v>
      </c>
      <c r="D292" s="560">
        <v>123</v>
      </c>
      <c r="F292">
        <v>1</v>
      </c>
      <c r="G292">
        <v>1</v>
      </c>
      <c r="H292">
        <v>2</v>
      </c>
      <c r="I292">
        <v>6</v>
      </c>
      <c r="J292">
        <v>2</v>
      </c>
      <c r="K292">
        <v>3</v>
      </c>
      <c r="L292">
        <v>3</v>
      </c>
      <c r="M292">
        <v>2</v>
      </c>
      <c r="N292">
        <v>2</v>
      </c>
      <c r="O292">
        <v>1</v>
      </c>
      <c r="R292">
        <v>5</v>
      </c>
      <c r="S292">
        <v>2</v>
      </c>
      <c r="T292">
        <v>1</v>
      </c>
      <c r="Y292">
        <f t="shared" si="4"/>
        <v>31</v>
      </c>
    </row>
    <row r="293" spans="1:25" x14ac:dyDescent="0.25">
      <c r="A293" t="s">
        <v>1105</v>
      </c>
      <c r="C293" t="s">
        <v>772</v>
      </c>
      <c r="D293" s="560">
        <v>123</v>
      </c>
      <c r="E293">
        <v>12</v>
      </c>
      <c r="F293">
        <v>24</v>
      </c>
      <c r="G293">
        <v>31</v>
      </c>
      <c r="H293">
        <v>48</v>
      </c>
      <c r="I293">
        <v>52</v>
      </c>
      <c r="J293">
        <v>75</v>
      </c>
      <c r="K293">
        <v>62</v>
      </c>
      <c r="L293">
        <v>56</v>
      </c>
      <c r="M293">
        <v>63</v>
      </c>
      <c r="N293">
        <v>62</v>
      </c>
      <c r="O293">
        <v>58</v>
      </c>
      <c r="P293">
        <v>70</v>
      </c>
      <c r="Q293">
        <v>70</v>
      </c>
      <c r="R293">
        <v>60</v>
      </c>
      <c r="S293">
        <v>76</v>
      </c>
      <c r="T293">
        <v>23</v>
      </c>
      <c r="U293">
        <v>14</v>
      </c>
      <c r="V293">
        <v>11</v>
      </c>
      <c r="Y293">
        <f t="shared" si="4"/>
        <v>867</v>
      </c>
    </row>
    <row r="294" spans="1:25" x14ac:dyDescent="0.25">
      <c r="A294" t="s">
        <v>1106</v>
      </c>
      <c r="C294" t="s">
        <v>774</v>
      </c>
      <c r="D294" s="560">
        <v>105</v>
      </c>
      <c r="E294">
        <v>8</v>
      </c>
      <c r="F294">
        <v>9</v>
      </c>
      <c r="G294">
        <v>20</v>
      </c>
      <c r="H294">
        <v>32</v>
      </c>
      <c r="I294">
        <v>33</v>
      </c>
      <c r="J294">
        <v>29</v>
      </c>
      <c r="K294">
        <v>39</v>
      </c>
      <c r="L294">
        <v>22</v>
      </c>
      <c r="M294">
        <v>37</v>
      </c>
      <c r="N294">
        <v>30</v>
      </c>
      <c r="O294">
        <v>33</v>
      </c>
      <c r="P294">
        <v>28</v>
      </c>
      <c r="Q294">
        <v>31</v>
      </c>
      <c r="R294">
        <v>27</v>
      </c>
      <c r="S294">
        <v>21</v>
      </c>
      <c r="T294">
        <v>12</v>
      </c>
      <c r="U294">
        <v>3</v>
      </c>
      <c r="V294">
        <v>4</v>
      </c>
      <c r="W294">
        <v>1</v>
      </c>
      <c r="Y294">
        <f t="shared" si="4"/>
        <v>419</v>
      </c>
    </row>
    <row r="295" spans="1:25" x14ac:dyDescent="0.25">
      <c r="A295" t="s">
        <v>1107</v>
      </c>
      <c r="C295" t="s">
        <v>776</v>
      </c>
      <c r="D295" s="560">
        <v>171</v>
      </c>
      <c r="E295">
        <v>4</v>
      </c>
      <c r="F295">
        <v>6</v>
      </c>
      <c r="G295">
        <v>8</v>
      </c>
      <c r="H295">
        <v>6</v>
      </c>
      <c r="I295">
        <v>9</v>
      </c>
      <c r="J295">
        <v>8</v>
      </c>
      <c r="K295">
        <v>10</v>
      </c>
      <c r="L295">
        <v>7</v>
      </c>
      <c r="M295">
        <v>13</v>
      </c>
      <c r="N295">
        <v>12</v>
      </c>
      <c r="O295">
        <v>7</v>
      </c>
      <c r="P295">
        <v>14</v>
      </c>
      <c r="Q295">
        <v>10</v>
      </c>
      <c r="R295">
        <v>8</v>
      </c>
      <c r="S295">
        <v>9</v>
      </c>
      <c r="T295">
        <v>6</v>
      </c>
      <c r="U295">
        <v>1</v>
      </c>
      <c r="V295">
        <v>2</v>
      </c>
      <c r="Y295">
        <f t="shared" si="4"/>
        <v>140</v>
      </c>
    </row>
    <row r="296" spans="1:25" x14ac:dyDescent="0.25">
      <c r="A296" t="s">
        <v>1108</v>
      </c>
      <c r="C296" t="s">
        <v>778</v>
      </c>
      <c r="D296" s="560">
        <v>112</v>
      </c>
      <c r="E296">
        <v>12</v>
      </c>
      <c r="F296">
        <v>25</v>
      </c>
      <c r="G296">
        <v>27</v>
      </c>
      <c r="H296">
        <v>28</v>
      </c>
      <c r="I296">
        <v>34</v>
      </c>
      <c r="J296">
        <v>32</v>
      </c>
      <c r="K296">
        <v>44</v>
      </c>
      <c r="L296">
        <v>33</v>
      </c>
      <c r="M296">
        <v>30</v>
      </c>
      <c r="N296">
        <v>39</v>
      </c>
      <c r="O296">
        <v>30</v>
      </c>
      <c r="P296">
        <v>43</v>
      </c>
      <c r="Q296">
        <v>32</v>
      </c>
      <c r="R296">
        <v>27</v>
      </c>
      <c r="S296">
        <v>38</v>
      </c>
      <c r="T296">
        <v>16</v>
      </c>
      <c r="U296">
        <v>3</v>
      </c>
      <c r="V296">
        <v>1</v>
      </c>
      <c r="Y296">
        <f t="shared" si="4"/>
        <v>494</v>
      </c>
    </row>
    <row r="297" spans="1:25" x14ac:dyDescent="0.25">
      <c r="A297" t="s">
        <v>1109</v>
      </c>
      <c r="C297" t="s">
        <v>780</v>
      </c>
      <c r="D297" s="560">
        <v>101</v>
      </c>
      <c r="E297">
        <v>1</v>
      </c>
      <c r="G297">
        <v>2</v>
      </c>
      <c r="H297">
        <v>1</v>
      </c>
      <c r="I297">
        <v>1</v>
      </c>
      <c r="J297">
        <v>2</v>
      </c>
      <c r="K297">
        <v>2</v>
      </c>
      <c r="M297">
        <v>1</v>
      </c>
      <c r="N297">
        <v>1</v>
      </c>
      <c r="O297">
        <v>1</v>
      </c>
      <c r="P297">
        <v>2</v>
      </c>
      <c r="R297">
        <v>1</v>
      </c>
      <c r="Y297">
        <f t="shared" si="4"/>
        <v>15</v>
      </c>
    </row>
    <row r="298" spans="1:25" x14ac:dyDescent="0.25">
      <c r="A298" t="s">
        <v>1110</v>
      </c>
      <c r="C298" t="s">
        <v>782</v>
      </c>
      <c r="D298" s="560">
        <v>171</v>
      </c>
      <c r="E298">
        <v>3</v>
      </c>
      <c r="F298">
        <v>1</v>
      </c>
      <c r="G298">
        <v>2</v>
      </c>
      <c r="H298">
        <v>2</v>
      </c>
      <c r="I298">
        <v>2</v>
      </c>
      <c r="J298">
        <v>4</v>
      </c>
      <c r="K298">
        <v>4</v>
      </c>
      <c r="L298">
        <v>3</v>
      </c>
      <c r="M298">
        <v>3</v>
      </c>
      <c r="N298">
        <v>1</v>
      </c>
      <c r="O298">
        <v>1</v>
      </c>
      <c r="P298">
        <v>5</v>
      </c>
      <c r="Q298">
        <v>1</v>
      </c>
      <c r="R298">
        <v>7</v>
      </c>
      <c r="S298">
        <v>3</v>
      </c>
      <c r="T298">
        <v>3</v>
      </c>
      <c r="U298">
        <v>1</v>
      </c>
      <c r="Y298">
        <f t="shared" si="4"/>
        <v>46</v>
      </c>
    </row>
    <row r="299" spans="1:25" x14ac:dyDescent="0.25">
      <c r="A299" t="s">
        <v>1111</v>
      </c>
      <c r="C299" t="s">
        <v>784</v>
      </c>
      <c r="D299" s="560">
        <v>101</v>
      </c>
      <c r="F299">
        <v>2</v>
      </c>
      <c r="G299">
        <v>1</v>
      </c>
      <c r="H299">
        <v>6</v>
      </c>
      <c r="I299">
        <v>3</v>
      </c>
      <c r="J299">
        <v>3</v>
      </c>
      <c r="K299">
        <v>1</v>
      </c>
      <c r="L299">
        <v>3</v>
      </c>
      <c r="M299">
        <v>3</v>
      </c>
      <c r="N299">
        <v>3</v>
      </c>
      <c r="O299">
        <v>3</v>
      </c>
      <c r="P299">
        <v>1</v>
      </c>
      <c r="Q299">
        <v>1</v>
      </c>
      <c r="R299">
        <v>3</v>
      </c>
      <c r="S299">
        <v>5</v>
      </c>
      <c r="T299">
        <v>4</v>
      </c>
      <c r="U299">
        <v>1</v>
      </c>
      <c r="V299">
        <v>1</v>
      </c>
      <c r="Y299">
        <f t="shared" si="4"/>
        <v>44</v>
      </c>
    </row>
    <row r="300" spans="1:25" x14ac:dyDescent="0.25">
      <c r="A300" t="s">
        <v>1112</v>
      </c>
      <c r="C300" t="s">
        <v>786</v>
      </c>
      <c r="D300" s="560">
        <v>171</v>
      </c>
      <c r="E300">
        <v>29</v>
      </c>
      <c r="F300">
        <v>61</v>
      </c>
      <c r="G300">
        <v>64</v>
      </c>
      <c r="H300">
        <v>76</v>
      </c>
      <c r="I300">
        <v>83</v>
      </c>
      <c r="J300">
        <v>65</v>
      </c>
      <c r="K300">
        <v>73</v>
      </c>
      <c r="L300">
        <v>67</v>
      </c>
      <c r="M300">
        <v>70</v>
      </c>
      <c r="N300">
        <v>56</v>
      </c>
      <c r="O300">
        <v>77</v>
      </c>
      <c r="P300">
        <v>79</v>
      </c>
      <c r="Q300">
        <v>80</v>
      </c>
      <c r="R300">
        <v>73</v>
      </c>
      <c r="S300">
        <v>86</v>
      </c>
      <c r="T300">
        <v>42</v>
      </c>
      <c r="U300">
        <v>17</v>
      </c>
      <c r="V300">
        <v>7</v>
      </c>
      <c r="Y300">
        <f t="shared" si="4"/>
        <v>1105</v>
      </c>
    </row>
    <row r="301" spans="1:25" x14ac:dyDescent="0.25">
      <c r="A301" t="s">
        <v>1482</v>
      </c>
      <c r="C301" t="s">
        <v>788</v>
      </c>
      <c r="D301" s="560">
        <v>105</v>
      </c>
      <c r="E301">
        <v>25</v>
      </c>
      <c r="F301">
        <v>30</v>
      </c>
      <c r="G301">
        <v>53</v>
      </c>
      <c r="H301">
        <v>54</v>
      </c>
      <c r="I301">
        <v>67</v>
      </c>
      <c r="J301">
        <v>69</v>
      </c>
      <c r="K301">
        <v>82</v>
      </c>
      <c r="L301">
        <v>65</v>
      </c>
      <c r="M301">
        <v>61</v>
      </c>
      <c r="N301">
        <v>57</v>
      </c>
      <c r="O301">
        <v>43</v>
      </c>
      <c r="P301">
        <v>43</v>
      </c>
      <c r="Q301">
        <v>38</v>
      </c>
      <c r="R301">
        <v>49</v>
      </c>
      <c r="S301">
        <v>45</v>
      </c>
      <c r="T301">
        <v>10</v>
      </c>
      <c r="U301">
        <v>7</v>
      </c>
      <c r="V301">
        <v>6</v>
      </c>
      <c r="Y301">
        <f t="shared" si="4"/>
        <v>804</v>
      </c>
    </row>
    <row r="302" spans="1:25" x14ac:dyDescent="0.25">
      <c r="A302" t="s">
        <v>1483</v>
      </c>
      <c r="C302" t="s">
        <v>790</v>
      </c>
      <c r="D302" s="560">
        <v>101</v>
      </c>
      <c r="E302">
        <v>11</v>
      </c>
      <c r="F302">
        <v>18</v>
      </c>
      <c r="G302">
        <v>22</v>
      </c>
      <c r="H302">
        <v>45</v>
      </c>
      <c r="I302">
        <v>35</v>
      </c>
      <c r="J302">
        <v>38</v>
      </c>
      <c r="K302">
        <v>39</v>
      </c>
      <c r="L302">
        <v>36</v>
      </c>
      <c r="M302">
        <v>36</v>
      </c>
      <c r="N302">
        <v>25</v>
      </c>
      <c r="O302">
        <v>34</v>
      </c>
      <c r="P302">
        <v>34</v>
      </c>
      <c r="Q302">
        <v>40</v>
      </c>
      <c r="R302">
        <v>42</v>
      </c>
      <c r="S302">
        <v>45</v>
      </c>
      <c r="T302">
        <v>14</v>
      </c>
      <c r="U302">
        <v>6</v>
      </c>
      <c r="V302">
        <v>1</v>
      </c>
      <c r="Y302">
        <f t="shared" si="4"/>
        <v>521</v>
      </c>
    </row>
    <row r="303" spans="1:25" x14ac:dyDescent="0.25">
      <c r="A303" t="s">
        <v>1484</v>
      </c>
      <c r="C303" t="s">
        <v>1169</v>
      </c>
      <c r="D303" s="561" t="s">
        <v>197</v>
      </c>
      <c r="Q303">
        <v>3</v>
      </c>
      <c r="R303">
        <v>5</v>
      </c>
      <c r="S303">
        <v>5</v>
      </c>
      <c r="T303">
        <v>3</v>
      </c>
      <c r="Y303">
        <f t="shared" si="4"/>
        <v>16</v>
      </c>
    </row>
    <row r="304" spans="1:25" x14ac:dyDescent="0.25">
      <c r="A304" t="s">
        <v>1115</v>
      </c>
      <c r="C304" t="s">
        <v>792</v>
      </c>
      <c r="D304" s="560">
        <v>113</v>
      </c>
      <c r="F304">
        <v>1</v>
      </c>
      <c r="G304">
        <v>1</v>
      </c>
      <c r="H304">
        <v>2</v>
      </c>
      <c r="I304">
        <v>4</v>
      </c>
      <c r="J304">
        <v>8</v>
      </c>
      <c r="K304">
        <v>3</v>
      </c>
      <c r="L304">
        <v>4</v>
      </c>
      <c r="M304">
        <v>11</v>
      </c>
      <c r="N304">
        <v>6</v>
      </c>
      <c r="O304">
        <v>3</v>
      </c>
      <c r="P304">
        <v>7</v>
      </c>
      <c r="Q304">
        <v>3</v>
      </c>
      <c r="S304">
        <v>5</v>
      </c>
      <c r="T304">
        <v>3</v>
      </c>
      <c r="Y304">
        <f t="shared" si="4"/>
        <v>61</v>
      </c>
    </row>
    <row r="305" spans="1:25" x14ac:dyDescent="0.25">
      <c r="A305" t="s">
        <v>1116</v>
      </c>
      <c r="C305" t="s">
        <v>794</v>
      </c>
      <c r="D305" s="560">
        <v>121</v>
      </c>
      <c r="E305">
        <v>20</v>
      </c>
      <c r="F305">
        <v>23</v>
      </c>
      <c r="G305">
        <v>35</v>
      </c>
      <c r="H305">
        <v>35</v>
      </c>
      <c r="I305">
        <v>41</v>
      </c>
      <c r="J305">
        <v>51</v>
      </c>
      <c r="K305">
        <v>48</v>
      </c>
      <c r="L305">
        <v>51</v>
      </c>
      <c r="M305">
        <v>39</v>
      </c>
      <c r="N305">
        <v>42</v>
      </c>
      <c r="O305">
        <v>44</v>
      </c>
      <c r="P305">
        <v>38</v>
      </c>
      <c r="Q305">
        <v>34</v>
      </c>
      <c r="R305">
        <v>47</v>
      </c>
      <c r="S305">
        <v>49</v>
      </c>
      <c r="T305">
        <v>15</v>
      </c>
      <c r="U305">
        <v>4</v>
      </c>
      <c r="V305">
        <v>1</v>
      </c>
      <c r="Y305">
        <f t="shared" si="4"/>
        <v>617</v>
      </c>
    </row>
    <row r="306" spans="1:25" x14ac:dyDescent="0.25">
      <c r="A306" t="s">
        <v>1117</v>
      </c>
      <c r="C306" t="s">
        <v>796</v>
      </c>
      <c r="D306" s="560">
        <v>112</v>
      </c>
      <c r="E306">
        <v>1</v>
      </c>
      <c r="F306">
        <v>2</v>
      </c>
      <c r="G306">
        <v>7</v>
      </c>
      <c r="H306">
        <v>6</v>
      </c>
      <c r="I306">
        <v>10</v>
      </c>
      <c r="J306">
        <v>18</v>
      </c>
      <c r="K306">
        <v>14</v>
      </c>
      <c r="L306">
        <v>17</v>
      </c>
      <c r="M306">
        <v>8</v>
      </c>
      <c r="N306">
        <v>9</v>
      </c>
      <c r="O306">
        <v>13</v>
      </c>
      <c r="P306">
        <v>12</v>
      </c>
      <c r="Q306">
        <v>9</v>
      </c>
      <c r="R306">
        <v>10</v>
      </c>
      <c r="S306">
        <v>13</v>
      </c>
      <c r="T306">
        <v>4</v>
      </c>
      <c r="U306">
        <v>1</v>
      </c>
      <c r="V306">
        <v>1</v>
      </c>
      <c r="Y306">
        <f t="shared" si="4"/>
        <v>155</v>
      </c>
    </row>
    <row r="307" spans="1:25" x14ac:dyDescent="0.25">
      <c r="A307" t="s">
        <v>1485</v>
      </c>
      <c r="C307" t="s">
        <v>247</v>
      </c>
      <c r="D307" s="560">
        <v>121</v>
      </c>
      <c r="P307">
        <v>3</v>
      </c>
      <c r="Q307">
        <v>5</v>
      </c>
      <c r="R307">
        <v>15</v>
      </c>
      <c r="S307">
        <v>3</v>
      </c>
      <c r="Y307">
        <f t="shared" si="4"/>
        <v>26</v>
      </c>
    </row>
    <row r="308" spans="1:25" x14ac:dyDescent="0.25">
      <c r="A308" t="s">
        <v>1118</v>
      </c>
      <c r="C308" t="s">
        <v>798</v>
      </c>
      <c r="D308" s="560">
        <v>101</v>
      </c>
      <c r="G308">
        <v>2</v>
      </c>
      <c r="H308">
        <v>2</v>
      </c>
      <c r="I308">
        <v>3</v>
      </c>
      <c r="J308">
        <v>1</v>
      </c>
      <c r="K308">
        <v>5</v>
      </c>
      <c r="L308">
        <v>8</v>
      </c>
      <c r="M308">
        <v>4</v>
      </c>
      <c r="N308">
        <v>2</v>
      </c>
      <c r="O308">
        <v>1</v>
      </c>
      <c r="P308">
        <v>3</v>
      </c>
      <c r="Q308">
        <v>2</v>
      </c>
      <c r="R308">
        <v>3</v>
      </c>
      <c r="S308">
        <v>3</v>
      </c>
      <c r="T308">
        <v>2</v>
      </c>
      <c r="Y308">
        <f t="shared" si="4"/>
        <v>41</v>
      </c>
    </row>
    <row r="309" spans="1:25" x14ac:dyDescent="0.25">
      <c r="A309" t="s">
        <v>1119</v>
      </c>
      <c r="C309" t="s">
        <v>800</v>
      </c>
      <c r="D309" s="560">
        <v>113</v>
      </c>
      <c r="F309">
        <v>3</v>
      </c>
      <c r="G309">
        <v>4</v>
      </c>
      <c r="H309">
        <v>2</v>
      </c>
      <c r="I309">
        <v>3</v>
      </c>
      <c r="J309">
        <v>3</v>
      </c>
      <c r="K309">
        <v>2</v>
      </c>
      <c r="L309">
        <v>4</v>
      </c>
      <c r="M309">
        <v>4</v>
      </c>
      <c r="N309">
        <v>4</v>
      </c>
      <c r="O309">
        <v>4</v>
      </c>
      <c r="P309">
        <v>3</v>
      </c>
      <c r="Q309">
        <v>6</v>
      </c>
      <c r="R309">
        <v>5</v>
      </c>
      <c r="S309">
        <v>5</v>
      </c>
      <c r="Y309">
        <f t="shared" si="4"/>
        <v>52</v>
      </c>
    </row>
    <row r="310" spans="1:25" x14ac:dyDescent="0.25">
      <c r="A310" t="s">
        <v>1149</v>
      </c>
      <c r="C310" t="s">
        <v>802</v>
      </c>
      <c r="D310" s="560">
        <v>171</v>
      </c>
      <c r="G310">
        <v>1</v>
      </c>
      <c r="I310">
        <v>1</v>
      </c>
      <c r="J310">
        <v>2</v>
      </c>
      <c r="K310">
        <v>1</v>
      </c>
      <c r="L310">
        <v>1</v>
      </c>
      <c r="M310">
        <v>3</v>
      </c>
      <c r="O310">
        <v>1</v>
      </c>
      <c r="P310">
        <v>1</v>
      </c>
      <c r="R310">
        <v>3</v>
      </c>
      <c r="S310">
        <v>2</v>
      </c>
      <c r="Y310">
        <f t="shared" si="4"/>
        <v>16</v>
      </c>
    </row>
    <row r="311" spans="1:25" x14ac:dyDescent="0.25">
      <c r="A311" t="s">
        <v>1120</v>
      </c>
      <c r="B311" t="s">
        <v>1133</v>
      </c>
      <c r="C311" t="s">
        <v>804</v>
      </c>
      <c r="D311" s="560">
        <v>113</v>
      </c>
      <c r="E311">
        <v>6</v>
      </c>
      <c r="F311">
        <v>8</v>
      </c>
      <c r="G311">
        <v>8</v>
      </c>
      <c r="H311">
        <v>6</v>
      </c>
      <c r="I311">
        <v>4</v>
      </c>
      <c r="J311">
        <v>8</v>
      </c>
      <c r="K311">
        <v>11</v>
      </c>
      <c r="L311">
        <v>8</v>
      </c>
      <c r="M311">
        <v>8</v>
      </c>
      <c r="N311">
        <v>11</v>
      </c>
      <c r="O311">
        <v>8</v>
      </c>
      <c r="P311">
        <v>12</v>
      </c>
      <c r="Q311">
        <v>10</v>
      </c>
      <c r="R311">
        <v>4</v>
      </c>
      <c r="S311">
        <v>7</v>
      </c>
      <c r="T311">
        <v>3</v>
      </c>
      <c r="Y311">
        <f t="shared" si="4"/>
        <v>122</v>
      </c>
    </row>
    <row r="312" spans="1:25" x14ac:dyDescent="0.25">
      <c r="A312" t="s">
        <v>1121</v>
      </c>
      <c r="C312" t="s">
        <v>806</v>
      </c>
      <c r="D312" s="560">
        <v>113</v>
      </c>
      <c r="G312">
        <v>1</v>
      </c>
      <c r="H312">
        <v>3</v>
      </c>
      <c r="I312">
        <v>1</v>
      </c>
      <c r="K312">
        <v>1</v>
      </c>
      <c r="L312">
        <v>3</v>
      </c>
      <c r="M312">
        <v>1</v>
      </c>
      <c r="N312">
        <v>1</v>
      </c>
      <c r="O312">
        <v>3</v>
      </c>
      <c r="P312">
        <v>4</v>
      </c>
      <c r="Q312">
        <v>1</v>
      </c>
      <c r="R312">
        <v>1</v>
      </c>
      <c r="S312">
        <v>1</v>
      </c>
      <c r="Y312">
        <f t="shared" si="4"/>
        <v>21</v>
      </c>
    </row>
    <row r="313" spans="1:25" x14ac:dyDescent="0.25">
      <c r="A313" t="s">
        <v>1122</v>
      </c>
      <c r="C313" t="s">
        <v>808</v>
      </c>
      <c r="D313" s="560">
        <v>112</v>
      </c>
      <c r="G313">
        <v>3</v>
      </c>
      <c r="H313">
        <v>3</v>
      </c>
      <c r="J313">
        <v>1</v>
      </c>
      <c r="L313">
        <v>1</v>
      </c>
      <c r="N313">
        <v>1</v>
      </c>
      <c r="O313">
        <v>2</v>
      </c>
      <c r="Q313">
        <v>1</v>
      </c>
      <c r="R313">
        <v>1</v>
      </c>
      <c r="U313">
        <v>1</v>
      </c>
      <c r="Y313">
        <f t="shared" si="4"/>
        <v>14</v>
      </c>
    </row>
    <row r="314" spans="1:25" x14ac:dyDescent="0.25">
      <c r="A314" t="s">
        <v>1123</v>
      </c>
      <c r="C314" t="s">
        <v>810</v>
      </c>
      <c r="D314" s="560">
        <v>112</v>
      </c>
      <c r="E314">
        <v>5</v>
      </c>
      <c r="F314">
        <v>15</v>
      </c>
      <c r="G314">
        <v>21</v>
      </c>
      <c r="H314">
        <v>21</v>
      </c>
      <c r="I314">
        <v>29</v>
      </c>
      <c r="J314">
        <v>33</v>
      </c>
      <c r="K314">
        <v>26</v>
      </c>
      <c r="L314">
        <v>31</v>
      </c>
      <c r="M314">
        <v>29</v>
      </c>
      <c r="N314">
        <v>33</v>
      </c>
      <c r="O314">
        <v>24</v>
      </c>
      <c r="P314">
        <v>25</v>
      </c>
      <c r="Q314">
        <v>26</v>
      </c>
      <c r="R314">
        <v>28</v>
      </c>
      <c r="S314">
        <v>19</v>
      </c>
      <c r="T314">
        <v>9</v>
      </c>
      <c r="U314">
        <v>6</v>
      </c>
      <c r="V314">
        <v>1</v>
      </c>
      <c r="Y314">
        <f t="shared" si="4"/>
        <v>381</v>
      </c>
    </row>
    <row r="315" spans="1:25" x14ac:dyDescent="0.25">
      <c r="A315" t="s">
        <v>1124</v>
      </c>
      <c r="C315" t="s">
        <v>812</v>
      </c>
      <c r="D315" s="560">
        <v>105</v>
      </c>
      <c r="E315">
        <v>80</v>
      </c>
      <c r="F315">
        <v>119</v>
      </c>
      <c r="G315">
        <v>132</v>
      </c>
      <c r="H315">
        <v>173</v>
      </c>
      <c r="I315">
        <v>165</v>
      </c>
      <c r="J315">
        <v>204</v>
      </c>
      <c r="K315">
        <v>172</v>
      </c>
      <c r="L315">
        <v>143</v>
      </c>
      <c r="M315">
        <v>157</v>
      </c>
      <c r="N315">
        <v>155</v>
      </c>
      <c r="O315">
        <v>127</v>
      </c>
      <c r="P315">
        <v>150</v>
      </c>
      <c r="Q315">
        <v>157</v>
      </c>
      <c r="R315">
        <v>183</v>
      </c>
      <c r="S315">
        <v>137</v>
      </c>
      <c r="T315">
        <v>71</v>
      </c>
      <c r="U315">
        <v>28</v>
      </c>
      <c r="V315">
        <v>20</v>
      </c>
      <c r="W315">
        <v>3</v>
      </c>
      <c r="Y315">
        <f t="shared" si="4"/>
        <v>2376</v>
      </c>
    </row>
    <row r="316" spans="1:25" x14ac:dyDescent="0.25">
      <c r="A316" t="s">
        <v>1125</v>
      </c>
      <c r="C316" t="s">
        <v>814</v>
      </c>
      <c r="D316" s="560">
        <v>113</v>
      </c>
      <c r="E316">
        <v>12</v>
      </c>
      <c r="F316">
        <v>38</v>
      </c>
      <c r="G316">
        <v>55</v>
      </c>
      <c r="H316">
        <v>57</v>
      </c>
      <c r="I316">
        <v>66</v>
      </c>
      <c r="J316">
        <v>73</v>
      </c>
      <c r="K316">
        <v>82</v>
      </c>
      <c r="L316">
        <v>68</v>
      </c>
      <c r="M316">
        <v>78</v>
      </c>
      <c r="N316">
        <v>69</v>
      </c>
      <c r="O316">
        <v>57</v>
      </c>
      <c r="P316">
        <v>57</v>
      </c>
      <c r="Q316">
        <v>65</v>
      </c>
      <c r="R316">
        <v>57</v>
      </c>
      <c r="S316">
        <v>48</v>
      </c>
      <c r="T316">
        <v>25</v>
      </c>
      <c r="U316">
        <v>9</v>
      </c>
      <c r="V316">
        <v>6</v>
      </c>
      <c r="W316">
        <v>1</v>
      </c>
      <c r="Y316">
        <f t="shared" si="4"/>
        <v>923</v>
      </c>
    </row>
    <row r="317" spans="1:25" ht="15.75" thickBot="1" x14ac:dyDescent="0.3">
      <c r="A317" s="562" t="s">
        <v>1126</v>
      </c>
      <c r="B317" s="562"/>
      <c r="C317" s="562" t="s">
        <v>816</v>
      </c>
      <c r="D317" s="563">
        <v>105</v>
      </c>
      <c r="E317" s="562">
        <v>5</v>
      </c>
      <c r="F317" s="562">
        <v>8</v>
      </c>
      <c r="G317" s="562">
        <v>9</v>
      </c>
      <c r="H317" s="562">
        <v>8</v>
      </c>
      <c r="I317" s="562">
        <v>6</v>
      </c>
      <c r="J317" s="562">
        <v>19</v>
      </c>
      <c r="K317" s="562">
        <v>9</v>
      </c>
      <c r="L317" s="562">
        <v>10</v>
      </c>
      <c r="M317" s="562">
        <v>12</v>
      </c>
      <c r="N317" s="562">
        <v>13</v>
      </c>
      <c r="O317" s="562">
        <v>17</v>
      </c>
      <c r="P317" s="562">
        <v>16</v>
      </c>
      <c r="Q317" s="562">
        <v>8</v>
      </c>
      <c r="R317" s="562">
        <v>12</v>
      </c>
      <c r="S317" s="562">
        <v>4</v>
      </c>
      <c r="T317" s="562">
        <v>8</v>
      </c>
      <c r="U317" s="562">
        <v>2</v>
      </c>
      <c r="V317" s="562"/>
      <c r="W317" s="562"/>
      <c r="X317" s="562"/>
      <c r="Y317">
        <f t="shared" si="4"/>
        <v>166</v>
      </c>
    </row>
    <row r="318" spans="1:25" s="369" customFormat="1" ht="15.75" thickTop="1" x14ac:dyDescent="0.25">
      <c r="A318" s="564"/>
      <c r="D318" s="565"/>
      <c r="E318" s="369">
        <f>SUBTOTAL(9,E4:E317)</f>
        <v>4428</v>
      </c>
      <c r="F318" s="369">
        <f t="shared" ref="F318:H318" si="5">SUBTOTAL(9,F4:F317)</f>
        <v>6735</v>
      </c>
      <c r="G318" s="369">
        <f t="shared" si="5"/>
        <v>7943</v>
      </c>
      <c r="H318" s="369">
        <f t="shared" si="5"/>
        <v>10179</v>
      </c>
      <c r="I318" s="369">
        <f t="shared" ref="I318" si="6">SUBTOTAL(9,I4:I317)</f>
        <v>11655</v>
      </c>
      <c r="J318" s="369">
        <f t="shared" ref="J318:K318" si="7">SUBTOTAL(9,J4:J317)</f>
        <v>12151</v>
      </c>
      <c r="K318" s="369">
        <f t="shared" si="7"/>
        <v>12966</v>
      </c>
      <c r="L318" s="369">
        <f t="shared" ref="L318" si="8">SUBTOTAL(9,L4:L317)</f>
        <v>12362</v>
      </c>
      <c r="M318" s="369">
        <f t="shared" ref="M318:N318" si="9">SUBTOTAL(9,M4:M317)</f>
        <v>11784</v>
      </c>
      <c r="N318" s="369">
        <f t="shared" si="9"/>
        <v>11277</v>
      </c>
      <c r="O318" s="369">
        <f t="shared" ref="O318" si="10">SUBTOTAL(9,O4:O317)</f>
        <v>10600</v>
      </c>
      <c r="P318" s="369">
        <f t="shared" ref="P318:Q318" si="11">SUBTOTAL(9,P4:P317)</f>
        <v>10937</v>
      </c>
      <c r="Q318" s="369">
        <f t="shared" si="11"/>
        <v>10793</v>
      </c>
      <c r="R318" s="369">
        <f t="shared" ref="R318" si="12">SUBTOTAL(9,R4:R317)</f>
        <v>10332</v>
      </c>
      <c r="S318" s="369">
        <f t="shared" ref="S318:T318" si="13">SUBTOTAL(9,S4:S317)</f>
        <v>9457</v>
      </c>
      <c r="T318" s="369">
        <f t="shared" si="13"/>
        <v>3937</v>
      </c>
      <c r="U318" s="369">
        <f t="shared" ref="U318" si="14">SUBTOTAL(9,U4:U317)</f>
        <v>1356</v>
      </c>
      <c r="V318" s="369">
        <f t="shared" ref="V318:W318" si="15">SUBTOTAL(9,V4:V317)</f>
        <v>970</v>
      </c>
      <c r="W318" s="369">
        <f t="shared" si="15"/>
        <v>158</v>
      </c>
      <c r="X318" s="369">
        <f t="shared" ref="X318" si="16">SUBTOTAL(9,X4:X317)</f>
        <v>0</v>
      </c>
      <c r="Y318" s="369">
        <f t="shared" ref="Y318" si="17">SUBTOTAL(9,Y4:Y317)</f>
        <v>160020</v>
      </c>
    </row>
    <row r="319" spans="1:25" x14ac:dyDescent="0.25">
      <c r="Y319" s="369">
        <f>SUM(Y4:Y317)</f>
        <v>160020</v>
      </c>
    </row>
  </sheetData>
  <autoFilter ref="A3:Y3" xr:uid="{EDACC151-1BDF-4FE8-B659-CD7B0BCD99BF}"/>
  <pageMargins left="0.7" right="0.7" top="0.75" bottom="0.75" header="0.3" footer="0.3"/>
  <pageSetup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35990-F001-4673-94CA-585AB30078BA}">
  <dimension ref="A1:F317"/>
  <sheetViews>
    <sheetView workbookViewId="0">
      <selection activeCell="F7" sqref="F7"/>
    </sheetView>
  </sheetViews>
  <sheetFormatPr defaultRowHeight="15" x14ac:dyDescent="0.25"/>
  <cols>
    <col min="1" max="1" width="17.85546875" customWidth="1"/>
    <col min="2" max="2" width="29" bestFit="1" customWidth="1"/>
    <col min="3" max="6" width="30.5703125" customWidth="1"/>
  </cols>
  <sheetData>
    <row r="1" spans="1:6" s="577" customFormat="1" ht="18.75" x14ac:dyDescent="0.3">
      <c r="A1" s="577">
        <v>1</v>
      </c>
      <c r="B1" s="577">
        <v>2</v>
      </c>
      <c r="C1" s="577">
        <v>3</v>
      </c>
      <c r="D1" s="577">
        <v>4</v>
      </c>
      <c r="E1" s="577">
        <v>5</v>
      </c>
      <c r="F1" s="577">
        <v>6</v>
      </c>
    </row>
    <row r="2" spans="1:6" ht="15.75" x14ac:dyDescent="0.25">
      <c r="A2" s="199" t="s">
        <v>1494</v>
      </c>
      <c r="C2" s="574"/>
    </row>
    <row r="3" spans="1:6" s="2" customFormat="1" x14ac:dyDescent="0.25">
      <c r="A3" s="578"/>
      <c r="B3" s="578"/>
      <c r="C3" s="575" t="s">
        <v>1290</v>
      </c>
      <c r="D3" s="575" t="s">
        <v>1495</v>
      </c>
      <c r="E3" s="575" t="s">
        <v>1496</v>
      </c>
      <c r="F3" s="575" t="s">
        <v>1497</v>
      </c>
    </row>
    <row r="4" spans="1:6" s="580" customFormat="1" ht="44.25" customHeight="1" thickBot="1" x14ac:dyDescent="0.3">
      <c r="A4" s="581" t="s">
        <v>1293</v>
      </c>
      <c r="B4" s="581" t="s">
        <v>187</v>
      </c>
      <c r="C4" s="582" t="s">
        <v>1365</v>
      </c>
      <c r="D4" s="582" t="s">
        <v>1366</v>
      </c>
      <c r="E4" s="582" t="s">
        <v>1367</v>
      </c>
      <c r="F4" s="582" t="s">
        <v>1296</v>
      </c>
    </row>
    <row r="5" spans="1:6" x14ac:dyDescent="0.25">
      <c r="A5" s="573" t="s">
        <v>188</v>
      </c>
      <c r="B5" s="573" t="s">
        <v>831</v>
      </c>
      <c r="C5" s="576">
        <v>58145.88</v>
      </c>
      <c r="D5" s="579">
        <v>293512.7</v>
      </c>
      <c r="E5" s="579">
        <v>8392500.4800000004</v>
      </c>
      <c r="F5" s="579">
        <f t="shared" ref="F5:F68" si="0">D5+E5</f>
        <v>8686013.1799999997</v>
      </c>
    </row>
    <row r="6" spans="1:6" x14ac:dyDescent="0.25">
      <c r="A6" s="573" t="s">
        <v>191</v>
      </c>
      <c r="B6" s="573" t="s">
        <v>832</v>
      </c>
      <c r="C6" s="576">
        <v>10931.93</v>
      </c>
      <c r="D6" s="578"/>
      <c r="E6" s="579">
        <v>1009981.75</v>
      </c>
      <c r="F6" s="579">
        <f t="shared" si="0"/>
        <v>1009981.75</v>
      </c>
    </row>
    <row r="7" spans="1:6" x14ac:dyDescent="0.25">
      <c r="A7" s="573" t="s">
        <v>193</v>
      </c>
      <c r="B7" s="573" t="s">
        <v>1135</v>
      </c>
      <c r="D7" s="578"/>
      <c r="E7" s="579">
        <v>152611.96</v>
      </c>
      <c r="F7" s="579">
        <f t="shared" si="0"/>
        <v>152611.96</v>
      </c>
    </row>
    <row r="8" spans="1:6" x14ac:dyDescent="0.25">
      <c r="A8" s="573" t="s">
        <v>196</v>
      </c>
      <c r="B8" s="573" t="s">
        <v>840</v>
      </c>
      <c r="C8" s="576">
        <v>50918.96</v>
      </c>
      <c r="D8" s="578"/>
      <c r="E8" s="579">
        <v>5454829.9000000004</v>
      </c>
      <c r="F8" s="579">
        <f t="shared" si="0"/>
        <v>5454829.9000000004</v>
      </c>
    </row>
    <row r="9" spans="1:6" x14ac:dyDescent="0.25">
      <c r="A9" s="573" t="s">
        <v>199</v>
      </c>
      <c r="B9" s="573" t="s">
        <v>841</v>
      </c>
      <c r="C9" s="576">
        <v>89496.53</v>
      </c>
      <c r="D9" s="579">
        <v>147326.57</v>
      </c>
      <c r="E9" s="579">
        <v>15193999.689999999</v>
      </c>
      <c r="F9" s="579">
        <f t="shared" si="0"/>
        <v>15341326.26</v>
      </c>
    </row>
    <row r="10" spans="1:6" x14ac:dyDescent="0.25">
      <c r="A10" s="573" t="s">
        <v>201</v>
      </c>
      <c r="B10" s="573" t="s">
        <v>842</v>
      </c>
      <c r="C10" s="576">
        <v>21560.83</v>
      </c>
      <c r="D10" s="578"/>
      <c r="E10" s="579">
        <v>1042523.59</v>
      </c>
      <c r="F10" s="579">
        <f t="shared" si="0"/>
        <v>1042523.59</v>
      </c>
    </row>
    <row r="11" spans="1:6" x14ac:dyDescent="0.25">
      <c r="A11" s="573" t="s">
        <v>204</v>
      </c>
      <c r="B11" s="573" t="s">
        <v>843</v>
      </c>
      <c r="C11" s="576">
        <v>330588.90999999997</v>
      </c>
      <c r="D11" s="579">
        <v>8589785.2599999998</v>
      </c>
      <c r="E11" s="579">
        <v>33000156.57</v>
      </c>
      <c r="F11" s="579">
        <f t="shared" si="0"/>
        <v>41589941.829999998</v>
      </c>
    </row>
    <row r="12" spans="1:6" x14ac:dyDescent="0.25">
      <c r="A12" s="573" t="s">
        <v>207</v>
      </c>
      <c r="B12" s="573" t="s">
        <v>1298</v>
      </c>
      <c r="D12" s="579">
        <v>1866884.09</v>
      </c>
      <c r="E12" s="579">
        <v>8061292.29</v>
      </c>
      <c r="F12" s="579">
        <f t="shared" si="0"/>
        <v>9928176.3800000008</v>
      </c>
    </row>
    <row r="13" spans="1:6" x14ac:dyDescent="0.25">
      <c r="A13" s="573" t="s">
        <v>209</v>
      </c>
      <c r="B13" s="573" t="s">
        <v>845</v>
      </c>
      <c r="C13" s="576">
        <v>129544.16</v>
      </c>
      <c r="D13" s="579">
        <v>3081604.83</v>
      </c>
      <c r="E13" s="579">
        <v>26094316.629999999</v>
      </c>
      <c r="F13" s="579">
        <f t="shared" si="0"/>
        <v>29175921.460000001</v>
      </c>
    </row>
    <row r="14" spans="1:6" x14ac:dyDescent="0.25">
      <c r="A14" s="573" t="s">
        <v>212</v>
      </c>
      <c r="B14" s="573" t="s">
        <v>846</v>
      </c>
      <c r="C14" s="576">
        <v>1887.18</v>
      </c>
      <c r="D14" s="579">
        <v>13567401.720000001</v>
      </c>
      <c r="E14" s="579">
        <v>56489344.159999996</v>
      </c>
      <c r="F14" s="579">
        <f t="shared" si="0"/>
        <v>70056745.879999995</v>
      </c>
    </row>
    <row r="15" spans="1:6" x14ac:dyDescent="0.25">
      <c r="A15" s="573" t="s">
        <v>214</v>
      </c>
      <c r="B15" s="573" t="s">
        <v>847</v>
      </c>
      <c r="C15" s="576">
        <v>158668.51</v>
      </c>
      <c r="D15" s="579">
        <v>7531975.1100000003</v>
      </c>
      <c r="E15" s="579">
        <v>24755008.510000002</v>
      </c>
      <c r="F15" s="579">
        <f t="shared" si="0"/>
        <v>32286983.620000001</v>
      </c>
    </row>
    <row r="16" spans="1:6" x14ac:dyDescent="0.25">
      <c r="A16" s="573" t="s">
        <v>218</v>
      </c>
      <c r="B16" s="573" t="s">
        <v>849</v>
      </c>
      <c r="C16" s="576">
        <v>208783.41</v>
      </c>
      <c r="D16" s="579">
        <v>145643.92000000001</v>
      </c>
      <c r="E16" s="579">
        <v>44956295.280000001</v>
      </c>
      <c r="F16" s="579">
        <f t="shared" si="0"/>
        <v>45101939.200000003</v>
      </c>
    </row>
    <row r="17" spans="1:6" x14ac:dyDescent="0.25">
      <c r="A17" s="573" t="s">
        <v>220</v>
      </c>
      <c r="B17" s="573" t="s">
        <v>850</v>
      </c>
      <c r="D17" s="578"/>
      <c r="E17" s="579">
        <v>180532.39</v>
      </c>
      <c r="F17" s="579">
        <f t="shared" si="0"/>
        <v>180532.39</v>
      </c>
    </row>
    <row r="18" spans="1:6" x14ac:dyDescent="0.25">
      <c r="A18" s="573" t="s">
        <v>223</v>
      </c>
      <c r="B18" s="573" t="s">
        <v>851</v>
      </c>
      <c r="D18" s="579">
        <v>71452</v>
      </c>
      <c r="E18" s="579">
        <v>5729666.7000000002</v>
      </c>
      <c r="F18" s="579">
        <f t="shared" si="0"/>
        <v>5801118.7000000002</v>
      </c>
    </row>
    <row r="19" spans="1:6" x14ac:dyDescent="0.25">
      <c r="A19" s="573" t="s">
        <v>225</v>
      </c>
      <c r="B19" s="573" t="s">
        <v>852</v>
      </c>
      <c r="C19" s="576">
        <v>12874.57</v>
      </c>
      <c r="D19" s="578"/>
      <c r="E19" s="579">
        <v>482935.36</v>
      </c>
      <c r="F19" s="579">
        <f t="shared" si="0"/>
        <v>482935.36</v>
      </c>
    </row>
    <row r="20" spans="1:6" x14ac:dyDescent="0.25">
      <c r="A20" s="573" t="s">
        <v>227</v>
      </c>
      <c r="B20" s="573" t="s">
        <v>853</v>
      </c>
      <c r="C20" s="576">
        <v>28494</v>
      </c>
      <c r="D20" s="579">
        <v>3586531.83</v>
      </c>
      <c r="E20" s="579">
        <v>9381016.7400000002</v>
      </c>
      <c r="F20" s="579">
        <f t="shared" si="0"/>
        <v>12967548.57</v>
      </c>
    </row>
    <row r="21" spans="1:6" x14ac:dyDescent="0.25">
      <c r="A21" s="573" t="s">
        <v>230</v>
      </c>
      <c r="B21" s="573" t="s">
        <v>854</v>
      </c>
      <c r="D21" s="578"/>
      <c r="E21" s="579">
        <v>1372812.28</v>
      </c>
      <c r="F21" s="579">
        <f t="shared" si="0"/>
        <v>1372812.28</v>
      </c>
    </row>
    <row r="22" spans="1:6" x14ac:dyDescent="0.25">
      <c r="A22" s="573" t="s">
        <v>233</v>
      </c>
      <c r="B22" s="573" t="s">
        <v>855</v>
      </c>
      <c r="C22" s="576">
        <v>20301.34</v>
      </c>
      <c r="D22" s="579">
        <v>60768.78</v>
      </c>
      <c r="E22" s="579">
        <v>1024411.54</v>
      </c>
      <c r="F22" s="579">
        <f t="shared" si="0"/>
        <v>1085180.32</v>
      </c>
    </row>
    <row r="23" spans="1:6" x14ac:dyDescent="0.25">
      <c r="A23" s="573" t="s">
        <v>235</v>
      </c>
      <c r="B23" s="573" t="s">
        <v>1136</v>
      </c>
      <c r="D23" s="579">
        <v>2</v>
      </c>
      <c r="E23" s="579">
        <v>112112.46</v>
      </c>
      <c r="F23" s="579">
        <f t="shared" si="0"/>
        <v>112114.46</v>
      </c>
    </row>
    <row r="24" spans="1:6" x14ac:dyDescent="0.25">
      <c r="A24" s="573" t="s">
        <v>237</v>
      </c>
      <c r="B24" s="573" t="s">
        <v>1299</v>
      </c>
      <c r="C24" s="576">
        <v>83243.429999999993</v>
      </c>
      <c r="D24" s="578"/>
      <c r="E24" s="579">
        <v>9207540.0600000005</v>
      </c>
      <c r="F24" s="579">
        <f t="shared" si="0"/>
        <v>9207540.0600000005</v>
      </c>
    </row>
    <row r="25" spans="1:6" x14ac:dyDescent="0.25">
      <c r="A25" s="573" t="s">
        <v>239</v>
      </c>
      <c r="B25" s="573" t="s">
        <v>858</v>
      </c>
      <c r="D25" s="579">
        <v>2715183.46</v>
      </c>
      <c r="E25" s="579">
        <v>14150702.51</v>
      </c>
      <c r="F25" s="579">
        <f t="shared" si="0"/>
        <v>16865885.969999999</v>
      </c>
    </row>
    <row r="26" spans="1:6" x14ac:dyDescent="0.25">
      <c r="A26" s="573" t="s">
        <v>241</v>
      </c>
      <c r="B26" s="573" t="s">
        <v>859</v>
      </c>
      <c r="D26" s="579">
        <v>687827.76</v>
      </c>
      <c r="E26" s="579">
        <v>1062932.02</v>
      </c>
      <c r="F26" s="579">
        <f t="shared" si="0"/>
        <v>1750759.78</v>
      </c>
    </row>
    <row r="27" spans="1:6" x14ac:dyDescent="0.25">
      <c r="A27" s="573" t="s">
        <v>243</v>
      </c>
      <c r="B27" s="573" t="s">
        <v>860</v>
      </c>
      <c r="D27" s="578"/>
      <c r="E27" s="579">
        <v>360763.05</v>
      </c>
      <c r="F27" s="579">
        <f t="shared" si="0"/>
        <v>360763.05</v>
      </c>
    </row>
    <row r="28" spans="1:6" x14ac:dyDescent="0.25">
      <c r="A28" s="573" t="s">
        <v>245</v>
      </c>
      <c r="B28" s="573" t="s">
        <v>861</v>
      </c>
      <c r="D28" s="579">
        <v>567529.1</v>
      </c>
      <c r="E28" s="579">
        <v>1830450</v>
      </c>
      <c r="F28" s="579">
        <f t="shared" si="0"/>
        <v>2397979.1</v>
      </c>
    </row>
    <row r="29" spans="1:6" x14ac:dyDescent="0.25">
      <c r="A29" s="573" t="s">
        <v>248</v>
      </c>
      <c r="B29" s="573" t="s">
        <v>862</v>
      </c>
      <c r="C29" s="576">
        <v>74022.179999999993</v>
      </c>
      <c r="D29" s="579">
        <v>234222.33</v>
      </c>
      <c r="E29" s="579">
        <v>2430254.48</v>
      </c>
      <c r="F29" s="579">
        <f t="shared" si="0"/>
        <v>2664476.81</v>
      </c>
    </row>
    <row r="30" spans="1:6" x14ac:dyDescent="0.25">
      <c r="A30" s="573" t="s">
        <v>250</v>
      </c>
      <c r="B30" s="573" t="s">
        <v>863</v>
      </c>
      <c r="C30" s="576">
        <v>42782.07</v>
      </c>
      <c r="D30" s="579">
        <v>122273.25</v>
      </c>
      <c r="E30" s="579">
        <v>2866047.05</v>
      </c>
      <c r="F30" s="579">
        <f t="shared" si="0"/>
        <v>2988320.3</v>
      </c>
    </row>
    <row r="31" spans="1:6" x14ac:dyDescent="0.25">
      <c r="A31" s="573" t="s">
        <v>252</v>
      </c>
      <c r="B31" s="573" t="s">
        <v>1300</v>
      </c>
      <c r="D31" s="578"/>
      <c r="E31" s="579">
        <v>899727.66</v>
      </c>
      <c r="F31" s="579">
        <f t="shared" si="0"/>
        <v>899727.66</v>
      </c>
    </row>
    <row r="32" spans="1:6" x14ac:dyDescent="0.25">
      <c r="A32" s="573" t="s">
        <v>254</v>
      </c>
      <c r="B32" s="573" t="s">
        <v>864</v>
      </c>
      <c r="D32" s="578"/>
      <c r="E32" s="579">
        <v>121307.23</v>
      </c>
      <c r="F32" s="579">
        <f t="shared" si="0"/>
        <v>121307.23</v>
      </c>
    </row>
    <row r="33" spans="1:6" x14ac:dyDescent="0.25">
      <c r="A33" s="573" t="s">
        <v>256</v>
      </c>
      <c r="B33" s="573" t="s">
        <v>865</v>
      </c>
      <c r="C33" s="576">
        <v>4530267.2300000004</v>
      </c>
      <c r="D33" s="579">
        <v>148677</v>
      </c>
      <c r="E33" s="579">
        <v>28331233.969999999</v>
      </c>
      <c r="F33" s="579">
        <f t="shared" si="0"/>
        <v>28479910.969999999</v>
      </c>
    </row>
    <row r="34" spans="1:6" x14ac:dyDescent="0.25">
      <c r="A34" s="573" t="s">
        <v>258</v>
      </c>
      <c r="B34" s="573" t="s">
        <v>866</v>
      </c>
      <c r="C34" s="576">
        <v>200880.51</v>
      </c>
      <c r="D34" s="579">
        <v>908283.11</v>
      </c>
      <c r="E34" s="579">
        <v>33980577.659999996</v>
      </c>
      <c r="F34" s="579">
        <f t="shared" si="0"/>
        <v>34888860.769999996</v>
      </c>
    </row>
    <row r="35" spans="1:6" x14ac:dyDescent="0.25">
      <c r="A35" s="573" t="s">
        <v>260</v>
      </c>
      <c r="B35" s="573" t="s">
        <v>867</v>
      </c>
      <c r="C35" s="576">
        <v>93606.56</v>
      </c>
      <c r="D35" s="579">
        <v>202554.52</v>
      </c>
      <c r="E35" s="579">
        <v>7778659.9400000004</v>
      </c>
      <c r="F35" s="579">
        <f t="shared" si="0"/>
        <v>7981214.46</v>
      </c>
    </row>
    <row r="36" spans="1:6" x14ac:dyDescent="0.25">
      <c r="A36" s="573" t="s">
        <v>262</v>
      </c>
      <c r="B36" s="573" t="s">
        <v>868</v>
      </c>
      <c r="C36" s="576">
        <v>35722.639999999999</v>
      </c>
      <c r="D36" s="579">
        <v>926173.56</v>
      </c>
      <c r="E36" s="579">
        <v>6189117.7800000003</v>
      </c>
      <c r="F36" s="579">
        <f t="shared" si="0"/>
        <v>7115291.3399999999</v>
      </c>
    </row>
    <row r="37" spans="1:6" x14ac:dyDescent="0.25">
      <c r="A37" s="573" t="s">
        <v>264</v>
      </c>
      <c r="B37" s="573" t="s">
        <v>869</v>
      </c>
      <c r="D37" s="579">
        <v>1668592.49</v>
      </c>
      <c r="E37" s="579">
        <v>9773505.4199999999</v>
      </c>
      <c r="F37" s="579">
        <f t="shared" si="0"/>
        <v>11442097.91</v>
      </c>
    </row>
    <row r="38" spans="1:6" x14ac:dyDescent="0.25">
      <c r="A38" s="573" t="s">
        <v>266</v>
      </c>
      <c r="B38" s="573" t="s">
        <v>870</v>
      </c>
      <c r="C38" s="576">
        <v>3312.96</v>
      </c>
      <c r="D38" s="579">
        <v>3101</v>
      </c>
      <c r="E38" s="579">
        <v>1678399.99</v>
      </c>
      <c r="F38" s="579">
        <f t="shared" si="0"/>
        <v>1681500.99</v>
      </c>
    </row>
    <row r="39" spans="1:6" x14ac:dyDescent="0.25">
      <c r="A39" s="573" t="s">
        <v>268</v>
      </c>
      <c r="B39" s="573" t="s">
        <v>871</v>
      </c>
      <c r="C39" s="576">
        <v>41701</v>
      </c>
      <c r="D39" s="579">
        <v>19741.580000000002</v>
      </c>
      <c r="E39" s="579">
        <v>2121243.81</v>
      </c>
      <c r="F39" s="579">
        <f t="shared" si="0"/>
        <v>2140985.39</v>
      </c>
    </row>
    <row r="40" spans="1:6" x14ac:dyDescent="0.25">
      <c r="A40" s="573" t="s">
        <v>270</v>
      </c>
      <c r="B40" s="573" t="s">
        <v>872</v>
      </c>
      <c r="C40" s="576">
        <v>88081.04</v>
      </c>
      <c r="D40" s="579">
        <v>270754.58</v>
      </c>
      <c r="E40" s="579">
        <v>4738280.0599999996</v>
      </c>
      <c r="F40" s="579">
        <f t="shared" si="0"/>
        <v>5009034.6399999997</v>
      </c>
    </row>
    <row r="41" spans="1:6" x14ac:dyDescent="0.25">
      <c r="A41" s="573" t="s">
        <v>272</v>
      </c>
      <c r="B41" s="573" t="s">
        <v>873</v>
      </c>
      <c r="D41" s="578"/>
      <c r="E41" s="579">
        <v>1748828.18</v>
      </c>
      <c r="F41" s="579">
        <f t="shared" si="0"/>
        <v>1748828.18</v>
      </c>
    </row>
    <row r="42" spans="1:6" x14ac:dyDescent="0.25">
      <c r="A42" s="573" t="s">
        <v>274</v>
      </c>
      <c r="B42" s="573" t="s">
        <v>874</v>
      </c>
      <c r="C42" s="576">
        <v>94070.58</v>
      </c>
      <c r="D42" s="579">
        <v>8599020.0999999996</v>
      </c>
      <c r="E42" s="579">
        <v>31407556.100000001</v>
      </c>
      <c r="F42" s="579">
        <f t="shared" si="0"/>
        <v>40006576.200000003</v>
      </c>
    </row>
    <row r="43" spans="1:6" x14ac:dyDescent="0.25">
      <c r="A43" s="573" t="s">
        <v>276</v>
      </c>
      <c r="B43" s="573" t="s">
        <v>875</v>
      </c>
      <c r="D43" s="578"/>
      <c r="E43" s="579">
        <v>845191.02</v>
      </c>
      <c r="F43" s="579">
        <f t="shared" si="0"/>
        <v>845191.02</v>
      </c>
    </row>
    <row r="44" spans="1:6" x14ac:dyDescent="0.25">
      <c r="A44" s="573" t="s">
        <v>278</v>
      </c>
      <c r="B44" s="573" t="s">
        <v>876</v>
      </c>
      <c r="D44" s="578"/>
      <c r="E44" s="579">
        <v>3073522.34</v>
      </c>
      <c r="F44" s="579">
        <f t="shared" si="0"/>
        <v>3073522.34</v>
      </c>
    </row>
    <row r="45" spans="1:6" x14ac:dyDescent="0.25">
      <c r="A45" s="573" t="s">
        <v>280</v>
      </c>
      <c r="B45" s="573" t="s">
        <v>877</v>
      </c>
      <c r="D45" s="578"/>
      <c r="E45" s="579">
        <v>256686.36</v>
      </c>
      <c r="F45" s="579">
        <f t="shared" si="0"/>
        <v>256686.36</v>
      </c>
    </row>
    <row r="46" spans="1:6" x14ac:dyDescent="0.25">
      <c r="A46" s="573" t="s">
        <v>282</v>
      </c>
      <c r="B46" s="573" t="s">
        <v>1303</v>
      </c>
      <c r="D46" s="578"/>
      <c r="E46" s="579">
        <v>205047.94</v>
      </c>
      <c r="F46" s="579">
        <f t="shared" si="0"/>
        <v>205047.94</v>
      </c>
    </row>
    <row r="47" spans="1:6" x14ac:dyDescent="0.25">
      <c r="A47" s="573" t="s">
        <v>284</v>
      </c>
      <c r="B47" s="573" t="s">
        <v>1304</v>
      </c>
      <c r="C47" s="576">
        <v>13207.34</v>
      </c>
      <c r="D47" s="578"/>
      <c r="E47" s="579">
        <v>1422131.33</v>
      </c>
      <c r="F47" s="579">
        <f t="shared" si="0"/>
        <v>1422131.33</v>
      </c>
    </row>
    <row r="48" spans="1:6" x14ac:dyDescent="0.25">
      <c r="A48" s="573" t="s">
        <v>286</v>
      </c>
      <c r="B48" s="573" t="s">
        <v>1137</v>
      </c>
      <c r="D48" s="578"/>
      <c r="E48" s="579">
        <v>3274940.56</v>
      </c>
      <c r="F48" s="579">
        <f t="shared" si="0"/>
        <v>3274940.56</v>
      </c>
    </row>
    <row r="49" spans="1:6" x14ac:dyDescent="0.25">
      <c r="A49" s="573" t="s">
        <v>288</v>
      </c>
      <c r="B49" s="573" t="s">
        <v>881</v>
      </c>
      <c r="D49" s="579">
        <v>3500</v>
      </c>
      <c r="E49" s="579">
        <v>2133132.0299999998</v>
      </c>
      <c r="F49" s="579">
        <f t="shared" si="0"/>
        <v>2136632.0299999998</v>
      </c>
    </row>
    <row r="50" spans="1:6" x14ac:dyDescent="0.25">
      <c r="A50" s="573" t="s">
        <v>290</v>
      </c>
      <c r="B50" s="573" t="s">
        <v>882</v>
      </c>
      <c r="D50" s="579">
        <v>1916.92</v>
      </c>
      <c r="E50" s="579">
        <v>532710.89</v>
      </c>
      <c r="F50" s="579">
        <f t="shared" si="0"/>
        <v>534627.81000000006</v>
      </c>
    </row>
    <row r="51" spans="1:6" x14ac:dyDescent="0.25">
      <c r="A51" s="573" t="s">
        <v>292</v>
      </c>
      <c r="B51" s="573" t="s">
        <v>883</v>
      </c>
      <c r="D51" s="578"/>
      <c r="E51" s="579">
        <v>413884.61</v>
      </c>
      <c r="F51" s="579">
        <f t="shared" si="0"/>
        <v>413884.61</v>
      </c>
    </row>
    <row r="52" spans="1:6" x14ac:dyDescent="0.25">
      <c r="A52" s="573" t="s">
        <v>294</v>
      </c>
      <c r="B52" s="573" t="s">
        <v>884</v>
      </c>
      <c r="D52" s="578"/>
      <c r="E52" s="579">
        <v>310114.71000000002</v>
      </c>
      <c r="F52" s="579">
        <f t="shared" si="0"/>
        <v>310114.71000000002</v>
      </c>
    </row>
    <row r="53" spans="1:6" x14ac:dyDescent="0.25">
      <c r="A53" s="573" t="s">
        <v>296</v>
      </c>
      <c r="B53" s="573" t="s">
        <v>885</v>
      </c>
      <c r="D53" s="578"/>
      <c r="E53" s="579">
        <v>2277102.0499999998</v>
      </c>
      <c r="F53" s="579">
        <f t="shared" si="0"/>
        <v>2277102.0499999998</v>
      </c>
    </row>
    <row r="54" spans="1:6" x14ac:dyDescent="0.25">
      <c r="A54" s="573" t="s">
        <v>298</v>
      </c>
      <c r="B54" s="573" t="s">
        <v>886</v>
      </c>
      <c r="D54" s="579">
        <v>111226.91</v>
      </c>
      <c r="E54" s="579">
        <v>416082.77</v>
      </c>
      <c r="F54" s="579">
        <f t="shared" si="0"/>
        <v>527309.68000000005</v>
      </c>
    </row>
    <row r="55" spans="1:6" x14ac:dyDescent="0.25">
      <c r="A55" s="573" t="s">
        <v>300</v>
      </c>
      <c r="B55" s="573" t="s">
        <v>887</v>
      </c>
      <c r="D55" s="579">
        <v>115119.76</v>
      </c>
      <c r="E55" s="579">
        <v>162809.9</v>
      </c>
      <c r="F55" s="579">
        <f t="shared" si="0"/>
        <v>277929.65999999997</v>
      </c>
    </row>
    <row r="56" spans="1:6" x14ac:dyDescent="0.25">
      <c r="A56" s="573" t="s">
        <v>302</v>
      </c>
      <c r="B56" s="573" t="s">
        <v>888</v>
      </c>
      <c r="D56" s="578"/>
      <c r="E56" s="579">
        <v>544761.99</v>
      </c>
      <c r="F56" s="579">
        <f t="shared" si="0"/>
        <v>544761.99</v>
      </c>
    </row>
    <row r="57" spans="1:6" x14ac:dyDescent="0.25">
      <c r="A57" s="573" t="s">
        <v>304</v>
      </c>
      <c r="B57" s="573" t="s">
        <v>889</v>
      </c>
      <c r="D57" s="578"/>
      <c r="E57" s="579">
        <v>648354.52</v>
      </c>
      <c r="F57" s="579">
        <f t="shared" si="0"/>
        <v>648354.52</v>
      </c>
    </row>
    <row r="58" spans="1:6" x14ac:dyDescent="0.25">
      <c r="A58" s="573" t="s">
        <v>306</v>
      </c>
      <c r="B58" s="573" t="s">
        <v>1138</v>
      </c>
      <c r="D58" s="578"/>
      <c r="E58" s="579">
        <v>76411.009999999995</v>
      </c>
      <c r="F58" s="579">
        <f t="shared" si="0"/>
        <v>76411.009999999995</v>
      </c>
    </row>
    <row r="59" spans="1:6" x14ac:dyDescent="0.25">
      <c r="A59" s="573" t="s">
        <v>308</v>
      </c>
      <c r="B59" s="573" t="s">
        <v>892</v>
      </c>
      <c r="C59" s="576">
        <v>8708.0300000000007</v>
      </c>
      <c r="D59" s="578"/>
      <c r="E59" s="579">
        <v>844545.59</v>
      </c>
      <c r="F59" s="579">
        <f t="shared" si="0"/>
        <v>844545.59</v>
      </c>
    </row>
    <row r="60" spans="1:6" x14ac:dyDescent="0.25">
      <c r="A60" s="573" t="s">
        <v>310</v>
      </c>
      <c r="B60" s="573" t="s">
        <v>893</v>
      </c>
      <c r="D60" s="579">
        <v>6779.47</v>
      </c>
      <c r="E60" s="579">
        <v>878642.17</v>
      </c>
      <c r="F60" s="579">
        <f t="shared" si="0"/>
        <v>885421.64</v>
      </c>
    </row>
    <row r="61" spans="1:6" x14ac:dyDescent="0.25">
      <c r="A61" s="573" t="s">
        <v>312</v>
      </c>
      <c r="B61" s="573" t="s">
        <v>894</v>
      </c>
      <c r="D61" s="578"/>
      <c r="E61" s="579">
        <v>615758.61</v>
      </c>
      <c r="F61" s="579">
        <f t="shared" si="0"/>
        <v>615758.61</v>
      </c>
    </row>
    <row r="62" spans="1:6" x14ac:dyDescent="0.25">
      <c r="A62" s="573" t="s">
        <v>314</v>
      </c>
      <c r="B62" s="573" t="s">
        <v>895</v>
      </c>
      <c r="D62" s="578"/>
      <c r="E62" s="579">
        <v>4089455.9</v>
      </c>
      <c r="F62" s="579">
        <f t="shared" si="0"/>
        <v>4089455.9</v>
      </c>
    </row>
    <row r="63" spans="1:6" x14ac:dyDescent="0.25">
      <c r="A63" s="573" t="s">
        <v>316</v>
      </c>
      <c r="B63" s="573" t="s">
        <v>896</v>
      </c>
      <c r="C63" s="576">
        <v>10571.71</v>
      </c>
      <c r="D63" s="579">
        <v>1382791.43</v>
      </c>
      <c r="E63" s="579">
        <v>2883537.42</v>
      </c>
      <c r="F63" s="579">
        <f t="shared" si="0"/>
        <v>4266328.8499999996</v>
      </c>
    </row>
    <row r="64" spans="1:6" x14ac:dyDescent="0.25">
      <c r="A64" s="573" t="s">
        <v>318</v>
      </c>
      <c r="B64" s="573" t="s">
        <v>897</v>
      </c>
      <c r="D64" s="578"/>
      <c r="E64" s="579">
        <v>2056.7800000000002</v>
      </c>
      <c r="F64" s="579">
        <f t="shared" si="0"/>
        <v>2056.7800000000002</v>
      </c>
    </row>
    <row r="65" spans="1:6" x14ac:dyDescent="0.25">
      <c r="A65" s="573" t="s">
        <v>320</v>
      </c>
      <c r="B65" s="573" t="s">
        <v>1305</v>
      </c>
      <c r="D65" s="579">
        <v>1002975</v>
      </c>
      <c r="E65" s="579">
        <v>8039977.4400000004</v>
      </c>
      <c r="F65" s="579">
        <f t="shared" si="0"/>
        <v>9042952.4400000013</v>
      </c>
    </row>
    <row r="66" spans="1:6" x14ac:dyDescent="0.25">
      <c r="A66" s="573" t="s">
        <v>322</v>
      </c>
      <c r="B66" s="573" t="s">
        <v>1306</v>
      </c>
      <c r="D66" s="579">
        <v>454000</v>
      </c>
      <c r="E66" s="579">
        <v>5031167.28</v>
      </c>
      <c r="F66" s="579">
        <f t="shared" si="0"/>
        <v>5485167.2800000003</v>
      </c>
    </row>
    <row r="67" spans="1:6" x14ac:dyDescent="0.25">
      <c r="A67" s="573" t="s">
        <v>324</v>
      </c>
      <c r="B67" s="573" t="s">
        <v>900</v>
      </c>
      <c r="C67" s="576">
        <v>97051.56</v>
      </c>
      <c r="D67" s="579">
        <v>551717.91</v>
      </c>
      <c r="E67" s="579">
        <v>9755089.5399999991</v>
      </c>
      <c r="F67" s="579">
        <f t="shared" si="0"/>
        <v>10306807.449999999</v>
      </c>
    </row>
    <row r="68" spans="1:6" x14ac:dyDescent="0.25">
      <c r="A68" s="573" t="s">
        <v>326</v>
      </c>
      <c r="B68" s="573" t="s">
        <v>901</v>
      </c>
      <c r="D68" s="579">
        <v>19643.86</v>
      </c>
      <c r="E68" s="579">
        <v>174605.15</v>
      </c>
      <c r="F68" s="579">
        <f t="shared" si="0"/>
        <v>194249.01</v>
      </c>
    </row>
    <row r="69" spans="1:6" x14ac:dyDescent="0.25">
      <c r="A69" s="573" t="s">
        <v>328</v>
      </c>
      <c r="B69" s="573" t="s">
        <v>902</v>
      </c>
      <c r="D69" s="578"/>
      <c r="E69" s="579">
        <v>3663710.29</v>
      </c>
      <c r="F69" s="579">
        <f t="shared" ref="F69:F132" si="1">D69+E69</f>
        <v>3663710.29</v>
      </c>
    </row>
    <row r="70" spans="1:6" x14ac:dyDescent="0.25">
      <c r="A70" s="573" t="s">
        <v>330</v>
      </c>
      <c r="B70" s="573" t="s">
        <v>903</v>
      </c>
      <c r="C70" s="576">
        <v>406255.62</v>
      </c>
      <c r="D70" s="579">
        <v>5034477.82</v>
      </c>
      <c r="E70" s="579">
        <v>56601661.130000003</v>
      </c>
      <c r="F70" s="579">
        <f t="shared" si="1"/>
        <v>61636138.950000003</v>
      </c>
    </row>
    <row r="71" spans="1:6" x14ac:dyDescent="0.25">
      <c r="A71" s="573" t="s">
        <v>332</v>
      </c>
      <c r="B71" s="573" t="s">
        <v>904</v>
      </c>
      <c r="C71" s="576">
        <v>22447.06</v>
      </c>
      <c r="D71" s="578"/>
      <c r="E71" s="579">
        <v>5826454.4500000002</v>
      </c>
      <c r="F71" s="579">
        <f t="shared" si="1"/>
        <v>5826454.4500000002</v>
      </c>
    </row>
    <row r="72" spans="1:6" x14ac:dyDescent="0.25">
      <c r="A72" s="573" t="s">
        <v>334</v>
      </c>
      <c r="B72" s="573" t="s">
        <v>905</v>
      </c>
      <c r="D72" s="578"/>
      <c r="E72" s="579">
        <v>3049495.72</v>
      </c>
      <c r="F72" s="579">
        <f t="shared" si="1"/>
        <v>3049495.72</v>
      </c>
    </row>
    <row r="73" spans="1:6" x14ac:dyDescent="0.25">
      <c r="A73" s="573" t="s">
        <v>336</v>
      </c>
      <c r="B73" s="573" t="s">
        <v>906</v>
      </c>
      <c r="D73" s="578"/>
      <c r="E73" s="579">
        <v>242924.52</v>
      </c>
      <c r="F73" s="579">
        <f t="shared" si="1"/>
        <v>242924.52</v>
      </c>
    </row>
    <row r="74" spans="1:6" x14ac:dyDescent="0.25">
      <c r="A74" s="573" t="s">
        <v>338</v>
      </c>
      <c r="B74" s="573" t="s">
        <v>907</v>
      </c>
      <c r="D74" s="578"/>
      <c r="E74" s="579">
        <v>430727.8</v>
      </c>
      <c r="F74" s="579">
        <f t="shared" si="1"/>
        <v>430727.8</v>
      </c>
    </row>
    <row r="75" spans="1:6" x14ac:dyDescent="0.25">
      <c r="A75" s="573" t="s">
        <v>340</v>
      </c>
      <c r="B75" s="573" t="s">
        <v>908</v>
      </c>
      <c r="C75" s="576">
        <v>30316.71</v>
      </c>
      <c r="D75" s="579">
        <v>496914.29</v>
      </c>
      <c r="E75" s="579">
        <v>11264455.68</v>
      </c>
      <c r="F75" s="579">
        <f t="shared" si="1"/>
        <v>11761369.969999999</v>
      </c>
    </row>
    <row r="76" spans="1:6" x14ac:dyDescent="0.25">
      <c r="A76" s="573" t="s">
        <v>342</v>
      </c>
      <c r="B76" s="573" t="s">
        <v>909</v>
      </c>
      <c r="D76" s="578"/>
      <c r="E76" s="579">
        <v>3806656.36</v>
      </c>
      <c r="F76" s="579">
        <f t="shared" si="1"/>
        <v>3806656.36</v>
      </c>
    </row>
    <row r="77" spans="1:6" x14ac:dyDescent="0.25">
      <c r="A77" s="573" t="s">
        <v>344</v>
      </c>
      <c r="B77" s="573" t="s">
        <v>1139</v>
      </c>
      <c r="D77" s="579">
        <v>13.89</v>
      </c>
      <c r="E77" s="579">
        <v>70778.02</v>
      </c>
      <c r="F77" s="579">
        <f t="shared" si="1"/>
        <v>70791.91</v>
      </c>
    </row>
    <row r="78" spans="1:6" x14ac:dyDescent="0.25">
      <c r="A78" s="573" t="s">
        <v>346</v>
      </c>
      <c r="B78" s="573" t="s">
        <v>910</v>
      </c>
      <c r="D78" s="579">
        <v>1435901</v>
      </c>
      <c r="E78" s="579">
        <v>54289355.18</v>
      </c>
      <c r="F78" s="579">
        <f t="shared" si="1"/>
        <v>55725256.18</v>
      </c>
    </row>
    <row r="79" spans="1:6" x14ac:dyDescent="0.25">
      <c r="A79" s="573" t="s">
        <v>348</v>
      </c>
      <c r="B79" s="573" t="s">
        <v>1307</v>
      </c>
      <c r="C79" s="576">
        <v>101991.23</v>
      </c>
      <c r="D79" s="579">
        <v>10265345.130000001</v>
      </c>
      <c r="E79" s="579">
        <v>51010871.82</v>
      </c>
      <c r="F79" s="579">
        <f t="shared" si="1"/>
        <v>61276216.950000003</v>
      </c>
    </row>
    <row r="80" spans="1:6" x14ac:dyDescent="0.25">
      <c r="A80" s="573" t="s">
        <v>350</v>
      </c>
      <c r="B80" s="573" t="s">
        <v>1308</v>
      </c>
      <c r="D80" s="578"/>
      <c r="E80" s="579">
        <v>48051.18</v>
      </c>
      <c r="F80" s="579">
        <f t="shared" si="1"/>
        <v>48051.18</v>
      </c>
    </row>
    <row r="81" spans="1:6" x14ac:dyDescent="0.25">
      <c r="A81" s="573" t="s">
        <v>352</v>
      </c>
      <c r="B81" s="573" t="s">
        <v>913</v>
      </c>
      <c r="C81" s="576">
        <v>69537.36</v>
      </c>
      <c r="D81" s="579">
        <v>4244258.57</v>
      </c>
      <c r="E81" s="579">
        <v>50604226.049999997</v>
      </c>
      <c r="F81" s="579">
        <f t="shared" si="1"/>
        <v>54848484.619999997</v>
      </c>
    </row>
    <row r="82" spans="1:6" x14ac:dyDescent="0.25">
      <c r="A82" s="573" t="s">
        <v>354</v>
      </c>
      <c r="B82" s="573" t="s">
        <v>914</v>
      </c>
      <c r="D82" s="578"/>
      <c r="E82" s="579">
        <v>13213779.52</v>
      </c>
      <c r="F82" s="579">
        <f t="shared" si="1"/>
        <v>13213779.52</v>
      </c>
    </row>
    <row r="83" spans="1:6" x14ac:dyDescent="0.25">
      <c r="A83" s="573" t="s">
        <v>356</v>
      </c>
      <c r="B83" s="573" t="s">
        <v>915</v>
      </c>
      <c r="C83" s="576">
        <v>50172.14</v>
      </c>
      <c r="D83" s="578"/>
      <c r="E83" s="579">
        <v>8969865.2400000002</v>
      </c>
      <c r="F83" s="579">
        <f t="shared" si="1"/>
        <v>8969865.2400000002</v>
      </c>
    </row>
    <row r="84" spans="1:6" x14ac:dyDescent="0.25">
      <c r="A84" s="573" t="s">
        <v>358</v>
      </c>
      <c r="B84" s="573" t="s">
        <v>916</v>
      </c>
      <c r="C84" s="576">
        <v>25763.21</v>
      </c>
      <c r="D84" s="579">
        <v>123519.16</v>
      </c>
      <c r="E84" s="579">
        <v>1319136.7</v>
      </c>
      <c r="F84" s="579">
        <f t="shared" si="1"/>
        <v>1442655.8599999999</v>
      </c>
    </row>
    <row r="85" spans="1:6" x14ac:dyDescent="0.25">
      <c r="A85" s="573" t="s">
        <v>360</v>
      </c>
      <c r="B85" s="573" t="s">
        <v>917</v>
      </c>
      <c r="C85" s="576">
        <v>187257.97</v>
      </c>
      <c r="D85" s="579">
        <v>5433551.6799999997</v>
      </c>
      <c r="E85" s="579">
        <v>16389134.51</v>
      </c>
      <c r="F85" s="579">
        <f t="shared" si="1"/>
        <v>21822686.189999998</v>
      </c>
    </row>
    <row r="86" spans="1:6" x14ac:dyDescent="0.25">
      <c r="A86" s="573" t="s">
        <v>362</v>
      </c>
      <c r="B86" s="573" t="s">
        <v>918</v>
      </c>
      <c r="D86" s="578"/>
      <c r="E86" s="579">
        <v>1299481.47</v>
      </c>
      <c r="F86" s="579">
        <f t="shared" si="1"/>
        <v>1299481.47</v>
      </c>
    </row>
    <row r="87" spans="1:6" x14ac:dyDescent="0.25">
      <c r="A87" s="573" t="s">
        <v>364</v>
      </c>
      <c r="B87" s="573" t="s">
        <v>919</v>
      </c>
      <c r="D87" s="579">
        <v>4218.12</v>
      </c>
      <c r="E87" s="579">
        <v>170530.28</v>
      </c>
      <c r="F87" s="579">
        <f t="shared" si="1"/>
        <v>174748.4</v>
      </c>
    </row>
    <row r="88" spans="1:6" x14ac:dyDescent="0.25">
      <c r="A88" s="573" t="s">
        <v>366</v>
      </c>
      <c r="B88" s="573" t="s">
        <v>920</v>
      </c>
      <c r="D88" s="578"/>
      <c r="E88" s="579">
        <v>136626.67000000001</v>
      </c>
      <c r="F88" s="579">
        <f t="shared" si="1"/>
        <v>136626.67000000001</v>
      </c>
    </row>
    <row r="89" spans="1:6" x14ac:dyDescent="0.25">
      <c r="A89" s="573" t="s">
        <v>368</v>
      </c>
      <c r="B89" s="573" t="s">
        <v>921</v>
      </c>
      <c r="D89" s="578"/>
      <c r="E89" s="579">
        <v>5763668.8700000001</v>
      </c>
      <c r="F89" s="579">
        <f t="shared" si="1"/>
        <v>5763668.8700000001</v>
      </c>
    </row>
    <row r="90" spans="1:6" x14ac:dyDescent="0.25">
      <c r="A90" s="573" t="s">
        <v>370</v>
      </c>
      <c r="B90" s="573" t="s">
        <v>922</v>
      </c>
      <c r="D90" s="579">
        <v>17570.099999999999</v>
      </c>
      <c r="E90" s="579">
        <v>1277565.08</v>
      </c>
      <c r="F90" s="579">
        <f t="shared" si="1"/>
        <v>1295135.1800000002</v>
      </c>
    </row>
    <row r="91" spans="1:6" x14ac:dyDescent="0.25">
      <c r="A91" s="573" t="s">
        <v>372</v>
      </c>
      <c r="B91" s="573" t="s">
        <v>923</v>
      </c>
      <c r="D91" s="578"/>
      <c r="E91" s="579">
        <v>6478616.5800000001</v>
      </c>
      <c r="F91" s="579">
        <f t="shared" si="1"/>
        <v>6478616.5800000001</v>
      </c>
    </row>
    <row r="92" spans="1:6" x14ac:dyDescent="0.25">
      <c r="A92" s="573" t="s">
        <v>374</v>
      </c>
      <c r="B92" s="573" t="s">
        <v>924</v>
      </c>
      <c r="D92" s="578"/>
      <c r="E92" s="579">
        <v>2341890.5299999998</v>
      </c>
      <c r="F92" s="579">
        <f t="shared" si="1"/>
        <v>2341890.5299999998</v>
      </c>
    </row>
    <row r="93" spans="1:6" x14ac:dyDescent="0.25">
      <c r="A93" s="573" t="s">
        <v>376</v>
      </c>
      <c r="B93" s="573" t="s">
        <v>925</v>
      </c>
      <c r="D93" s="578"/>
      <c r="E93" s="579">
        <v>7520879.7699999996</v>
      </c>
      <c r="F93" s="579">
        <f t="shared" si="1"/>
        <v>7520879.7699999996</v>
      </c>
    </row>
    <row r="94" spans="1:6" x14ac:dyDescent="0.25">
      <c r="A94" s="573" t="s">
        <v>378</v>
      </c>
      <c r="B94" s="573" t="s">
        <v>1140</v>
      </c>
      <c r="D94" s="579">
        <v>21692.03</v>
      </c>
      <c r="E94" s="579">
        <v>514000.76</v>
      </c>
      <c r="F94" s="579">
        <f t="shared" si="1"/>
        <v>535692.79</v>
      </c>
    </row>
    <row r="95" spans="1:6" x14ac:dyDescent="0.25">
      <c r="A95" s="573" t="s">
        <v>380</v>
      </c>
      <c r="B95" s="573" t="s">
        <v>926</v>
      </c>
      <c r="D95" s="578"/>
      <c r="E95" s="579">
        <v>60060.69</v>
      </c>
      <c r="F95" s="579">
        <f t="shared" si="1"/>
        <v>60060.69</v>
      </c>
    </row>
    <row r="96" spans="1:6" x14ac:dyDescent="0.25">
      <c r="A96" s="573" t="s">
        <v>384</v>
      </c>
      <c r="B96" s="573" t="s">
        <v>927</v>
      </c>
      <c r="D96" s="578"/>
      <c r="E96" s="579">
        <v>219801.33</v>
      </c>
      <c r="F96" s="579">
        <f t="shared" si="1"/>
        <v>219801.33</v>
      </c>
    </row>
    <row r="97" spans="1:6" x14ac:dyDescent="0.25">
      <c r="A97" s="573" t="s">
        <v>386</v>
      </c>
      <c r="B97" s="573" t="s">
        <v>928</v>
      </c>
      <c r="D97" s="578"/>
      <c r="E97" s="579">
        <v>1459917.37</v>
      </c>
      <c r="F97" s="579">
        <f t="shared" si="1"/>
        <v>1459917.37</v>
      </c>
    </row>
    <row r="98" spans="1:6" x14ac:dyDescent="0.25">
      <c r="A98" s="573" t="s">
        <v>388</v>
      </c>
      <c r="B98" s="573" t="s">
        <v>929</v>
      </c>
      <c r="D98" s="579">
        <v>8992.08</v>
      </c>
      <c r="E98" s="579">
        <v>231326.23</v>
      </c>
      <c r="F98" s="579">
        <f t="shared" si="1"/>
        <v>240318.31</v>
      </c>
    </row>
    <row r="99" spans="1:6" x14ac:dyDescent="0.25">
      <c r="A99" s="573" t="s">
        <v>390</v>
      </c>
      <c r="B99" s="573" t="s">
        <v>930</v>
      </c>
      <c r="D99" s="578"/>
      <c r="E99" s="579">
        <v>1831959.3</v>
      </c>
      <c r="F99" s="579">
        <f t="shared" si="1"/>
        <v>1831959.3</v>
      </c>
    </row>
    <row r="100" spans="1:6" x14ac:dyDescent="0.25">
      <c r="A100" s="573" t="s">
        <v>392</v>
      </c>
      <c r="B100" s="573" t="s">
        <v>931</v>
      </c>
      <c r="C100" s="576">
        <v>559984.93000000005</v>
      </c>
      <c r="D100" s="579">
        <v>10531247.42</v>
      </c>
      <c r="E100" s="579">
        <v>43554309.210000001</v>
      </c>
      <c r="F100" s="579">
        <f t="shared" si="1"/>
        <v>54085556.630000003</v>
      </c>
    </row>
    <row r="101" spans="1:6" x14ac:dyDescent="0.25">
      <c r="A101" s="573" t="s">
        <v>394</v>
      </c>
      <c r="B101" s="573" t="s">
        <v>932</v>
      </c>
      <c r="C101" s="576">
        <v>40000</v>
      </c>
      <c r="D101" s="579">
        <v>839296.1</v>
      </c>
      <c r="E101" s="579">
        <v>3292271.05</v>
      </c>
      <c r="F101" s="579">
        <f t="shared" si="1"/>
        <v>4131567.15</v>
      </c>
    </row>
    <row r="102" spans="1:6" x14ac:dyDescent="0.25">
      <c r="A102" s="573" t="s">
        <v>396</v>
      </c>
      <c r="B102" s="573" t="s">
        <v>933</v>
      </c>
      <c r="D102" s="578"/>
      <c r="E102" s="579">
        <v>916390.49</v>
      </c>
      <c r="F102" s="579">
        <f t="shared" si="1"/>
        <v>916390.49</v>
      </c>
    </row>
    <row r="103" spans="1:6" x14ac:dyDescent="0.25">
      <c r="A103" s="573" t="s">
        <v>398</v>
      </c>
      <c r="B103" s="573" t="s">
        <v>934</v>
      </c>
      <c r="D103" s="578"/>
      <c r="E103" s="579">
        <v>2934545.17</v>
      </c>
      <c r="F103" s="579">
        <f t="shared" si="1"/>
        <v>2934545.17</v>
      </c>
    </row>
    <row r="104" spans="1:6" x14ac:dyDescent="0.25">
      <c r="A104" s="573" t="s">
        <v>1465</v>
      </c>
      <c r="B104" s="573" t="s">
        <v>1499</v>
      </c>
      <c r="D104" s="578"/>
      <c r="E104" s="579">
        <v>261836.53</v>
      </c>
      <c r="F104" s="579">
        <f t="shared" si="1"/>
        <v>261836.53</v>
      </c>
    </row>
    <row r="105" spans="1:6" x14ac:dyDescent="0.25">
      <c r="A105" s="573" t="s">
        <v>1161</v>
      </c>
      <c r="B105" s="573" t="s">
        <v>1309</v>
      </c>
      <c r="C105" s="576">
        <v>1512</v>
      </c>
      <c r="D105" s="578"/>
      <c r="E105" s="579">
        <v>683546.26</v>
      </c>
      <c r="F105" s="579">
        <f t="shared" si="1"/>
        <v>683546.26</v>
      </c>
    </row>
    <row r="106" spans="1:6" x14ac:dyDescent="0.25">
      <c r="A106" s="573" t="s">
        <v>400</v>
      </c>
      <c r="B106" s="573" t="s">
        <v>1310</v>
      </c>
      <c r="C106" s="576">
        <v>1415</v>
      </c>
      <c r="D106" s="578"/>
      <c r="E106" s="579">
        <v>1063197.67</v>
      </c>
      <c r="F106" s="579">
        <f t="shared" si="1"/>
        <v>1063197.67</v>
      </c>
    </row>
    <row r="107" spans="1:6" x14ac:dyDescent="0.25">
      <c r="A107" s="573" t="s">
        <v>401</v>
      </c>
      <c r="B107" s="573" t="s">
        <v>1311</v>
      </c>
      <c r="D107" s="578"/>
      <c r="E107" s="579">
        <v>569676.59</v>
      </c>
      <c r="F107" s="579">
        <f t="shared" si="1"/>
        <v>569676.59</v>
      </c>
    </row>
    <row r="108" spans="1:6" x14ac:dyDescent="0.25">
      <c r="A108" s="573" t="s">
        <v>403</v>
      </c>
      <c r="B108" s="573" t="s">
        <v>935</v>
      </c>
      <c r="D108" s="579">
        <v>500</v>
      </c>
      <c r="E108" s="579">
        <v>497227.2</v>
      </c>
      <c r="F108" s="579">
        <f t="shared" si="1"/>
        <v>497727.2</v>
      </c>
    </row>
    <row r="109" spans="1:6" x14ac:dyDescent="0.25">
      <c r="A109" s="573" t="s">
        <v>405</v>
      </c>
      <c r="B109" s="573" t="s">
        <v>936</v>
      </c>
      <c r="D109" s="578"/>
      <c r="E109" s="579">
        <v>34374</v>
      </c>
      <c r="F109" s="579">
        <f t="shared" si="1"/>
        <v>34374</v>
      </c>
    </row>
    <row r="110" spans="1:6" x14ac:dyDescent="0.25">
      <c r="A110" s="573" t="s">
        <v>598</v>
      </c>
      <c r="B110" s="573" t="s">
        <v>1491</v>
      </c>
      <c r="D110" s="578"/>
      <c r="E110" s="579">
        <v>665153.62</v>
      </c>
      <c r="F110" s="579">
        <f t="shared" si="1"/>
        <v>665153.62</v>
      </c>
    </row>
    <row r="111" spans="1:6" x14ac:dyDescent="0.25">
      <c r="A111" s="573" t="s">
        <v>407</v>
      </c>
      <c r="B111" s="573" t="s">
        <v>937</v>
      </c>
      <c r="C111" s="576">
        <v>25508.1</v>
      </c>
      <c r="D111" s="579">
        <v>7452134.7599999998</v>
      </c>
      <c r="E111" s="579">
        <v>33497025.66</v>
      </c>
      <c r="F111" s="579">
        <f t="shared" si="1"/>
        <v>40949160.420000002</v>
      </c>
    </row>
    <row r="112" spans="1:6" x14ac:dyDescent="0.25">
      <c r="A112" s="573" t="s">
        <v>409</v>
      </c>
      <c r="B112" s="573" t="s">
        <v>938</v>
      </c>
      <c r="D112" s="578"/>
      <c r="E112" s="579">
        <v>155955.57999999999</v>
      </c>
      <c r="F112" s="579">
        <f t="shared" si="1"/>
        <v>155955.57999999999</v>
      </c>
    </row>
    <row r="113" spans="1:6" x14ac:dyDescent="0.25">
      <c r="A113" s="573" t="s">
        <v>411</v>
      </c>
      <c r="B113" s="573" t="s">
        <v>1274</v>
      </c>
      <c r="D113" s="578"/>
      <c r="E113" s="579">
        <v>2291959.8199999998</v>
      </c>
      <c r="F113" s="579">
        <f t="shared" si="1"/>
        <v>2291959.8199999998</v>
      </c>
    </row>
    <row r="114" spans="1:6" x14ac:dyDescent="0.25">
      <c r="A114" s="573" t="s">
        <v>413</v>
      </c>
      <c r="B114" s="573" t="s">
        <v>939</v>
      </c>
      <c r="D114" s="578"/>
      <c r="E114" s="579">
        <v>51263.54</v>
      </c>
      <c r="F114" s="579">
        <f t="shared" si="1"/>
        <v>51263.54</v>
      </c>
    </row>
    <row r="115" spans="1:6" x14ac:dyDescent="0.25">
      <c r="A115" s="573" t="s">
        <v>415</v>
      </c>
      <c r="B115" s="573" t="s">
        <v>940</v>
      </c>
      <c r="C115" s="576">
        <v>62776.03</v>
      </c>
      <c r="D115" s="578"/>
      <c r="E115" s="579">
        <v>11202283.43</v>
      </c>
      <c r="F115" s="579">
        <f t="shared" si="1"/>
        <v>11202283.43</v>
      </c>
    </row>
    <row r="116" spans="1:6" x14ac:dyDescent="0.25">
      <c r="A116" s="573" t="s">
        <v>417</v>
      </c>
      <c r="B116" s="573" t="s">
        <v>941</v>
      </c>
      <c r="C116" s="576">
        <v>250862.68</v>
      </c>
      <c r="D116" s="579">
        <v>1745640.61</v>
      </c>
      <c r="E116" s="579">
        <v>31544780.329999998</v>
      </c>
      <c r="F116" s="579">
        <f t="shared" si="1"/>
        <v>33290420.939999998</v>
      </c>
    </row>
    <row r="117" spans="1:6" x14ac:dyDescent="0.25">
      <c r="A117" s="573" t="s">
        <v>419</v>
      </c>
      <c r="B117" s="573" t="s">
        <v>942</v>
      </c>
      <c r="C117" s="576">
        <v>11359.2</v>
      </c>
      <c r="D117" s="579">
        <v>23873444.32</v>
      </c>
      <c r="E117" s="579">
        <v>58330872.259999998</v>
      </c>
      <c r="F117" s="579">
        <f t="shared" si="1"/>
        <v>82204316.579999998</v>
      </c>
    </row>
    <row r="118" spans="1:6" x14ac:dyDescent="0.25">
      <c r="A118" s="573" t="s">
        <v>421</v>
      </c>
      <c r="B118" s="573" t="s">
        <v>943</v>
      </c>
      <c r="D118" s="578"/>
      <c r="E118" s="579">
        <v>1597249.57</v>
      </c>
      <c r="F118" s="579">
        <f t="shared" si="1"/>
        <v>1597249.57</v>
      </c>
    </row>
    <row r="119" spans="1:6" x14ac:dyDescent="0.25">
      <c r="A119" s="573" t="s">
        <v>423</v>
      </c>
      <c r="B119" s="573" t="s">
        <v>944</v>
      </c>
      <c r="D119" s="578"/>
      <c r="E119" s="579">
        <v>2188627.11</v>
      </c>
      <c r="F119" s="579">
        <f t="shared" si="1"/>
        <v>2188627.11</v>
      </c>
    </row>
    <row r="120" spans="1:6" x14ac:dyDescent="0.25">
      <c r="A120" s="573" t="s">
        <v>425</v>
      </c>
      <c r="B120" s="573" t="s">
        <v>945</v>
      </c>
      <c r="D120" s="578"/>
      <c r="E120" s="579">
        <v>1032011.6</v>
      </c>
      <c r="F120" s="579">
        <f t="shared" si="1"/>
        <v>1032011.6</v>
      </c>
    </row>
    <row r="121" spans="1:6" x14ac:dyDescent="0.25">
      <c r="A121" s="573" t="s">
        <v>427</v>
      </c>
      <c r="B121" s="573" t="s">
        <v>1141</v>
      </c>
      <c r="D121" s="578"/>
      <c r="E121" s="579">
        <v>130111.31</v>
      </c>
      <c r="F121" s="579">
        <f t="shared" si="1"/>
        <v>130111.31</v>
      </c>
    </row>
    <row r="122" spans="1:6" x14ac:dyDescent="0.25">
      <c r="A122" s="573" t="s">
        <v>431</v>
      </c>
      <c r="B122" s="573" t="s">
        <v>947</v>
      </c>
      <c r="C122" s="576">
        <v>208206.75</v>
      </c>
      <c r="D122" s="579">
        <v>41782.959999999999</v>
      </c>
      <c r="E122" s="579">
        <v>1382982.29</v>
      </c>
      <c r="F122" s="579">
        <f t="shared" si="1"/>
        <v>1424765.25</v>
      </c>
    </row>
    <row r="123" spans="1:6" x14ac:dyDescent="0.25">
      <c r="A123" s="573" t="s">
        <v>429</v>
      </c>
      <c r="B123" s="573" t="s">
        <v>1312</v>
      </c>
      <c r="D123" s="578"/>
      <c r="E123" s="579">
        <v>3964469.33</v>
      </c>
      <c r="F123" s="579">
        <f t="shared" si="1"/>
        <v>3964469.33</v>
      </c>
    </row>
    <row r="124" spans="1:6" x14ac:dyDescent="0.25">
      <c r="A124" s="573" t="s">
        <v>433</v>
      </c>
      <c r="B124" s="573" t="s">
        <v>1313</v>
      </c>
      <c r="D124" s="579">
        <v>46183.07</v>
      </c>
      <c r="E124" s="579">
        <v>127960.35</v>
      </c>
      <c r="F124" s="579">
        <f t="shared" si="1"/>
        <v>174143.42</v>
      </c>
    </row>
    <row r="125" spans="1:6" x14ac:dyDescent="0.25">
      <c r="A125" s="573" t="s">
        <v>435</v>
      </c>
      <c r="B125" s="573" t="s">
        <v>948</v>
      </c>
      <c r="D125" s="579">
        <v>261706.75</v>
      </c>
      <c r="E125" s="579">
        <v>1745537.73</v>
      </c>
      <c r="F125" s="579">
        <f t="shared" si="1"/>
        <v>2007244.48</v>
      </c>
    </row>
    <row r="126" spans="1:6" x14ac:dyDescent="0.25">
      <c r="A126" s="573" t="s">
        <v>439</v>
      </c>
      <c r="B126" s="573" t="s">
        <v>949</v>
      </c>
      <c r="C126" s="576">
        <v>28409.599999999999</v>
      </c>
      <c r="D126" s="578"/>
      <c r="E126" s="579">
        <v>25284066.960000001</v>
      </c>
      <c r="F126" s="579">
        <f t="shared" si="1"/>
        <v>25284066.960000001</v>
      </c>
    </row>
    <row r="127" spans="1:6" x14ac:dyDescent="0.25">
      <c r="A127" s="573" t="s">
        <v>441</v>
      </c>
      <c r="B127" s="573" t="s">
        <v>950</v>
      </c>
      <c r="C127" s="576">
        <v>83691.38</v>
      </c>
      <c r="D127" s="579">
        <v>18486487.039999999</v>
      </c>
      <c r="E127" s="579">
        <v>53354920.740000002</v>
      </c>
      <c r="F127" s="579">
        <f t="shared" si="1"/>
        <v>71841407.780000001</v>
      </c>
    </row>
    <row r="128" spans="1:6" x14ac:dyDescent="0.25">
      <c r="A128" s="573" t="s">
        <v>443</v>
      </c>
      <c r="B128" s="573" t="s">
        <v>951</v>
      </c>
      <c r="D128" s="579">
        <v>1113383.8</v>
      </c>
      <c r="E128" s="579">
        <v>6766825.7000000002</v>
      </c>
      <c r="F128" s="579">
        <f t="shared" si="1"/>
        <v>7880209.5</v>
      </c>
    </row>
    <row r="129" spans="1:6" x14ac:dyDescent="0.25">
      <c r="A129" s="573" t="s">
        <v>445</v>
      </c>
      <c r="B129" s="573" t="s">
        <v>952</v>
      </c>
      <c r="D129" s="578"/>
      <c r="E129" s="579">
        <v>102257.92</v>
      </c>
      <c r="F129" s="579">
        <f t="shared" si="1"/>
        <v>102257.92</v>
      </c>
    </row>
    <row r="130" spans="1:6" x14ac:dyDescent="0.25">
      <c r="A130" s="573" t="s">
        <v>447</v>
      </c>
      <c r="B130" s="573" t="s">
        <v>953</v>
      </c>
      <c r="D130" s="578"/>
      <c r="E130" s="579">
        <v>806370.81</v>
      </c>
      <c r="F130" s="579">
        <f t="shared" si="1"/>
        <v>806370.81</v>
      </c>
    </row>
    <row r="131" spans="1:6" x14ac:dyDescent="0.25">
      <c r="A131" s="573" t="s">
        <v>449</v>
      </c>
      <c r="B131" s="573" t="s">
        <v>954</v>
      </c>
      <c r="D131" s="579">
        <v>63764.39</v>
      </c>
      <c r="E131" s="579">
        <v>218897.56</v>
      </c>
      <c r="F131" s="579">
        <f t="shared" si="1"/>
        <v>282661.95</v>
      </c>
    </row>
    <row r="132" spans="1:6" x14ac:dyDescent="0.25">
      <c r="A132" s="573" t="s">
        <v>451</v>
      </c>
      <c r="B132" s="573" t="s">
        <v>955</v>
      </c>
      <c r="C132" s="576">
        <v>137722.16</v>
      </c>
      <c r="D132" s="579">
        <v>804735.03</v>
      </c>
      <c r="E132" s="579">
        <v>14273274.01</v>
      </c>
      <c r="F132" s="579">
        <f t="shared" si="1"/>
        <v>15078009.039999999</v>
      </c>
    </row>
    <row r="133" spans="1:6" x14ac:dyDescent="0.25">
      <c r="A133" s="573" t="s">
        <v>453</v>
      </c>
      <c r="B133" s="573" t="s">
        <v>956</v>
      </c>
      <c r="D133" s="578"/>
      <c r="E133" s="579">
        <v>324872.23</v>
      </c>
      <c r="F133" s="579">
        <f t="shared" ref="F133:F196" si="2">D133+E133</f>
        <v>324872.23</v>
      </c>
    </row>
    <row r="134" spans="1:6" x14ac:dyDescent="0.25">
      <c r="A134" s="573" t="s">
        <v>455</v>
      </c>
      <c r="B134" s="573" t="s">
        <v>1240</v>
      </c>
      <c r="C134" s="576">
        <v>20190.490000000002</v>
      </c>
      <c r="D134" s="578"/>
      <c r="E134" s="579">
        <v>962138.77</v>
      </c>
      <c r="F134" s="579">
        <f t="shared" si="2"/>
        <v>962138.77</v>
      </c>
    </row>
    <row r="135" spans="1:6" x14ac:dyDescent="0.25">
      <c r="A135" s="573" t="s">
        <v>457</v>
      </c>
      <c r="B135" s="573" t="s">
        <v>1275</v>
      </c>
      <c r="D135" s="578"/>
      <c r="E135" s="579">
        <v>82357.789999999994</v>
      </c>
      <c r="F135" s="579">
        <f t="shared" si="2"/>
        <v>82357.789999999994</v>
      </c>
    </row>
    <row r="136" spans="1:6" x14ac:dyDescent="0.25">
      <c r="A136" s="573" t="s">
        <v>458</v>
      </c>
      <c r="B136" s="573" t="s">
        <v>958</v>
      </c>
      <c r="D136" s="578"/>
      <c r="E136" s="579">
        <v>389579.89</v>
      </c>
      <c r="F136" s="579">
        <f t="shared" si="2"/>
        <v>389579.89</v>
      </c>
    </row>
    <row r="137" spans="1:6" x14ac:dyDescent="0.25">
      <c r="A137" s="573" t="s">
        <v>460</v>
      </c>
      <c r="B137" s="573" t="s">
        <v>959</v>
      </c>
      <c r="C137" s="576">
        <v>146555.32</v>
      </c>
      <c r="D137" s="579">
        <v>577357.54</v>
      </c>
      <c r="E137" s="579">
        <v>7269812.4699999997</v>
      </c>
      <c r="F137" s="579">
        <f t="shared" si="2"/>
        <v>7847170.0099999998</v>
      </c>
    </row>
    <row r="138" spans="1:6" x14ac:dyDescent="0.25">
      <c r="A138" s="573" t="s">
        <v>462</v>
      </c>
      <c r="B138" s="573" t="s">
        <v>960</v>
      </c>
      <c r="D138" s="578"/>
      <c r="E138" s="579">
        <v>894608.58</v>
      </c>
      <c r="F138" s="579">
        <f t="shared" si="2"/>
        <v>894608.58</v>
      </c>
    </row>
    <row r="139" spans="1:6" x14ac:dyDescent="0.25">
      <c r="A139" s="573" t="s">
        <v>464</v>
      </c>
      <c r="B139" s="573" t="s">
        <v>961</v>
      </c>
      <c r="D139" s="579">
        <v>1622.12</v>
      </c>
      <c r="E139" s="579">
        <v>148564.38</v>
      </c>
      <c r="F139" s="579">
        <f t="shared" si="2"/>
        <v>150186.5</v>
      </c>
    </row>
    <row r="140" spans="1:6" x14ac:dyDescent="0.25">
      <c r="A140" s="573" t="s">
        <v>466</v>
      </c>
      <c r="B140" s="573" t="s">
        <v>962</v>
      </c>
      <c r="D140" s="578"/>
      <c r="E140" s="579">
        <v>934345.42</v>
      </c>
      <c r="F140" s="579">
        <f t="shared" si="2"/>
        <v>934345.42</v>
      </c>
    </row>
    <row r="141" spans="1:6" x14ac:dyDescent="0.25">
      <c r="A141" s="573" t="s">
        <v>468</v>
      </c>
      <c r="B141" s="573" t="s">
        <v>963</v>
      </c>
      <c r="D141" s="578"/>
      <c r="E141" s="579">
        <v>1491887.55</v>
      </c>
      <c r="F141" s="579">
        <f t="shared" si="2"/>
        <v>1491887.55</v>
      </c>
    </row>
    <row r="142" spans="1:6" x14ac:dyDescent="0.25">
      <c r="A142" s="573" t="s">
        <v>470</v>
      </c>
      <c r="B142" s="573" t="s">
        <v>964</v>
      </c>
      <c r="D142" s="578"/>
      <c r="E142" s="579">
        <v>790546.73</v>
      </c>
      <c r="F142" s="579">
        <f t="shared" si="2"/>
        <v>790546.73</v>
      </c>
    </row>
    <row r="143" spans="1:6" x14ac:dyDescent="0.25">
      <c r="A143" s="573" t="s">
        <v>472</v>
      </c>
      <c r="B143" s="573" t="s">
        <v>965</v>
      </c>
      <c r="C143" s="576">
        <v>135082.92000000001</v>
      </c>
      <c r="D143" s="578"/>
      <c r="E143" s="579">
        <v>30056351.68</v>
      </c>
      <c r="F143" s="579">
        <f t="shared" si="2"/>
        <v>30056351.68</v>
      </c>
    </row>
    <row r="144" spans="1:6" x14ac:dyDescent="0.25">
      <c r="A144" s="573" t="s">
        <v>474</v>
      </c>
      <c r="B144" s="573" t="s">
        <v>1316</v>
      </c>
      <c r="D144" s="578"/>
      <c r="E144" s="579">
        <v>889843.49</v>
      </c>
      <c r="F144" s="579">
        <f t="shared" si="2"/>
        <v>889843.49</v>
      </c>
    </row>
    <row r="145" spans="1:6" x14ac:dyDescent="0.25">
      <c r="A145" s="573" t="s">
        <v>476</v>
      </c>
      <c r="B145" s="573" t="s">
        <v>967</v>
      </c>
      <c r="D145" s="579">
        <v>267631.71999999997</v>
      </c>
      <c r="E145" s="579">
        <v>22661986.75</v>
      </c>
      <c r="F145" s="579">
        <f t="shared" si="2"/>
        <v>22929618.469999999</v>
      </c>
    </row>
    <row r="146" spans="1:6" x14ac:dyDescent="0.25">
      <c r="A146" s="573" t="s">
        <v>478</v>
      </c>
      <c r="B146" s="573" t="s">
        <v>968</v>
      </c>
      <c r="C146" s="576">
        <v>8564.5400000000009</v>
      </c>
      <c r="D146" s="579">
        <v>224497.36</v>
      </c>
      <c r="E146" s="579">
        <v>2810953.45</v>
      </c>
      <c r="F146" s="579">
        <f t="shared" si="2"/>
        <v>3035450.81</v>
      </c>
    </row>
    <row r="147" spans="1:6" x14ac:dyDescent="0.25">
      <c r="A147" s="573" t="s">
        <v>480</v>
      </c>
      <c r="B147" s="573" t="s">
        <v>969</v>
      </c>
      <c r="D147" s="579">
        <v>1407552.53</v>
      </c>
      <c r="E147" s="579">
        <v>11663669.439999999</v>
      </c>
      <c r="F147" s="579">
        <f t="shared" si="2"/>
        <v>13071221.969999999</v>
      </c>
    </row>
    <row r="148" spans="1:6" x14ac:dyDescent="0.25">
      <c r="A148" s="573" t="s">
        <v>482</v>
      </c>
      <c r="B148" s="573" t="s">
        <v>970</v>
      </c>
      <c r="D148" s="578"/>
      <c r="E148" s="579">
        <v>3959247.49</v>
      </c>
      <c r="F148" s="579">
        <f t="shared" si="2"/>
        <v>3959247.49</v>
      </c>
    </row>
    <row r="149" spans="1:6" x14ac:dyDescent="0.25">
      <c r="A149" s="573" t="s">
        <v>484</v>
      </c>
      <c r="B149" s="573" t="s">
        <v>971</v>
      </c>
      <c r="D149" s="578"/>
      <c r="E149" s="579">
        <v>1076260.6100000001</v>
      </c>
      <c r="F149" s="579">
        <f t="shared" si="2"/>
        <v>1076260.6100000001</v>
      </c>
    </row>
    <row r="150" spans="1:6" x14ac:dyDescent="0.25">
      <c r="A150" s="573" t="s">
        <v>486</v>
      </c>
      <c r="B150" s="573" t="s">
        <v>972</v>
      </c>
      <c r="D150" s="578"/>
      <c r="E150" s="579">
        <v>61703.29</v>
      </c>
      <c r="F150" s="579">
        <f t="shared" si="2"/>
        <v>61703.29</v>
      </c>
    </row>
    <row r="151" spans="1:6" x14ac:dyDescent="0.25">
      <c r="A151" s="573" t="s">
        <v>488</v>
      </c>
      <c r="B151" s="573" t="s">
        <v>973</v>
      </c>
      <c r="C151" s="576">
        <v>27373.09</v>
      </c>
      <c r="D151" s="579">
        <v>870943.83</v>
      </c>
      <c r="E151" s="579">
        <v>14501097.52</v>
      </c>
      <c r="F151" s="579">
        <f t="shared" si="2"/>
        <v>15372041.35</v>
      </c>
    </row>
    <row r="152" spans="1:6" x14ac:dyDescent="0.25">
      <c r="A152" s="573" t="s">
        <v>490</v>
      </c>
      <c r="B152" s="573" t="s">
        <v>974</v>
      </c>
      <c r="C152" s="576">
        <v>24132.959999999999</v>
      </c>
      <c r="D152" s="578"/>
      <c r="E152" s="579">
        <v>2938817.53</v>
      </c>
      <c r="F152" s="579">
        <f t="shared" si="2"/>
        <v>2938817.53</v>
      </c>
    </row>
    <row r="153" spans="1:6" x14ac:dyDescent="0.25">
      <c r="A153" s="573" t="s">
        <v>492</v>
      </c>
      <c r="B153" s="573" t="s">
        <v>975</v>
      </c>
      <c r="C153" s="576">
        <v>469.64</v>
      </c>
      <c r="D153" s="579">
        <v>351586.52</v>
      </c>
      <c r="E153" s="579">
        <v>1112365.45</v>
      </c>
      <c r="F153" s="579">
        <f t="shared" si="2"/>
        <v>1463951.97</v>
      </c>
    </row>
    <row r="154" spans="1:6" x14ac:dyDescent="0.25">
      <c r="A154" s="573" t="s">
        <v>494</v>
      </c>
      <c r="B154" s="573" t="s">
        <v>976</v>
      </c>
      <c r="D154" s="579">
        <v>2077255.57</v>
      </c>
      <c r="E154" s="579">
        <v>18149379.940000001</v>
      </c>
      <c r="F154" s="579">
        <f t="shared" si="2"/>
        <v>20226635.510000002</v>
      </c>
    </row>
    <row r="155" spans="1:6" x14ac:dyDescent="0.25">
      <c r="A155" s="573" t="s">
        <v>496</v>
      </c>
      <c r="B155" s="573" t="s">
        <v>977</v>
      </c>
      <c r="D155" s="579">
        <v>67922.23</v>
      </c>
      <c r="E155" s="579">
        <v>1714117.66</v>
      </c>
      <c r="F155" s="579">
        <f t="shared" si="2"/>
        <v>1782039.89</v>
      </c>
    </row>
    <row r="156" spans="1:6" x14ac:dyDescent="0.25">
      <c r="A156" s="573" t="s">
        <v>498</v>
      </c>
      <c r="B156" s="573" t="s">
        <v>978</v>
      </c>
      <c r="D156" s="579">
        <v>28020.47</v>
      </c>
      <c r="E156" s="579">
        <v>1527054.13</v>
      </c>
      <c r="F156" s="579">
        <f t="shared" si="2"/>
        <v>1555074.5999999999</v>
      </c>
    </row>
    <row r="157" spans="1:6" x14ac:dyDescent="0.25">
      <c r="A157" s="573" t="s">
        <v>500</v>
      </c>
      <c r="B157" s="573" t="s">
        <v>979</v>
      </c>
      <c r="C157" s="576">
        <v>113152.42</v>
      </c>
      <c r="D157" s="578"/>
      <c r="E157" s="579">
        <v>5382156.2000000002</v>
      </c>
      <c r="F157" s="579">
        <f t="shared" si="2"/>
        <v>5382156.2000000002</v>
      </c>
    </row>
    <row r="158" spans="1:6" x14ac:dyDescent="0.25">
      <c r="A158" s="573" t="s">
        <v>502</v>
      </c>
      <c r="B158" s="573" t="s">
        <v>980</v>
      </c>
      <c r="D158" s="578"/>
      <c r="E158" s="579">
        <v>90246.04</v>
      </c>
      <c r="F158" s="579">
        <f t="shared" si="2"/>
        <v>90246.04</v>
      </c>
    </row>
    <row r="159" spans="1:6" x14ac:dyDescent="0.25">
      <c r="A159" s="573" t="s">
        <v>504</v>
      </c>
      <c r="B159" s="573" t="s">
        <v>1317</v>
      </c>
      <c r="C159" s="576">
        <v>322751.34000000003</v>
      </c>
      <c r="D159" s="579">
        <v>2706880.4</v>
      </c>
      <c r="E159" s="579">
        <v>16208187.039999999</v>
      </c>
      <c r="F159" s="579">
        <f t="shared" si="2"/>
        <v>18915067.439999998</v>
      </c>
    </row>
    <row r="160" spans="1:6" x14ac:dyDescent="0.25">
      <c r="A160" s="573" t="s">
        <v>506</v>
      </c>
      <c r="B160" s="573" t="s">
        <v>982</v>
      </c>
      <c r="D160" s="579">
        <v>12223402.779999999</v>
      </c>
      <c r="E160" s="579">
        <v>36715689.590000004</v>
      </c>
      <c r="F160" s="579">
        <f t="shared" si="2"/>
        <v>48939092.370000005</v>
      </c>
    </row>
    <row r="161" spans="1:6" x14ac:dyDescent="0.25">
      <c r="A161" s="573" t="s">
        <v>508</v>
      </c>
      <c r="B161" s="573" t="s">
        <v>983</v>
      </c>
      <c r="D161" s="578"/>
      <c r="E161" s="579">
        <v>2063809.25</v>
      </c>
      <c r="F161" s="579">
        <f t="shared" si="2"/>
        <v>2063809.25</v>
      </c>
    </row>
    <row r="162" spans="1:6" x14ac:dyDescent="0.25">
      <c r="A162" s="573" t="s">
        <v>510</v>
      </c>
      <c r="B162" s="573" t="s">
        <v>984</v>
      </c>
      <c r="C162" s="576">
        <v>6232.54</v>
      </c>
      <c r="D162" s="578"/>
      <c r="E162" s="579">
        <v>1503123.98</v>
      </c>
      <c r="F162" s="579">
        <f t="shared" si="2"/>
        <v>1503123.98</v>
      </c>
    </row>
    <row r="163" spans="1:6" x14ac:dyDescent="0.25">
      <c r="A163" s="573" t="s">
        <v>512</v>
      </c>
      <c r="B163" s="573" t="s">
        <v>1318</v>
      </c>
      <c r="D163" s="578"/>
      <c r="E163" s="579">
        <v>502293.13</v>
      </c>
      <c r="F163" s="579">
        <f t="shared" si="2"/>
        <v>502293.13</v>
      </c>
    </row>
    <row r="164" spans="1:6" x14ac:dyDescent="0.25">
      <c r="A164" s="573" t="s">
        <v>514</v>
      </c>
      <c r="B164" s="573" t="s">
        <v>986</v>
      </c>
      <c r="D164" s="579">
        <v>40651.22</v>
      </c>
      <c r="E164" s="579">
        <v>319769.26</v>
      </c>
      <c r="F164" s="579">
        <f t="shared" si="2"/>
        <v>360420.48</v>
      </c>
    </row>
    <row r="165" spans="1:6" x14ac:dyDescent="0.25">
      <c r="A165" s="573" t="s">
        <v>516</v>
      </c>
      <c r="B165" s="573" t="s">
        <v>987</v>
      </c>
      <c r="D165" s="578"/>
      <c r="E165" s="579">
        <v>2054458.39</v>
      </c>
      <c r="F165" s="579">
        <f t="shared" si="2"/>
        <v>2054458.39</v>
      </c>
    </row>
    <row r="166" spans="1:6" x14ac:dyDescent="0.25">
      <c r="A166" s="573" t="s">
        <v>518</v>
      </c>
      <c r="B166" s="573" t="s">
        <v>988</v>
      </c>
      <c r="D166" s="578"/>
      <c r="E166" s="579">
        <v>2382060.17</v>
      </c>
      <c r="F166" s="579">
        <f t="shared" si="2"/>
        <v>2382060.17</v>
      </c>
    </row>
    <row r="167" spans="1:6" x14ac:dyDescent="0.25">
      <c r="A167" s="573" t="s">
        <v>520</v>
      </c>
      <c r="B167" s="573" t="s">
        <v>989</v>
      </c>
      <c r="C167" s="576">
        <v>34648.879999999997</v>
      </c>
      <c r="D167" s="578"/>
      <c r="E167" s="579">
        <v>4707460.6399999997</v>
      </c>
      <c r="F167" s="579">
        <f t="shared" si="2"/>
        <v>4707460.6399999997</v>
      </c>
    </row>
    <row r="168" spans="1:6" x14ac:dyDescent="0.25">
      <c r="A168" s="573" t="s">
        <v>522</v>
      </c>
      <c r="B168" s="573" t="s">
        <v>990</v>
      </c>
      <c r="D168" s="579">
        <v>319953</v>
      </c>
      <c r="E168" s="579">
        <v>1337287.79</v>
      </c>
      <c r="F168" s="579">
        <f t="shared" si="2"/>
        <v>1657240.79</v>
      </c>
    </row>
    <row r="169" spans="1:6" x14ac:dyDescent="0.25">
      <c r="A169" s="573" t="s">
        <v>524</v>
      </c>
      <c r="B169" s="573" t="s">
        <v>991</v>
      </c>
      <c r="D169" s="578"/>
      <c r="E169" s="579">
        <v>3563668.66</v>
      </c>
      <c r="F169" s="579">
        <f t="shared" si="2"/>
        <v>3563668.66</v>
      </c>
    </row>
    <row r="170" spans="1:6" x14ac:dyDescent="0.25">
      <c r="A170" s="573" t="s">
        <v>526</v>
      </c>
      <c r="B170" s="573" t="s">
        <v>992</v>
      </c>
      <c r="C170" s="576">
        <v>76118.92</v>
      </c>
      <c r="D170" s="579">
        <v>3055080.52</v>
      </c>
      <c r="E170" s="579">
        <v>11560648.029999999</v>
      </c>
      <c r="F170" s="579">
        <f t="shared" si="2"/>
        <v>14615728.549999999</v>
      </c>
    </row>
    <row r="171" spans="1:6" x14ac:dyDescent="0.25">
      <c r="A171" s="573" t="s">
        <v>528</v>
      </c>
      <c r="B171" s="573" t="s">
        <v>993</v>
      </c>
      <c r="C171" s="576">
        <v>36097.629999999997</v>
      </c>
      <c r="D171" s="579">
        <v>57533.05</v>
      </c>
      <c r="E171" s="579">
        <v>4900092.42</v>
      </c>
      <c r="F171" s="579">
        <f t="shared" si="2"/>
        <v>4957625.47</v>
      </c>
    </row>
    <row r="172" spans="1:6" x14ac:dyDescent="0.25">
      <c r="A172" s="573" t="s">
        <v>530</v>
      </c>
      <c r="B172" s="573" t="s">
        <v>994</v>
      </c>
      <c r="D172" s="578"/>
      <c r="E172" s="579">
        <v>94312.34</v>
      </c>
      <c r="F172" s="579">
        <f t="shared" si="2"/>
        <v>94312.34</v>
      </c>
    </row>
    <row r="173" spans="1:6" x14ac:dyDescent="0.25">
      <c r="A173" s="573" t="s">
        <v>532</v>
      </c>
      <c r="B173" s="573" t="s">
        <v>995</v>
      </c>
      <c r="C173" s="576">
        <v>51515.01</v>
      </c>
      <c r="D173" s="579">
        <v>6803023.54</v>
      </c>
      <c r="E173" s="579">
        <v>39555827.259999998</v>
      </c>
      <c r="F173" s="579">
        <f t="shared" si="2"/>
        <v>46358850.799999997</v>
      </c>
    </row>
    <row r="174" spans="1:6" x14ac:dyDescent="0.25">
      <c r="A174" s="573" t="s">
        <v>534</v>
      </c>
      <c r="B174" s="573" t="s">
        <v>996</v>
      </c>
      <c r="D174" s="578"/>
      <c r="E174" s="579">
        <v>411677.03</v>
      </c>
      <c r="F174" s="579">
        <f t="shared" si="2"/>
        <v>411677.03</v>
      </c>
    </row>
    <row r="175" spans="1:6" x14ac:dyDescent="0.25">
      <c r="A175" s="573" t="s">
        <v>536</v>
      </c>
      <c r="B175" s="573" t="s">
        <v>997</v>
      </c>
      <c r="C175" s="576">
        <v>31972.04</v>
      </c>
      <c r="D175" s="579">
        <v>22183770.120000001</v>
      </c>
      <c r="E175" s="579">
        <v>52993672.189999998</v>
      </c>
      <c r="F175" s="579">
        <f t="shared" si="2"/>
        <v>75177442.310000002</v>
      </c>
    </row>
    <row r="176" spans="1:6" x14ac:dyDescent="0.25">
      <c r="A176" s="573" t="s">
        <v>538</v>
      </c>
      <c r="B176" s="573" t="s">
        <v>998</v>
      </c>
      <c r="C176" s="576">
        <v>2490876.5099999998</v>
      </c>
      <c r="D176" s="579">
        <v>639328.39</v>
      </c>
      <c r="E176" s="579">
        <v>16699535.720000001</v>
      </c>
      <c r="F176" s="579">
        <f t="shared" si="2"/>
        <v>17338864.109999999</v>
      </c>
    </row>
    <row r="177" spans="1:6" x14ac:dyDescent="0.25">
      <c r="A177" s="573" t="s">
        <v>540</v>
      </c>
      <c r="B177" s="573" t="s">
        <v>999</v>
      </c>
      <c r="D177" s="578"/>
      <c r="E177" s="579">
        <v>259213.76</v>
      </c>
      <c r="F177" s="579">
        <f t="shared" si="2"/>
        <v>259213.76</v>
      </c>
    </row>
    <row r="178" spans="1:6" x14ac:dyDescent="0.25">
      <c r="A178" s="573" t="s">
        <v>542</v>
      </c>
      <c r="B178" s="573" t="s">
        <v>1000</v>
      </c>
      <c r="D178" s="578"/>
      <c r="E178" s="579">
        <v>647957.30000000005</v>
      </c>
      <c r="F178" s="579">
        <f t="shared" si="2"/>
        <v>647957.30000000005</v>
      </c>
    </row>
    <row r="179" spans="1:6" x14ac:dyDescent="0.25">
      <c r="A179" s="573" t="s">
        <v>544</v>
      </c>
      <c r="B179" s="573" t="s">
        <v>1001</v>
      </c>
      <c r="D179" s="578"/>
      <c r="E179" s="579">
        <v>2845603.1</v>
      </c>
      <c r="F179" s="579">
        <f t="shared" si="2"/>
        <v>2845603.1</v>
      </c>
    </row>
    <row r="180" spans="1:6" x14ac:dyDescent="0.25">
      <c r="A180" s="573" t="s">
        <v>546</v>
      </c>
      <c r="B180" s="573" t="s">
        <v>1002</v>
      </c>
      <c r="C180" s="576">
        <v>2814.7</v>
      </c>
      <c r="D180" s="579">
        <v>128294.3</v>
      </c>
      <c r="E180" s="579">
        <v>812341.93</v>
      </c>
      <c r="F180" s="579">
        <f t="shared" si="2"/>
        <v>940636.2300000001</v>
      </c>
    </row>
    <row r="181" spans="1:6" x14ac:dyDescent="0.25">
      <c r="A181" s="573" t="s">
        <v>548</v>
      </c>
      <c r="B181" s="573" t="s">
        <v>1003</v>
      </c>
      <c r="D181" s="578"/>
      <c r="E181" s="579">
        <v>390097.34</v>
      </c>
      <c r="F181" s="579">
        <f t="shared" si="2"/>
        <v>390097.34</v>
      </c>
    </row>
    <row r="182" spans="1:6" x14ac:dyDescent="0.25">
      <c r="A182" s="573" t="s">
        <v>550</v>
      </c>
      <c r="B182" s="573" t="s">
        <v>1004</v>
      </c>
      <c r="D182" s="579">
        <v>68273.55</v>
      </c>
      <c r="E182" s="579">
        <v>2006873.98</v>
      </c>
      <c r="F182" s="579">
        <f t="shared" si="2"/>
        <v>2075147.53</v>
      </c>
    </row>
    <row r="183" spans="1:6" x14ac:dyDescent="0.25">
      <c r="A183" s="573" t="s">
        <v>552</v>
      </c>
      <c r="B183" s="573" t="s">
        <v>1005</v>
      </c>
      <c r="C183" s="576">
        <v>19741.68</v>
      </c>
      <c r="D183" s="579">
        <v>6107494.2199999997</v>
      </c>
      <c r="E183" s="579">
        <v>22071701.449999999</v>
      </c>
      <c r="F183" s="579">
        <f t="shared" si="2"/>
        <v>28179195.669999998</v>
      </c>
    </row>
    <row r="184" spans="1:6" x14ac:dyDescent="0.25">
      <c r="A184" s="573" t="s">
        <v>554</v>
      </c>
      <c r="B184" s="573" t="s">
        <v>1006</v>
      </c>
      <c r="D184" s="579">
        <v>60000</v>
      </c>
      <c r="E184" s="579">
        <v>9967422.4499999993</v>
      </c>
      <c r="F184" s="579">
        <f t="shared" si="2"/>
        <v>10027422.449999999</v>
      </c>
    </row>
    <row r="185" spans="1:6" x14ac:dyDescent="0.25">
      <c r="A185" s="573" t="s">
        <v>556</v>
      </c>
      <c r="B185" s="573" t="s">
        <v>1007</v>
      </c>
      <c r="C185" s="576">
        <v>8155.94</v>
      </c>
      <c r="D185" s="578"/>
      <c r="E185" s="579">
        <v>2193807.5699999998</v>
      </c>
      <c r="F185" s="579">
        <f t="shared" si="2"/>
        <v>2193807.5699999998</v>
      </c>
    </row>
    <row r="186" spans="1:6" x14ac:dyDescent="0.25">
      <c r="A186" s="573" t="s">
        <v>558</v>
      </c>
      <c r="B186" s="573" t="s">
        <v>1008</v>
      </c>
      <c r="D186" s="578"/>
      <c r="E186" s="579">
        <v>74417.789999999994</v>
      </c>
      <c r="F186" s="579">
        <f t="shared" si="2"/>
        <v>74417.789999999994</v>
      </c>
    </row>
    <row r="187" spans="1:6" x14ac:dyDescent="0.25">
      <c r="A187" s="573" t="s">
        <v>560</v>
      </c>
      <c r="B187" s="573" t="s">
        <v>1319</v>
      </c>
      <c r="C187" s="576">
        <v>36376.269999999997</v>
      </c>
      <c r="D187" s="579">
        <v>65132.09</v>
      </c>
      <c r="E187" s="579">
        <v>1520300.54</v>
      </c>
      <c r="F187" s="579">
        <f t="shared" si="2"/>
        <v>1585432.6300000001</v>
      </c>
    </row>
    <row r="188" spans="1:6" x14ac:dyDescent="0.25">
      <c r="A188" s="573" t="s">
        <v>562</v>
      </c>
      <c r="B188" s="573" t="s">
        <v>1010</v>
      </c>
      <c r="D188" s="578"/>
      <c r="E188" s="579">
        <v>88106.94</v>
      </c>
      <c r="F188" s="579">
        <f t="shared" si="2"/>
        <v>88106.94</v>
      </c>
    </row>
    <row r="189" spans="1:6" x14ac:dyDescent="0.25">
      <c r="A189" s="573" t="s">
        <v>564</v>
      </c>
      <c r="B189" s="573" t="s">
        <v>1011</v>
      </c>
      <c r="D189" s="578"/>
      <c r="E189" s="579">
        <v>67631.61</v>
      </c>
      <c r="F189" s="579">
        <f t="shared" si="2"/>
        <v>67631.61</v>
      </c>
    </row>
    <row r="190" spans="1:6" x14ac:dyDescent="0.25">
      <c r="A190" s="573" t="s">
        <v>566</v>
      </c>
      <c r="B190" s="573" t="s">
        <v>1012</v>
      </c>
      <c r="D190" s="578"/>
      <c r="E190" s="579">
        <v>214713.55</v>
      </c>
      <c r="F190" s="579">
        <f t="shared" si="2"/>
        <v>214713.55</v>
      </c>
    </row>
    <row r="191" spans="1:6" x14ac:dyDescent="0.25">
      <c r="A191" s="573" t="s">
        <v>568</v>
      </c>
      <c r="B191" s="573" t="s">
        <v>1013</v>
      </c>
      <c r="D191" s="579">
        <v>53077.04</v>
      </c>
      <c r="E191" s="579">
        <v>841083.84</v>
      </c>
      <c r="F191" s="579">
        <f t="shared" si="2"/>
        <v>894160.88</v>
      </c>
    </row>
    <row r="192" spans="1:6" x14ac:dyDescent="0.25">
      <c r="A192" s="573" t="s">
        <v>570</v>
      </c>
      <c r="B192" s="573" t="s">
        <v>1014</v>
      </c>
      <c r="C192" s="576">
        <v>33531.870000000003</v>
      </c>
      <c r="D192" s="578"/>
      <c r="E192" s="579">
        <v>7554695.6600000001</v>
      </c>
      <c r="F192" s="579">
        <f t="shared" si="2"/>
        <v>7554695.6600000001</v>
      </c>
    </row>
    <row r="193" spans="1:6" x14ac:dyDescent="0.25">
      <c r="A193" s="573" t="s">
        <v>572</v>
      </c>
      <c r="B193" s="573" t="s">
        <v>1015</v>
      </c>
      <c r="C193" s="576">
        <v>21716.37</v>
      </c>
      <c r="D193" s="578"/>
      <c r="E193" s="579">
        <v>6423586.5199999996</v>
      </c>
      <c r="F193" s="579">
        <f t="shared" si="2"/>
        <v>6423586.5199999996</v>
      </c>
    </row>
    <row r="194" spans="1:6" x14ac:dyDescent="0.25">
      <c r="A194" s="573" t="s">
        <v>574</v>
      </c>
      <c r="B194" s="573" t="s">
        <v>1016</v>
      </c>
      <c r="D194" s="578"/>
      <c r="E194" s="579">
        <v>44808.77</v>
      </c>
      <c r="F194" s="579">
        <f t="shared" si="2"/>
        <v>44808.77</v>
      </c>
    </row>
    <row r="195" spans="1:6" x14ac:dyDescent="0.25">
      <c r="A195" s="573" t="s">
        <v>576</v>
      </c>
      <c r="B195" s="573" t="s">
        <v>1017</v>
      </c>
      <c r="D195" s="578"/>
      <c r="E195" s="579">
        <v>276579.21999999997</v>
      </c>
      <c r="F195" s="579">
        <f t="shared" si="2"/>
        <v>276579.21999999997</v>
      </c>
    </row>
    <row r="196" spans="1:6" x14ac:dyDescent="0.25">
      <c r="A196" s="573" t="s">
        <v>578</v>
      </c>
      <c r="B196" s="573" t="s">
        <v>1018</v>
      </c>
      <c r="C196" s="576">
        <v>200261.37</v>
      </c>
      <c r="D196" s="579">
        <v>573104.07999999996</v>
      </c>
      <c r="E196" s="579">
        <v>33381598.140000001</v>
      </c>
      <c r="F196" s="579">
        <f t="shared" si="2"/>
        <v>33954702.219999999</v>
      </c>
    </row>
    <row r="197" spans="1:6" x14ac:dyDescent="0.25">
      <c r="A197" s="573" t="s">
        <v>580</v>
      </c>
      <c r="B197" s="573" t="s">
        <v>1019</v>
      </c>
      <c r="D197" s="578"/>
      <c r="E197" s="579">
        <v>435421.33</v>
      </c>
      <c r="F197" s="579">
        <f t="shared" ref="F197:F260" si="3">D197+E197</f>
        <v>435421.33</v>
      </c>
    </row>
    <row r="198" spans="1:6" x14ac:dyDescent="0.25">
      <c r="A198" s="573" t="s">
        <v>582</v>
      </c>
      <c r="B198" s="573" t="s">
        <v>1144</v>
      </c>
      <c r="D198" s="578"/>
      <c r="E198" s="579">
        <v>215620.83</v>
      </c>
      <c r="F198" s="579">
        <f t="shared" si="3"/>
        <v>215620.83</v>
      </c>
    </row>
    <row r="199" spans="1:6" x14ac:dyDescent="0.25">
      <c r="A199" s="573" t="s">
        <v>584</v>
      </c>
      <c r="B199" s="573" t="s">
        <v>1020</v>
      </c>
      <c r="C199" s="576">
        <v>9204.1200000000008</v>
      </c>
      <c r="D199" s="578"/>
      <c r="E199" s="579">
        <v>821542.26</v>
      </c>
      <c r="F199" s="579">
        <f t="shared" si="3"/>
        <v>821542.26</v>
      </c>
    </row>
    <row r="200" spans="1:6" x14ac:dyDescent="0.25">
      <c r="A200" s="573" t="s">
        <v>586</v>
      </c>
      <c r="B200" s="573" t="s">
        <v>1021</v>
      </c>
      <c r="D200" s="578"/>
      <c r="E200" s="579">
        <v>21944053.760000002</v>
      </c>
      <c r="F200" s="579">
        <f t="shared" si="3"/>
        <v>21944053.760000002</v>
      </c>
    </row>
    <row r="201" spans="1:6" x14ac:dyDescent="0.25">
      <c r="A201" s="573" t="s">
        <v>1165</v>
      </c>
      <c r="B201" s="573" t="s">
        <v>1320</v>
      </c>
      <c r="D201" s="578"/>
      <c r="E201" s="579">
        <v>350033.24</v>
      </c>
      <c r="F201" s="579">
        <f t="shared" si="3"/>
        <v>350033.24</v>
      </c>
    </row>
    <row r="202" spans="1:6" x14ac:dyDescent="0.25">
      <c r="A202" s="573" t="s">
        <v>588</v>
      </c>
      <c r="B202" s="573" t="s">
        <v>1022</v>
      </c>
      <c r="D202" s="579">
        <v>421377</v>
      </c>
      <c r="E202" s="579">
        <v>1884699.02</v>
      </c>
      <c r="F202" s="579">
        <f t="shared" si="3"/>
        <v>2306076.02</v>
      </c>
    </row>
    <row r="203" spans="1:6" x14ac:dyDescent="0.25">
      <c r="A203" s="573" t="s">
        <v>590</v>
      </c>
      <c r="B203" s="573" t="s">
        <v>1023</v>
      </c>
      <c r="D203" s="578"/>
      <c r="E203" s="579">
        <v>598272.82999999996</v>
      </c>
      <c r="F203" s="579">
        <f t="shared" si="3"/>
        <v>598272.82999999996</v>
      </c>
    </row>
    <row r="204" spans="1:6" x14ac:dyDescent="0.25">
      <c r="A204" s="573" t="s">
        <v>592</v>
      </c>
      <c r="B204" s="573" t="s">
        <v>1024</v>
      </c>
      <c r="D204" s="579">
        <v>1580640.99</v>
      </c>
      <c r="E204" s="579">
        <v>7834230.04</v>
      </c>
      <c r="F204" s="579">
        <f t="shared" si="3"/>
        <v>9414871.0299999993</v>
      </c>
    </row>
    <row r="205" spans="1:6" x14ac:dyDescent="0.25">
      <c r="A205" s="573" t="s">
        <v>594</v>
      </c>
      <c r="B205" s="573" t="s">
        <v>1025</v>
      </c>
      <c r="C205" s="576">
        <v>40027.699999999997</v>
      </c>
      <c r="D205" s="579">
        <v>8457.2099999999991</v>
      </c>
      <c r="E205" s="579">
        <v>2780947.09</v>
      </c>
      <c r="F205" s="579">
        <f t="shared" si="3"/>
        <v>2789404.3</v>
      </c>
    </row>
    <row r="206" spans="1:6" x14ac:dyDescent="0.25">
      <c r="A206" s="573" t="s">
        <v>596</v>
      </c>
      <c r="B206" s="573" t="s">
        <v>1026</v>
      </c>
      <c r="D206" s="578"/>
      <c r="E206" s="579">
        <v>580409.69999999995</v>
      </c>
      <c r="F206" s="579">
        <f t="shared" si="3"/>
        <v>580409.69999999995</v>
      </c>
    </row>
    <row r="207" spans="1:6" x14ac:dyDescent="0.25">
      <c r="A207" s="573" t="s">
        <v>600</v>
      </c>
      <c r="B207" s="573" t="s">
        <v>1028</v>
      </c>
      <c r="C207" s="576">
        <v>27801.21</v>
      </c>
      <c r="D207" s="579">
        <v>89149.32</v>
      </c>
      <c r="E207" s="579">
        <v>4612675.5999999996</v>
      </c>
      <c r="F207" s="579">
        <f t="shared" si="3"/>
        <v>4701824.92</v>
      </c>
    </row>
    <row r="208" spans="1:6" x14ac:dyDescent="0.25">
      <c r="A208" s="573" t="s">
        <v>602</v>
      </c>
      <c r="B208" s="573" t="s">
        <v>1029</v>
      </c>
      <c r="C208" s="576">
        <v>52646.66</v>
      </c>
      <c r="D208" s="578"/>
      <c r="E208" s="579">
        <v>4435387.7699999996</v>
      </c>
      <c r="F208" s="579">
        <f t="shared" si="3"/>
        <v>4435387.7699999996</v>
      </c>
    </row>
    <row r="209" spans="1:6" x14ac:dyDescent="0.25">
      <c r="A209" s="573" t="s">
        <v>1167</v>
      </c>
      <c r="B209" s="573" t="s">
        <v>1322</v>
      </c>
      <c r="D209" s="578"/>
      <c r="E209" s="579">
        <v>270971.21999999997</v>
      </c>
      <c r="F209" s="579">
        <f t="shared" si="3"/>
        <v>270971.21999999997</v>
      </c>
    </row>
    <row r="210" spans="1:6" x14ac:dyDescent="0.25">
      <c r="A210" s="573" t="s">
        <v>604</v>
      </c>
      <c r="B210" s="573" t="s">
        <v>1030</v>
      </c>
      <c r="C210" s="576">
        <v>6692019.0700000003</v>
      </c>
      <c r="D210" s="578"/>
      <c r="E210" s="579">
        <v>47557350.170000002</v>
      </c>
      <c r="F210" s="579">
        <f t="shared" si="3"/>
        <v>47557350.170000002</v>
      </c>
    </row>
    <row r="211" spans="1:6" x14ac:dyDescent="0.25">
      <c r="A211" s="573" t="s">
        <v>606</v>
      </c>
      <c r="B211" s="573" t="s">
        <v>1031</v>
      </c>
      <c r="D211" s="578"/>
      <c r="E211" s="579">
        <v>107310.88</v>
      </c>
      <c r="F211" s="579">
        <f t="shared" si="3"/>
        <v>107310.88</v>
      </c>
    </row>
    <row r="212" spans="1:6" x14ac:dyDescent="0.25">
      <c r="A212" s="573" t="s">
        <v>608</v>
      </c>
      <c r="B212" s="573" t="s">
        <v>1032</v>
      </c>
      <c r="D212" s="578"/>
      <c r="E212" s="579">
        <v>1067570.02</v>
      </c>
      <c r="F212" s="579">
        <f t="shared" si="3"/>
        <v>1067570.02</v>
      </c>
    </row>
    <row r="213" spans="1:6" x14ac:dyDescent="0.25">
      <c r="A213" s="573" t="s">
        <v>612</v>
      </c>
      <c r="B213" s="573" t="s">
        <v>1033</v>
      </c>
      <c r="D213" s="578"/>
      <c r="E213" s="579">
        <v>6307249.8200000003</v>
      </c>
      <c r="F213" s="579">
        <f t="shared" si="3"/>
        <v>6307249.8200000003</v>
      </c>
    </row>
    <row r="214" spans="1:6" x14ac:dyDescent="0.25">
      <c r="A214" s="573" t="s">
        <v>437</v>
      </c>
      <c r="B214" s="573" t="s">
        <v>1143</v>
      </c>
      <c r="D214" s="578"/>
      <c r="E214" s="579">
        <v>459621.51</v>
      </c>
      <c r="F214" s="579">
        <f t="shared" si="3"/>
        <v>459621.51</v>
      </c>
    </row>
    <row r="215" spans="1:6" x14ac:dyDescent="0.25">
      <c r="A215" s="573" t="s">
        <v>614</v>
      </c>
      <c r="B215" s="573" t="s">
        <v>1034</v>
      </c>
      <c r="D215" s="579">
        <v>617349.01</v>
      </c>
      <c r="E215" s="579">
        <v>5396669.3899999997</v>
      </c>
      <c r="F215" s="579">
        <f t="shared" si="3"/>
        <v>6014018.3999999994</v>
      </c>
    </row>
    <row r="216" spans="1:6" x14ac:dyDescent="0.25">
      <c r="A216" s="573" t="s">
        <v>616</v>
      </c>
      <c r="B216" s="573" t="s">
        <v>1035</v>
      </c>
      <c r="C216" s="576">
        <v>96</v>
      </c>
      <c r="D216" s="578"/>
      <c r="E216" s="579">
        <v>1468085.1</v>
      </c>
      <c r="F216" s="579">
        <f t="shared" si="3"/>
        <v>1468085.1</v>
      </c>
    </row>
    <row r="217" spans="1:6" x14ac:dyDescent="0.25">
      <c r="A217" s="573" t="s">
        <v>618</v>
      </c>
      <c r="B217" s="573" t="s">
        <v>1324</v>
      </c>
      <c r="D217" s="579">
        <v>294450.58</v>
      </c>
      <c r="E217" s="579">
        <v>145863.1</v>
      </c>
      <c r="F217" s="579">
        <f t="shared" si="3"/>
        <v>440313.68000000005</v>
      </c>
    </row>
    <row r="218" spans="1:6" x14ac:dyDescent="0.25">
      <c r="A218" s="573" t="s">
        <v>621</v>
      </c>
      <c r="B218" s="573" t="s">
        <v>1263</v>
      </c>
      <c r="D218" s="578"/>
      <c r="E218" s="579">
        <v>1114102.8</v>
      </c>
      <c r="F218" s="579">
        <f t="shared" si="3"/>
        <v>1114102.8</v>
      </c>
    </row>
    <row r="219" spans="1:6" x14ac:dyDescent="0.25">
      <c r="A219" s="573" t="s">
        <v>623</v>
      </c>
      <c r="B219" s="573" t="s">
        <v>1325</v>
      </c>
      <c r="D219" s="578"/>
      <c r="E219" s="579">
        <v>876202.59</v>
      </c>
      <c r="F219" s="579">
        <f t="shared" si="3"/>
        <v>876202.59</v>
      </c>
    </row>
    <row r="220" spans="1:6" x14ac:dyDescent="0.25">
      <c r="A220" s="573" t="s">
        <v>625</v>
      </c>
      <c r="B220" s="573" t="s">
        <v>1038</v>
      </c>
      <c r="C220" s="576">
        <v>98541.72</v>
      </c>
      <c r="D220" s="579">
        <v>12207919.5</v>
      </c>
      <c r="E220" s="579">
        <v>37617242.409999996</v>
      </c>
      <c r="F220" s="579">
        <f t="shared" si="3"/>
        <v>49825161.909999996</v>
      </c>
    </row>
    <row r="221" spans="1:6" x14ac:dyDescent="0.25">
      <c r="A221" s="573" t="s">
        <v>627</v>
      </c>
      <c r="B221" s="573" t="s">
        <v>1039</v>
      </c>
      <c r="D221" s="578"/>
      <c r="E221" s="579">
        <v>813053.79</v>
      </c>
      <c r="F221" s="579">
        <f t="shared" si="3"/>
        <v>813053.79</v>
      </c>
    </row>
    <row r="222" spans="1:6" x14ac:dyDescent="0.25">
      <c r="A222" s="573" t="s">
        <v>629</v>
      </c>
      <c r="B222" s="573" t="s">
        <v>1040</v>
      </c>
      <c r="C222" s="576">
        <v>242152.06</v>
      </c>
      <c r="D222" s="579">
        <v>2655898.88</v>
      </c>
      <c r="E222" s="579">
        <v>28342488</v>
      </c>
      <c r="F222" s="579">
        <f t="shared" si="3"/>
        <v>30998386.879999999</v>
      </c>
    </row>
    <row r="223" spans="1:6" x14ac:dyDescent="0.25">
      <c r="A223" s="573" t="s">
        <v>631</v>
      </c>
      <c r="B223" s="573" t="s">
        <v>1041</v>
      </c>
      <c r="C223" s="576">
        <v>20353.66</v>
      </c>
      <c r="D223" s="579">
        <v>554713.75</v>
      </c>
      <c r="E223" s="579">
        <v>7882566.8399999999</v>
      </c>
      <c r="F223" s="579">
        <f t="shared" si="3"/>
        <v>8437280.5899999999</v>
      </c>
    </row>
    <row r="224" spans="1:6" x14ac:dyDescent="0.25">
      <c r="A224" s="573" t="s">
        <v>633</v>
      </c>
      <c r="B224" s="573" t="s">
        <v>1042</v>
      </c>
      <c r="D224" s="578"/>
      <c r="E224" s="579">
        <v>413908.36</v>
      </c>
      <c r="F224" s="579">
        <f t="shared" si="3"/>
        <v>413908.36</v>
      </c>
    </row>
    <row r="225" spans="1:6" x14ac:dyDescent="0.25">
      <c r="A225" s="573" t="s">
        <v>635</v>
      </c>
      <c r="B225" s="573" t="s">
        <v>1043</v>
      </c>
      <c r="D225" s="578"/>
      <c r="E225" s="579">
        <v>2364035.86</v>
      </c>
      <c r="F225" s="579">
        <f t="shared" si="3"/>
        <v>2364035.86</v>
      </c>
    </row>
    <row r="226" spans="1:6" x14ac:dyDescent="0.25">
      <c r="A226" s="573" t="s">
        <v>637</v>
      </c>
      <c r="B226" s="573" t="s">
        <v>1044</v>
      </c>
      <c r="D226" s="579">
        <v>617202.39</v>
      </c>
      <c r="E226" s="579">
        <v>5251701.93</v>
      </c>
      <c r="F226" s="579">
        <f t="shared" si="3"/>
        <v>5868904.3199999994</v>
      </c>
    </row>
    <row r="227" spans="1:6" x14ac:dyDescent="0.25">
      <c r="A227" s="573" t="s">
        <v>639</v>
      </c>
      <c r="B227" s="573" t="s">
        <v>1045</v>
      </c>
      <c r="C227" s="576">
        <v>69702.39</v>
      </c>
      <c r="D227" s="579">
        <v>668078.65</v>
      </c>
      <c r="E227" s="579">
        <v>4770370.0599999996</v>
      </c>
      <c r="F227" s="579">
        <f t="shared" si="3"/>
        <v>5438448.71</v>
      </c>
    </row>
    <row r="228" spans="1:6" x14ac:dyDescent="0.25">
      <c r="A228" s="573" t="s">
        <v>641</v>
      </c>
      <c r="B228" s="573" t="s">
        <v>1046</v>
      </c>
      <c r="D228" s="578"/>
      <c r="E228" s="579">
        <v>42713.14</v>
      </c>
      <c r="F228" s="579">
        <f t="shared" si="3"/>
        <v>42713.14</v>
      </c>
    </row>
    <row r="229" spans="1:6" x14ac:dyDescent="0.25">
      <c r="A229" s="573" t="s">
        <v>1474</v>
      </c>
      <c r="B229" s="573" t="s">
        <v>1498</v>
      </c>
      <c r="D229" s="578"/>
      <c r="E229" s="579">
        <v>202420.04</v>
      </c>
      <c r="F229" s="579">
        <f t="shared" si="3"/>
        <v>202420.04</v>
      </c>
    </row>
    <row r="230" spans="1:6" x14ac:dyDescent="0.25">
      <c r="A230" s="573" t="s">
        <v>643</v>
      </c>
      <c r="B230" s="573" t="s">
        <v>1047</v>
      </c>
      <c r="D230" s="578"/>
      <c r="E230" s="579">
        <v>310133.48</v>
      </c>
      <c r="F230" s="579">
        <f t="shared" si="3"/>
        <v>310133.48</v>
      </c>
    </row>
    <row r="231" spans="1:6" x14ac:dyDescent="0.25">
      <c r="A231" s="573" t="s">
        <v>645</v>
      </c>
      <c r="B231" s="573" t="s">
        <v>1048</v>
      </c>
      <c r="D231" s="578"/>
      <c r="E231" s="579">
        <v>2396122.65</v>
      </c>
      <c r="F231" s="579">
        <f t="shared" si="3"/>
        <v>2396122.65</v>
      </c>
    </row>
    <row r="232" spans="1:6" x14ac:dyDescent="0.25">
      <c r="A232" s="573" t="s">
        <v>620</v>
      </c>
      <c r="B232" s="573" t="s">
        <v>1326</v>
      </c>
      <c r="D232" s="579">
        <v>390068.13</v>
      </c>
      <c r="E232" s="579">
        <v>289485.23</v>
      </c>
      <c r="F232" s="579">
        <f t="shared" si="3"/>
        <v>679553.36</v>
      </c>
    </row>
    <row r="233" spans="1:6" x14ac:dyDescent="0.25">
      <c r="A233" s="573" t="s">
        <v>647</v>
      </c>
      <c r="B233" s="573" t="s">
        <v>1049</v>
      </c>
      <c r="C233" s="576">
        <v>8993.93</v>
      </c>
      <c r="D233" s="579">
        <v>74364.52</v>
      </c>
      <c r="E233" s="579">
        <v>2257811.6</v>
      </c>
      <c r="F233" s="579">
        <f t="shared" si="3"/>
        <v>2332176.12</v>
      </c>
    </row>
    <row r="234" spans="1:6" x14ac:dyDescent="0.25">
      <c r="A234" s="573" t="s">
        <v>649</v>
      </c>
      <c r="B234" s="573" t="s">
        <v>1050</v>
      </c>
      <c r="D234" s="578"/>
      <c r="E234" s="579">
        <v>105368.75</v>
      </c>
      <c r="F234" s="579">
        <f t="shared" si="3"/>
        <v>105368.75</v>
      </c>
    </row>
    <row r="235" spans="1:6" x14ac:dyDescent="0.25">
      <c r="A235" s="573" t="s">
        <v>655</v>
      </c>
      <c r="B235" s="573" t="s">
        <v>1051</v>
      </c>
      <c r="C235" s="576">
        <v>293023.38</v>
      </c>
      <c r="D235" s="579">
        <v>91383948.079999998</v>
      </c>
      <c r="E235" s="579">
        <v>137667021.94999999</v>
      </c>
      <c r="F235" s="579">
        <f t="shared" si="3"/>
        <v>229050970.02999997</v>
      </c>
    </row>
    <row r="236" spans="1:6" x14ac:dyDescent="0.25">
      <c r="A236" s="573" t="s">
        <v>657</v>
      </c>
      <c r="B236" s="573" t="s">
        <v>1327</v>
      </c>
      <c r="C236" s="576">
        <v>83973.35</v>
      </c>
      <c r="D236" s="578"/>
      <c r="E236" s="579">
        <v>14119152.710000001</v>
      </c>
      <c r="F236" s="579">
        <f t="shared" si="3"/>
        <v>14119152.710000001</v>
      </c>
    </row>
    <row r="237" spans="1:6" x14ac:dyDescent="0.25">
      <c r="A237" s="573" t="s">
        <v>659</v>
      </c>
      <c r="B237" s="573" t="s">
        <v>1053</v>
      </c>
      <c r="D237" s="578"/>
      <c r="E237" s="579">
        <v>5666515.79</v>
      </c>
      <c r="F237" s="579">
        <f t="shared" si="3"/>
        <v>5666515.79</v>
      </c>
    </row>
    <row r="238" spans="1:6" x14ac:dyDescent="0.25">
      <c r="A238" s="573" t="s">
        <v>661</v>
      </c>
      <c r="B238" s="573" t="s">
        <v>1054</v>
      </c>
      <c r="D238" s="579">
        <v>6687.52</v>
      </c>
      <c r="E238" s="579">
        <v>500330.39</v>
      </c>
      <c r="F238" s="579">
        <f t="shared" si="3"/>
        <v>507017.91000000003</v>
      </c>
    </row>
    <row r="239" spans="1:6" x14ac:dyDescent="0.25">
      <c r="A239" s="573" t="s">
        <v>663</v>
      </c>
      <c r="B239" s="573" t="s">
        <v>1055</v>
      </c>
      <c r="C239" s="576">
        <v>143538.91</v>
      </c>
      <c r="D239" s="579">
        <v>182492.99</v>
      </c>
      <c r="E239" s="579">
        <v>6115780.6100000003</v>
      </c>
      <c r="F239" s="579">
        <f t="shared" si="3"/>
        <v>6298273.6000000006</v>
      </c>
    </row>
    <row r="240" spans="1:6" x14ac:dyDescent="0.25">
      <c r="A240" s="573" t="s">
        <v>665</v>
      </c>
      <c r="B240" s="573" t="s">
        <v>1500</v>
      </c>
      <c r="D240" s="578"/>
      <c r="E240" s="579">
        <v>1834.58</v>
      </c>
      <c r="F240" s="579">
        <f t="shared" si="3"/>
        <v>1834.58</v>
      </c>
    </row>
    <row r="241" spans="1:6" x14ac:dyDescent="0.25">
      <c r="A241" s="573" t="s">
        <v>667</v>
      </c>
      <c r="B241" s="573" t="s">
        <v>1056</v>
      </c>
      <c r="D241" s="579">
        <v>1226572.5900000001</v>
      </c>
      <c r="E241" s="579">
        <v>9220861.1199999992</v>
      </c>
      <c r="F241" s="579">
        <f t="shared" si="3"/>
        <v>10447433.709999999</v>
      </c>
    </row>
    <row r="242" spans="1:6" x14ac:dyDescent="0.25">
      <c r="A242" s="573" t="s">
        <v>669</v>
      </c>
      <c r="B242" s="573" t="s">
        <v>1057</v>
      </c>
      <c r="C242" s="576">
        <v>18023.22</v>
      </c>
      <c r="D242" s="579">
        <v>607848.36</v>
      </c>
      <c r="E242" s="579">
        <v>25472775.359999999</v>
      </c>
      <c r="F242" s="579">
        <f t="shared" si="3"/>
        <v>26080623.719999999</v>
      </c>
    </row>
    <row r="243" spans="1:6" x14ac:dyDescent="0.25">
      <c r="A243" s="573" t="s">
        <v>671</v>
      </c>
      <c r="B243" s="573" t="s">
        <v>1058</v>
      </c>
      <c r="D243" s="578"/>
      <c r="E243" s="579">
        <v>96775.2</v>
      </c>
      <c r="F243" s="579">
        <f t="shared" si="3"/>
        <v>96775.2</v>
      </c>
    </row>
    <row r="244" spans="1:6" x14ac:dyDescent="0.25">
      <c r="A244" s="573" t="s">
        <v>673</v>
      </c>
      <c r="B244" s="573" t="s">
        <v>1059</v>
      </c>
      <c r="D244" s="579">
        <v>120184.54</v>
      </c>
      <c r="E244" s="579">
        <v>103846.77</v>
      </c>
      <c r="F244" s="579">
        <f t="shared" si="3"/>
        <v>224031.31</v>
      </c>
    </row>
    <row r="245" spans="1:6" x14ac:dyDescent="0.25">
      <c r="A245" s="573" t="s">
        <v>675</v>
      </c>
      <c r="B245" s="573" t="s">
        <v>1060</v>
      </c>
      <c r="C245" s="576">
        <v>71116.100000000006</v>
      </c>
      <c r="D245" s="578"/>
      <c r="E245" s="579">
        <v>24314835.120000001</v>
      </c>
      <c r="F245" s="579">
        <f t="shared" si="3"/>
        <v>24314835.120000001</v>
      </c>
    </row>
    <row r="246" spans="1:6" x14ac:dyDescent="0.25">
      <c r="A246" s="573" t="s">
        <v>677</v>
      </c>
      <c r="B246" s="573" t="s">
        <v>1061</v>
      </c>
      <c r="C246" s="576">
        <v>4585.1000000000004</v>
      </c>
      <c r="D246" s="579">
        <v>1785665.7</v>
      </c>
      <c r="E246" s="579">
        <v>14374993.449999999</v>
      </c>
      <c r="F246" s="579">
        <f t="shared" si="3"/>
        <v>16160659.149999999</v>
      </c>
    </row>
    <row r="247" spans="1:6" x14ac:dyDescent="0.25">
      <c r="A247" s="573" t="s">
        <v>679</v>
      </c>
      <c r="B247" s="573" t="s">
        <v>1062</v>
      </c>
      <c r="D247" s="578"/>
      <c r="E247" s="579">
        <v>1189003.1000000001</v>
      </c>
      <c r="F247" s="579">
        <f t="shared" si="3"/>
        <v>1189003.1000000001</v>
      </c>
    </row>
    <row r="248" spans="1:6" x14ac:dyDescent="0.25">
      <c r="A248" s="573" t="s">
        <v>682</v>
      </c>
      <c r="B248" s="573" t="s">
        <v>1063</v>
      </c>
      <c r="C248" s="576">
        <v>5199.32</v>
      </c>
      <c r="D248" s="579">
        <v>2890.79</v>
      </c>
      <c r="E248" s="579">
        <v>1006862.89</v>
      </c>
      <c r="F248" s="579">
        <f t="shared" si="3"/>
        <v>1009753.68</v>
      </c>
    </row>
    <row r="249" spans="1:6" x14ac:dyDescent="0.25">
      <c r="A249" s="573" t="s">
        <v>684</v>
      </c>
      <c r="B249" s="573" t="s">
        <v>1064</v>
      </c>
      <c r="D249" s="579">
        <v>5602044.9299999997</v>
      </c>
      <c r="E249" s="579">
        <v>23322676.91</v>
      </c>
      <c r="F249" s="579">
        <f t="shared" si="3"/>
        <v>28924721.84</v>
      </c>
    </row>
    <row r="250" spans="1:6" x14ac:dyDescent="0.25">
      <c r="A250" s="573" t="s">
        <v>686</v>
      </c>
      <c r="B250" s="573" t="s">
        <v>1065</v>
      </c>
      <c r="D250" s="578"/>
      <c r="E250" s="579">
        <v>2868223.34</v>
      </c>
      <c r="F250" s="579">
        <f t="shared" si="3"/>
        <v>2868223.34</v>
      </c>
    </row>
    <row r="251" spans="1:6" x14ac:dyDescent="0.25">
      <c r="A251" s="573" t="s">
        <v>688</v>
      </c>
      <c r="B251" s="573" t="s">
        <v>1066</v>
      </c>
      <c r="D251" s="579">
        <v>122536.89</v>
      </c>
      <c r="E251" s="579">
        <v>413986.42</v>
      </c>
      <c r="F251" s="579">
        <f t="shared" si="3"/>
        <v>536523.30999999994</v>
      </c>
    </row>
    <row r="252" spans="1:6" x14ac:dyDescent="0.25">
      <c r="A252" s="573" t="s">
        <v>690</v>
      </c>
      <c r="B252" s="573" t="s">
        <v>1067</v>
      </c>
      <c r="C252" s="576">
        <v>660213.96</v>
      </c>
      <c r="D252" s="579">
        <v>3265786.29</v>
      </c>
      <c r="E252" s="579">
        <v>62858700.969999999</v>
      </c>
      <c r="F252" s="579">
        <f t="shared" si="3"/>
        <v>66124487.259999998</v>
      </c>
    </row>
    <row r="253" spans="1:6" x14ac:dyDescent="0.25">
      <c r="A253" s="573" t="s">
        <v>692</v>
      </c>
      <c r="B253" s="573" t="s">
        <v>1328</v>
      </c>
      <c r="D253" s="578"/>
      <c r="E253" s="579">
        <v>786765.84</v>
      </c>
      <c r="F253" s="579">
        <f t="shared" si="3"/>
        <v>786765.84</v>
      </c>
    </row>
    <row r="254" spans="1:6" x14ac:dyDescent="0.25">
      <c r="A254" s="573" t="s">
        <v>694</v>
      </c>
      <c r="B254" s="573" t="s">
        <v>1069</v>
      </c>
      <c r="D254" s="578"/>
      <c r="E254" s="579">
        <v>187211.95</v>
      </c>
      <c r="F254" s="579">
        <f t="shared" si="3"/>
        <v>187211.95</v>
      </c>
    </row>
    <row r="255" spans="1:6" x14ac:dyDescent="0.25">
      <c r="A255" s="573" t="s">
        <v>696</v>
      </c>
      <c r="B255" s="573" t="s">
        <v>1070</v>
      </c>
      <c r="D255" s="578"/>
      <c r="E255" s="579">
        <v>261479.42</v>
      </c>
      <c r="F255" s="579">
        <f t="shared" si="3"/>
        <v>261479.42</v>
      </c>
    </row>
    <row r="256" spans="1:6" x14ac:dyDescent="0.25">
      <c r="A256" s="573" t="s">
        <v>698</v>
      </c>
      <c r="B256" s="573" t="s">
        <v>1329</v>
      </c>
      <c r="D256" s="579">
        <v>263378.56</v>
      </c>
      <c r="E256" s="579">
        <v>15218258.619999999</v>
      </c>
      <c r="F256" s="579">
        <f t="shared" si="3"/>
        <v>15481637.18</v>
      </c>
    </row>
    <row r="257" spans="1:6" x14ac:dyDescent="0.25">
      <c r="A257" s="573" t="s">
        <v>700</v>
      </c>
      <c r="B257" s="573" t="s">
        <v>1146</v>
      </c>
      <c r="D257" s="578"/>
      <c r="E257" s="579">
        <v>37.5</v>
      </c>
      <c r="F257" s="579">
        <f t="shared" si="3"/>
        <v>37.5</v>
      </c>
    </row>
    <row r="258" spans="1:6" x14ac:dyDescent="0.25">
      <c r="A258" s="573" t="s">
        <v>702</v>
      </c>
      <c r="B258" s="573" t="s">
        <v>1072</v>
      </c>
      <c r="D258" s="578"/>
      <c r="E258" s="579">
        <v>994078.03</v>
      </c>
      <c r="F258" s="579">
        <f t="shared" si="3"/>
        <v>994078.03</v>
      </c>
    </row>
    <row r="259" spans="1:6" x14ac:dyDescent="0.25">
      <c r="A259" s="573" t="s">
        <v>706</v>
      </c>
      <c r="B259" s="573" t="s">
        <v>1073</v>
      </c>
      <c r="C259" s="576">
        <v>1373.22</v>
      </c>
      <c r="D259" s="579">
        <v>469514.62</v>
      </c>
      <c r="E259" s="579">
        <v>5976798.1100000003</v>
      </c>
      <c r="F259" s="579">
        <f t="shared" si="3"/>
        <v>6446312.7300000004</v>
      </c>
    </row>
    <row r="260" spans="1:6" x14ac:dyDescent="0.25">
      <c r="A260" s="573" t="s">
        <v>708</v>
      </c>
      <c r="B260" s="573" t="s">
        <v>1074</v>
      </c>
      <c r="D260" s="578"/>
      <c r="E260" s="579">
        <v>60504.42</v>
      </c>
      <c r="F260" s="579">
        <f t="shared" si="3"/>
        <v>60504.42</v>
      </c>
    </row>
    <row r="261" spans="1:6" x14ac:dyDescent="0.25">
      <c r="A261" s="573" t="s">
        <v>710</v>
      </c>
      <c r="B261" s="573" t="s">
        <v>1075</v>
      </c>
      <c r="C261" s="576">
        <v>158015.73000000001</v>
      </c>
      <c r="D261" s="578"/>
      <c r="E261" s="579">
        <v>1564961.08</v>
      </c>
      <c r="F261" s="579">
        <f t="shared" ref="F261:F316" si="4">D261+E261</f>
        <v>1564961.08</v>
      </c>
    </row>
    <row r="262" spans="1:6" x14ac:dyDescent="0.25">
      <c r="A262" s="573" t="s">
        <v>712</v>
      </c>
      <c r="B262" s="573" t="s">
        <v>1076</v>
      </c>
      <c r="D262" s="579">
        <v>1725</v>
      </c>
      <c r="E262" s="579">
        <v>5057438.51</v>
      </c>
      <c r="F262" s="579">
        <f t="shared" si="4"/>
        <v>5059163.51</v>
      </c>
    </row>
    <row r="263" spans="1:6" x14ac:dyDescent="0.25">
      <c r="A263" s="573" t="s">
        <v>714</v>
      </c>
      <c r="B263" s="573" t="s">
        <v>1330</v>
      </c>
      <c r="D263" s="578"/>
      <c r="E263" s="579">
        <v>1088549.99</v>
      </c>
      <c r="F263" s="579">
        <f t="shared" si="4"/>
        <v>1088549.99</v>
      </c>
    </row>
    <row r="264" spans="1:6" x14ac:dyDescent="0.25">
      <c r="A264" s="573" t="s">
        <v>716</v>
      </c>
      <c r="B264" s="573" t="s">
        <v>1331</v>
      </c>
      <c r="D264" s="578"/>
      <c r="E264" s="579">
        <v>274188.38</v>
      </c>
      <c r="F264" s="579">
        <f t="shared" si="4"/>
        <v>274188.38</v>
      </c>
    </row>
    <row r="265" spans="1:6" x14ac:dyDescent="0.25">
      <c r="A265" s="573" t="s">
        <v>718</v>
      </c>
      <c r="B265" s="573" t="s">
        <v>1332</v>
      </c>
      <c r="D265" s="578"/>
      <c r="E265" s="579">
        <v>527013.32999999996</v>
      </c>
      <c r="F265" s="579">
        <f t="shared" si="4"/>
        <v>527013.32999999996</v>
      </c>
    </row>
    <row r="266" spans="1:6" x14ac:dyDescent="0.25">
      <c r="A266" s="573" t="s">
        <v>720</v>
      </c>
      <c r="B266" s="573" t="s">
        <v>1080</v>
      </c>
      <c r="D266" s="578"/>
      <c r="E266" s="579">
        <v>136044.92000000001</v>
      </c>
      <c r="F266" s="579">
        <f t="shared" si="4"/>
        <v>136044.92000000001</v>
      </c>
    </row>
    <row r="267" spans="1:6" x14ac:dyDescent="0.25">
      <c r="A267" s="573" t="s">
        <v>722</v>
      </c>
      <c r="B267" s="573" t="s">
        <v>1081</v>
      </c>
      <c r="C267" s="576">
        <v>50881.01</v>
      </c>
      <c r="D267" s="579">
        <v>3532146.01</v>
      </c>
      <c r="E267" s="579">
        <v>21630717.969999999</v>
      </c>
      <c r="F267" s="579">
        <f t="shared" si="4"/>
        <v>25162863.979999997</v>
      </c>
    </row>
    <row r="268" spans="1:6" x14ac:dyDescent="0.25">
      <c r="A268" s="573" t="s">
        <v>724</v>
      </c>
      <c r="B268" s="573" t="s">
        <v>1082</v>
      </c>
      <c r="D268" s="578"/>
      <c r="E268" s="579">
        <v>11575423.380000001</v>
      </c>
      <c r="F268" s="579">
        <f t="shared" si="4"/>
        <v>11575423.380000001</v>
      </c>
    </row>
    <row r="269" spans="1:6" x14ac:dyDescent="0.25">
      <c r="A269" s="573" t="s">
        <v>726</v>
      </c>
      <c r="B269" s="573" t="s">
        <v>1333</v>
      </c>
      <c r="D269" s="578"/>
      <c r="E269" s="579">
        <v>140915.97</v>
      </c>
      <c r="F269" s="579">
        <f t="shared" si="4"/>
        <v>140915.97</v>
      </c>
    </row>
    <row r="270" spans="1:6" x14ac:dyDescent="0.25">
      <c r="A270" s="573" t="s">
        <v>728</v>
      </c>
      <c r="B270" s="573" t="s">
        <v>1084</v>
      </c>
      <c r="C270" s="576">
        <v>137279.16</v>
      </c>
      <c r="D270" s="579">
        <v>3573888</v>
      </c>
      <c r="E270" s="579">
        <v>66338945.920000002</v>
      </c>
      <c r="F270" s="579">
        <f t="shared" si="4"/>
        <v>69912833.920000002</v>
      </c>
    </row>
    <row r="271" spans="1:6" x14ac:dyDescent="0.25">
      <c r="A271" s="573" t="s">
        <v>730</v>
      </c>
      <c r="B271" s="573" t="s">
        <v>1148</v>
      </c>
      <c r="D271" s="578"/>
      <c r="E271" s="579">
        <v>234097.91</v>
      </c>
      <c r="F271" s="579">
        <f t="shared" si="4"/>
        <v>234097.91</v>
      </c>
    </row>
    <row r="272" spans="1:6" x14ac:dyDescent="0.25">
      <c r="A272" s="573" t="s">
        <v>732</v>
      </c>
      <c r="B272" s="573" t="s">
        <v>1085</v>
      </c>
      <c r="C272" s="576">
        <v>45824.4</v>
      </c>
      <c r="D272" s="579">
        <v>5947061.3300000001</v>
      </c>
      <c r="E272" s="579">
        <v>20767008.199999999</v>
      </c>
      <c r="F272" s="579">
        <f t="shared" si="4"/>
        <v>26714069.530000001</v>
      </c>
    </row>
    <row r="273" spans="1:6" x14ac:dyDescent="0.25">
      <c r="A273" s="573" t="s">
        <v>734</v>
      </c>
      <c r="B273" s="573" t="s">
        <v>1086</v>
      </c>
      <c r="C273" s="576">
        <v>1900</v>
      </c>
      <c r="D273" s="579">
        <v>1500</v>
      </c>
      <c r="E273" s="579">
        <v>379786.35</v>
      </c>
      <c r="F273" s="579">
        <f t="shared" si="4"/>
        <v>381286.35</v>
      </c>
    </row>
    <row r="274" spans="1:6" x14ac:dyDescent="0.25">
      <c r="A274" s="573" t="s">
        <v>736</v>
      </c>
      <c r="B274" s="573" t="s">
        <v>1087</v>
      </c>
      <c r="C274" s="576">
        <v>31769.14</v>
      </c>
      <c r="D274" s="579">
        <v>89135.039999999994</v>
      </c>
      <c r="E274" s="579">
        <v>2964955.94</v>
      </c>
      <c r="F274" s="579">
        <f t="shared" si="4"/>
        <v>3054090.98</v>
      </c>
    </row>
    <row r="275" spans="1:6" x14ac:dyDescent="0.25">
      <c r="A275" s="573" t="s">
        <v>738</v>
      </c>
      <c r="B275" s="573" t="s">
        <v>1088</v>
      </c>
      <c r="D275" s="578"/>
      <c r="E275" s="579">
        <v>538298.68000000005</v>
      </c>
      <c r="F275" s="579">
        <f t="shared" si="4"/>
        <v>538298.68000000005</v>
      </c>
    </row>
    <row r="276" spans="1:6" x14ac:dyDescent="0.25">
      <c r="A276" s="573" t="s">
        <v>740</v>
      </c>
      <c r="B276" s="573" t="s">
        <v>1089</v>
      </c>
      <c r="C276" s="576">
        <v>10465.299999999999</v>
      </c>
      <c r="D276" s="579">
        <v>112081.81</v>
      </c>
      <c r="E276" s="579">
        <v>2379511.25</v>
      </c>
      <c r="F276" s="579">
        <f t="shared" si="4"/>
        <v>2491593.06</v>
      </c>
    </row>
    <row r="277" spans="1:6" x14ac:dyDescent="0.25">
      <c r="A277" s="573" t="s">
        <v>742</v>
      </c>
      <c r="B277" s="573" t="s">
        <v>1090</v>
      </c>
      <c r="D277" s="578"/>
      <c r="E277" s="579">
        <v>1499981.1</v>
      </c>
      <c r="F277" s="579">
        <f t="shared" si="4"/>
        <v>1499981.1</v>
      </c>
    </row>
    <row r="278" spans="1:6" x14ac:dyDescent="0.25">
      <c r="A278" s="573" t="s">
        <v>744</v>
      </c>
      <c r="B278" s="573" t="s">
        <v>1091</v>
      </c>
      <c r="D278" s="578"/>
      <c r="E278" s="579">
        <v>5864108.3499999996</v>
      </c>
      <c r="F278" s="579">
        <f t="shared" si="4"/>
        <v>5864108.3499999996</v>
      </c>
    </row>
    <row r="279" spans="1:6" x14ac:dyDescent="0.25">
      <c r="A279" s="573" t="s">
        <v>746</v>
      </c>
      <c r="B279" s="573" t="s">
        <v>1092</v>
      </c>
      <c r="D279" s="578"/>
      <c r="E279" s="579">
        <v>164903.19</v>
      </c>
      <c r="F279" s="579">
        <f t="shared" si="4"/>
        <v>164903.19</v>
      </c>
    </row>
    <row r="280" spans="1:6" x14ac:dyDescent="0.25">
      <c r="A280" s="573" t="s">
        <v>748</v>
      </c>
      <c r="B280" s="573" t="s">
        <v>1093</v>
      </c>
      <c r="D280" s="578"/>
      <c r="E280" s="579">
        <v>1178957.8899999999</v>
      </c>
      <c r="F280" s="579">
        <f t="shared" si="4"/>
        <v>1178957.8899999999</v>
      </c>
    </row>
    <row r="281" spans="1:6" x14ac:dyDescent="0.25">
      <c r="A281" s="573" t="s">
        <v>750</v>
      </c>
      <c r="B281" s="573" t="s">
        <v>1094</v>
      </c>
      <c r="D281" s="578"/>
      <c r="E281" s="579">
        <v>250722.49</v>
      </c>
      <c r="F281" s="579">
        <f t="shared" si="4"/>
        <v>250722.49</v>
      </c>
    </row>
    <row r="282" spans="1:6" x14ac:dyDescent="0.25">
      <c r="A282" s="573" t="s">
        <v>752</v>
      </c>
      <c r="B282" s="573" t="s">
        <v>1095</v>
      </c>
      <c r="D282" s="579">
        <v>1025389.39</v>
      </c>
      <c r="E282" s="579">
        <v>6308495.3899999997</v>
      </c>
      <c r="F282" s="579">
        <f t="shared" si="4"/>
        <v>7333884.7799999993</v>
      </c>
    </row>
    <row r="283" spans="1:6" x14ac:dyDescent="0.25">
      <c r="A283" s="573" t="s">
        <v>754</v>
      </c>
      <c r="B283" s="573" t="s">
        <v>1096</v>
      </c>
      <c r="D283" s="579">
        <v>502619</v>
      </c>
      <c r="E283" s="579">
        <v>14134408.310000001</v>
      </c>
      <c r="F283" s="579">
        <f t="shared" si="4"/>
        <v>14637027.310000001</v>
      </c>
    </row>
    <row r="284" spans="1:6" x14ac:dyDescent="0.25">
      <c r="A284" s="573" t="s">
        <v>756</v>
      </c>
      <c r="B284" s="573" t="s">
        <v>1097</v>
      </c>
      <c r="D284" s="578"/>
      <c r="E284" s="579">
        <v>784857.45</v>
      </c>
      <c r="F284" s="579">
        <f t="shared" si="4"/>
        <v>784857.45</v>
      </c>
    </row>
    <row r="285" spans="1:6" x14ac:dyDescent="0.25">
      <c r="A285" s="573" t="s">
        <v>758</v>
      </c>
      <c r="B285" s="573" t="s">
        <v>1098</v>
      </c>
      <c r="C285" s="576">
        <v>109837.78</v>
      </c>
      <c r="D285" s="579">
        <v>87272.960000000006</v>
      </c>
      <c r="E285" s="579">
        <v>11322976.59</v>
      </c>
      <c r="F285" s="579">
        <f t="shared" si="4"/>
        <v>11410249.550000001</v>
      </c>
    </row>
    <row r="286" spans="1:6" x14ac:dyDescent="0.25">
      <c r="A286" s="573" t="s">
        <v>760</v>
      </c>
      <c r="B286" s="573" t="s">
        <v>1099</v>
      </c>
      <c r="D286" s="579">
        <v>224.3</v>
      </c>
      <c r="E286" s="579">
        <v>1159727.02</v>
      </c>
      <c r="F286" s="579">
        <f t="shared" si="4"/>
        <v>1159951.32</v>
      </c>
    </row>
    <row r="287" spans="1:6" x14ac:dyDescent="0.25">
      <c r="A287" s="573" t="s">
        <v>762</v>
      </c>
      <c r="B287" s="573" t="s">
        <v>1100</v>
      </c>
      <c r="C287" s="576">
        <v>835055.93</v>
      </c>
      <c r="D287" s="579">
        <v>10621283.42</v>
      </c>
      <c r="E287" s="579">
        <v>52966699.640000001</v>
      </c>
      <c r="F287" s="579">
        <f t="shared" si="4"/>
        <v>63587983.060000002</v>
      </c>
    </row>
    <row r="288" spans="1:6" x14ac:dyDescent="0.25">
      <c r="A288" s="573" t="s">
        <v>764</v>
      </c>
      <c r="B288" s="573" t="s">
        <v>1101</v>
      </c>
      <c r="C288" s="576">
        <v>4605.3900000000003</v>
      </c>
      <c r="D288" s="579">
        <v>326411.27</v>
      </c>
      <c r="E288" s="579">
        <v>2648012.21</v>
      </c>
      <c r="F288" s="579">
        <f t="shared" si="4"/>
        <v>2974423.48</v>
      </c>
    </row>
    <row r="289" spans="1:6" x14ac:dyDescent="0.25">
      <c r="A289" s="573" t="s">
        <v>766</v>
      </c>
      <c r="B289" s="573" t="s">
        <v>1102</v>
      </c>
      <c r="D289" s="578"/>
      <c r="E289" s="579">
        <v>837267.37</v>
      </c>
      <c r="F289" s="579">
        <f t="shared" si="4"/>
        <v>837267.37</v>
      </c>
    </row>
    <row r="290" spans="1:6" x14ac:dyDescent="0.25">
      <c r="A290" s="573" t="s">
        <v>768</v>
      </c>
      <c r="B290" s="573" t="s">
        <v>1103</v>
      </c>
      <c r="D290" s="578"/>
      <c r="E290" s="579">
        <v>4245031.28</v>
      </c>
      <c r="F290" s="579">
        <f t="shared" si="4"/>
        <v>4245031.28</v>
      </c>
    </row>
    <row r="291" spans="1:6" x14ac:dyDescent="0.25">
      <c r="A291" s="573" t="s">
        <v>770</v>
      </c>
      <c r="B291" s="573" t="s">
        <v>1104</v>
      </c>
      <c r="D291" s="579">
        <v>276531.34000000003</v>
      </c>
      <c r="E291" s="578"/>
      <c r="F291" s="579">
        <f t="shared" si="4"/>
        <v>276531.34000000003</v>
      </c>
    </row>
    <row r="292" spans="1:6" x14ac:dyDescent="0.25">
      <c r="A292" s="573" t="s">
        <v>772</v>
      </c>
      <c r="B292" s="573" t="s">
        <v>1105</v>
      </c>
      <c r="C292" s="576">
        <v>7251.53</v>
      </c>
      <c r="D292" s="578"/>
      <c r="E292" s="579">
        <v>10740513.109999999</v>
      </c>
      <c r="F292" s="579">
        <f t="shared" si="4"/>
        <v>10740513.109999999</v>
      </c>
    </row>
    <row r="293" spans="1:6" x14ac:dyDescent="0.25">
      <c r="A293" s="573" t="s">
        <v>774</v>
      </c>
      <c r="B293" s="573" t="s">
        <v>1106</v>
      </c>
      <c r="D293" s="578"/>
      <c r="E293" s="579">
        <v>5115456.1100000003</v>
      </c>
      <c r="F293" s="579">
        <f t="shared" si="4"/>
        <v>5115456.1100000003</v>
      </c>
    </row>
    <row r="294" spans="1:6" x14ac:dyDescent="0.25">
      <c r="A294" s="573" t="s">
        <v>776</v>
      </c>
      <c r="B294" s="573" t="s">
        <v>1107</v>
      </c>
      <c r="C294" s="576">
        <v>9621.8700000000008</v>
      </c>
      <c r="D294" s="578"/>
      <c r="E294" s="579">
        <v>1534702.12</v>
      </c>
      <c r="F294" s="579">
        <f t="shared" si="4"/>
        <v>1534702.12</v>
      </c>
    </row>
    <row r="295" spans="1:6" x14ac:dyDescent="0.25">
      <c r="A295" s="573" t="s">
        <v>778</v>
      </c>
      <c r="B295" s="573" t="s">
        <v>1108</v>
      </c>
      <c r="C295" s="576">
        <v>17352.98</v>
      </c>
      <c r="D295" s="579">
        <v>336053.37</v>
      </c>
      <c r="E295" s="579">
        <v>7044004.8300000001</v>
      </c>
      <c r="F295" s="579">
        <f t="shared" si="4"/>
        <v>7380058.2000000002</v>
      </c>
    </row>
    <row r="296" spans="1:6" x14ac:dyDescent="0.25">
      <c r="A296" s="573" t="s">
        <v>780</v>
      </c>
      <c r="B296" s="573" t="s">
        <v>1109</v>
      </c>
      <c r="D296" s="578">
        <v>0</v>
      </c>
      <c r="E296" s="579">
        <v>207571.57</v>
      </c>
      <c r="F296" s="579">
        <f t="shared" si="4"/>
        <v>207571.57</v>
      </c>
    </row>
    <row r="297" spans="1:6" x14ac:dyDescent="0.25">
      <c r="A297" s="573" t="s">
        <v>782</v>
      </c>
      <c r="B297" s="573" t="s">
        <v>1110</v>
      </c>
      <c r="D297" s="578"/>
      <c r="E297" s="579">
        <v>545117.64</v>
      </c>
      <c r="F297" s="579">
        <f t="shared" si="4"/>
        <v>545117.64</v>
      </c>
    </row>
    <row r="298" spans="1:6" x14ac:dyDescent="0.25">
      <c r="A298" s="573" t="s">
        <v>784</v>
      </c>
      <c r="B298" s="573" t="s">
        <v>1111</v>
      </c>
      <c r="C298" s="576">
        <v>103923.91</v>
      </c>
      <c r="D298" s="578"/>
      <c r="E298" s="579">
        <v>769119.63</v>
      </c>
      <c r="F298" s="579">
        <f t="shared" si="4"/>
        <v>769119.63</v>
      </c>
    </row>
    <row r="299" spans="1:6" x14ac:dyDescent="0.25">
      <c r="A299" s="573" t="s">
        <v>786</v>
      </c>
      <c r="B299" s="573" t="s">
        <v>1112</v>
      </c>
      <c r="C299" s="576">
        <v>133178.47</v>
      </c>
      <c r="D299" s="579">
        <v>66202.94</v>
      </c>
      <c r="E299" s="579">
        <v>15080307.26</v>
      </c>
      <c r="F299" s="579">
        <f t="shared" si="4"/>
        <v>15146510.199999999</v>
      </c>
    </row>
    <row r="300" spans="1:6" x14ac:dyDescent="0.25">
      <c r="A300" s="573" t="s">
        <v>790</v>
      </c>
      <c r="B300" s="573" t="s">
        <v>1336</v>
      </c>
      <c r="D300" s="578"/>
      <c r="E300" s="579">
        <v>6731834.9199999999</v>
      </c>
      <c r="F300" s="579">
        <f t="shared" si="4"/>
        <v>6731834.9199999999</v>
      </c>
    </row>
    <row r="301" spans="1:6" x14ac:dyDescent="0.25">
      <c r="A301" s="573" t="s">
        <v>788</v>
      </c>
      <c r="B301" s="573" t="s">
        <v>1337</v>
      </c>
      <c r="D301" s="578"/>
      <c r="E301" s="579">
        <v>9189491.3599999994</v>
      </c>
      <c r="F301" s="579">
        <f t="shared" si="4"/>
        <v>9189491.3599999994</v>
      </c>
    </row>
    <row r="302" spans="1:6" x14ac:dyDescent="0.25">
      <c r="A302" s="573" t="s">
        <v>1169</v>
      </c>
      <c r="B302" s="573" t="s">
        <v>1338</v>
      </c>
      <c r="D302" s="578"/>
      <c r="E302" s="579">
        <v>182960.9</v>
      </c>
      <c r="F302" s="579">
        <f t="shared" si="4"/>
        <v>182960.9</v>
      </c>
    </row>
    <row r="303" spans="1:6" x14ac:dyDescent="0.25">
      <c r="A303" s="573" t="s">
        <v>792</v>
      </c>
      <c r="B303" s="573" t="s">
        <v>1115</v>
      </c>
      <c r="C303" s="576">
        <v>4302.0200000000004</v>
      </c>
      <c r="D303" s="579">
        <v>5276.21</v>
      </c>
      <c r="E303" s="579">
        <v>863717.01</v>
      </c>
      <c r="F303" s="579">
        <f t="shared" si="4"/>
        <v>868993.22</v>
      </c>
    </row>
    <row r="304" spans="1:6" x14ac:dyDescent="0.25">
      <c r="A304" s="573" t="s">
        <v>794</v>
      </c>
      <c r="B304" s="573" t="s">
        <v>1116</v>
      </c>
      <c r="C304" s="576">
        <v>40712.43</v>
      </c>
      <c r="D304" s="579">
        <v>442097.22</v>
      </c>
      <c r="E304" s="579">
        <v>8378336.3700000001</v>
      </c>
      <c r="F304" s="579">
        <f t="shared" si="4"/>
        <v>8820433.5899999999</v>
      </c>
    </row>
    <row r="305" spans="1:6" x14ac:dyDescent="0.25">
      <c r="A305" s="573" t="s">
        <v>796</v>
      </c>
      <c r="B305" s="573" t="s">
        <v>1117</v>
      </c>
      <c r="D305" s="578"/>
      <c r="E305" s="579">
        <v>1960639.99</v>
      </c>
      <c r="F305" s="579">
        <f t="shared" si="4"/>
        <v>1960639.99</v>
      </c>
    </row>
    <row r="306" spans="1:6" x14ac:dyDescent="0.25">
      <c r="A306" s="573" t="s">
        <v>247</v>
      </c>
      <c r="B306" s="573" t="s">
        <v>1339</v>
      </c>
      <c r="D306" s="578"/>
      <c r="E306" s="579">
        <v>434751.85</v>
      </c>
      <c r="F306" s="579">
        <f t="shared" si="4"/>
        <v>434751.85</v>
      </c>
    </row>
    <row r="307" spans="1:6" x14ac:dyDescent="0.25">
      <c r="A307" s="573" t="s">
        <v>798</v>
      </c>
      <c r="B307" s="573" t="s">
        <v>1118</v>
      </c>
      <c r="D307" s="579">
        <v>59465.85</v>
      </c>
      <c r="E307" s="579">
        <v>400275.71</v>
      </c>
      <c r="F307" s="579">
        <f t="shared" si="4"/>
        <v>459741.56</v>
      </c>
    </row>
    <row r="308" spans="1:6" x14ac:dyDescent="0.25">
      <c r="A308" s="573" t="s">
        <v>800</v>
      </c>
      <c r="B308" s="573" t="s">
        <v>1119</v>
      </c>
      <c r="D308" s="578"/>
      <c r="E308" s="579">
        <v>808346.81</v>
      </c>
      <c r="F308" s="579">
        <f t="shared" si="4"/>
        <v>808346.81</v>
      </c>
    </row>
    <row r="309" spans="1:6" x14ac:dyDescent="0.25">
      <c r="A309" s="573" t="s">
        <v>802</v>
      </c>
      <c r="B309" s="573" t="s">
        <v>1149</v>
      </c>
      <c r="D309" s="579">
        <v>55511.74</v>
      </c>
      <c r="E309" s="579">
        <v>207210.51</v>
      </c>
      <c r="F309" s="579">
        <f t="shared" si="4"/>
        <v>262722.25</v>
      </c>
    </row>
    <row r="310" spans="1:6" x14ac:dyDescent="0.25">
      <c r="A310" s="573" t="s">
        <v>804</v>
      </c>
      <c r="B310" s="573" t="s">
        <v>1120</v>
      </c>
      <c r="C310" s="576">
        <v>7161.35</v>
      </c>
      <c r="D310" s="578"/>
      <c r="E310" s="579">
        <v>1754895.73</v>
      </c>
      <c r="F310" s="579">
        <f t="shared" si="4"/>
        <v>1754895.73</v>
      </c>
    </row>
    <row r="311" spans="1:6" x14ac:dyDescent="0.25">
      <c r="A311" s="573" t="s">
        <v>806</v>
      </c>
      <c r="B311" s="573" t="s">
        <v>1121</v>
      </c>
      <c r="D311" s="578"/>
      <c r="E311" s="579">
        <v>264456.58</v>
      </c>
      <c r="F311" s="579">
        <f t="shared" si="4"/>
        <v>264456.58</v>
      </c>
    </row>
    <row r="312" spans="1:6" x14ac:dyDescent="0.25">
      <c r="A312" s="573" t="s">
        <v>808</v>
      </c>
      <c r="B312" s="573" t="s">
        <v>1122</v>
      </c>
      <c r="D312" s="578"/>
      <c r="E312" s="579">
        <v>191459.61</v>
      </c>
      <c r="F312" s="579">
        <f t="shared" si="4"/>
        <v>191459.61</v>
      </c>
    </row>
    <row r="313" spans="1:6" x14ac:dyDescent="0.25">
      <c r="A313" s="573" t="s">
        <v>810</v>
      </c>
      <c r="B313" s="573" t="s">
        <v>1123</v>
      </c>
      <c r="C313" s="576">
        <v>11927.09</v>
      </c>
      <c r="D313" s="579">
        <v>289802.27</v>
      </c>
      <c r="E313" s="579">
        <v>5573461</v>
      </c>
      <c r="F313" s="579">
        <f t="shared" si="4"/>
        <v>5863263.2699999996</v>
      </c>
    </row>
    <row r="314" spans="1:6" x14ac:dyDescent="0.25">
      <c r="A314" s="573" t="s">
        <v>812</v>
      </c>
      <c r="B314" s="573" t="s">
        <v>1124</v>
      </c>
      <c r="C314" s="576">
        <v>204195.48</v>
      </c>
      <c r="D314" s="579">
        <v>5222419.3</v>
      </c>
      <c r="E314" s="579">
        <v>33015324.789999999</v>
      </c>
      <c r="F314" s="579">
        <f t="shared" si="4"/>
        <v>38237744.089999996</v>
      </c>
    </row>
    <row r="315" spans="1:6" x14ac:dyDescent="0.25">
      <c r="A315" s="573" t="s">
        <v>814</v>
      </c>
      <c r="B315" s="573" t="s">
        <v>1125</v>
      </c>
      <c r="D315" s="579">
        <v>1538316.24</v>
      </c>
      <c r="E315" s="579">
        <v>14230822.619999999</v>
      </c>
      <c r="F315" s="579">
        <f t="shared" si="4"/>
        <v>15769138.859999999</v>
      </c>
    </row>
    <row r="316" spans="1:6" ht="15.75" thickBot="1" x14ac:dyDescent="0.3">
      <c r="A316" s="583" t="s">
        <v>816</v>
      </c>
      <c r="B316" s="583" t="s">
        <v>1126</v>
      </c>
      <c r="C316" s="370"/>
      <c r="D316" s="584"/>
      <c r="E316" s="585">
        <v>1753449.67</v>
      </c>
      <c r="F316" s="585">
        <f t="shared" si="4"/>
        <v>1753449.67</v>
      </c>
    </row>
    <row r="317" spans="1:6" s="199" customFormat="1" ht="15.75" x14ac:dyDescent="0.25">
      <c r="A317" s="683" t="s">
        <v>1225</v>
      </c>
      <c r="B317" s="683"/>
      <c r="C317" s="586">
        <f>SUBTOTAL(9,C5:C316)</f>
        <v>23160792.68</v>
      </c>
      <c r="D317" s="586">
        <f t="shared" ref="D317:F317" si="5">SUBTOTAL(9,D5:D316)</f>
        <v>372304278.02000004</v>
      </c>
      <c r="E317" s="586">
        <f t="shared" si="5"/>
        <v>2411306371.0299988</v>
      </c>
      <c r="F317" s="586">
        <f t="shared" si="5"/>
        <v>2783610649.0499983</v>
      </c>
    </row>
  </sheetData>
  <autoFilter ref="A4:F316" xr:uid="{12535990-F001-4673-94CA-585AB30078BA}"/>
  <sortState xmlns:xlrd2="http://schemas.microsoft.com/office/spreadsheetml/2017/richdata2" ref="A5:F316">
    <sortCondition ref="B5:B316"/>
  </sortState>
  <mergeCells count="1">
    <mergeCell ref="A317:B31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filterMode="1">
    <tabColor rgb="FF00B050"/>
  </sheetPr>
  <dimension ref="A1:AM326"/>
  <sheetViews>
    <sheetView zoomScale="110" zoomScaleNormal="110" workbookViewId="0">
      <pane xSplit="4" ySplit="2" topLeftCell="AD238" activePane="bottomRight" state="frozen"/>
      <selection activeCell="BJ9" sqref="BJ9"/>
      <selection pane="topRight" activeCell="BJ9" sqref="BJ9"/>
      <selection pane="bottomLeft" activeCell="BJ9" sqref="BJ9"/>
      <selection pane="bottomRight" activeCell="BJ9" sqref="BJ9"/>
    </sheetView>
  </sheetViews>
  <sheetFormatPr defaultColWidth="9.140625" defaultRowHeight="12" x14ac:dyDescent="0.2"/>
  <cols>
    <col min="1" max="1" width="6.28515625" style="375" bestFit="1" customWidth="1"/>
    <col min="2" max="2" width="4" style="375" bestFit="1" customWidth="1"/>
    <col min="3" max="3" width="39.5703125" style="375" bestFit="1" customWidth="1"/>
    <col min="4" max="4" width="9" style="375" customWidth="1"/>
    <col min="5" max="5" width="10" style="376" hidden="1" customWidth="1"/>
    <col min="6" max="6" width="15.42578125" style="387" hidden="1" customWidth="1"/>
    <col min="7" max="8" width="16.28515625" style="387" hidden="1" customWidth="1"/>
    <col min="9" max="9" width="4" style="375" hidden="1" customWidth="1"/>
    <col min="10" max="10" width="10" style="375" hidden="1" customWidth="1"/>
    <col min="11" max="11" width="13" style="387" hidden="1" customWidth="1"/>
    <col min="12" max="13" width="14.42578125" style="387" hidden="1" customWidth="1"/>
    <col min="14" max="14" width="4.85546875" style="375" hidden="1" customWidth="1"/>
    <col min="15" max="15" width="10" style="452" hidden="1" customWidth="1"/>
    <col min="16" max="16" width="13" style="387" hidden="1" customWidth="1"/>
    <col min="17" max="18" width="14.42578125" style="387" hidden="1" customWidth="1"/>
    <col min="19" max="19" width="4.85546875" style="375" hidden="1" customWidth="1"/>
    <col min="20" max="20" width="10.7109375" style="375" hidden="1" customWidth="1"/>
    <col min="21" max="21" width="13.5703125" style="387" hidden="1" customWidth="1"/>
    <col min="22" max="23" width="14.42578125" style="387" hidden="1" customWidth="1"/>
    <col min="24" max="24" width="4.85546875" style="375" hidden="1" customWidth="1"/>
    <col min="25" max="25" width="11" style="375" hidden="1" customWidth="1"/>
    <col min="26" max="26" width="13.140625" style="387" hidden="1" customWidth="1"/>
    <col min="27" max="28" width="14.5703125" style="387" hidden="1" customWidth="1"/>
    <col min="29" max="29" width="3" style="375" hidden="1" customWidth="1"/>
    <col min="30" max="30" width="13" style="375" customWidth="1"/>
    <col min="31" max="31" width="18.7109375" style="387" customWidth="1"/>
    <col min="32" max="32" width="15.85546875" style="387" customWidth="1"/>
    <col min="33" max="33" width="16.42578125" style="387" customWidth="1"/>
    <col min="34" max="34" width="3.5703125" style="375" customWidth="1"/>
    <col min="35" max="35" width="12.5703125" style="375" customWidth="1"/>
    <col min="36" max="36" width="16" style="375" customWidth="1"/>
    <col min="37" max="37" width="14.28515625" style="375" customWidth="1"/>
    <col min="38" max="38" width="16.5703125" style="375" customWidth="1"/>
    <col min="39" max="39" width="4.42578125" style="375" customWidth="1"/>
    <col min="40" max="16384" width="9.140625" style="375"/>
  </cols>
  <sheetData>
    <row r="1" spans="1:39" s="465" customFormat="1" x14ac:dyDescent="0.2">
      <c r="A1" s="465">
        <v>1</v>
      </c>
      <c r="B1" s="465">
        <v>2</v>
      </c>
      <c r="C1" s="465">
        <v>3</v>
      </c>
      <c r="D1" s="465">
        <v>4</v>
      </c>
      <c r="E1" s="465">
        <v>5</v>
      </c>
      <c r="F1" s="466">
        <v>6</v>
      </c>
      <c r="G1" s="466">
        <v>7</v>
      </c>
      <c r="H1" s="466">
        <v>8</v>
      </c>
      <c r="I1" s="465">
        <v>9</v>
      </c>
      <c r="J1" s="465">
        <v>10</v>
      </c>
      <c r="K1" s="466">
        <v>11</v>
      </c>
      <c r="L1" s="466">
        <v>12</v>
      </c>
      <c r="M1" s="466">
        <v>13</v>
      </c>
      <c r="N1" s="465">
        <v>14</v>
      </c>
      <c r="O1" s="466">
        <v>15</v>
      </c>
      <c r="P1" s="466">
        <v>16</v>
      </c>
      <c r="Q1" s="466">
        <v>17</v>
      </c>
      <c r="R1" s="466">
        <v>18</v>
      </c>
      <c r="S1" s="465">
        <v>19</v>
      </c>
      <c r="T1" s="465">
        <v>20</v>
      </c>
      <c r="U1" s="466">
        <v>21</v>
      </c>
      <c r="V1" s="466">
        <v>22</v>
      </c>
      <c r="W1" s="466">
        <v>23</v>
      </c>
      <c r="X1" s="465">
        <v>24</v>
      </c>
      <c r="Y1" s="465">
        <v>25</v>
      </c>
      <c r="Z1" s="466">
        <v>26</v>
      </c>
      <c r="AA1" s="466">
        <v>27</v>
      </c>
      <c r="AB1" s="466">
        <v>28</v>
      </c>
      <c r="AC1" s="465">
        <v>29</v>
      </c>
      <c r="AD1" s="465">
        <v>30</v>
      </c>
      <c r="AE1" s="466">
        <v>31</v>
      </c>
      <c r="AF1" s="466">
        <v>32</v>
      </c>
      <c r="AG1" s="466">
        <v>33</v>
      </c>
      <c r="AH1" s="466">
        <v>34</v>
      </c>
      <c r="AI1" s="466">
        <v>35</v>
      </c>
      <c r="AJ1" s="466">
        <v>36</v>
      </c>
      <c r="AK1" s="466">
        <v>37</v>
      </c>
      <c r="AL1" s="466">
        <v>38</v>
      </c>
    </row>
    <row r="2" spans="1:39" s="381" customFormat="1" ht="36.75" thickBot="1" x14ac:dyDescent="0.25">
      <c r="A2" s="377" t="s">
        <v>185</v>
      </c>
      <c r="B2" s="377" t="s">
        <v>186</v>
      </c>
      <c r="C2" s="378" t="s">
        <v>187</v>
      </c>
      <c r="D2" s="377" t="s">
        <v>819</v>
      </c>
      <c r="E2" s="456" t="s">
        <v>820</v>
      </c>
      <c r="F2" s="457" t="s">
        <v>821</v>
      </c>
      <c r="G2" s="457" t="s">
        <v>1132</v>
      </c>
      <c r="H2" s="457" t="s">
        <v>822</v>
      </c>
      <c r="I2" s="379"/>
      <c r="J2" s="458" t="s">
        <v>823</v>
      </c>
      <c r="K2" s="459" t="s">
        <v>824</v>
      </c>
      <c r="L2" s="459" t="s">
        <v>1128</v>
      </c>
      <c r="M2" s="459" t="s">
        <v>825</v>
      </c>
      <c r="N2" s="379"/>
      <c r="O2" s="453" t="s">
        <v>826</v>
      </c>
      <c r="P2" s="388" t="s">
        <v>827</v>
      </c>
      <c r="Q2" s="388" t="s">
        <v>1129</v>
      </c>
      <c r="R2" s="388" t="s">
        <v>828</v>
      </c>
      <c r="S2" s="379"/>
      <c r="T2" s="380" t="s">
        <v>1130</v>
      </c>
      <c r="U2" s="388" t="s">
        <v>829</v>
      </c>
      <c r="V2" s="388" t="s">
        <v>1131</v>
      </c>
      <c r="W2" s="388" t="s">
        <v>830</v>
      </c>
      <c r="X2" s="379"/>
      <c r="Y2" s="380" t="s">
        <v>1286</v>
      </c>
      <c r="Z2" s="388" t="s">
        <v>1287</v>
      </c>
      <c r="AA2" s="388" t="s">
        <v>1288</v>
      </c>
      <c r="AB2" s="388" t="s">
        <v>1289</v>
      </c>
      <c r="AC2" s="379"/>
      <c r="AD2" s="380" t="s">
        <v>1349</v>
      </c>
      <c r="AE2" s="388" t="s">
        <v>1350</v>
      </c>
      <c r="AF2" s="388" t="s">
        <v>1448</v>
      </c>
      <c r="AG2" s="388" t="s">
        <v>1351</v>
      </c>
      <c r="AH2" s="555"/>
      <c r="AI2" s="380" t="s">
        <v>1449</v>
      </c>
      <c r="AJ2" s="388" t="s">
        <v>1450</v>
      </c>
      <c r="AK2" s="388" t="s">
        <v>1451</v>
      </c>
      <c r="AL2" s="388" t="s">
        <v>1452</v>
      </c>
      <c r="AM2" s="555"/>
    </row>
    <row r="3" spans="1:39" s="393" customFormat="1" hidden="1" x14ac:dyDescent="0.2">
      <c r="A3" s="390"/>
      <c r="B3" s="390"/>
      <c r="C3" s="391" t="s">
        <v>1260</v>
      </c>
      <c r="D3" s="390"/>
      <c r="E3" s="460"/>
      <c r="F3" s="460">
        <f>SUM(F4:F324)</f>
        <v>234907183.67000002</v>
      </c>
      <c r="G3" s="460">
        <f>SUM(G4:G324)</f>
        <v>1373252780.2299998</v>
      </c>
      <c r="H3" s="460">
        <f>SUM(H4:H324)</f>
        <v>1608159963.9000006</v>
      </c>
      <c r="I3" s="392"/>
      <c r="J3" s="478">
        <f>SUM(J4:J324)</f>
        <v>148856</v>
      </c>
      <c r="K3" s="479">
        <f>SUM(K4:K324)</f>
        <v>225253156.06999996</v>
      </c>
      <c r="L3" s="479">
        <f>SUM(L4:L324)</f>
        <v>1662668670.8100021</v>
      </c>
      <c r="M3" s="479">
        <f>SUM(M4:M324)</f>
        <v>1887921826.8800013</v>
      </c>
      <c r="N3" s="392"/>
      <c r="O3" s="394"/>
      <c r="P3" s="389"/>
      <c r="Q3" s="389"/>
      <c r="R3" s="389"/>
      <c r="S3" s="392"/>
      <c r="T3" s="394">
        <f>SUBTOTAL(9,T4:T324)</f>
        <v>7329</v>
      </c>
      <c r="U3" s="389">
        <f>SUBTOTAL(9,U4:U324)</f>
        <v>78381326.969999999</v>
      </c>
      <c r="V3" s="389">
        <f>SUBTOTAL(9,V4:V324)</f>
        <v>94735663.989999995</v>
      </c>
      <c r="W3" s="389">
        <f>SUBTOTAL(9,W4:W324)</f>
        <v>173116990.95999998</v>
      </c>
      <c r="X3" s="382"/>
      <c r="Y3" s="394">
        <f>SUBTOTAL(9,Y4:Y324)</f>
        <v>7099</v>
      </c>
      <c r="Z3" s="389">
        <f>SUM(Z4:Z324)</f>
        <v>342204011.53999996</v>
      </c>
      <c r="AA3" s="389">
        <f>SUBTOTAL(9,AA4:AA324)</f>
        <v>95826689.569999993</v>
      </c>
      <c r="AB3" s="389">
        <f>SUBTOTAL(9,AB4:AB324)</f>
        <v>174040460.33999997</v>
      </c>
      <c r="AC3" s="392"/>
      <c r="AD3" s="394">
        <f>SUBTOTAL(9,AD4:AD325)</f>
        <v>7433</v>
      </c>
      <c r="AE3" s="389">
        <f>SUBTOTAL(9,AE4:AE324)</f>
        <v>41052490.939999998</v>
      </c>
      <c r="AF3" s="389">
        <f>SUBTOTAL(9,AF4:AF324)</f>
        <v>154193463.15000001</v>
      </c>
      <c r="AG3" s="389">
        <f>SUBTOTAL(9,AG4:AG324)</f>
        <v>195245954.09</v>
      </c>
      <c r="AH3" s="555"/>
      <c r="AI3" s="394">
        <f>SUBTOTAL(9,AI4:AI324)</f>
        <v>7957</v>
      </c>
      <c r="AJ3" s="389">
        <f>SUBTOTAL(9,AJ4:AJ324)</f>
        <v>91383948.079999998</v>
      </c>
      <c r="AK3" s="389">
        <f>SUBTOTAL(9,AK4:AK324)</f>
        <v>137667021.94999999</v>
      </c>
      <c r="AL3" s="389">
        <f>AJ3+AK3</f>
        <v>229050970.02999997</v>
      </c>
      <c r="AM3" s="556"/>
    </row>
    <row r="4" spans="1:39" ht="15" hidden="1" x14ac:dyDescent="0.25">
      <c r="A4" s="375" t="s">
        <v>188</v>
      </c>
      <c r="B4" s="375" t="s">
        <v>189</v>
      </c>
      <c r="C4" s="448" t="s">
        <v>190</v>
      </c>
      <c r="E4" s="461">
        <v>574</v>
      </c>
      <c r="F4" s="468">
        <f>IFERROR(VLOOKUP(A4,'2017-18'!$A$6:$F$315,6,0),0)</f>
        <v>0</v>
      </c>
      <c r="G4" s="468">
        <f>IFERROR(VLOOKUP(A4,'2017-18'!$A$6:$D$315,4,0),0)</f>
        <v>5350450.4400000004</v>
      </c>
      <c r="H4" s="468">
        <f>F4+G4</f>
        <v>5350450.4400000004</v>
      </c>
      <c r="I4" s="382"/>
      <c r="J4" s="462">
        <v>603</v>
      </c>
      <c r="K4" s="468">
        <f>IFERROR(VLOOKUP(A4,'2018-19'!$A$6:$F$318,6,0),0)</f>
        <v>0</v>
      </c>
      <c r="L4" s="468">
        <f>IFERROR(VLOOKUP(A4,'2018-19'!$A$6:$D$318,4,0),0)</f>
        <v>6261392.4100000001</v>
      </c>
      <c r="M4" s="468">
        <f>K4+L4</f>
        <v>6261392.4100000001</v>
      </c>
      <c r="N4" s="382"/>
      <c r="O4" s="452">
        <v>578</v>
      </c>
      <c r="P4" s="387">
        <v>0</v>
      </c>
      <c r="Q4" s="387">
        <v>6530149.4400000004</v>
      </c>
      <c r="R4" s="387">
        <v>6530149.4400000004</v>
      </c>
      <c r="S4" s="382"/>
      <c r="T4" s="375">
        <f>VLOOKUP(A4,'Nov 2020 cc'!$B$3:$D$317,3,0)</f>
        <v>539</v>
      </c>
      <c r="U4" s="387">
        <v>0</v>
      </c>
      <c r="V4" s="387">
        <v>5072277.54</v>
      </c>
      <c r="W4" s="387">
        <v>5072277.54</v>
      </c>
      <c r="X4" s="382"/>
      <c r="Y4" s="375">
        <v>542</v>
      </c>
      <c r="Z4" s="413">
        <f>VLOOKUP(A4,'2021-22'!$A$6:$D$317,4,0)</f>
        <v>78927.69</v>
      </c>
      <c r="AA4" s="413">
        <f>VLOOKUP(A4,'2021-22'!$A$6:$E$317,5,0)</f>
        <v>5351221.54</v>
      </c>
      <c r="AB4" s="387">
        <f t="shared" ref="AB4:AB35" si="0">Z4+AA4</f>
        <v>5430149.2300000004</v>
      </c>
      <c r="AC4" s="382"/>
      <c r="AD4" s="416">
        <v>590</v>
      </c>
      <c r="AE4" s="413">
        <v>0</v>
      </c>
      <c r="AF4" s="413">
        <v>6956223.5700000003</v>
      </c>
      <c r="AG4" s="387">
        <f t="shared" ref="AG4:AG35" si="1">AE4+AF4</f>
        <v>6956223.5700000003</v>
      </c>
      <c r="AH4" s="557"/>
      <c r="AI4" s="387">
        <f>IFERROR(VLOOKUP(A4,'23-24 child count'!$C$4:$Y$317,23,0),0)</f>
        <v>613</v>
      </c>
      <c r="AJ4" s="387">
        <f>VLOOKUP(A4,'23-24 state &amp; local'!$A$5:$D$316,4,0)</f>
        <v>293512.7</v>
      </c>
      <c r="AK4" s="387">
        <f>VLOOKUP(A4,'23-24 state &amp; local'!$A$5:$E$316,5,0)</f>
        <v>8392500.4800000004</v>
      </c>
      <c r="AL4" s="387">
        <f>AJ4+AK4</f>
        <v>8686013.1799999997</v>
      </c>
      <c r="AM4" s="382"/>
    </row>
    <row r="5" spans="1:39" ht="15" hidden="1" x14ac:dyDescent="0.25">
      <c r="A5" s="383" t="s">
        <v>191</v>
      </c>
      <c r="B5" s="375" t="s">
        <v>189</v>
      </c>
      <c r="C5" s="448" t="s">
        <v>192</v>
      </c>
      <c r="E5" s="461">
        <v>59</v>
      </c>
      <c r="F5" s="468">
        <f>IFERROR(VLOOKUP(A5,'2017-18'!$A$6:$F$315,6,0),0)</f>
        <v>0</v>
      </c>
      <c r="G5" s="468">
        <f>IFERROR(VLOOKUP(A5,'2017-18'!$A$6:$D$315,4,0),0)</f>
        <v>518879.31</v>
      </c>
      <c r="H5" s="468">
        <f t="shared" ref="H5:H68" si="2">F5+G5</f>
        <v>518879.31</v>
      </c>
      <c r="I5" s="382"/>
      <c r="J5" s="462">
        <v>65</v>
      </c>
      <c r="K5" s="468">
        <f>IFERROR(VLOOKUP(A5,'2018-19'!$A$6:$F$318,6,0),0)</f>
        <v>0</v>
      </c>
      <c r="L5" s="468">
        <f>IFERROR(VLOOKUP(A5,'2018-19'!$A$6:$D$318,4,0),0)</f>
        <v>796957.35</v>
      </c>
      <c r="M5" s="468">
        <f>K5+L5</f>
        <v>796957.35</v>
      </c>
      <c r="N5" s="382"/>
      <c r="O5" s="452">
        <v>62</v>
      </c>
      <c r="P5" s="387">
        <v>0</v>
      </c>
      <c r="Q5" s="387">
        <v>812780.45</v>
      </c>
      <c r="R5" s="387">
        <v>812780.45</v>
      </c>
      <c r="S5" s="382"/>
      <c r="T5" s="375">
        <f>VLOOKUP(A5,'Nov 2020 cc'!$B$3:$D$317,3,0)</f>
        <v>61</v>
      </c>
      <c r="U5" s="387">
        <v>0</v>
      </c>
      <c r="V5" s="387">
        <v>784195.14</v>
      </c>
      <c r="W5" s="387">
        <v>784195.14</v>
      </c>
      <c r="X5" s="382"/>
      <c r="Y5" s="375">
        <v>75</v>
      </c>
      <c r="Z5" s="413">
        <f>VLOOKUP(A5,'2021-22'!$A$6:$D$317,4,0)</f>
        <v>0</v>
      </c>
      <c r="AA5" s="413">
        <f>VLOOKUP(A5,'2021-22'!$A$6:$E$317,5,0)</f>
        <v>1013413.06</v>
      </c>
      <c r="AB5" s="387">
        <f t="shared" si="0"/>
        <v>1013413.06</v>
      </c>
      <c r="AC5" s="382"/>
      <c r="AD5" s="416">
        <v>80</v>
      </c>
      <c r="AE5" s="413">
        <v>0</v>
      </c>
      <c r="AF5" s="413">
        <v>946027.08</v>
      </c>
      <c r="AG5" s="387">
        <f t="shared" si="1"/>
        <v>946027.08</v>
      </c>
      <c r="AH5" s="557"/>
      <c r="AI5" s="387">
        <f>IFERROR(VLOOKUP(A5,'23-24 child count'!$C$4:$Y$317,23,0),0)</f>
        <v>73</v>
      </c>
      <c r="AJ5" s="387">
        <f>VLOOKUP(A5,'23-24 state &amp; local'!$A$5:$D$316,4,0)</f>
        <v>0</v>
      </c>
      <c r="AK5" s="387">
        <f>VLOOKUP(A5,'23-24 state &amp; local'!$A$5:$E$316,5,0)</f>
        <v>1009981.75</v>
      </c>
      <c r="AL5" s="387">
        <f t="shared" ref="AL5:AL68" si="3">AJ5+AK5</f>
        <v>1009981.75</v>
      </c>
      <c r="AM5" s="382"/>
    </row>
    <row r="6" spans="1:39" ht="15" hidden="1" x14ac:dyDescent="0.25">
      <c r="A6" s="383" t="s">
        <v>193</v>
      </c>
      <c r="B6" s="375" t="s">
        <v>194</v>
      </c>
      <c r="C6" s="448" t="s">
        <v>195</v>
      </c>
      <c r="E6" s="461">
        <v>11</v>
      </c>
      <c r="F6" s="468">
        <f>IFERROR(VLOOKUP(A6,'2017-18'!$A$6:$F$315,6,0),0)</f>
        <v>0</v>
      </c>
      <c r="G6" s="468">
        <f>IFERROR(VLOOKUP(A6,'2017-18'!$A$6:$D$315,4,0),0)</f>
        <v>105785.92</v>
      </c>
      <c r="H6" s="468">
        <f t="shared" si="2"/>
        <v>105785.92</v>
      </c>
      <c r="I6" s="382"/>
      <c r="J6" s="462">
        <v>14</v>
      </c>
      <c r="K6" s="468">
        <f>IFERROR(VLOOKUP(A6,'2018-19'!$A$6:$F$318,6,0),0)</f>
        <v>0</v>
      </c>
      <c r="L6" s="468">
        <f>IFERROR(VLOOKUP(A6,'2018-19'!$A$6:$D$318,4,0),0)</f>
        <v>154465.15</v>
      </c>
      <c r="M6" s="468">
        <f t="shared" ref="M6:M69" si="4">K6+L6</f>
        <v>154465.15</v>
      </c>
      <c r="N6" s="382"/>
      <c r="O6" s="452">
        <v>15</v>
      </c>
      <c r="P6" s="387">
        <v>0</v>
      </c>
      <c r="Q6" s="387">
        <v>116138.98</v>
      </c>
      <c r="R6" s="387">
        <v>116138.98</v>
      </c>
      <c r="S6" s="382"/>
      <c r="T6" s="375">
        <f>VLOOKUP(A6,'Nov 2020 cc'!$B$3:$D$317,3,0)</f>
        <v>12</v>
      </c>
      <c r="U6" s="387">
        <v>0</v>
      </c>
      <c r="V6" s="387">
        <v>86062.69</v>
      </c>
      <c r="W6" s="387">
        <v>86062.69</v>
      </c>
      <c r="X6" s="382"/>
      <c r="Y6" s="375">
        <v>16</v>
      </c>
      <c r="Z6" s="413">
        <f>VLOOKUP(A6,'2021-22'!$A$6:$D$317,4,0)</f>
        <v>0</v>
      </c>
      <c r="AA6" s="413">
        <f>VLOOKUP(A6,'2021-22'!$A$6:$E$317,5,0)</f>
        <v>139830.92000000001</v>
      </c>
      <c r="AB6" s="387">
        <f t="shared" si="0"/>
        <v>139830.92000000001</v>
      </c>
      <c r="AC6" s="382"/>
      <c r="AD6" s="416">
        <v>20</v>
      </c>
      <c r="AE6" s="413">
        <v>0</v>
      </c>
      <c r="AF6" s="413">
        <v>134485.62</v>
      </c>
      <c r="AG6" s="387">
        <f t="shared" si="1"/>
        <v>134485.62</v>
      </c>
      <c r="AH6" s="557"/>
      <c r="AI6" s="387">
        <f>IFERROR(VLOOKUP(A6,'23-24 child count'!$C$4:$Y$317,23,0),0)</f>
        <v>18</v>
      </c>
      <c r="AJ6" s="387">
        <f>VLOOKUP(A6,'23-24 state &amp; local'!$A$5:$D$316,4,0)</f>
        <v>0</v>
      </c>
      <c r="AK6" s="387">
        <f>VLOOKUP(A6,'23-24 state &amp; local'!$A$5:$E$316,5,0)</f>
        <v>152611.96</v>
      </c>
      <c r="AL6" s="387">
        <f t="shared" si="3"/>
        <v>152611.96</v>
      </c>
      <c r="AM6" s="382"/>
    </row>
    <row r="7" spans="1:39" ht="15" hidden="1" x14ac:dyDescent="0.25">
      <c r="A7" s="383" t="s">
        <v>196</v>
      </c>
      <c r="B7" s="375" t="s">
        <v>197</v>
      </c>
      <c r="C7" s="448" t="s">
        <v>198</v>
      </c>
      <c r="E7" s="461">
        <v>284</v>
      </c>
      <c r="F7" s="468">
        <f>IFERROR(VLOOKUP(A7,'2017-18'!$A$6:$F$315,6,0),0)</f>
        <v>0</v>
      </c>
      <c r="G7" s="468">
        <f>IFERROR(VLOOKUP(A7,'2017-18'!$A$6:$D$315,4,0),0)</f>
        <v>3319516.93</v>
      </c>
      <c r="H7" s="468">
        <f t="shared" si="2"/>
        <v>3319516.93</v>
      </c>
      <c r="I7" s="382"/>
      <c r="J7" s="462">
        <v>318</v>
      </c>
      <c r="K7" s="468">
        <f>IFERROR(VLOOKUP(A7,'2018-19'!$A$6:$F$318,6,0),0)</f>
        <v>0</v>
      </c>
      <c r="L7" s="468">
        <f>IFERROR(VLOOKUP(A7,'2018-19'!$A$6:$D$318,4,0),0)</f>
        <v>3875471.71</v>
      </c>
      <c r="M7" s="468">
        <f t="shared" si="4"/>
        <v>3875471.71</v>
      </c>
      <c r="N7" s="382"/>
      <c r="O7" s="452">
        <v>311</v>
      </c>
      <c r="P7" s="387">
        <v>0</v>
      </c>
      <c r="Q7" s="387">
        <v>4341661.9400000004</v>
      </c>
      <c r="R7" s="387">
        <v>4341661.9400000004</v>
      </c>
      <c r="S7" s="382"/>
      <c r="T7" s="375">
        <f>VLOOKUP(A7,'Nov 2020 cc'!$B$3:$D$317,3,0)</f>
        <v>330</v>
      </c>
      <c r="U7" s="387">
        <v>0</v>
      </c>
      <c r="V7" s="387">
        <v>4112687.36</v>
      </c>
      <c r="W7" s="387">
        <v>4112687.36</v>
      </c>
      <c r="X7" s="382"/>
      <c r="Y7" s="375">
        <v>319</v>
      </c>
      <c r="Z7" s="413">
        <f>VLOOKUP(A7,'2021-22'!$A$6:$D$317,4,0)</f>
        <v>0</v>
      </c>
      <c r="AA7" s="413">
        <f>VLOOKUP(A7,'2021-22'!$A$6:$E$317,5,0)</f>
        <v>4245954.6900000004</v>
      </c>
      <c r="AB7" s="387">
        <f t="shared" si="0"/>
        <v>4245954.6900000004</v>
      </c>
      <c r="AC7" s="382"/>
      <c r="AD7" s="416">
        <v>316</v>
      </c>
      <c r="AE7" s="413">
        <v>0</v>
      </c>
      <c r="AF7" s="413">
        <v>5105596.5</v>
      </c>
      <c r="AG7" s="387">
        <f t="shared" si="1"/>
        <v>5105596.5</v>
      </c>
      <c r="AH7" s="557"/>
      <c r="AI7" s="387">
        <f>IFERROR(VLOOKUP(A7,'23-24 child count'!$C$4:$Y$317,23,0),0)</f>
        <v>397</v>
      </c>
      <c r="AJ7" s="387">
        <f>VLOOKUP(A7,'23-24 state &amp; local'!$A$5:$D$316,4,0)</f>
        <v>0</v>
      </c>
      <c r="AK7" s="387">
        <f>VLOOKUP(A7,'23-24 state &amp; local'!$A$5:$E$316,5,0)</f>
        <v>5454829.9000000004</v>
      </c>
      <c r="AL7" s="387">
        <f t="shared" si="3"/>
        <v>5454829.9000000004</v>
      </c>
      <c r="AM7" s="382"/>
    </row>
    <row r="8" spans="1:39" ht="15" hidden="1" x14ac:dyDescent="0.25">
      <c r="A8" s="375" t="s">
        <v>199</v>
      </c>
      <c r="B8" s="375" t="s">
        <v>197</v>
      </c>
      <c r="C8" s="448" t="s">
        <v>200</v>
      </c>
      <c r="E8" s="461">
        <v>716</v>
      </c>
      <c r="F8" s="468">
        <f>IFERROR(VLOOKUP(A8,'2017-18'!$A$6:$F$315,6,0),0)</f>
        <v>25327.5</v>
      </c>
      <c r="G8" s="468">
        <f>IFERROR(VLOOKUP(A8,'2017-18'!$A$6:$D$315,4,0),0)</f>
        <v>8225884.3399999999</v>
      </c>
      <c r="H8" s="468">
        <f t="shared" si="2"/>
        <v>8251211.8399999999</v>
      </c>
      <c r="I8" s="382"/>
      <c r="J8" s="462">
        <v>754</v>
      </c>
      <c r="K8" s="468">
        <f>IFERROR(VLOOKUP(A8,'2018-19'!$A$6:$F$318,6,0),0)</f>
        <v>48892.05</v>
      </c>
      <c r="L8" s="468">
        <f>IFERROR(VLOOKUP(A8,'2018-19'!$A$6:$D$318,4,0),0)</f>
        <v>9580914.0899999999</v>
      </c>
      <c r="M8" s="468">
        <f t="shared" si="4"/>
        <v>9629806.1400000006</v>
      </c>
      <c r="N8" s="382"/>
      <c r="O8" s="452">
        <v>812</v>
      </c>
      <c r="P8" s="387">
        <v>49556.2</v>
      </c>
      <c r="Q8" s="387">
        <v>10870161.93</v>
      </c>
      <c r="R8" s="387">
        <v>10919718.129999999</v>
      </c>
      <c r="S8" s="382"/>
      <c r="T8" s="375">
        <f>VLOOKUP(A8,'Nov 2020 cc'!$B$3:$D$317,3,0)</f>
        <v>813</v>
      </c>
      <c r="U8" s="387">
        <v>101002</v>
      </c>
      <c r="V8" s="387">
        <v>12048523.16</v>
      </c>
      <c r="W8" s="387">
        <v>12149525.16</v>
      </c>
      <c r="X8" s="382"/>
      <c r="Y8" s="375">
        <v>821</v>
      </c>
      <c r="Z8" s="413">
        <f>VLOOKUP(A8,'2021-22'!$A$6:$D$317,4,0)</f>
        <v>142893.70000000001</v>
      </c>
      <c r="AA8" s="413">
        <f>VLOOKUP(A8,'2021-22'!$A$6:$E$317,5,0)</f>
        <v>12031856.42</v>
      </c>
      <c r="AB8" s="387">
        <f t="shared" si="0"/>
        <v>12174750.119999999</v>
      </c>
      <c r="AC8" s="382"/>
      <c r="AD8" s="416">
        <v>856</v>
      </c>
      <c r="AE8" s="413">
        <v>144110.23000000001</v>
      </c>
      <c r="AF8" s="413">
        <v>13468792.49</v>
      </c>
      <c r="AG8" s="387">
        <f t="shared" si="1"/>
        <v>13612902.720000001</v>
      </c>
      <c r="AH8" s="557"/>
      <c r="AI8" s="387">
        <f>IFERROR(VLOOKUP(A8,'23-24 child count'!$C$4:$Y$317,23,0),0)</f>
        <v>922</v>
      </c>
      <c r="AJ8" s="387">
        <f>VLOOKUP(A8,'23-24 state &amp; local'!$A$5:$D$316,4,0)</f>
        <v>147326.57</v>
      </c>
      <c r="AK8" s="387">
        <f>VLOOKUP(A8,'23-24 state &amp; local'!$A$5:$E$316,5,0)</f>
        <v>15193999.689999999</v>
      </c>
      <c r="AL8" s="387">
        <f t="shared" si="3"/>
        <v>15341326.26</v>
      </c>
      <c r="AM8" s="382"/>
    </row>
    <row r="9" spans="1:39" ht="15" hidden="1" x14ac:dyDescent="0.25">
      <c r="A9" s="375" t="s">
        <v>201</v>
      </c>
      <c r="B9" s="375" t="s">
        <v>202</v>
      </c>
      <c r="C9" s="448" t="s">
        <v>203</v>
      </c>
      <c r="E9" s="461">
        <v>77</v>
      </c>
      <c r="F9" s="468">
        <f>IFERROR(VLOOKUP(A9,'2017-18'!$A$6:$F$315,6,0),0)</f>
        <v>28119.71</v>
      </c>
      <c r="G9" s="468">
        <f>IFERROR(VLOOKUP(A9,'2017-18'!$A$6:$D$315,4,0),0)</f>
        <v>615155.69999999995</v>
      </c>
      <c r="H9" s="468">
        <f t="shared" si="2"/>
        <v>643275.40999999992</v>
      </c>
      <c r="I9" s="382"/>
      <c r="J9" s="462">
        <v>84</v>
      </c>
      <c r="K9" s="468">
        <f>IFERROR(VLOOKUP(A9,'2018-19'!$A$6:$F$318,6,0),0)</f>
        <v>34743.71</v>
      </c>
      <c r="L9" s="468">
        <f>IFERROR(VLOOKUP(A9,'2018-19'!$A$6:$D$318,4,0),0)</f>
        <v>707002.53</v>
      </c>
      <c r="M9" s="468">
        <f t="shared" si="4"/>
        <v>741746.24</v>
      </c>
      <c r="N9" s="382"/>
      <c r="O9" s="452">
        <v>91</v>
      </c>
      <c r="P9" s="387">
        <v>0</v>
      </c>
      <c r="Q9" s="387">
        <v>844513</v>
      </c>
      <c r="R9" s="387">
        <v>844513</v>
      </c>
      <c r="S9" s="382"/>
      <c r="T9" s="375">
        <f>VLOOKUP(A9,'Nov 2020 cc'!$B$3:$D$317,3,0)</f>
        <v>89</v>
      </c>
      <c r="U9" s="387">
        <v>4126.05</v>
      </c>
      <c r="V9" s="387">
        <v>871554.02</v>
      </c>
      <c r="W9" s="387">
        <v>875680.07000000007</v>
      </c>
      <c r="X9" s="382"/>
      <c r="Y9" s="375">
        <v>87</v>
      </c>
      <c r="Z9" s="413">
        <f>VLOOKUP(A9,'2021-22'!$A$6:$D$317,4,0)</f>
        <v>0</v>
      </c>
      <c r="AA9" s="413">
        <f>VLOOKUP(A9,'2021-22'!$A$6:$E$317,5,0)</f>
        <v>866117.05</v>
      </c>
      <c r="AB9" s="387">
        <f t="shared" si="0"/>
        <v>866117.05</v>
      </c>
      <c r="AC9" s="382"/>
      <c r="AD9" s="416">
        <v>96</v>
      </c>
      <c r="AE9" s="413">
        <v>0</v>
      </c>
      <c r="AF9" s="413">
        <v>890404.38</v>
      </c>
      <c r="AG9" s="387">
        <f t="shared" si="1"/>
        <v>890404.38</v>
      </c>
      <c r="AH9" s="557"/>
      <c r="AI9" s="387">
        <f>IFERROR(VLOOKUP(A9,'23-24 child count'!$C$4:$Y$317,23,0),0)</f>
        <v>92</v>
      </c>
      <c r="AJ9" s="387">
        <f>VLOOKUP(A9,'23-24 state &amp; local'!$A$5:$D$316,4,0)</f>
        <v>0</v>
      </c>
      <c r="AK9" s="387">
        <f>VLOOKUP(A9,'23-24 state &amp; local'!$A$5:$E$316,5,0)</f>
        <v>1042523.59</v>
      </c>
      <c r="AL9" s="387">
        <f t="shared" si="3"/>
        <v>1042523.59</v>
      </c>
      <c r="AM9" s="382"/>
    </row>
    <row r="10" spans="1:39" ht="15" hidden="1" x14ac:dyDescent="0.25">
      <c r="A10" s="375" t="s">
        <v>204</v>
      </c>
      <c r="B10" s="375" t="s">
        <v>205</v>
      </c>
      <c r="C10" s="448" t="s">
        <v>206</v>
      </c>
      <c r="E10" s="461">
        <v>1849</v>
      </c>
      <c r="F10" s="468">
        <f>IFERROR(VLOOKUP(A10,'2017-18'!$A$6:$F$315,6,0),0)</f>
        <v>0</v>
      </c>
      <c r="G10" s="468">
        <f>IFERROR(VLOOKUP(A10,'2017-18'!$A$6:$D$315,4,0),0)</f>
        <v>22987978.600000001</v>
      </c>
      <c r="H10" s="468">
        <f t="shared" si="2"/>
        <v>22987978.600000001</v>
      </c>
      <c r="I10" s="382"/>
      <c r="J10" s="462">
        <v>1899</v>
      </c>
      <c r="K10" s="468">
        <f>IFERROR(VLOOKUP(A10,'2018-19'!$A$6:$F$318,6,0),0)</f>
        <v>0</v>
      </c>
      <c r="L10" s="468">
        <f>IFERROR(VLOOKUP(A10,'2018-19'!$A$6:$D$318,4,0),0)</f>
        <v>26019987.859999999</v>
      </c>
      <c r="M10" s="468">
        <f t="shared" si="4"/>
        <v>26019987.859999999</v>
      </c>
      <c r="N10" s="382"/>
      <c r="O10" s="452">
        <v>1968</v>
      </c>
      <c r="P10" s="387">
        <v>3693946.46</v>
      </c>
      <c r="Q10" s="387">
        <v>25969878.420000002</v>
      </c>
      <c r="R10" s="387">
        <v>29663824.880000003</v>
      </c>
      <c r="S10" s="382"/>
      <c r="T10" s="375">
        <f>VLOOKUP(A10,'Nov 2020 cc'!$B$3:$D$317,3,0)</f>
        <v>1910</v>
      </c>
      <c r="U10" s="387">
        <v>6917692.9500000002</v>
      </c>
      <c r="V10" s="387">
        <v>25301423.670000002</v>
      </c>
      <c r="W10" s="387">
        <v>32219116.620000001</v>
      </c>
      <c r="X10" s="382"/>
      <c r="Y10" s="375">
        <v>1905</v>
      </c>
      <c r="Z10" s="413">
        <f>VLOOKUP(A10,'2021-22'!$A$6:$D$317,4,0)</f>
        <v>8245391</v>
      </c>
      <c r="AA10" s="413">
        <f>VLOOKUP(A10,'2021-22'!$A$6:$E$317,5,0)</f>
        <v>25028300.870000001</v>
      </c>
      <c r="AB10" s="387">
        <f t="shared" si="0"/>
        <v>33273691.870000001</v>
      </c>
      <c r="AC10" s="382"/>
      <c r="AD10" s="416">
        <v>2021</v>
      </c>
      <c r="AE10" s="413">
        <v>10018435.32</v>
      </c>
      <c r="AF10" s="413">
        <v>29123525.710000001</v>
      </c>
      <c r="AG10" s="387">
        <f t="shared" si="1"/>
        <v>39141961.030000001</v>
      </c>
      <c r="AH10" s="557"/>
      <c r="AI10" s="387">
        <f>IFERROR(VLOOKUP(A10,'23-24 child count'!$C$4:$Y$317,23,0),0)</f>
        <v>2118</v>
      </c>
      <c r="AJ10" s="387">
        <f>VLOOKUP(A10,'23-24 state &amp; local'!$A$5:$D$316,4,0)</f>
        <v>8589785.2599999998</v>
      </c>
      <c r="AK10" s="387">
        <f>VLOOKUP(A10,'23-24 state &amp; local'!$A$5:$E$316,5,0)</f>
        <v>33000156.57</v>
      </c>
      <c r="AL10" s="387">
        <f t="shared" si="3"/>
        <v>41589941.829999998</v>
      </c>
      <c r="AM10" s="382"/>
    </row>
    <row r="11" spans="1:39" ht="15" hidden="1" x14ac:dyDescent="0.25">
      <c r="A11" s="375" t="s">
        <v>207</v>
      </c>
      <c r="B11" s="375" t="s">
        <v>205</v>
      </c>
      <c r="C11" s="448" t="s">
        <v>1184</v>
      </c>
      <c r="E11" s="461">
        <v>453</v>
      </c>
      <c r="F11" s="468">
        <f>IFERROR(VLOOKUP(A11,'2017-18'!$A$6:$F$315,6,0),0)</f>
        <v>47315</v>
      </c>
      <c r="G11" s="468">
        <f>IFERROR(VLOOKUP(A11,'2017-18'!$A$6:$D$315,4,0),0)</f>
        <v>6105867.6900000004</v>
      </c>
      <c r="H11" s="468">
        <f t="shared" si="2"/>
        <v>6153182.6900000004</v>
      </c>
      <c r="I11" s="382"/>
      <c r="J11" s="462">
        <v>460</v>
      </c>
      <c r="K11" s="468">
        <f>IFERROR(VLOOKUP(A11,'2018-19'!$A$6:$F$318,6,0),0)</f>
        <v>188656.44</v>
      </c>
      <c r="L11" s="468">
        <f>IFERROR(VLOOKUP(A11,'2018-19'!$A$6:$D$318,4,0),0)</f>
        <v>7228244.1900000004</v>
      </c>
      <c r="M11" s="468">
        <f t="shared" si="4"/>
        <v>7416900.6300000008</v>
      </c>
      <c r="N11" s="382"/>
      <c r="O11" s="452">
        <v>454</v>
      </c>
      <c r="P11" s="387">
        <v>60420</v>
      </c>
      <c r="Q11" s="387">
        <v>8030133.2999999998</v>
      </c>
      <c r="R11" s="387">
        <v>8090553.2999999998</v>
      </c>
      <c r="S11" s="382"/>
      <c r="T11" s="375">
        <f>VLOOKUP(A11,'Nov 2020 cc'!$B$3:$D$317,3,0)</f>
        <v>438</v>
      </c>
      <c r="U11" s="387">
        <v>3640</v>
      </c>
      <c r="V11" s="387">
        <v>8094655.0700000003</v>
      </c>
      <c r="W11" s="387">
        <v>8098295.0700000003</v>
      </c>
      <c r="X11" s="382"/>
      <c r="Y11" s="375">
        <v>448</v>
      </c>
      <c r="Z11" s="413">
        <f>VLOOKUP(A11,'2021-22'!$A$6:$D$317,4,0)</f>
        <v>2171499.04</v>
      </c>
      <c r="AA11" s="413">
        <f>VLOOKUP(A11,'2021-22'!$A$6:$E$317,5,0)</f>
        <v>6332506.0300000003</v>
      </c>
      <c r="AB11" s="387">
        <f t="shared" si="0"/>
        <v>8504005.0700000003</v>
      </c>
      <c r="AC11" s="382"/>
      <c r="AD11" s="416">
        <v>458</v>
      </c>
      <c r="AE11" s="413">
        <v>2570993.3199999998</v>
      </c>
      <c r="AF11" s="413">
        <v>7175522.1100000003</v>
      </c>
      <c r="AG11" s="387">
        <f t="shared" si="1"/>
        <v>9746515.4299999997</v>
      </c>
      <c r="AH11" s="557"/>
      <c r="AI11" s="387">
        <f>IFERROR(VLOOKUP(A11,'23-24 child count'!$C$4:$Y$317,23,0),0)</f>
        <v>458</v>
      </c>
      <c r="AJ11" s="387">
        <f>VLOOKUP(A11,'23-24 state &amp; local'!$A$5:$D$316,4,0)</f>
        <v>1866884.09</v>
      </c>
      <c r="AK11" s="387">
        <f>VLOOKUP(A11,'23-24 state &amp; local'!$A$5:$E$316,5,0)</f>
        <v>8061292.29</v>
      </c>
      <c r="AL11" s="387">
        <f t="shared" si="3"/>
        <v>9928176.3800000008</v>
      </c>
      <c r="AM11" s="382"/>
    </row>
    <row r="12" spans="1:39" ht="15" hidden="1" x14ac:dyDescent="0.25">
      <c r="A12" s="375" t="s">
        <v>209</v>
      </c>
      <c r="B12" s="375" t="s">
        <v>210</v>
      </c>
      <c r="C12" s="448" t="s">
        <v>211</v>
      </c>
      <c r="E12" s="461">
        <v>1792</v>
      </c>
      <c r="F12" s="468">
        <f>IFERROR(VLOOKUP(A12,'2017-18'!$A$6:$F$315,6,0),0)</f>
        <v>1541487.04</v>
      </c>
      <c r="G12" s="468">
        <f>IFERROR(VLOOKUP(A12,'2017-18'!$A$6:$D$315,4,0),0)</f>
        <v>14842956.880000001</v>
      </c>
      <c r="H12" s="468">
        <f t="shared" si="2"/>
        <v>16384443.920000002</v>
      </c>
      <c r="I12" s="382"/>
      <c r="J12" s="462">
        <v>1841</v>
      </c>
      <c r="K12" s="468">
        <f>IFERROR(VLOOKUP(A12,'2018-19'!$A$6:$F$318,6,0),0)</f>
        <v>974884.13</v>
      </c>
      <c r="L12" s="468">
        <f>IFERROR(VLOOKUP(A12,'2018-19'!$A$6:$D$318,4,0),0)</f>
        <v>19316854.25</v>
      </c>
      <c r="M12" s="468">
        <f t="shared" si="4"/>
        <v>20291738.379999999</v>
      </c>
      <c r="N12" s="382"/>
      <c r="O12" s="452">
        <v>1894</v>
      </c>
      <c r="P12" s="387">
        <v>1610450.13</v>
      </c>
      <c r="Q12" s="387">
        <v>20744500.079999998</v>
      </c>
      <c r="R12" s="387">
        <v>22354950.209999997</v>
      </c>
      <c r="S12" s="382"/>
      <c r="T12" s="375">
        <f>VLOOKUP(A12,'Nov 2020 cc'!$B$3:$D$317,3,0)</f>
        <v>1737</v>
      </c>
      <c r="U12" s="387">
        <v>3221053.31</v>
      </c>
      <c r="V12" s="387">
        <v>18544954.789999999</v>
      </c>
      <c r="W12" s="387">
        <v>21766008.099999998</v>
      </c>
      <c r="X12" s="382"/>
      <c r="Y12" s="375">
        <v>1644</v>
      </c>
      <c r="Z12" s="413">
        <f>VLOOKUP(A12,'2021-22'!$A$6:$D$317,4,0)</f>
        <v>3692114.25</v>
      </c>
      <c r="AA12" s="413">
        <f>VLOOKUP(A12,'2021-22'!$A$6:$E$317,5,0)</f>
        <v>18595810.170000002</v>
      </c>
      <c r="AB12" s="387">
        <f t="shared" si="0"/>
        <v>22287924.420000002</v>
      </c>
      <c r="AC12" s="382"/>
      <c r="AD12" s="416">
        <v>1699</v>
      </c>
      <c r="AE12" s="413">
        <v>2810881.68</v>
      </c>
      <c r="AF12" s="413">
        <v>21368605.059999999</v>
      </c>
      <c r="AG12" s="387">
        <f t="shared" si="1"/>
        <v>24179486.739999998</v>
      </c>
      <c r="AH12" s="557"/>
      <c r="AI12" s="387">
        <f>IFERROR(VLOOKUP(A12,'23-24 child count'!$C$4:$Y$317,23,0),0)</f>
        <v>1796</v>
      </c>
      <c r="AJ12" s="387">
        <f>VLOOKUP(A12,'23-24 state &amp; local'!$A$5:$D$316,4,0)</f>
        <v>3081604.83</v>
      </c>
      <c r="AK12" s="387">
        <f>VLOOKUP(A12,'23-24 state &amp; local'!$A$5:$E$316,5,0)</f>
        <v>26094316.629999999</v>
      </c>
      <c r="AL12" s="387">
        <f t="shared" si="3"/>
        <v>29175921.460000001</v>
      </c>
      <c r="AM12" s="382"/>
    </row>
    <row r="13" spans="1:39" ht="15" hidden="1" x14ac:dyDescent="0.25">
      <c r="A13" s="383" t="s">
        <v>212</v>
      </c>
      <c r="B13" s="375" t="s">
        <v>205</v>
      </c>
      <c r="C13" s="448" t="s">
        <v>213</v>
      </c>
      <c r="E13" s="461">
        <v>1845</v>
      </c>
      <c r="F13" s="468">
        <f>IFERROR(VLOOKUP(A13,'2017-18'!$A$6:$F$315,6,0),0)</f>
        <v>346929.27</v>
      </c>
      <c r="G13" s="468">
        <f>IFERROR(VLOOKUP(A13,'2017-18'!$A$6:$D$315,4,0),0)</f>
        <v>32330661.239999998</v>
      </c>
      <c r="H13" s="468">
        <f t="shared" si="2"/>
        <v>32677590.509999998</v>
      </c>
      <c r="I13" s="382"/>
      <c r="J13" s="462">
        <v>1825</v>
      </c>
      <c r="K13" s="468">
        <f>IFERROR(VLOOKUP(A13,'2018-19'!$A$6:$F$318,6,0),0)</f>
        <v>362425.17</v>
      </c>
      <c r="L13" s="468">
        <f>IFERROR(VLOOKUP(A13,'2018-19'!$A$6:$D$318,4,0),0)</f>
        <v>38509722.259999998</v>
      </c>
      <c r="M13" s="468">
        <f t="shared" si="4"/>
        <v>38872147.43</v>
      </c>
      <c r="N13" s="382"/>
      <c r="O13" s="452">
        <v>1873</v>
      </c>
      <c r="P13" s="387">
        <v>327011.34999999998</v>
      </c>
      <c r="Q13" s="387">
        <v>44780469.340000004</v>
      </c>
      <c r="R13" s="387">
        <v>45107480.690000005</v>
      </c>
      <c r="S13" s="382"/>
      <c r="T13" s="375">
        <f>VLOOKUP(A13,'Nov 2020 cc'!$B$3:$D$317,3,0)</f>
        <v>1823</v>
      </c>
      <c r="U13" s="387">
        <v>1601067.92</v>
      </c>
      <c r="V13" s="387">
        <v>47382813.030000001</v>
      </c>
      <c r="W13" s="387">
        <v>48983880.950000003</v>
      </c>
      <c r="X13" s="382"/>
      <c r="Y13" s="375">
        <v>1713</v>
      </c>
      <c r="Z13" s="413">
        <f>VLOOKUP(A13,'2021-22'!$A$6:$D$317,4,0)</f>
        <v>1619516.22</v>
      </c>
      <c r="AA13" s="413">
        <f>VLOOKUP(A13,'2021-22'!$A$6:$E$317,5,0)</f>
        <v>49797225.649999999</v>
      </c>
      <c r="AB13" s="387">
        <f t="shared" si="0"/>
        <v>51416741.869999997</v>
      </c>
      <c r="AC13" s="382"/>
      <c r="AD13" s="416">
        <v>1820</v>
      </c>
      <c r="AE13" s="413">
        <v>13372138.779999999</v>
      </c>
      <c r="AF13" s="413">
        <v>47462919.5</v>
      </c>
      <c r="AG13" s="387">
        <f t="shared" si="1"/>
        <v>60835058.280000001</v>
      </c>
      <c r="AH13" s="557"/>
      <c r="AI13" s="387">
        <f>IFERROR(VLOOKUP(A13,'23-24 child count'!$C$4:$Y$317,23,0),0)</f>
        <v>2067</v>
      </c>
      <c r="AJ13" s="387">
        <f>VLOOKUP(A13,'23-24 state &amp; local'!$A$5:$D$316,4,0)</f>
        <v>13567401.720000001</v>
      </c>
      <c r="AK13" s="387">
        <f>VLOOKUP(A13,'23-24 state &amp; local'!$A$5:$E$316,5,0)</f>
        <v>56489344.159999996</v>
      </c>
      <c r="AL13" s="387">
        <f t="shared" si="3"/>
        <v>70056745.879999995</v>
      </c>
      <c r="AM13" s="382"/>
    </row>
    <row r="14" spans="1:39" ht="15" hidden="1" x14ac:dyDescent="0.25">
      <c r="A14" s="383" t="s">
        <v>214</v>
      </c>
      <c r="B14" s="375" t="s">
        <v>197</v>
      </c>
      <c r="C14" s="448" t="s">
        <v>215</v>
      </c>
      <c r="E14" s="461">
        <v>1572</v>
      </c>
      <c r="F14" s="468">
        <f>IFERROR(VLOOKUP(A14,'2017-18'!$A$6:$F$315,6,0),0)</f>
        <v>3375638.55</v>
      </c>
      <c r="G14" s="468">
        <f>IFERROR(VLOOKUP(A14,'2017-18'!$A$6:$D$315,4,0),0)</f>
        <v>13620931.5</v>
      </c>
      <c r="H14" s="468">
        <f t="shared" si="2"/>
        <v>16996570.050000001</v>
      </c>
      <c r="I14" s="382"/>
      <c r="J14" s="462">
        <v>1636</v>
      </c>
      <c r="K14" s="468">
        <f>IFERROR(VLOOKUP(A14,'2018-19'!$A$6:$F$318,6,0),0)</f>
        <v>2495033.5099999998</v>
      </c>
      <c r="L14" s="468">
        <f>IFERROR(VLOOKUP(A14,'2018-19'!$A$6:$D$318,4,0),0)</f>
        <v>18071840.18</v>
      </c>
      <c r="M14" s="468">
        <f t="shared" si="4"/>
        <v>20566873.689999998</v>
      </c>
      <c r="N14" s="382"/>
      <c r="O14" s="452">
        <v>1690</v>
      </c>
      <c r="P14" s="387">
        <v>3149706.69</v>
      </c>
      <c r="Q14" s="387">
        <v>19989071.969999999</v>
      </c>
      <c r="R14" s="387">
        <v>23138778.66</v>
      </c>
      <c r="S14" s="382"/>
      <c r="T14" s="375">
        <f>VLOOKUP(A14,'Nov 2020 cc'!$B$3:$D$317,3,0)</f>
        <v>1710</v>
      </c>
      <c r="U14" s="387">
        <v>6366014.1699999999</v>
      </c>
      <c r="V14" s="387">
        <v>19234497.870000001</v>
      </c>
      <c r="W14" s="387">
        <v>25600512.039999999</v>
      </c>
      <c r="X14" s="382"/>
      <c r="Y14" s="375">
        <v>1742</v>
      </c>
      <c r="Z14" s="413">
        <f>VLOOKUP(A14,'2021-22'!$A$6:$D$317,4,0)</f>
        <v>7623142.1200000001</v>
      </c>
      <c r="AA14" s="413">
        <f>VLOOKUP(A14,'2021-22'!$A$6:$E$317,5,0)</f>
        <v>20786447.940000001</v>
      </c>
      <c r="AB14" s="387">
        <f t="shared" si="0"/>
        <v>28409590.060000002</v>
      </c>
      <c r="AC14" s="382"/>
      <c r="AD14" s="416">
        <v>1784</v>
      </c>
      <c r="AE14" s="413">
        <v>8881264.5500000007</v>
      </c>
      <c r="AF14" s="413">
        <v>21062536.34</v>
      </c>
      <c r="AG14" s="387">
        <f t="shared" si="1"/>
        <v>29943800.890000001</v>
      </c>
      <c r="AH14" s="557"/>
      <c r="AI14" s="387">
        <f>IFERROR(VLOOKUP(A14,'23-24 child count'!$C$4:$Y$317,23,0),0)</f>
        <v>1884</v>
      </c>
      <c r="AJ14" s="387">
        <f>VLOOKUP(A14,'23-24 state &amp; local'!$A$5:$D$316,4,0)</f>
        <v>7531975.1100000003</v>
      </c>
      <c r="AK14" s="387">
        <f>VLOOKUP(A14,'23-24 state &amp; local'!$A$5:$E$316,5,0)</f>
        <v>24755008.510000002</v>
      </c>
      <c r="AL14" s="387">
        <f t="shared" si="3"/>
        <v>32286983.620000001</v>
      </c>
      <c r="AM14" s="382"/>
    </row>
    <row r="15" spans="1:39" ht="15" hidden="1" x14ac:dyDescent="0.25">
      <c r="A15" s="606" t="s">
        <v>216</v>
      </c>
      <c r="B15" s="606" t="s">
        <v>194</v>
      </c>
      <c r="C15" s="607" t="s">
        <v>217</v>
      </c>
      <c r="D15" s="606"/>
      <c r="E15" s="608">
        <v>1</v>
      </c>
      <c r="F15" s="609">
        <f>IFERROR(VLOOKUP(A15,'2017-18'!$A$6:$F$315,6,0),0)</f>
        <v>0</v>
      </c>
      <c r="G15" s="609">
        <f>IFERROR(VLOOKUP(A15,'2017-18'!$A$6:$D$315,4,0),0)</f>
        <v>4109.76</v>
      </c>
      <c r="H15" s="609">
        <f t="shared" si="2"/>
        <v>4109.76</v>
      </c>
      <c r="I15" s="610"/>
      <c r="J15" s="611">
        <v>1</v>
      </c>
      <c r="K15" s="609">
        <f>IFERROR(VLOOKUP(A15,'2018-19'!$A$6:$F$318,6,0),0)</f>
        <v>0</v>
      </c>
      <c r="L15" s="609">
        <f>IFERROR(VLOOKUP(A15,'2018-19'!$A$6:$D$318,4,0),0)</f>
        <v>7978.08</v>
      </c>
      <c r="M15" s="609">
        <f t="shared" si="4"/>
        <v>7978.08</v>
      </c>
      <c r="N15" s="610"/>
      <c r="O15" s="612">
        <v>1</v>
      </c>
      <c r="P15" s="613">
        <v>0</v>
      </c>
      <c r="Q15" s="613">
        <v>3374.5</v>
      </c>
      <c r="R15" s="613">
        <v>3374.5</v>
      </c>
      <c r="S15" s="610"/>
      <c r="T15" s="606">
        <f>VLOOKUP(A15,'Nov 2020 cc'!$B$3:$D$317,3,0)</f>
        <v>1</v>
      </c>
      <c r="U15" s="613">
        <v>0</v>
      </c>
      <c r="V15" s="613">
        <v>9299.5</v>
      </c>
      <c r="W15" s="613">
        <v>9299.5</v>
      </c>
      <c r="X15" s="610"/>
      <c r="Y15" s="606">
        <v>0</v>
      </c>
      <c r="Z15" s="614">
        <v>0</v>
      </c>
      <c r="AA15" s="614">
        <v>0</v>
      </c>
      <c r="AB15" s="613">
        <f t="shared" si="0"/>
        <v>0</v>
      </c>
      <c r="AC15" s="610"/>
      <c r="AD15" s="615">
        <v>0</v>
      </c>
      <c r="AE15" s="614">
        <v>0</v>
      </c>
      <c r="AF15" s="614">
        <v>0</v>
      </c>
      <c r="AG15" s="613">
        <f t="shared" si="1"/>
        <v>0</v>
      </c>
      <c r="AH15" s="616"/>
      <c r="AI15" s="613">
        <f>IFERROR(VLOOKUP(A15,'23-24 child count'!$C$4:$Y$317,23,0),0)</f>
        <v>0</v>
      </c>
      <c r="AJ15" s="613">
        <v>0</v>
      </c>
      <c r="AK15" s="613">
        <v>0</v>
      </c>
      <c r="AL15" s="387">
        <f t="shared" si="3"/>
        <v>0</v>
      </c>
      <c r="AM15" s="382"/>
    </row>
    <row r="16" spans="1:39" ht="15" hidden="1" x14ac:dyDescent="0.25">
      <c r="A16" s="375" t="s">
        <v>218</v>
      </c>
      <c r="B16" s="375" t="s">
        <v>205</v>
      </c>
      <c r="C16" s="448" t="s">
        <v>219</v>
      </c>
      <c r="E16" s="461">
        <v>2539</v>
      </c>
      <c r="F16" s="468">
        <f>IFERROR(VLOOKUP(A16,'2017-18'!$A$6:$F$315,6,0),0)</f>
        <v>4837391.76</v>
      </c>
      <c r="G16" s="468">
        <f>IFERROR(VLOOKUP(A16,'2017-18'!$A$6:$D$315,4,0),0)</f>
        <v>23147036.370000001</v>
      </c>
      <c r="H16" s="468">
        <f t="shared" si="2"/>
        <v>27984428.130000003</v>
      </c>
      <c r="I16" s="382"/>
      <c r="J16" s="462">
        <v>2643</v>
      </c>
      <c r="K16" s="468">
        <f>IFERROR(VLOOKUP(A16,'2018-19'!$A$6:$F$318,6,0),0)</f>
        <v>2052994.52</v>
      </c>
      <c r="L16" s="468">
        <f>IFERROR(VLOOKUP(A16,'2018-19'!$A$6:$D$318,4,0),0)</f>
        <v>29019813.02</v>
      </c>
      <c r="M16" s="468">
        <f t="shared" si="4"/>
        <v>31072807.539999999</v>
      </c>
      <c r="N16" s="382"/>
      <c r="O16" s="452">
        <v>2815</v>
      </c>
      <c r="P16" s="387">
        <v>787625.56</v>
      </c>
      <c r="Q16" s="387">
        <v>33251396.489999998</v>
      </c>
      <c r="R16" s="387">
        <v>34039022.049999997</v>
      </c>
      <c r="S16" s="382"/>
      <c r="T16" s="375">
        <f>VLOOKUP(A16,'Nov 2020 cc'!$B$3:$D$317,3,0)</f>
        <v>2696</v>
      </c>
      <c r="U16" s="387">
        <v>4111161.8</v>
      </c>
      <c r="V16" s="387">
        <v>31905481.559999999</v>
      </c>
      <c r="W16" s="387">
        <v>36016643.359999999</v>
      </c>
      <c r="X16" s="382"/>
      <c r="Y16" s="375">
        <v>2746</v>
      </c>
      <c r="Z16" s="413">
        <f>VLOOKUP(A16,'2021-22'!$A$6:$D$317,4,0)</f>
        <v>3888785.54</v>
      </c>
      <c r="AA16" s="413">
        <f>VLOOKUP(A16,'2021-22'!$A$6:$E$317,5,0)</f>
        <v>32131420.690000001</v>
      </c>
      <c r="AB16" s="387">
        <f t="shared" si="0"/>
        <v>36020206.230000004</v>
      </c>
      <c r="AC16" s="382"/>
      <c r="AD16" s="416">
        <v>2858</v>
      </c>
      <c r="AE16" s="413">
        <v>3007149.05</v>
      </c>
      <c r="AF16" s="413">
        <v>36598370.390000001</v>
      </c>
      <c r="AG16" s="387">
        <f t="shared" si="1"/>
        <v>39605519.439999998</v>
      </c>
      <c r="AH16" s="557"/>
      <c r="AI16" s="387">
        <f>IFERROR(VLOOKUP(A16,'23-24 child count'!$C$4:$Y$317,23,0),0)</f>
        <v>3030</v>
      </c>
      <c r="AJ16" s="387">
        <f>VLOOKUP(A16,'23-24 state &amp; local'!$A$5:$D$316,4,0)</f>
        <v>145643.92000000001</v>
      </c>
      <c r="AK16" s="387">
        <f>VLOOKUP(A16,'23-24 state &amp; local'!$A$5:$E$316,5,0)</f>
        <v>44956295.280000001</v>
      </c>
      <c r="AL16" s="387">
        <f t="shared" si="3"/>
        <v>45101939.200000003</v>
      </c>
      <c r="AM16" s="382"/>
    </row>
    <row r="17" spans="1:39" ht="15" hidden="1" x14ac:dyDescent="0.25">
      <c r="A17" s="375" t="s">
        <v>220</v>
      </c>
      <c r="B17" s="375" t="s">
        <v>221</v>
      </c>
      <c r="C17" s="448" t="s">
        <v>222</v>
      </c>
      <c r="D17" s="375" t="s">
        <v>819</v>
      </c>
      <c r="E17" s="461">
        <v>11</v>
      </c>
      <c r="F17" s="468">
        <f>IFERROR(VLOOKUP(A17,'2017-18'!$A$6:$F$315,6,0),0)</f>
        <v>0</v>
      </c>
      <c r="G17" s="468">
        <f>IFERROR(VLOOKUP(A17,'2017-18'!$A$6:$D$315,4,0),0)</f>
        <v>98297.4</v>
      </c>
      <c r="H17" s="468">
        <f t="shared" si="2"/>
        <v>98297.4</v>
      </c>
      <c r="I17" s="382"/>
      <c r="J17" s="462">
        <v>11</v>
      </c>
      <c r="K17" s="468">
        <f>IFERROR(VLOOKUP(A17,'2018-19'!$A$6:$F$318,6,0),0)</f>
        <v>0</v>
      </c>
      <c r="L17" s="468">
        <f>IFERROR(VLOOKUP(A17,'2018-19'!$A$6:$D$318,4,0),0)</f>
        <v>120191.93</v>
      </c>
      <c r="M17" s="468">
        <f t="shared" si="4"/>
        <v>120191.93</v>
      </c>
      <c r="N17" s="382"/>
      <c r="O17" s="452">
        <v>16</v>
      </c>
      <c r="P17" s="387">
        <v>0</v>
      </c>
      <c r="Q17" s="387">
        <v>124561.15</v>
      </c>
      <c r="R17" s="387">
        <v>124561.15</v>
      </c>
      <c r="S17" s="382"/>
      <c r="T17" s="375">
        <f>VLOOKUP(A17,'Nov 2020 cc'!$B$3:$D$317,3,0)</f>
        <v>18</v>
      </c>
      <c r="U17" s="387">
        <v>0</v>
      </c>
      <c r="V17" s="387">
        <v>178889.17</v>
      </c>
      <c r="W17" s="387">
        <v>178889.17</v>
      </c>
      <c r="X17" s="382"/>
      <c r="Y17" s="375">
        <v>21</v>
      </c>
      <c r="Z17" s="413">
        <f>VLOOKUP(A17,'2021-22'!$A$6:$D$317,4,0)</f>
        <v>0</v>
      </c>
      <c r="AA17" s="413">
        <f>VLOOKUP(A17,'2021-22'!$A$6:$E$317,5,0)</f>
        <v>175546.63</v>
      </c>
      <c r="AB17" s="387">
        <f t="shared" si="0"/>
        <v>175546.63</v>
      </c>
      <c r="AC17" s="382"/>
      <c r="AD17" s="416">
        <v>18</v>
      </c>
      <c r="AE17" s="413">
        <v>0</v>
      </c>
      <c r="AF17" s="413">
        <v>185611.17</v>
      </c>
      <c r="AG17" s="387">
        <f t="shared" si="1"/>
        <v>185611.17</v>
      </c>
      <c r="AH17" s="557"/>
      <c r="AI17" s="387">
        <f>IFERROR(VLOOKUP(A17,'23-24 child count'!$C$4:$Y$317,23,0),0)</f>
        <v>16</v>
      </c>
      <c r="AJ17" s="387">
        <f>VLOOKUP(A17,'23-24 state &amp; local'!$A$5:$D$316,4,0)</f>
        <v>0</v>
      </c>
      <c r="AK17" s="387">
        <f>VLOOKUP(A17,'23-24 state &amp; local'!$A$5:$E$316,5,0)</f>
        <v>180532.39</v>
      </c>
      <c r="AL17" s="387">
        <f t="shared" si="3"/>
        <v>180532.39</v>
      </c>
      <c r="AM17" s="382"/>
    </row>
    <row r="18" spans="1:39" ht="15" hidden="1" x14ac:dyDescent="0.25">
      <c r="A18" s="375" t="s">
        <v>223</v>
      </c>
      <c r="B18" s="375" t="s">
        <v>197</v>
      </c>
      <c r="C18" s="448" t="s">
        <v>224</v>
      </c>
      <c r="E18" s="461">
        <v>361</v>
      </c>
      <c r="F18" s="468">
        <f>IFERROR(VLOOKUP(A18,'2017-18'!$A$6:$F$315,6,0),0)</f>
        <v>1012</v>
      </c>
      <c r="G18" s="468">
        <f>IFERROR(VLOOKUP(A18,'2017-18'!$A$6:$D$315,4,0),0)</f>
        <v>3458894.19</v>
      </c>
      <c r="H18" s="468">
        <f t="shared" si="2"/>
        <v>3459906.19</v>
      </c>
      <c r="I18" s="382"/>
      <c r="J18" s="462">
        <v>371</v>
      </c>
      <c r="K18" s="468">
        <f>IFERROR(VLOOKUP(A18,'2018-19'!$A$6:$F$318,6,0),0)</f>
        <v>1013</v>
      </c>
      <c r="L18" s="468">
        <f>IFERROR(VLOOKUP(A18,'2018-19'!$A$6:$D$318,4,0),0)</f>
        <v>4441704.0199999996</v>
      </c>
      <c r="M18" s="468">
        <f t="shared" si="4"/>
        <v>4442717.0199999996</v>
      </c>
      <c r="N18" s="382"/>
      <c r="O18" s="452">
        <v>366</v>
      </c>
      <c r="P18" s="387">
        <v>22494.27</v>
      </c>
      <c r="Q18" s="387">
        <v>4578909.28</v>
      </c>
      <c r="R18" s="387">
        <v>4601403.55</v>
      </c>
      <c r="S18" s="382"/>
      <c r="T18" s="375">
        <f>VLOOKUP(A18,'Nov 2020 cc'!$B$3:$D$317,3,0)</f>
        <v>334</v>
      </c>
      <c r="U18" s="387">
        <v>0</v>
      </c>
      <c r="V18" s="387">
        <v>4548412.3899999997</v>
      </c>
      <c r="W18" s="387">
        <v>4548412.3899999997</v>
      </c>
      <c r="X18" s="382"/>
      <c r="Y18" s="375">
        <v>316</v>
      </c>
      <c r="Z18" s="413">
        <f>VLOOKUP(A18,'2021-22'!$A$6:$D$317,4,0)</f>
        <v>19093</v>
      </c>
      <c r="AA18" s="413">
        <f>VLOOKUP(A18,'2021-22'!$A$6:$E$317,5,0)</f>
        <v>5166212.97</v>
      </c>
      <c r="AB18" s="387">
        <f t="shared" si="0"/>
        <v>5185305.97</v>
      </c>
      <c r="AC18" s="382"/>
      <c r="AD18" s="416">
        <v>327</v>
      </c>
      <c r="AE18" s="413">
        <v>71451</v>
      </c>
      <c r="AF18" s="413">
        <v>5496814.1600000001</v>
      </c>
      <c r="AG18" s="387">
        <f t="shared" si="1"/>
        <v>5568265.1600000001</v>
      </c>
      <c r="AH18" s="557"/>
      <c r="AI18" s="387">
        <f>IFERROR(VLOOKUP(A18,'23-24 child count'!$C$4:$Y$317,23,0),0)</f>
        <v>342</v>
      </c>
      <c r="AJ18" s="387">
        <f>VLOOKUP(A18,'23-24 state &amp; local'!$A$5:$D$316,4,0)</f>
        <v>71452</v>
      </c>
      <c r="AK18" s="387">
        <f>VLOOKUP(A18,'23-24 state &amp; local'!$A$5:$E$316,5,0)</f>
        <v>5729666.7000000002</v>
      </c>
      <c r="AL18" s="387">
        <f t="shared" si="3"/>
        <v>5801118.7000000002</v>
      </c>
      <c r="AM18" s="382"/>
    </row>
    <row r="19" spans="1:39" ht="15" hidden="1" x14ac:dyDescent="0.25">
      <c r="A19" s="375" t="s">
        <v>225</v>
      </c>
      <c r="B19" s="375" t="s">
        <v>189</v>
      </c>
      <c r="C19" s="448" t="s">
        <v>226</v>
      </c>
      <c r="E19" s="461">
        <v>23</v>
      </c>
      <c r="F19" s="468">
        <f>IFERROR(VLOOKUP(A19,'2017-18'!$A$6:$F$315,6,0),0)</f>
        <v>0</v>
      </c>
      <c r="G19" s="468">
        <f>IFERROR(VLOOKUP(A19,'2017-18'!$A$6:$D$315,4,0),0)</f>
        <v>163213.73000000001</v>
      </c>
      <c r="H19" s="468">
        <f t="shared" si="2"/>
        <v>163213.73000000001</v>
      </c>
      <c r="I19" s="382"/>
      <c r="J19" s="462">
        <v>27</v>
      </c>
      <c r="K19" s="468">
        <f>IFERROR(VLOOKUP(A19,'2018-19'!$A$6:$F$318,6,0),0)</f>
        <v>22128.639999999999</v>
      </c>
      <c r="L19" s="468">
        <f>IFERROR(VLOOKUP(A19,'2018-19'!$A$6:$D$318,4,0),0)</f>
        <v>176560.33</v>
      </c>
      <c r="M19" s="468">
        <f t="shared" si="4"/>
        <v>198688.96999999997</v>
      </c>
      <c r="N19" s="382"/>
      <c r="O19" s="452">
        <v>20</v>
      </c>
      <c r="P19" s="387">
        <v>0</v>
      </c>
      <c r="Q19" s="387">
        <v>247785.02</v>
      </c>
      <c r="R19" s="387">
        <v>247785.02</v>
      </c>
      <c r="S19" s="382"/>
      <c r="T19" s="375">
        <f>VLOOKUP(A19,'Nov 2020 cc'!$B$3:$D$317,3,0)</f>
        <v>19</v>
      </c>
      <c r="U19" s="387">
        <v>0</v>
      </c>
      <c r="V19" s="387">
        <v>342618.34</v>
      </c>
      <c r="W19" s="387">
        <v>342618.34</v>
      </c>
      <c r="X19" s="382"/>
      <c r="Y19" s="375">
        <v>21</v>
      </c>
      <c r="Z19" s="413">
        <f>VLOOKUP(A19,'2021-22'!$A$6:$D$317,4,0)</f>
        <v>0</v>
      </c>
      <c r="AA19" s="413">
        <f>VLOOKUP(A19,'2021-22'!$A$6:$E$317,5,0)</f>
        <v>346238.34</v>
      </c>
      <c r="AB19" s="387">
        <f t="shared" si="0"/>
        <v>346238.34</v>
      </c>
      <c r="AC19" s="382"/>
      <c r="AD19" s="416">
        <v>21</v>
      </c>
      <c r="AE19" s="413">
        <v>0</v>
      </c>
      <c r="AF19" s="413">
        <v>259287.03</v>
      </c>
      <c r="AG19" s="387">
        <f t="shared" si="1"/>
        <v>259287.03</v>
      </c>
      <c r="AH19" s="557"/>
      <c r="AI19" s="387">
        <f>IFERROR(VLOOKUP(A19,'23-24 child count'!$C$4:$Y$317,23,0),0)</f>
        <v>43</v>
      </c>
      <c r="AJ19" s="387">
        <f>VLOOKUP(A19,'23-24 state &amp; local'!$A$5:$D$316,4,0)</f>
        <v>0</v>
      </c>
      <c r="AK19" s="387">
        <f>VLOOKUP(A19,'23-24 state &amp; local'!$A$5:$E$316,5,0)</f>
        <v>482935.36</v>
      </c>
      <c r="AL19" s="387">
        <f t="shared" si="3"/>
        <v>482935.36</v>
      </c>
      <c r="AM19" s="382"/>
    </row>
    <row r="20" spans="1:39" ht="15" hidden="1" x14ac:dyDescent="0.25">
      <c r="A20" s="375" t="s">
        <v>227</v>
      </c>
      <c r="B20" s="375" t="s">
        <v>228</v>
      </c>
      <c r="C20" s="448" t="s">
        <v>229</v>
      </c>
      <c r="E20" s="461">
        <v>777</v>
      </c>
      <c r="F20" s="468">
        <f>IFERROR(VLOOKUP(A20,'2017-18'!$A$6:$F$315,6,0),0)</f>
        <v>2422.23</v>
      </c>
      <c r="G20" s="468">
        <f>IFERROR(VLOOKUP(A20,'2017-18'!$A$6:$D$315,4,0),0)</f>
        <v>7450841.6299999999</v>
      </c>
      <c r="H20" s="468">
        <f t="shared" si="2"/>
        <v>7453263.8600000003</v>
      </c>
      <c r="I20" s="382"/>
      <c r="J20" s="462">
        <v>767</v>
      </c>
      <c r="K20" s="468">
        <f>IFERROR(VLOOKUP(A20,'2018-19'!$A$6:$F$318,6,0),0)</f>
        <v>0</v>
      </c>
      <c r="L20" s="468">
        <f>IFERROR(VLOOKUP(A20,'2018-19'!$A$6:$D$318,4,0),0)</f>
        <v>8535295.7699999996</v>
      </c>
      <c r="M20" s="468">
        <f t="shared" si="4"/>
        <v>8535295.7699999996</v>
      </c>
      <c r="N20" s="382"/>
      <c r="O20" s="452">
        <v>731</v>
      </c>
      <c r="P20" s="387">
        <v>0</v>
      </c>
      <c r="Q20" s="387">
        <v>9621710.0800000001</v>
      </c>
      <c r="R20" s="387">
        <v>9621710.0800000001</v>
      </c>
      <c r="S20" s="382"/>
      <c r="T20" s="375">
        <f>VLOOKUP(A20,'Nov 2020 cc'!$B$3:$D$317,3,0)</f>
        <v>727</v>
      </c>
      <c r="U20" s="387">
        <v>469.09</v>
      </c>
      <c r="V20" s="387">
        <v>9570000</v>
      </c>
      <c r="W20" s="387">
        <v>9570469.0899999999</v>
      </c>
      <c r="X20" s="382"/>
      <c r="Y20" s="375">
        <v>703</v>
      </c>
      <c r="Z20" s="413">
        <f>VLOOKUP(A20,'2021-22'!$A$6:$D$317,4,0)</f>
        <v>0</v>
      </c>
      <c r="AA20" s="413">
        <f>VLOOKUP(A20,'2021-22'!$A$6:$E$317,5,0)</f>
        <v>10066719.17</v>
      </c>
      <c r="AB20" s="387">
        <f t="shared" si="0"/>
        <v>10066719.17</v>
      </c>
      <c r="AC20" s="382"/>
      <c r="AD20" s="416">
        <v>731</v>
      </c>
      <c r="AE20" s="413">
        <v>0</v>
      </c>
      <c r="AF20" s="413">
        <v>11957569.27</v>
      </c>
      <c r="AG20" s="387">
        <f t="shared" si="1"/>
        <v>11957569.27</v>
      </c>
      <c r="AH20" s="557"/>
      <c r="AI20" s="387">
        <f>IFERROR(VLOOKUP(A20,'23-24 child count'!$C$4:$Y$317,23,0),0)</f>
        <v>801</v>
      </c>
      <c r="AJ20" s="387">
        <f>VLOOKUP(A20,'23-24 state &amp; local'!$A$5:$D$316,4,0)</f>
        <v>3586531.83</v>
      </c>
      <c r="AK20" s="387">
        <f>VLOOKUP(A20,'23-24 state &amp; local'!$A$5:$E$316,5,0)</f>
        <v>9381016.7400000002</v>
      </c>
      <c r="AL20" s="387">
        <f t="shared" si="3"/>
        <v>12967548.57</v>
      </c>
      <c r="AM20" s="382"/>
    </row>
    <row r="21" spans="1:39" ht="15" hidden="1" x14ac:dyDescent="0.25">
      <c r="A21" s="375" t="s">
        <v>230</v>
      </c>
      <c r="B21" s="375" t="s">
        <v>231</v>
      </c>
      <c r="C21" s="448" t="s">
        <v>232</v>
      </c>
      <c r="E21" s="461">
        <v>110</v>
      </c>
      <c r="F21" s="468">
        <f>IFERROR(VLOOKUP(A21,'2017-18'!$A$6:$F$315,6,0),0)</f>
        <v>11000</v>
      </c>
      <c r="G21" s="468">
        <f>IFERROR(VLOOKUP(A21,'2017-18'!$A$6:$D$315,4,0),0)</f>
        <v>1101847.8</v>
      </c>
      <c r="H21" s="468">
        <f t="shared" si="2"/>
        <v>1112847.8</v>
      </c>
      <c r="I21" s="382"/>
      <c r="J21" s="462">
        <v>101</v>
      </c>
      <c r="K21" s="468">
        <f>IFERROR(VLOOKUP(A21,'2018-19'!$A$6:$F$318,6,0),0)</f>
        <v>11010</v>
      </c>
      <c r="L21" s="468">
        <f>IFERROR(VLOOKUP(A21,'2018-19'!$A$6:$D$318,4,0),0)</f>
        <v>1201612.24</v>
      </c>
      <c r="M21" s="468">
        <f t="shared" si="4"/>
        <v>1212622.24</v>
      </c>
      <c r="N21" s="382"/>
      <c r="O21" s="452">
        <v>113</v>
      </c>
      <c r="P21" s="387">
        <v>287551.35999999999</v>
      </c>
      <c r="Q21" s="387">
        <v>1096571.8799999999</v>
      </c>
      <c r="R21" s="387">
        <v>1384123.2399999998</v>
      </c>
      <c r="S21" s="382"/>
      <c r="T21" s="375">
        <f>VLOOKUP(A21,'Nov 2020 cc'!$B$3:$D$317,3,0)</f>
        <v>103</v>
      </c>
      <c r="U21" s="387">
        <v>205549.8</v>
      </c>
      <c r="V21" s="387">
        <v>1066682.8600000001</v>
      </c>
      <c r="W21" s="387">
        <v>1272232.6600000001</v>
      </c>
      <c r="X21" s="382"/>
      <c r="Y21" s="375">
        <v>110</v>
      </c>
      <c r="Z21" s="413">
        <f>VLOOKUP(A21,'2021-22'!$A$6:$D$317,4,0)</f>
        <v>178040.32000000001</v>
      </c>
      <c r="AA21" s="413">
        <f>VLOOKUP(A21,'2021-22'!$A$6:$E$317,5,0)</f>
        <v>1104872.08</v>
      </c>
      <c r="AB21" s="387">
        <f t="shared" si="0"/>
        <v>1282912.4000000001</v>
      </c>
      <c r="AC21" s="382"/>
      <c r="AD21" s="416">
        <v>110</v>
      </c>
      <c r="AE21" s="413">
        <v>64716.95</v>
      </c>
      <c r="AF21" s="413">
        <v>1263844.06</v>
      </c>
      <c r="AG21" s="387">
        <f t="shared" si="1"/>
        <v>1328561.01</v>
      </c>
      <c r="AH21" s="557"/>
      <c r="AI21" s="387">
        <f>IFERROR(VLOOKUP(A21,'23-24 child count'!$C$4:$Y$317,23,0),0)</f>
        <v>117</v>
      </c>
      <c r="AJ21" s="387">
        <f>VLOOKUP(A21,'23-24 state &amp; local'!$A$5:$D$316,4,0)</f>
        <v>0</v>
      </c>
      <c r="AK21" s="387">
        <f>VLOOKUP(A21,'23-24 state &amp; local'!$A$5:$E$316,5,0)</f>
        <v>1372812.28</v>
      </c>
      <c r="AL21" s="387">
        <f t="shared" si="3"/>
        <v>1372812.28</v>
      </c>
      <c r="AM21" s="382"/>
    </row>
    <row r="22" spans="1:39" ht="15" hidden="1" x14ac:dyDescent="0.25">
      <c r="A22" s="383" t="s">
        <v>233</v>
      </c>
      <c r="B22" s="375" t="s">
        <v>231</v>
      </c>
      <c r="C22" s="448" t="s">
        <v>234</v>
      </c>
      <c r="E22" s="461">
        <v>93</v>
      </c>
      <c r="F22" s="468">
        <f>IFERROR(VLOOKUP(A22,'2017-18'!$A$6:$F$315,6,0),0)</f>
        <v>26639</v>
      </c>
      <c r="G22" s="468">
        <f>IFERROR(VLOOKUP(A22,'2017-18'!$A$6:$D$315,4,0),0)</f>
        <v>722214.15</v>
      </c>
      <c r="H22" s="468">
        <f t="shared" si="2"/>
        <v>748853.15</v>
      </c>
      <c r="I22" s="382"/>
      <c r="J22" s="462">
        <v>87</v>
      </c>
      <c r="K22" s="468">
        <f>IFERROR(VLOOKUP(A22,'2018-19'!$A$6:$F$318,6,0),0)</f>
        <v>45929.919999999998</v>
      </c>
      <c r="L22" s="468">
        <f>IFERROR(VLOOKUP(A22,'2018-19'!$A$6:$D$318,4,0),0)</f>
        <v>766977.46</v>
      </c>
      <c r="M22" s="468">
        <f t="shared" si="4"/>
        <v>812907.38</v>
      </c>
      <c r="N22" s="382"/>
      <c r="O22" s="452">
        <v>73</v>
      </c>
      <c r="P22" s="387">
        <v>133484.91</v>
      </c>
      <c r="Q22" s="387">
        <v>705654.09</v>
      </c>
      <c r="R22" s="387">
        <v>839139</v>
      </c>
      <c r="S22" s="382"/>
      <c r="T22" s="375">
        <f>VLOOKUP(A22,'Nov 2020 cc'!$B$3:$D$317,3,0)</f>
        <v>78</v>
      </c>
      <c r="U22" s="387">
        <v>39604.36</v>
      </c>
      <c r="V22" s="387">
        <v>804978.2</v>
      </c>
      <c r="W22" s="387">
        <v>844582.55999999994</v>
      </c>
      <c r="X22" s="382"/>
      <c r="Y22" s="375">
        <v>74</v>
      </c>
      <c r="Z22" s="413">
        <f>VLOOKUP(A22,'2021-22'!$A$6:$D$317,4,0)</f>
        <v>32607.79</v>
      </c>
      <c r="AA22" s="413">
        <f>VLOOKUP(A22,'2021-22'!$A$6:$E$317,5,0)</f>
        <v>757759.6</v>
      </c>
      <c r="AB22" s="387">
        <f t="shared" si="0"/>
        <v>790367.39</v>
      </c>
      <c r="AC22" s="382"/>
      <c r="AD22" s="416">
        <v>83</v>
      </c>
      <c r="AE22" s="413">
        <v>0</v>
      </c>
      <c r="AF22" s="413">
        <v>913726.32</v>
      </c>
      <c r="AG22" s="387">
        <f t="shared" si="1"/>
        <v>913726.32</v>
      </c>
      <c r="AH22" s="557"/>
      <c r="AI22" s="387">
        <f>IFERROR(VLOOKUP(A22,'23-24 child count'!$C$4:$Y$317,23,0),0)</f>
        <v>86</v>
      </c>
      <c r="AJ22" s="387">
        <f>VLOOKUP(A22,'23-24 state &amp; local'!$A$5:$D$316,4,0)</f>
        <v>60768.78</v>
      </c>
      <c r="AK22" s="387">
        <f>VLOOKUP(A22,'23-24 state &amp; local'!$A$5:$E$316,5,0)</f>
        <v>1024411.54</v>
      </c>
      <c r="AL22" s="387">
        <f t="shared" si="3"/>
        <v>1085180.32</v>
      </c>
      <c r="AM22" s="382"/>
    </row>
    <row r="23" spans="1:39" ht="15" hidden="1" x14ac:dyDescent="0.25">
      <c r="A23" s="383" t="s">
        <v>235</v>
      </c>
      <c r="B23" s="375" t="s">
        <v>228</v>
      </c>
      <c r="C23" s="448" t="s">
        <v>236</v>
      </c>
      <c r="E23" s="461">
        <v>12</v>
      </c>
      <c r="F23" s="468">
        <f>IFERROR(VLOOKUP(A23,'2017-18'!$A$6:$F$315,6,0),0)</f>
        <v>1.0900000000000001</v>
      </c>
      <c r="G23" s="468">
        <f>IFERROR(VLOOKUP(A23,'2017-18'!$A$6:$D$315,4,0),0)</f>
        <v>74967.240000000005</v>
      </c>
      <c r="H23" s="468">
        <f t="shared" si="2"/>
        <v>74968.33</v>
      </c>
      <c r="I23" s="382"/>
      <c r="J23" s="462">
        <v>16</v>
      </c>
      <c r="K23" s="468">
        <f>IFERROR(VLOOKUP(A23,'2018-19'!$A$6:$F$318,6,0),0)</f>
        <v>2</v>
      </c>
      <c r="L23" s="468">
        <f>IFERROR(VLOOKUP(A23,'2018-19'!$A$6:$D$318,4,0),0)</f>
        <v>87219.07</v>
      </c>
      <c r="M23" s="468">
        <f t="shared" si="4"/>
        <v>87221.07</v>
      </c>
      <c r="N23" s="382"/>
      <c r="O23" s="452">
        <v>15</v>
      </c>
      <c r="P23" s="387">
        <v>0</v>
      </c>
      <c r="Q23" s="387">
        <v>101463.83</v>
      </c>
      <c r="R23" s="387">
        <v>101463.83</v>
      </c>
      <c r="S23" s="382"/>
      <c r="T23" s="375">
        <f>VLOOKUP(A23,'Nov 2020 cc'!$B$3:$D$317,3,0)</f>
        <v>11</v>
      </c>
      <c r="U23" s="387">
        <v>2</v>
      </c>
      <c r="V23" s="387">
        <v>83799.98</v>
      </c>
      <c r="W23" s="387">
        <v>83801.98</v>
      </c>
      <c r="X23" s="382"/>
      <c r="Y23" s="375">
        <v>8</v>
      </c>
      <c r="Z23" s="413">
        <f>VLOOKUP(A23,'2021-22'!$A$6:$D$317,4,0)</f>
        <v>2</v>
      </c>
      <c r="AA23" s="413">
        <f>VLOOKUP(A23,'2021-22'!$A$6:$E$317,5,0)</f>
        <v>102375.48</v>
      </c>
      <c r="AB23" s="387">
        <f t="shared" si="0"/>
        <v>102377.48</v>
      </c>
      <c r="AC23" s="382"/>
      <c r="AD23" s="416">
        <v>8</v>
      </c>
      <c r="AE23" s="413">
        <v>2</v>
      </c>
      <c r="AF23" s="413">
        <v>112083.92</v>
      </c>
      <c r="AG23" s="387">
        <f t="shared" si="1"/>
        <v>112085.92</v>
      </c>
      <c r="AH23" s="557"/>
      <c r="AI23" s="387">
        <f>IFERROR(VLOOKUP(A23,'23-24 child count'!$C$4:$Y$317,23,0),0)</f>
        <v>10</v>
      </c>
      <c r="AJ23" s="387">
        <f>VLOOKUP(A23,'23-24 state &amp; local'!$A$5:$D$316,4,0)</f>
        <v>2</v>
      </c>
      <c r="AK23" s="387">
        <f>VLOOKUP(A23,'23-24 state &amp; local'!$A$5:$E$316,5,0)</f>
        <v>112112.46</v>
      </c>
      <c r="AL23" s="387">
        <f t="shared" si="3"/>
        <v>112114.46</v>
      </c>
      <c r="AM23" s="382"/>
    </row>
    <row r="24" spans="1:39" ht="15" hidden="1" x14ac:dyDescent="0.25">
      <c r="A24" s="375" t="s">
        <v>237</v>
      </c>
      <c r="B24" s="375" t="s">
        <v>197</v>
      </c>
      <c r="C24" s="448" t="s">
        <v>1185</v>
      </c>
      <c r="E24" s="461">
        <v>512</v>
      </c>
      <c r="F24" s="468">
        <f>IFERROR(VLOOKUP(A24,'2017-18'!$A$6:$F$315,6,0),0)</f>
        <v>23700</v>
      </c>
      <c r="G24" s="468">
        <f>IFERROR(VLOOKUP(A24,'2017-18'!$A$6:$D$315,4,0),0)</f>
        <v>5806503.4699999997</v>
      </c>
      <c r="H24" s="468">
        <f t="shared" si="2"/>
        <v>5830203.4699999997</v>
      </c>
      <c r="I24" s="382"/>
      <c r="J24" s="462">
        <v>519</v>
      </c>
      <c r="K24" s="468">
        <f>IFERROR(VLOOKUP(A24,'2018-19'!$A$6:$F$318,6,0),0)</f>
        <v>0</v>
      </c>
      <c r="L24" s="468">
        <f>IFERROR(VLOOKUP(A24,'2018-19'!$A$6:$D$318,4,0),0)</f>
        <v>6722872.1100000003</v>
      </c>
      <c r="M24" s="468">
        <f t="shared" si="4"/>
        <v>6722872.1100000003</v>
      </c>
      <c r="N24" s="382"/>
      <c r="O24" s="452">
        <v>525</v>
      </c>
      <c r="P24" s="387">
        <v>0</v>
      </c>
      <c r="Q24" s="387">
        <v>7214217.8600000003</v>
      </c>
      <c r="R24" s="387">
        <v>7214217.8600000003</v>
      </c>
      <c r="S24" s="382"/>
      <c r="T24" s="375">
        <f>VLOOKUP(A24,'Nov 2020 cc'!$B$3:$D$317,3,0)</f>
        <v>506</v>
      </c>
      <c r="U24" s="387">
        <v>0</v>
      </c>
      <c r="V24" s="387">
        <v>7514100.2699999996</v>
      </c>
      <c r="W24" s="387">
        <v>7514100.2699999996</v>
      </c>
      <c r="X24" s="382"/>
      <c r="Y24" s="375">
        <v>510</v>
      </c>
      <c r="Z24" s="413">
        <f>VLOOKUP(A24,'2021-22'!$A$6:$D$317,4,0)</f>
        <v>0</v>
      </c>
      <c r="AA24" s="413">
        <f>VLOOKUP(A24,'2021-22'!$A$6:$E$317,5,0)</f>
        <v>7736881.7400000002</v>
      </c>
      <c r="AB24" s="387">
        <f t="shared" si="0"/>
        <v>7736881.7400000002</v>
      </c>
      <c r="AC24" s="382"/>
      <c r="AD24" s="416">
        <v>553</v>
      </c>
      <c r="AE24" s="413">
        <v>0</v>
      </c>
      <c r="AF24" s="413">
        <v>9168983.5500000007</v>
      </c>
      <c r="AG24" s="387">
        <f t="shared" si="1"/>
        <v>9168983.5500000007</v>
      </c>
      <c r="AH24" s="557"/>
      <c r="AI24" s="387">
        <f>IFERROR(VLOOKUP(A24,'23-24 child count'!$C$4:$Y$317,23,0),0)</f>
        <v>566</v>
      </c>
      <c r="AJ24" s="387">
        <f>VLOOKUP(A24,'23-24 state &amp; local'!$A$5:$D$316,4,0)</f>
        <v>0</v>
      </c>
      <c r="AK24" s="387">
        <f>VLOOKUP(A24,'23-24 state &amp; local'!$A$5:$E$316,5,0)</f>
        <v>9207540.0600000005</v>
      </c>
      <c r="AL24" s="387">
        <f t="shared" si="3"/>
        <v>9207540.0600000005</v>
      </c>
      <c r="AM24" s="382"/>
    </row>
    <row r="25" spans="1:39" ht="15" hidden="1" x14ac:dyDescent="0.25">
      <c r="A25" s="383" t="s">
        <v>239</v>
      </c>
      <c r="B25" s="375" t="s">
        <v>210</v>
      </c>
      <c r="C25" s="448" t="s">
        <v>240</v>
      </c>
      <c r="E25" s="461">
        <v>791</v>
      </c>
      <c r="F25" s="468">
        <f>IFERROR(VLOOKUP(A25,'2017-18'!$A$6:$F$315,6,0),0)</f>
        <v>2909382.37</v>
      </c>
      <c r="G25" s="468">
        <f>IFERROR(VLOOKUP(A25,'2017-18'!$A$6:$D$315,4,0),0)</f>
        <v>6895699.9199999999</v>
      </c>
      <c r="H25" s="468">
        <f t="shared" si="2"/>
        <v>9805082.2899999991</v>
      </c>
      <c r="I25" s="382"/>
      <c r="J25" s="462">
        <v>775</v>
      </c>
      <c r="K25" s="468">
        <f>IFERROR(VLOOKUP(A25,'2018-19'!$A$6:$F$318,6,0),0)</f>
        <v>1737653.31</v>
      </c>
      <c r="L25" s="468">
        <f>IFERROR(VLOOKUP(A25,'2018-19'!$A$6:$D$318,4,0),0)</f>
        <v>8843265.6600000001</v>
      </c>
      <c r="M25" s="468">
        <f t="shared" si="4"/>
        <v>10580918.970000001</v>
      </c>
      <c r="N25" s="382"/>
      <c r="O25" s="452">
        <v>793</v>
      </c>
      <c r="P25" s="387">
        <v>1770263.67</v>
      </c>
      <c r="Q25" s="387">
        <v>10035413</v>
      </c>
      <c r="R25" s="387">
        <v>11805676.67</v>
      </c>
      <c r="S25" s="382"/>
      <c r="T25" s="375">
        <f>VLOOKUP(A25,'Nov 2020 cc'!$B$3:$D$317,3,0)</f>
        <v>783</v>
      </c>
      <c r="U25" s="387">
        <v>1776362.76</v>
      </c>
      <c r="V25" s="387">
        <v>9723837.3300000001</v>
      </c>
      <c r="W25" s="387">
        <v>11500200.09</v>
      </c>
      <c r="X25" s="382"/>
      <c r="Y25" s="375">
        <v>770</v>
      </c>
      <c r="Z25" s="413">
        <f>VLOOKUP(A25,'2021-22'!$A$6:$D$317,4,0)</f>
        <v>2169512.08</v>
      </c>
      <c r="AA25" s="413">
        <f>VLOOKUP(A25,'2021-22'!$A$6:$E$317,5,0)</f>
        <v>9898314.1500000004</v>
      </c>
      <c r="AB25" s="387">
        <f t="shared" si="0"/>
        <v>12067826.23</v>
      </c>
      <c r="AC25" s="382"/>
      <c r="AD25" s="416">
        <v>859</v>
      </c>
      <c r="AE25" s="413">
        <v>2139718.0699999998</v>
      </c>
      <c r="AF25" s="413">
        <v>11443327.470000001</v>
      </c>
      <c r="AG25" s="387">
        <f t="shared" si="1"/>
        <v>13583045.540000001</v>
      </c>
      <c r="AH25" s="557"/>
      <c r="AI25" s="387">
        <f>IFERROR(VLOOKUP(A25,'23-24 child count'!$C$4:$Y$317,23,0),0)</f>
        <v>907</v>
      </c>
      <c r="AJ25" s="387">
        <f>VLOOKUP(A25,'23-24 state &amp; local'!$A$5:$D$316,4,0)</f>
        <v>2715183.46</v>
      </c>
      <c r="AK25" s="387">
        <f>VLOOKUP(A25,'23-24 state &amp; local'!$A$5:$E$316,5,0)</f>
        <v>14150702.51</v>
      </c>
      <c r="AL25" s="387">
        <f t="shared" si="3"/>
        <v>16865885.969999999</v>
      </c>
      <c r="AM25" s="382"/>
    </row>
    <row r="26" spans="1:39" ht="15" hidden="1" x14ac:dyDescent="0.25">
      <c r="A26" s="383" t="s">
        <v>241</v>
      </c>
      <c r="B26" s="375" t="s">
        <v>228</v>
      </c>
      <c r="C26" s="448" t="s">
        <v>242</v>
      </c>
      <c r="E26" s="461">
        <v>63</v>
      </c>
      <c r="F26" s="468">
        <f>IFERROR(VLOOKUP(A26,'2017-18'!$A$6:$F$315,6,0),0)</f>
        <v>0</v>
      </c>
      <c r="G26" s="468">
        <f>IFERROR(VLOOKUP(A26,'2017-18'!$A$6:$D$315,4,0),0)</f>
        <v>848439.34</v>
      </c>
      <c r="H26" s="468">
        <f t="shared" si="2"/>
        <v>848439.34</v>
      </c>
      <c r="I26" s="382"/>
      <c r="J26" s="462">
        <v>67</v>
      </c>
      <c r="K26" s="468">
        <f>IFERROR(VLOOKUP(A26,'2018-19'!$A$6:$F$318,6,0),0)</f>
        <v>0</v>
      </c>
      <c r="L26" s="468">
        <f>IFERROR(VLOOKUP(A26,'2018-19'!$A$6:$D$318,4,0),0)</f>
        <v>1096533.2</v>
      </c>
      <c r="M26" s="468">
        <f t="shared" si="4"/>
        <v>1096533.2</v>
      </c>
      <c r="N26" s="382"/>
      <c r="O26" s="452">
        <v>79</v>
      </c>
      <c r="P26" s="387">
        <v>0</v>
      </c>
      <c r="Q26" s="387">
        <v>1314538.57</v>
      </c>
      <c r="R26" s="387">
        <v>1314538.57</v>
      </c>
      <c r="S26" s="382"/>
      <c r="T26" s="375">
        <f>VLOOKUP(A26,'Nov 2020 cc'!$B$3:$D$317,3,0)</f>
        <v>78</v>
      </c>
      <c r="U26" s="387">
        <v>0</v>
      </c>
      <c r="V26" s="387">
        <v>1322377.52</v>
      </c>
      <c r="W26" s="387">
        <v>1322377.52</v>
      </c>
      <c r="X26" s="382"/>
      <c r="Y26" s="375">
        <v>75</v>
      </c>
      <c r="Z26" s="413">
        <f>VLOOKUP(A26,'2021-22'!$A$6:$D$317,4,0)</f>
        <v>345228.24</v>
      </c>
      <c r="AA26" s="413">
        <f>VLOOKUP(A26,'2021-22'!$A$6:$E$317,5,0)</f>
        <v>862327.85</v>
      </c>
      <c r="AB26" s="387">
        <f t="shared" si="0"/>
        <v>1207556.0899999999</v>
      </c>
      <c r="AC26" s="382"/>
      <c r="AD26" s="416">
        <v>78</v>
      </c>
      <c r="AE26" s="413">
        <v>601500.4</v>
      </c>
      <c r="AF26" s="413">
        <v>826714.39</v>
      </c>
      <c r="AG26" s="387">
        <f t="shared" si="1"/>
        <v>1428214.79</v>
      </c>
      <c r="AH26" s="557"/>
      <c r="AI26" s="387">
        <f>IFERROR(VLOOKUP(A26,'23-24 child count'!$C$4:$Y$317,23,0),0)</f>
        <v>78</v>
      </c>
      <c r="AJ26" s="387">
        <f>VLOOKUP(A26,'23-24 state &amp; local'!$A$5:$D$316,4,0)</f>
        <v>687827.76</v>
      </c>
      <c r="AK26" s="387">
        <f>VLOOKUP(A26,'23-24 state &amp; local'!$A$5:$E$316,5,0)</f>
        <v>1062932.02</v>
      </c>
      <c r="AL26" s="387">
        <f t="shared" si="3"/>
        <v>1750759.78</v>
      </c>
      <c r="AM26" s="382"/>
    </row>
    <row r="27" spans="1:39" ht="15" hidden="1" x14ac:dyDescent="0.25">
      <c r="A27" s="375" t="s">
        <v>243</v>
      </c>
      <c r="B27" s="375" t="s">
        <v>205</v>
      </c>
      <c r="C27" s="448" t="s">
        <v>1186</v>
      </c>
      <c r="E27" s="461">
        <v>24</v>
      </c>
      <c r="F27" s="468">
        <f>IFERROR(VLOOKUP(A27,'2017-18'!$A$6:$F$315,6,0),0)</f>
        <v>0</v>
      </c>
      <c r="G27" s="468">
        <f>IFERROR(VLOOKUP(A27,'2017-18'!$A$6:$D$315,4,0),0)</f>
        <v>280021.03999999998</v>
      </c>
      <c r="H27" s="468">
        <f t="shared" si="2"/>
        <v>280021.03999999998</v>
      </c>
      <c r="I27" s="382"/>
      <c r="J27" s="462">
        <v>25</v>
      </c>
      <c r="K27" s="468">
        <f>IFERROR(VLOOKUP(A27,'2018-19'!$A$6:$F$318,6,0),0)</f>
        <v>0</v>
      </c>
      <c r="L27" s="468">
        <f>IFERROR(VLOOKUP(A27,'2018-19'!$A$6:$D$318,4,0),0)</f>
        <v>241538.08</v>
      </c>
      <c r="M27" s="468">
        <f t="shared" si="4"/>
        <v>241538.08</v>
      </c>
      <c r="N27" s="382"/>
      <c r="O27" s="452">
        <v>24</v>
      </c>
      <c r="P27" s="387">
        <v>0</v>
      </c>
      <c r="Q27" s="387">
        <v>313511.59999999998</v>
      </c>
      <c r="R27" s="387">
        <v>313511.59999999998</v>
      </c>
      <c r="S27" s="382"/>
      <c r="T27" s="375">
        <f>VLOOKUP(A27,'Nov 2020 cc'!$B$3:$D$317,3,0)</f>
        <v>29</v>
      </c>
      <c r="U27" s="387">
        <v>0</v>
      </c>
      <c r="V27" s="387">
        <v>266687.75</v>
      </c>
      <c r="W27" s="387">
        <v>266687.75</v>
      </c>
      <c r="X27" s="382"/>
      <c r="Y27" s="375">
        <v>27</v>
      </c>
      <c r="Z27" s="413">
        <f>VLOOKUP(A27,'2021-22'!$A$6:$D$317,4,0)</f>
        <v>0</v>
      </c>
      <c r="AA27" s="413">
        <f>VLOOKUP(A27,'2021-22'!$A$6:$E$317,5,0)</f>
        <v>226291.05</v>
      </c>
      <c r="AB27" s="387">
        <f t="shared" si="0"/>
        <v>226291.05</v>
      </c>
      <c r="AC27" s="382"/>
      <c r="AD27" s="416">
        <v>29</v>
      </c>
      <c r="AE27" s="413">
        <v>0</v>
      </c>
      <c r="AF27" s="413">
        <v>345480.24</v>
      </c>
      <c r="AG27" s="387">
        <f t="shared" si="1"/>
        <v>345480.24</v>
      </c>
      <c r="AH27" s="557"/>
      <c r="AI27" s="387">
        <f>IFERROR(VLOOKUP(A27,'23-24 child count'!$C$4:$Y$317,23,0),0)</f>
        <v>30</v>
      </c>
      <c r="AJ27" s="387">
        <f>VLOOKUP(A27,'23-24 state &amp; local'!$A$5:$D$316,4,0)</f>
        <v>0</v>
      </c>
      <c r="AK27" s="387">
        <f>VLOOKUP(A27,'23-24 state &amp; local'!$A$5:$E$316,5,0)</f>
        <v>360763.05</v>
      </c>
      <c r="AL27" s="387">
        <f t="shared" si="3"/>
        <v>360763.05</v>
      </c>
      <c r="AM27" s="382"/>
    </row>
    <row r="28" spans="1:39" ht="15" hidden="1" x14ac:dyDescent="0.25">
      <c r="A28" s="383" t="s">
        <v>245</v>
      </c>
      <c r="B28" s="375" t="s">
        <v>231</v>
      </c>
      <c r="C28" s="448" t="s">
        <v>246</v>
      </c>
      <c r="E28" s="461">
        <v>136</v>
      </c>
      <c r="F28" s="468">
        <f>IFERROR(VLOOKUP(A28,'2017-18'!$A$6:$F$315,6,0),0)</f>
        <v>0</v>
      </c>
      <c r="G28" s="468">
        <f>IFERROR(VLOOKUP(A28,'2017-18'!$A$6:$D$315,4,0),0)</f>
        <v>1347329.32</v>
      </c>
      <c r="H28" s="468">
        <f t="shared" si="2"/>
        <v>1347329.32</v>
      </c>
      <c r="I28" s="382"/>
      <c r="J28" s="462">
        <v>134</v>
      </c>
      <c r="K28" s="468">
        <f>IFERROR(VLOOKUP(A28,'2018-19'!$A$6:$F$318,6,0),0)</f>
        <v>0</v>
      </c>
      <c r="L28" s="468">
        <f>IFERROR(VLOOKUP(A28,'2018-19'!$A$6:$D$318,4,0),0)</f>
        <v>1775796.74</v>
      </c>
      <c r="M28" s="468">
        <f t="shared" si="4"/>
        <v>1775796.74</v>
      </c>
      <c r="N28" s="382"/>
      <c r="O28" s="452">
        <v>144</v>
      </c>
      <c r="P28" s="387">
        <v>0</v>
      </c>
      <c r="Q28" s="387">
        <v>1972042.95</v>
      </c>
      <c r="R28" s="387">
        <v>1972042.95</v>
      </c>
      <c r="S28" s="382"/>
      <c r="T28" s="375">
        <f>VLOOKUP(A28,'Nov 2020 cc'!$B$3:$D$317,3,0)</f>
        <v>118</v>
      </c>
      <c r="U28" s="387">
        <v>23027.02</v>
      </c>
      <c r="V28" s="387">
        <v>1565835.18</v>
      </c>
      <c r="W28" s="387">
        <v>1588862.2</v>
      </c>
      <c r="X28" s="382"/>
      <c r="Y28" s="375">
        <v>110</v>
      </c>
      <c r="Z28" s="413">
        <f>VLOOKUP(A28,'2021-22'!$A$6:$D$317,4,0)</f>
        <v>50000</v>
      </c>
      <c r="AA28" s="413">
        <f>VLOOKUP(A28,'2021-22'!$A$6:$E$317,5,0)</f>
        <v>1700582.33</v>
      </c>
      <c r="AB28" s="387">
        <f t="shared" si="0"/>
        <v>1750582.33</v>
      </c>
      <c r="AC28" s="382"/>
      <c r="AD28" s="416">
        <v>124</v>
      </c>
      <c r="AE28" s="413">
        <v>75000</v>
      </c>
      <c r="AF28" s="413">
        <v>1873841.24</v>
      </c>
      <c r="AG28" s="387">
        <f t="shared" si="1"/>
        <v>1948841.24</v>
      </c>
      <c r="AH28" s="557"/>
      <c r="AI28" s="387">
        <f>IFERROR(VLOOKUP(A28,'23-24 child count'!$C$4:$Y$317,23,0),0)</f>
        <v>138</v>
      </c>
      <c r="AJ28" s="387">
        <f>VLOOKUP(A28,'23-24 state &amp; local'!$A$5:$D$316,4,0)</f>
        <v>567529.1</v>
      </c>
      <c r="AK28" s="387">
        <f>VLOOKUP(A28,'23-24 state &amp; local'!$A$5:$E$316,5,0)</f>
        <v>1830450</v>
      </c>
      <c r="AL28" s="387">
        <f t="shared" si="3"/>
        <v>2397979.1</v>
      </c>
      <c r="AM28" s="382"/>
    </row>
    <row r="29" spans="1:39" ht="15" hidden="1" x14ac:dyDescent="0.25">
      <c r="A29" s="375" t="s">
        <v>248</v>
      </c>
      <c r="B29" s="375" t="s">
        <v>231</v>
      </c>
      <c r="C29" s="448" t="s">
        <v>249</v>
      </c>
      <c r="E29" s="461">
        <v>176</v>
      </c>
      <c r="F29" s="468">
        <f>IFERROR(VLOOKUP(A29,'2017-18'!$A$6:$F$315,6,0),0)</f>
        <v>48629.75</v>
      </c>
      <c r="G29" s="468">
        <f>IFERROR(VLOOKUP(A29,'2017-18'!$A$6:$D$315,4,0),0)</f>
        <v>1443504.8</v>
      </c>
      <c r="H29" s="468">
        <f t="shared" si="2"/>
        <v>1492134.55</v>
      </c>
      <c r="I29" s="382"/>
      <c r="J29" s="462">
        <v>198</v>
      </c>
      <c r="K29" s="468">
        <f>IFERROR(VLOOKUP(A29,'2018-19'!$A$6:$F$318,6,0),0)</f>
        <v>0</v>
      </c>
      <c r="L29" s="468">
        <f>IFERROR(VLOOKUP(A29,'2018-19'!$A$6:$D$318,4,0),0)</f>
        <v>1756936.27</v>
      </c>
      <c r="M29" s="468">
        <f t="shared" si="4"/>
        <v>1756936.27</v>
      </c>
      <c r="N29" s="382"/>
      <c r="O29" s="452">
        <v>212</v>
      </c>
      <c r="P29" s="387">
        <v>0</v>
      </c>
      <c r="Q29" s="387">
        <v>2171219.31</v>
      </c>
      <c r="R29" s="387">
        <v>2171219.31</v>
      </c>
      <c r="S29" s="382"/>
      <c r="T29" s="375">
        <f>VLOOKUP(A29,'Nov 2020 cc'!$B$3:$D$317,3,0)</f>
        <v>222</v>
      </c>
      <c r="U29" s="387">
        <v>0</v>
      </c>
      <c r="V29" s="387">
        <v>2179889.6</v>
      </c>
      <c r="W29" s="387">
        <v>2179889.6</v>
      </c>
      <c r="X29" s="382"/>
      <c r="Y29" s="375">
        <v>207</v>
      </c>
      <c r="Z29" s="413">
        <f>VLOOKUP(A29,'2021-22'!$A$6:$D$317,4,0)</f>
        <v>0</v>
      </c>
      <c r="AA29" s="413">
        <f>VLOOKUP(A29,'2021-22'!$A$6:$E$317,5,0)</f>
        <v>2374096.1800000002</v>
      </c>
      <c r="AB29" s="387">
        <f t="shared" si="0"/>
        <v>2374096.1800000002</v>
      </c>
      <c r="AC29" s="382"/>
      <c r="AD29" s="416">
        <v>192</v>
      </c>
      <c r="AE29" s="413">
        <v>518318.29</v>
      </c>
      <c r="AF29" s="413">
        <v>2126173.4900000002</v>
      </c>
      <c r="AG29" s="387">
        <f t="shared" si="1"/>
        <v>2644491.7800000003</v>
      </c>
      <c r="AH29" s="557"/>
      <c r="AI29" s="387">
        <f>IFERROR(VLOOKUP(A29,'23-24 child count'!$C$4:$Y$317,23,0),0)</f>
        <v>188</v>
      </c>
      <c r="AJ29" s="387">
        <f>VLOOKUP(A29,'23-24 state &amp; local'!$A$5:$D$316,4,0)</f>
        <v>234222.33</v>
      </c>
      <c r="AK29" s="387">
        <f>VLOOKUP(A29,'23-24 state &amp; local'!$A$5:$E$316,5,0)</f>
        <v>2430254.48</v>
      </c>
      <c r="AL29" s="387">
        <f t="shared" si="3"/>
        <v>2664476.81</v>
      </c>
      <c r="AM29" s="382"/>
    </row>
    <row r="30" spans="1:39" ht="15" hidden="1" x14ac:dyDescent="0.25">
      <c r="A30" s="383" t="s">
        <v>250</v>
      </c>
      <c r="B30" s="375" t="s">
        <v>210</v>
      </c>
      <c r="C30" s="448" t="s">
        <v>251</v>
      </c>
      <c r="E30" s="461">
        <v>226</v>
      </c>
      <c r="F30" s="468">
        <f>IFERROR(VLOOKUP(A30,'2017-18'!$A$6:$F$315,6,0),0)</f>
        <v>174655.67</v>
      </c>
      <c r="G30" s="468">
        <f>IFERROR(VLOOKUP(A30,'2017-18'!$A$6:$D$315,4,0),0)</f>
        <v>1571638.42</v>
      </c>
      <c r="H30" s="468">
        <f t="shared" si="2"/>
        <v>1746294.0899999999</v>
      </c>
      <c r="I30" s="382"/>
      <c r="J30" s="462">
        <v>230</v>
      </c>
      <c r="K30" s="468">
        <f>IFERROR(VLOOKUP(A30,'2018-19'!$A$6:$F$318,6,0),0)</f>
        <v>160644.96</v>
      </c>
      <c r="L30" s="468">
        <f>IFERROR(VLOOKUP(A30,'2018-19'!$A$6:$D$318,4,0),0)</f>
        <v>2116920.91</v>
      </c>
      <c r="M30" s="468">
        <f t="shared" si="4"/>
        <v>2277565.87</v>
      </c>
      <c r="N30" s="382"/>
      <c r="O30" s="452">
        <v>279</v>
      </c>
      <c r="P30" s="387">
        <v>416184.18</v>
      </c>
      <c r="Q30" s="387">
        <v>2489446.94</v>
      </c>
      <c r="R30" s="387">
        <v>2905631.12</v>
      </c>
      <c r="S30" s="382"/>
      <c r="T30" s="375">
        <f>VLOOKUP(A30,'Nov 2020 cc'!$B$3:$D$317,3,0)</f>
        <v>271</v>
      </c>
      <c r="U30" s="387">
        <v>170277.34</v>
      </c>
      <c r="V30" s="387">
        <v>2415383.67</v>
      </c>
      <c r="W30" s="387">
        <v>2585661.0099999998</v>
      </c>
      <c r="X30" s="382"/>
      <c r="Y30" s="375">
        <v>241</v>
      </c>
      <c r="Z30" s="413">
        <f>VLOOKUP(A30,'2021-22'!$A$6:$D$317,4,0)</f>
        <v>397407.6</v>
      </c>
      <c r="AA30" s="413">
        <f>VLOOKUP(A30,'2021-22'!$A$6:$E$317,5,0)</f>
        <v>2326717.87</v>
      </c>
      <c r="AB30" s="387">
        <f t="shared" si="0"/>
        <v>2724125.47</v>
      </c>
      <c r="AC30" s="382"/>
      <c r="AD30" s="416">
        <v>242</v>
      </c>
      <c r="AE30" s="413">
        <v>399157.77</v>
      </c>
      <c r="AF30" s="413">
        <v>2661204.86</v>
      </c>
      <c r="AG30" s="387">
        <f t="shared" si="1"/>
        <v>3060362.63</v>
      </c>
      <c r="AH30" s="557"/>
      <c r="AI30" s="387">
        <f>IFERROR(VLOOKUP(A30,'23-24 child count'!$C$4:$Y$317,23,0),0)</f>
        <v>224</v>
      </c>
      <c r="AJ30" s="387">
        <f>VLOOKUP(A30,'23-24 state &amp; local'!$A$5:$D$316,4,0)</f>
        <v>122273.25</v>
      </c>
      <c r="AK30" s="387">
        <f>VLOOKUP(A30,'23-24 state &amp; local'!$A$5:$E$316,5,0)</f>
        <v>2866047.05</v>
      </c>
      <c r="AL30" s="387">
        <f t="shared" si="3"/>
        <v>2988320.3</v>
      </c>
      <c r="AM30" s="382"/>
    </row>
    <row r="31" spans="1:39" ht="15" hidden="1" x14ac:dyDescent="0.25">
      <c r="A31" s="375" t="s">
        <v>252</v>
      </c>
      <c r="C31" s="448" t="s">
        <v>1342</v>
      </c>
      <c r="E31" s="461">
        <v>0</v>
      </c>
      <c r="F31" s="468">
        <f>IFERROR(VLOOKUP(A31,'2017-18'!$A$6:$F$315,6,0),0)</f>
        <v>0</v>
      </c>
      <c r="G31" s="468">
        <f>IFERROR(VLOOKUP(A31,'2017-18'!$A$6:$D$315,4,0),0)</f>
        <v>0</v>
      </c>
      <c r="H31" s="468">
        <f t="shared" si="2"/>
        <v>0</v>
      </c>
      <c r="I31" s="382"/>
      <c r="J31" s="462">
        <v>0</v>
      </c>
      <c r="K31" s="468">
        <f>IFERROR(VLOOKUP(A31,'2018-19'!$A$6:$F$318,6,0),0)</f>
        <v>0</v>
      </c>
      <c r="L31" s="468">
        <f>IFERROR(VLOOKUP(A31,'2018-19'!$A$6:$D$318,4,0),0)</f>
        <v>0</v>
      </c>
      <c r="M31" s="468">
        <f t="shared" si="4"/>
        <v>0</v>
      </c>
      <c r="N31" s="382"/>
      <c r="O31" s="452">
        <v>0</v>
      </c>
      <c r="P31" s="387">
        <v>0</v>
      </c>
      <c r="Q31" s="387">
        <v>0</v>
      </c>
      <c r="R31" s="387">
        <v>0</v>
      </c>
      <c r="S31" s="382"/>
      <c r="T31" s="375">
        <f>VLOOKUP(A31,'Nov 2020 cc'!$B$3:$D$317,3,0)</f>
        <v>13</v>
      </c>
      <c r="U31" s="387">
        <v>0</v>
      </c>
      <c r="V31" s="387">
        <v>153461.20000000001</v>
      </c>
      <c r="W31" s="387">
        <v>153461.20000000001</v>
      </c>
      <c r="X31" s="382"/>
      <c r="Y31" s="375">
        <v>32</v>
      </c>
      <c r="Z31" s="413">
        <f>VLOOKUP(A31,'2021-22'!$A$6:$D$317,4,0)</f>
        <v>0</v>
      </c>
      <c r="AA31" s="413">
        <f>VLOOKUP(A31,'2021-22'!$A$6:$E$317,5,0)</f>
        <v>542833.36</v>
      </c>
      <c r="AB31" s="387">
        <f t="shared" si="0"/>
        <v>542833.36</v>
      </c>
      <c r="AC31" s="382"/>
      <c r="AD31" s="416">
        <v>52</v>
      </c>
      <c r="AE31" s="413">
        <v>0</v>
      </c>
      <c r="AF31" s="413">
        <v>634546.01</v>
      </c>
      <c r="AG31" s="387">
        <f t="shared" si="1"/>
        <v>634546.01</v>
      </c>
      <c r="AH31" s="557"/>
      <c r="AI31" s="387">
        <f>IFERROR(VLOOKUP(A31,'23-24 child count'!$C$4:$Y$317,23,0),0)</f>
        <v>63</v>
      </c>
      <c r="AJ31" s="387">
        <f>VLOOKUP(A31,'23-24 state &amp; local'!$A$5:$D$316,4,0)</f>
        <v>0</v>
      </c>
      <c r="AK31" s="387">
        <f>VLOOKUP(A31,'23-24 state &amp; local'!$A$5:$E$316,5,0)</f>
        <v>899727.66</v>
      </c>
      <c r="AL31" s="387">
        <f t="shared" si="3"/>
        <v>899727.66</v>
      </c>
      <c r="AM31" s="382"/>
    </row>
    <row r="32" spans="1:39" ht="15" hidden="1" x14ac:dyDescent="0.25">
      <c r="A32" s="383" t="s">
        <v>254</v>
      </c>
      <c r="B32" s="375" t="s">
        <v>210</v>
      </c>
      <c r="C32" s="448" t="s">
        <v>255</v>
      </c>
      <c r="D32" s="375" t="s">
        <v>819</v>
      </c>
      <c r="E32" s="461">
        <v>8</v>
      </c>
      <c r="F32" s="468">
        <f>IFERROR(VLOOKUP(A32,'2017-18'!$A$6:$F$315,6,0),0)</f>
        <v>0</v>
      </c>
      <c r="G32" s="468">
        <f>IFERROR(VLOOKUP(A32,'2017-18'!$A$6:$D$315,4,0),0)</f>
        <v>71776.320000000007</v>
      </c>
      <c r="H32" s="468">
        <f t="shared" si="2"/>
        <v>71776.320000000007</v>
      </c>
      <c r="I32" s="382"/>
      <c r="J32" s="462">
        <v>7</v>
      </c>
      <c r="K32" s="468">
        <f>IFERROR(VLOOKUP(A32,'2018-19'!$A$6:$F$318,6,0),0)</f>
        <v>0</v>
      </c>
      <c r="L32" s="468">
        <f>IFERROR(VLOOKUP(A32,'2018-19'!$A$6:$D$318,4,0),0)</f>
        <v>59128.37</v>
      </c>
      <c r="M32" s="468">
        <f t="shared" si="4"/>
        <v>59128.37</v>
      </c>
      <c r="N32" s="382"/>
      <c r="O32" s="452">
        <v>6</v>
      </c>
      <c r="P32" s="387">
        <v>0</v>
      </c>
      <c r="Q32" s="387">
        <v>58500.81</v>
      </c>
      <c r="R32" s="387">
        <v>58500.81</v>
      </c>
      <c r="S32" s="382"/>
      <c r="T32" s="375">
        <f>VLOOKUP(A32,'Nov 2020 cc'!$B$3:$D$317,3,0)</f>
        <v>5</v>
      </c>
      <c r="U32" s="387">
        <v>0</v>
      </c>
      <c r="V32" s="387">
        <v>52981.96</v>
      </c>
      <c r="W32" s="387">
        <v>52981.96</v>
      </c>
      <c r="X32" s="382"/>
      <c r="Y32" s="375">
        <v>8</v>
      </c>
      <c r="Z32" s="413">
        <f>VLOOKUP(A32,'2021-22'!$A$6:$D$317,4,0)</f>
        <v>0</v>
      </c>
      <c r="AA32" s="413">
        <f>VLOOKUP(A32,'2021-22'!$A$6:$E$317,5,0)</f>
        <v>71552.3</v>
      </c>
      <c r="AB32" s="387">
        <f t="shared" si="0"/>
        <v>71552.3</v>
      </c>
      <c r="AC32" s="382"/>
      <c r="AD32" s="416">
        <v>8</v>
      </c>
      <c r="AE32" s="413">
        <v>0</v>
      </c>
      <c r="AF32" s="413">
        <v>79399.399999999994</v>
      </c>
      <c r="AG32" s="387">
        <f t="shared" si="1"/>
        <v>79399.399999999994</v>
      </c>
      <c r="AH32" s="557"/>
      <c r="AI32" s="387">
        <f>IFERROR(VLOOKUP(A32,'23-24 child count'!$C$4:$Y$317,23,0),0)</f>
        <v>9</v>
      </c>
      <c r="AJ32" s="387">
        <f>VLOOKUP(A32,'23-24 state &amp; local'!$A$5:$D$316,4,0)</f>
        <v>0</v>
      </c>
      <c r="AK32" s="387">
        <f>VLOOKUP(A32,'23-24 state &amp; local'!$A$5:$E$316,5,0)</f>
        <v>121307.23</v>
      </c>
      <c r="AL32" s="387">
        <f t="shared" si="3"/>
        <v>121307.23</v>
      </c>
      <c r="AM32" s="382"/>
    </row>
    <row r="33" spans="1:39" ht="15" hidden="1" x14ac:dyDescent="0.25">
      <c r="A33" s="375" t="s">
        <v>256</v>
      </c>
      <c r="B33" s="375" t="s">
        <v>228</v>
      </c>
      <c r="C33" s="448" t="s">
        <v>257</v>
      </c>
      <c r="E33" s="461">
        <v>1748</v>
      </c>
      <c r="F33" s="468">
        <f>IFERROR(VLOOKUP(A33,'2017-18'!$A$6:$F$315,6,0),0)</f>
        <v>86428</v>
      </c>
      <c r="G33" s="468">
        <f>IFERROR(VLOOKUP(A33,'2017-18'!$A$6:$D$315,4,0),0)</f>
        <v>16961186.25</v>
      </c>
      <c r="H33" s="468">
        <f t="shared" si="2"/>
        <v>17047614.25</v>
      </c>
      <c r="I33" s="382"/>
      <c r="J33" s="462">
        <v>1755</v>
      </c>
      <c r="K33" s="468">
        <f>IFERROR(VLOOKUP(A33,'2018-19'!$A$6:$F$318,6,0),0)</f>
        <v>13009.92</v>
      </c>
      <c r="L33" s="468">
        <f>IFERROR(VLOOKUP(A33,'2018-19'!$A$6:$D$318,4,0),0)</f>
        <v>21922050.050000001</v>
      </c>
      <c r="M33" s="468">
        <f t="shared" si="4"/>
        <v>21935059.970000003</v>
      </c>
      <c r="N33" s="382"/>
      <c r="O33" s="452">
        <v>1833</v>
      </c>
      <c r="P33" s="387">
        <v>13010</v>
      </c>
      <c r="Q33" s="387">
        <v>23869247.82</v>
      </c>
      <c r="R33" s="387">
        <v>23882257.82</v>
      </c>
      <c r="S33" s="382"/>
      <c r="T33" s="375">
        <f>VLOOKUP(A33,'Nov 2020 cc'!$B$3:$D$317,3,0)</f>
        <v>1702</v>
      </c>
      <c r="U33" s="387">
        <v>13011</v>
      </c>
      <c r="V33" s="387">
        <v>21854235.420000002</v>
      </c>
      <c r="W33" s="387">
        <v>21867246.420000002</v>
      </c>
      <c r="X33" s="382"/>
      <c r="Y33" s="375">
        <v>1689</v>
      </c>
      <c r="Z33" s="413">
        <f>VLOOKUP(A33,'2021-22'!$A$6:$D$317,4,0)</f>
        <v>148675.92000000001</v>
      </c>
      <c r="AA33" s="413">
        <f>VLOOKUP(A33,'2021-22'!$A$6:$E$317,5,0)</f>
        <v>21881353.940000001</v>
      </c>
      <c r="AB33" s="387">
        <f t="shared" si="0"/>
        <v>22030029.860000003</v>
      </c>
      <c r="AC33" s="382"/>
      <c r="AD33" s="416">
        <v>1743</v>
      </c>
      <c r="AE33" s="413">
        <v>148676</v>
      </c>
      <c r="AF33" s="413">
        <v>24206454.100000001</v>
      </c>
      <c r="AG33" s="387">
        <f t="shared" si="1"/>
        <v>24355130.100000001</v>
      </c>
      <c r="AH33" s="557"/>
      <c r="AI33" s="387">
        <f>IFERROR(VLOOKUP(A33,'23-24 child count'!$C$4:$Y$317,23,0),0)</f>
        <v>1799</v>
      </c>
      <c r="AJ33" s="387">
        <f>VLOOKUP(A33,'23-24 state &amp; local'!$A$5:$D$316,4,0)</f>
        <v>148677</v>
      </c>
      <c r="AK33" s="387">
        <f>VLOOKUP(A33,'23-24 state &amp; local'!$A$5:$E$316,5,0)</f>
        <v>28331233.969999999</v>
      </c>
      <c r="AL33" s="387">
        <f t="shared" si="3"/>
        <v>28479910.969999999</v>
      </c>
      <c r="AM33" s="382"/>
    </row>
    <row r="34" spans="1:39" ht="15" hidden="1" x14ac:dyDescent="0.25">
      <c r="A34" s="375" t="s">
        <v>258</v>
      </c>
      <c r="B34" s="375" t="s">
        <v>194</v>
      </c>
      <c r="C34" s="448" t="s">
        <v>259</v>
      </c>
      <c r="E34" s="461">
        <v>1873</v>
      </c>
      <c r="F34" s="468">
        <f>IFERROR(VLOOKUP(A34,'2017-18'!$A$6:$F$315,6,0),0)</f>
        <v>4517015.2699999996</v>
      </c>
      <c r="G34" s="468">
        <f>IFERROR(VLOOKUP(A34,'2017-18'!$A$6:$D$315,4,0),0)</f>
        <v>17231072.34</v>
      </c>
      <c r="H34" s="468">
        <f t="shared" si="2"/>
        <v>21748087.609999999</v>
      </c>
      <c r="I34" s="382"/>
      <c r="J34" s="462">
        <v>1983</v>
      </c>
      <c r="K34" s="468">
        <f>IFERROR(VLOOKUP(A34,'2018-19'!$A$6:$F$318,6,0),0)</f>
        <v>4250094.6100000003</v>
      </c>
      <c r="L34" s="468">
        <f>IFERROR(VLOOKUP(A34,'2018-19'!$A$6:$D$318,4,0),0)</f>
        <v>21025267.09</v>
      </c>
      <c r="M34" s="468">
        <f t="shared" si="4"/>
        <v>25275361.699999999</v>
      </c>
      <c r="N34" s="382"/>
      <c r="O34" s="452">
        <v>2110</v>
      </c>
      <c r="P34" s="387">
        <v>2454249.9700000002</v>
      </c>
      <c r="Q34" s="387">
        <v>24075661.629999999</v>
      </c>
      <c r="R34" s="387">
        <v>26529911.599999998</v>
      </c>
      <c r="S34" s="382"/>
      <c r="T34" s="375">
        <f>VLOOKUP(A34,'Nov 2020 cc'!$B$3:$D$317,3,0)</f>
        <v>2068</v>
      </c>
      <c r="U34" s="387">
        <v>4574099.55</v>
      </c>
      <c r="V34" s="387">
        <v>23925568.449999999</v>
      </c>
      <c r="W34" s="387">
        <v>28499668</v>
      </c>
      <c r="X34" s="382"/>
      <c r="Y34" s="375">
        <v>2146</v>
      </c>
      <c r="Z34" s="413">
        <f>VLOOKUP(A34,'2021-22'!$A$6:$D$317,4,0)</f>
        <v>3963561.35</v>
      </c>
      <c r="AA34" s="413">
        <f>VLOOKUP(A34,'2021-22'!$A$6:$E$317,5,0)</f>
        <v>25009838.309999999</v>
      </c>
      <c r="AB34" s="387">
        <f t="shared" si="0"/>
        <v>28973399.66</v>
      </c>
      <c r="AC34" s="382"/>
      <c r="AD34" s="416">
        <v>2234</v>
      </c>
      <c r="AE34" s="413">
        <v>6370707.8200000003</v>
      </c>
      <c r="AF34" s="413">
        <v>27581911.530000001</v>
      </c>
      <c r="AG34" s="387">
        <f t="shared" si="1"/>
        <v>33952619.350000001</v>
      </c>
      <c r="AH34" s="557"/>
      <c r="AI34" s="387">
        <f>IFERROR(VLOOKUP(A34,'23-24 child count'!$C$4:$Y$317,23,0),0)</f>
        <v>2320</v>
      </c>
      <c r="AJ34" s="387">
        <f>VLOOKUP(A34,'23-24 state &amp; local'!$A$5:$D$316,4,0)</f>
        <v>908283.11</v>
      </c>
      <c r="AK34" s="387">
        <f>VLOOKUP(A34,'23-24 state &amp; local'!$A$5:$E$316,5,0)</f>
        <v>33980577.659999996</v>
      </c>
      <c r="AL34" s="387">
        <f t="shared" si="3"/>
        <v>34888860.769999996</v>
      </c>
      <c r="AM34" s="382"/>
    </row>
    <row r="35" spans="1:39" ht="15" hidden="1" x14ac:dyDescent="0.25">
      <c r="A35" s="375" t="s">
        <v>260</v>
      </c>
      <c r="B35" s="375" t="s">
        <v>189</v>
      </c>
      <c r="C35" s="448" t="s">
        <v>261</v>
      </c>
      <c r="E35" s="461">
        <v>549</v>
      </c>
      <c r="F35" s="468">
        <f>IFERROR(VLOOKUP(A35,'2017-18'!$A$6:$F$315,6,0),0)</f>
        <v>1587834.3</v>
      </c>
      <c r="G35" s="468">
        <f>IFERROR(VLOOKUP(A35,'2017-18'!$A$6:$D$315,4,0),0)</f>
        <v>4483493.75</v>
      </c>
      <c r="H35" s="468">
        <f t="shared" si="2"/>
        <v>6071328.0499999998</v>
      </c>
      <c r="I35" s="382"/>
      <c r="J35" s="462">
        <v>564</v>
      </c>
      <c r="K35" s="468">
        <f>IFERROR(VLOOKUP(A35,'2018-19'!$A$6:$F$318,6,0),0)</f>
        <v>1389223.48</v>
      </c>
      <c r="L35" s="468">
        <f>IFERROR(VLOOKUP(A35,'2018-19'!$A$6:$D$318,4,0),0)</f>
        <v>5529895.9400000004</v>
      </c>
      <c r="M35" s="468">
        <f t="shared" si="4"/>
        <v>6919119.4199999999</v>
      </c>
      <c r="N35" s="382"/>
      <c r="O35" s="452">
        <v>544</v>
      </c>
      <c r="P35" s="387">
        <v>1767834</v>
      </c>
      <c r="Q35" s="387">
        <v>5694900.5300000003</v>
      </c>
      <c r="R35" s="387">
        <v>7462734.5300000003</v>
      </c>
      <c r="S35" s="382"/>
      <c r="T35" s="375">
        <f>VLOOKUP(A35,'Nov 2020 cc'!$B$3:$D$317,3,0)</f>
        <v>481</v>
      </c>
      <c r="U35" s="387">
        <v>1101110.04</v>
      </c>
      <c r="V35" s="387">
        <v>5136880.9800000004</v>
      </c>
      <c r="W35" s="387">
        <v>6237991.0200000005</v>
      </c>
      <c r="X35" s="382"/>
      <c r="Y35" s="375">
        <v>477</v>
      </c>
      <c r="Z35" s="413">
        <f>VLOOKUP(A35,'2021-22'!$A$6:$D$317,4,0)</f>
        <v>1101111.04</v>
      </c>
      <c r="AA35" s="413">
        <f>VLOOKUP(A35,'2021-22'!$A$6:$E$317,5,0)</f>
        <v>5409908.1900000004</v>
      </c>
      <c r="AB35" s="387">
        <f t="shared" si="0"/>
        <v>6511019.2300000004</v>
      </c>
      <c r="AC35" s="382"/>
      <c r="AD35" s="416">
        <v>482</v>
      </c>
      <c r="AE35" s="413">
        <v>1500000</v>
      </c>
      <c r="AF35" s="413">
        <v>6572663.0099999998</v>
      </c>
      <c r="AG35" s="387">
        <f t="shared" si="1"/>
        <v>8072663.0099999998</v>
      </c>
      <c r="AH35" s="557"/>
      <c r="AI35" s="387">
        <f>IFERROR(VLOOKUP(A35,'23-24 child count'!$C$4:$Y$317,23,0),0)</f>
        <v>562</v>
      </c>
      <c r="AJ35" s="387">
        <f>VLOOKUP(A35,'23-24 state &amp; local'!$A$5:$D$316,4,0)</f>
        <v>202554.52</v>
      </c>
      <c r="AK35" s="387">
        <f>VLOOKUP(A35,'23-24 state &amp; local'!$A$5:$E$316,5,0)</f>
        <v>7778659.9400000004</v>
      </c>
      <c r="AL35" s="387">
        <f t="shared" si="3"/>
        <v>7981214.46</v>
      </c>
      <c r="AM35" s="382"/>
    </row>
    <row r="36" spans="1:39" ht="15" hidden="1" x14ac:dyDescent="0.25">
      <c r="A36" s="375" t="s">
        <v>262</v>
      </c>
      <c r="B36" s="375" t="s">
        <v>189</v>
      </c>
      <c r="C36" s="448" t="s">
        <v>263</v>
      </c>
      <c r="E36" s="461">
        <v>460</v>
      </c>
      <c r="F36" s="468">
        <f>IFERROR(VLOOKUP(A36,'2017-18'!$A$6:$F$315,6,0),0)</f>
        <v>0</v>
      </c>
      <c r="G36" s="468">
        <f>IFERROR(VLOOKUP(A36,'2017-18'!$A$6:$D$315,4,0),0)</f>
        <v>4477941.99</v>
      </c>
      <c r="H36" s="468">
        <f t="shared" si="2"/>
        <v>4477941.99</v>
      </c>
      <c r="I36" s="382"/>
      <c r="J36" s="462">
        <v>409</v>
      </c>
      <c r="K36" s="468">
        <f>IFERROR(VLOOKUP(A36,'2018-19'!$A$6:$F$318,6,0),0)</f>
        <v>467315.71</v>
      </c>
      <c r="L36" s="468">
        <f>IFERROR(VLOOKUP(A36,'2018-19'!$A$6:$D$318,4,0),0)</f>
        <v>4252361.75</v>
      </c>
      <c r="M36" s="468">
        <f t="shared" si="4"/>
        <v>4719677.46</v>
      </c>
      <c r="N36" s="382"/>
      <c r="O36" s="452">
        <v>496</v>
      </c>
      <c r="P36" s="387">
        <v>514840.94</v>
      </c>
      <c r="Q36" s="387">
        <v>4677312.6900000004</v>
      </c>
      <c r="R36" s="387">
        <v>5192153.6300000008</v>
      </c>
      <c r="S36" s="382"/>
      <c r="T36" s="375">
        <f>VLOOKUP(A36,'Nov 2020 cc'!$B$3:$D$317,3,0)</f>
        <v>429</v>
      </c>
      <c r="U36" s="387">
        <v>0</v>
      </c>
      <c r="V36" s="387">
        <v>5832450.0899999999</v>
      </c>
      <c r="W36" s="387">
        <v>5832450.0899999999</v>
      </c>
      <c r="X36" s="382"/>
      <c r="Y36" s="375">
        <v>419</v>
      </c>
      <c r="Z36" s="413">
        <f>VLOOKUP(A36,'2021-22'!$A$6:$D$317,4,0)</f>
        <v>0</v>
      </c>
      <c r="AA36" s="413">
        <f>VLOOKUP(A36,'2021-22'!$A$6:$E$317,5,0)</f>
        <v>6019460.9800000004</v>
      </c>
      <c r="AB36" s="387">
        <f t="shared" ref="AB36:AB67" si="5">Z36+AA36</f>
        <v>6019460.9800000004</v>
      </c>
      <c r="AC36" s="382"/>
      <c r="AD36" s="416">
        <v>391</v>
      </c>
      <c r="AE36" s="413">
        <v>425410.76</v>
      </c>
      <c r="AF36" s="413">
        <v>6004020.7800000003</v>
      </c>
      <c r="AG36" s="387">
        <f t="shared" ref="AG36:AG67" si="6">AE36+AF36</f>
        <v>6429431.54</v>
      </c>
      <c r="AH36" s="557"/>
      <c r="AI36" s="387">
        <f>IFERROR(VLOOKUP(A36,'23-24 child count'!$C$4:$Y$317,23,0),0)</f>
        <v>483</v>
      </c>
      <c r="AJ36" s="387">
        <f>VLOOKUP(A36,'23-24 state &amp; local'!$A$5:$D$316,4,0)</f>
        <v>926173.56</v>
      </c>
      <c r="AK36" s="387">
        <f>VLOOKUP(A36,'23-24 state &amp; local'!$A$5:$E$316,5,0)</f>
        <v>6189117.7800000003</v>
      </c>
      <c r="AL36" s="387">
        <f t="shared" si="3"/>
        <v>7115291.3399999999</v>
      </c>
      <c r="AM36" s="382"/>
    </row>
    <row r="37" spans="1:39" ht="15" hidden="1" x14ac:dyDescent="0.25">
      <c r="A37" s="375" t="s">
        <v>264</v>
      </c>
      <c r="B37" s="375" t="s">
        <v>194</v>
      </c>
      <c r="C37" s="448" t="s">
        <v>265</v>
      </c>
      <c r="E37" s="461">
        <v>827</v>
      </c>
      <c r="F37" s="468">
        <f>IFERROR(VLOOKUP(A37,'2017-18'!$A$6:$F$315,6,0),0)</f>
        <v>2801894.46</v>
      </c>
      <c r="G37" s="468">
        <f>IFERROR(VLOOKUP(A37,'2017-18'!$A$6:$D$315,4,0),0)</f>
        <v>5991567.8399999999</v>
      </c>
      <c r="H37" s="468">
        <f t="shared" si="2"/>
        <v>8793462.3000000007</v>
      </c>
      <c r="I37" s="382"/>
      <c r="J37" s="462">
        <v>901</v>
      </c>
      <c r="K37" s="468">
        <f>IFERROR(VLOOKUP(A37,'2018-19'!$A$6:$F$318,6,0),0)</f>
        <v>592336.03</v>
      </c>
      <c r="L37" s="468">
        <f>IFERROR(VLOOKUP(A37,'2018-19'!$A$6:$D$318,4,0),0)</f>
        <v>9781931.5299999993</v>
      </c>
      <c r="M37" s="468">
        <f t="shared" si="4"/>
        <v>10374267.559999999</v>
      </c>
      <c r="N37" s="382"/>
      <c r="O37" s="452">
        <v>905</v>
      </c>
      <c r="P37" s="387">
        <v>2193290.44</v>
      </c>
      <c r="Q37" s="387">
        <v>8530135.5399999991</v>
      </c>
      <c r="R37" s="387">
        <v>10723425.979999999</v>
      </c>
      <c r="S37" s="382"/>
      <c r="T37" s="375">
        <f>VLOOKUP(A37,'Nov 2020 cc'!$B$3:$D$317,3,0)</f>
        <v>838</v>
      </c>
      <c r="U37" s="387">
        <v>1719268.2</v>
      </c>
      <c r="V37" s="387">
        <v>8303260.75</v>
      </c>
      <c r="W37" s="387">
        <v>10022528.949999999</v>
      </c>
      <c r="X37" s="382"/>
      <c r="Y37" s="375">
        <v>871</v>
      </c>
      <c r="Z37" s="413">
        <f>VLOOKUP(A37,'2021-22'!$A$6:$D$317,4,0)</f>
        <v>2129292.94</v>
      </c>
      <c r="AA37" s="413">
        <f>VLOOKUP(A37,'2021-22'!$A$6:$E$317,5,0)</f>
        <v>8434504.0199999996</v>
      </c>
      <c r="AB37" s="387">
        <f t="shared" si="5"/>
        <v>10563796.959999999</v>
      </c>
      <c r="AC37" s="382"/>
      <c r="AD37" s="416">
        <v>856</v>
      </c>
      <c r="AE37" s="413">
        <v>1128600.68</v>
      </c>
      <c r="AF37" s="413">
        <v>9084251.5600000005</v>
      </c>
      <c r="AG37" s="387">
        <f t="shared" si="6"/>
        <v>10212852.24</v>
      </c>
      <c r="AH37" s="557"/>
      <c r="AI37" s="387">
        <f>IFERROR(VLOOKUP(A37,'23-24 child count'!$C$4:$Y$317,23,0),0)</f>
        <v>896</v>
      </c>
      <c r="AJ37" s="387">
        <f>VLOOKUP(A37,'23-24 state &amp; local'!$A$5:$D$316,4,0)</f>
        <v>1668592.49</v>
      </c>
      <c r="AK37" s="387">
        <f>VLOOKUP(A37,'23-24 state &amp; local'!$A$5:$E$316,5,0)</f>
        <v>9773505.4199999999</v>
      </c>
      <c r="AL37" s="387">
        <f t="shared" si="3"/>
        <v>11442097.91</v>
      </c>
      <c r="AM37" s="382"/>
    </row>
    <row r="38" spans="1:39" ht="15" hidden="1" x14ac:dyDescent="0.25">
      <c r="A38" s="375" t="s">
        <v>266</v>
      </c>
      <c r="B38" s="375" t="s">
        <v>194</v>
      </c>
      <c r="C38" s="448" t="s">
        <v>267</v>
      </c>
      <c r="E38" s="461">
        <v>100</v>
      </c>
      <c r="F38" s="468">
        <f>IFERROR(VLOOKUP(A38,'2017-18'!$A$6:$F$315,6,0),0)</f>
        <v>43561.1</v>
      </c>
      <c r="G38" s="468">
        <f>IFERROR(VLOOKUP(A38,'2017-18'!$A$6:$D$315,4,0),0)</f>
        <v>811856.22</v>
      </c>
      <c r="H38" s="468">
        <f t="shared" si="2"/>
        <v>855417.32</v>
      </c>
      <c r="I38" s="382"/>
      <c r="J38" s="462">
        <v>115</v>
      </c>
      <c r="K38" s="468">
        <f>IFERROR(VLOOKUP(A38,'2018-19'!$A$6:$F$318,6,0),0)</f>
        <v>0</v>
      </c>
      <c r="L38" s="468">
        <f>IFERROR(VLOOKUP(A38,'2018-19'!$A$6:$D$318,4,0),0)</f>
        <v>961417.47</v>
      </c>
      <c r="M38" s="468">
        <f t="shared" si="4"/>
        <v>961417.47</v>
      </c>
      <c r="N38" s="382"/>
      <c r="O38" s="452">
        <v>129</v>
      </c>
      <c r="P38" s="387">
        <v>2805.43</v>
      </c>
      <c r="Q38" s="387">
        <v>1098873.95</v>
      </c>
      <c r="R38" s="387">
        <v>1101679.3799999999</v>
      </c>
      <c r="S38" s="382"/>
      <c r="T38" s="375">
        <f>VLOOKUP(A38,'Nov 2020 cc'!$B$3:$D$317,3,0)</f>
        <v>119</v>
      </c>
      <c r="U38" s="387">
        <v>2955</v>
      </c>
      <c r="V38" s="387">
        <v>1078147.5</v>
      </c>
      <c r="W38" s="387">
        <v>1081102.5</v>
      </c>
      <c r="X38" s="382"/>
      <c r="Y38" s="375">
        <v>137</v>
      </c>
      <c r="Z38" s="413">
        <f>VLOOKUP(A38,'2021-22'!$A$6:$D$317,4,0)</f>
        <v>3000</v>
      </c>
      <c r="AA38" s="413">
        <f>VLOOKUP(A38,'2021-22'!$A$6:$E$317,5,0)</f>
        <v>1123255.48</v>
      </c>
      <c r="AB38" s="387">
        <f t="shared" si="5"/>
        <v>1126255.48</v>
      </c>
      <c r="AC38" s="382"/>
      <c r="AD38" s="416">
        <v>127</v>
      </c>
      <c r="AE38" s="413">
        <v>3100</v>
      </c>
      <c r="AF38" s="413">
        <v>1403051.2</v>
      </c>
      <c r="AG38" s="387">
        <f t="shared" si="6"/>
        <v>1406151.2</v>
      </c>
      <c r="AH38" s="557"/>
      <c r="AI38" s="387">
        <f>IFERROR(VLOOKUP(A38,'23-24 child count'!$C$4:$Y$317,23,0),0)</f>
        <v>132</v>
      </c>
      <c r="AJ38" s="387">
        <f>VLOOKUP(A38,'23-24 state &amp; local'!$A$5:$D$316,4,0)</f>
        <v>3101</v>
      </c>
      <c r="AK38" s="387">
        <f>VLOOKUP(A38,'23-24 state &amp; local'!$A$5:$E$316,5,0)</f>
        <v>1678399.99</v>
      </c>
      <c r="AL38" s="387">
        <f t="shared" si="3"/>
        <v>1681500.99</v>
      </c>
      <c r="AM38" s="382"/>
    </row>
    <row r="39" spans="1:39" ht="15" hidden="1" x14ac:dyDescent="0.25">
      <c r="A39" s="375" t="s">
        <v>268</v>
      </c>
      <c r="B39" s="375" t="s">
        <v>228</v>
      </c>
      <c r="C39" s="448" t="s">
        <v>269</v>
      </c>
      <c r="E39" s="461">
        <v>134</v>
      </c>
      <c r="F39" s="468">
        <f>IFERROR(VLOOKUP(A39,'2017-18'!$A$6:$F$315,6,0),0)</f>
        <v>12525</v>
      </c>
      <c r="G39" s="468">
        <f>IFERROR(VLOOKUP(A39,'2017-18'!$A$6:$D$315,4,0),0)</f>
        <v>1272489.76</v>
      </c>
      <c r="H39" s="468">
        <f t="shared" si="2"/>
        <v>1285014.76</v>
      </c>
      <c r="I39" s="382"/>
      <c r="J39" s="462">
        <v>131</v>
      </c>
      <c r="K39" s="468">
        <f>IFERROR(VLOOKUP(A39,'2018-19'!$A$6:$F$318,6,0),0)</f>
        <v>9070</v>
      </c>
      <c r="L39" s="468">
        <f>IFERROR(VLOOKUP(A39,'2018-19'!$A$6:$D$318,4,0),0)</f>
        <v>1435805.99</v>
      </c>
      <c r="M39" s="468">
        <f t="shared" si="4"/>
        <v>1444875.99</v>
      </c>
      <c r="N39" s="382"/>
      <c r="O39" s="452">
        <v>142</v>
      </c>
      <c r="P39" s="387">
        <v>5510</v>
      </c>
      <c r="Q39" s="387">
        <v>1606777.12</v>
      </c>
      <c r="R39" s="387">
        <v>1612287.12</v>
      </c>
      <c r="S39" s="382"/>
      <c r="T39" s="375">
        <f>VLOOKUP(A39,'Nov 2020 cc'!$B$3:$D$317,3,0)</f>
        <v>133</v>
      </c>
      <c r="U39" s="387">
        <v>0</v>
      </c>
      <c r="V39" s="387">
        <v>1669871.83</v>
      </c>
      <c r="W39" s="387">
        <v>1669871.83</v>
      </c>
      <c r="X39" s="382"/>
      <c r="Y39" s="375">
        <v>119</v>
      </c>
      <c r="Z39" s="413">
        <f>VLOOKUP(A39,'2021-22'!$A$6:$D$317,4,0)</f>
        <v>6800</v>
      </c>
      <c r="AA39" s="413">
        <f>VLOOKUP(A39,'2021-22'!$A$6:$E$317,5,0)</f>
        <v>1706744.45</v>
      </c>
      <c r="AB39" s="387">
        <f t="shared" si="5"/>
        <v>1713544.45</v>
      </c>
      <c r="AC39" s="382"/>
      <c r="AD39" s="416">
        <v>122</v>
      </c>
      <c r="AE39" s="413">
        <v>5788.5</v>
      </c>
      <c r="AF39" s="413">
        <v>2072402.78</v>
      </c>
      <c r="AG39" s="387">
        <f t="shared" si="6"/>
        <v>2078191.28</v>
      </c>
      <c r="AH39" s="557"/>
      <c r="AI39" s="387">
        <f>IFERROR(VLOOKUP(A39,'23-24 child count'!$C$4:$Y$317,23,0),0)</f>
        <v>122</v>
      </c>
      <c r="AJ39" s="387">
        <f>VLOOKUP(A39,'23-24 state &amp; local'!$A$5:$D$316,4,0)</f>
        <v>19741.580000000002</v>
      </c>
      <c r="AK39" s="387">
        <f>VLOOKUP(A39,'23-24 state &amp; local'!$A$5:$E$316,5,0)</f>
        <v>2121243.81</v>
      </c>
      <c r="AL39" s="387">
        <f t="shared" si="3"/>
        <v>2140985.39</v>
      </c>
      <c r="AM39" s="382"/>
    </row>
    <row r="40" spans="1:39" ht="15" hidden="1" x14ac:dyDescent="0.25">
      <c r="A40" s="375" t="s">
        <v>270</v>
      </c>
      <c r="B40" s="375" t="s">
        <v>202</v>
      </c>
      <c r="C40" s="448" t="s">
        <v>271</v>
      </c>
      <c r="E40" s="461">
        <v>382</v>
      </c>
      <c r="F40" s="468">
        <f>IFERROR(VLOOKUP(A40,'2017-18'!$A$6:$F$315,6,0),0)</f>
        <v>115045.95</v>
      </c>
      <c r="G40" s="468">
        <f>IFERROR(VLOOKUP(A40,'2017-18'!$A$6:$D$315,4,0),0)</f>
        <v>3037612.01</v>
      </c>
      <c r="H40" s="468">
        <f t="shared" si="2"/>
        <v>3152657.96</v>
      </c>
      <c r="I40" s="382"/>
      <c r="J40" s="462">
        <v>391</v>
      </c>
      <c r="K40" s="468">
        <f>IFERROR(VLOOKUP(A40,'2018-19'!$A$6:$F$318,6,0),0)</f>
        <v>0</v>
      </c>
      <c r="L40" s="468">
        <f>IFERROR(VLOOKUP(A40,'2018-19'!$A$6:$D$318,4,0),0)</f>
        <v>3700784.63</v>
      </c>
      <c r="M40" s="468">
        <f t="shared" si="4"/>
        <v>3700784.63</v>
      </c>
      <c r="N40" s="382"/>
      <c r="O40" s="452">
        <v>433</v>
      </c>
      <c r="P40" s="387">
        <v>0</v>
      </c>
      <c r="Q40" s="387">
        <v>3851114.14</v>
      </c>
      <c r="R40" s="387">
        <v>3851114.14</v>
      </c>
      <c r="S40" s="382"/>
      <c r="T40" s="375">
        <f>VLOOKUP(A40,'Nov 2020 cc'!$B$3:$D$317,3,0)</f>
        <v>408</v>
      </c>
      <c r="U40" s="387">
        <v>0</v>
      </c>
      <c r="V40" s="387">
        <v>3732380.28</v>
      </c>
      <c r="W40" s="387">
        <v>3732380.28</v>
      </c>
      <c r="X40" s="382"/>
      <c r="Y40" s="375">
        <v>409</v>
      </c>
      <c r="Z40" s="413">
        <f>VLOOKUP(A40,'2021-22'!$A$6:$D$317,4,0)</f>
        <v>0</v>
      </c>
      <c r="AA40" s="413">
        <f>VLOOKUP(A40,'2021-22'!$A$6:$E$317,5,0)</f>
        <v>3950554.4</v>
      </c>
      <c r="AB40" s="387">
        <f t="shared" si="5"/>
        <v>3950554.4</v>
      </c>
      <c r="AC40" s="382"/>
      <c r="AD40" s="416">
        <v>473</v>
      </c>
      <c r="AE40" s="413">
        <v>270588.7</v>
      </c>
      <c r="AF40" s="413">
        <v>4216534.38</v>
      </c>
      <c r="AG40" s="387">
        <f t="shared" si="6"/>
        <v>4487123.08</v>
      </c>
      <c r="AH40" s="557"/>
      <c r="AI40" s="387">
        <f>IFERROR(VLOOKUP(A40,'23-24 child count'!$C$4:$Y$317,23,0),0)</f>
        <v>489</v>
      </c>
      <c r="AJ40" s="387">
        <f>VLOOKUP(A40,'23-24 state &amp; local'!$A$5:$D$316,4,0)</f>
        <v>270754.58</v>
      </c>
      <c r="AK40" s="387">
        <f>VLOOKUP(A40,'23-24 state &amp; local'!$A$5:$E$316,5,0)</f>
        <v>4738280.0599999996</v>
      </c>
      <c r="AL40" s="387">
        <f t="shared" si="3"/>
        <v>5009034.6399999997</v>
      </c>
      <c r="AM40" s="382"/>
    </row>
    <row r="41" spans="1:39" ht="15" hidden="1" x14ac:dyDescent="0.25">
      <c r="A41" s="375" t="s">
        <v>272</v>
      </c>
      <c r="B41" s="375" t="s">
        <v>221</v>
      </c>
      <c r="C41" s="448" t="s">
        <v>273</v>
      </c>
      <c r="E41" s="461">
        <v>115</v>
      </c>
      <c r="F41" s="468">
        <f>IFERROR(VLOOKUP(A41,'2017-18'!$A$6:$F$315,6,0),0)</f>
        <v>22202.73</v>
      </c>
      <c r="G41" s="468">
        <f>IFERROR(VLOOKUP(A41,'2017-18'!$A$6:$D$315,4,0),0)</f>
        <v>978217.12</v>
      </c>
      <c r="H41" s="468">
        <f t="shared" si="2"/>
        <v>1000419.85</v>
      </c>
      <c r="I41" s="382"/>
      <c r="J41" s="462">
        <v>123</v>
      </c>
      <c r="K41" s="468">
        <f>IFERROR(VLOOKUP(A41,'2018-19'!$A$6:$F$318,6,0),0)</f>
        <v>0</v>
      </c>
      <c r="L41" s="468">
        <f>IFERROR(VLOOKUP(A41,'2018-19'!$A$6:$D$318,4,0),0)</f>
        <v>1098369.94</v>
      </c>
      <c r="M41" s="468">
        <f t="shared" si="4"/>
        <v>1098369.94</v>
      </c>
      <c r="N41" s="382"/>
      <c r="O41" s="452">
        <v>134</v>
      </c>
      <c r="P41" s="387">
        <v>0</v>
      </c>
      <c r="Q41" s="387">
        <v>1285558.71</v>
      </c>
      <c r="R41" s="387">
        <v>1285558.71</v>
      </c>
      <c r="S41" s="382"/>
      <c r="T41" s="375">
        <f>VLOOKUP(A41,'Nov 2020 cc'!$B$3:$D$317,3,0)</f>
        <v>135</v>
      </c>
      <c r="U41" s="387">
        <v>0</v>
      </c>
      <c r="V41" s="387">
        <v>1234362.19</v>
      </c>
      <c r="W41" s="387">
        <v>1234362.19</v>
      </c>
      <c r="X41" s="382"/>
      <c r="Y41" s="375">
        <v>145</v>
      </c>
      <c r="Z41" s="413">
        <f>VLOOKUP(A41,'2021-22'!$A$6:$D$317,4,0)</f>
        <v>0</v>
      </c>
      <c r="AA41" s="413">
        <f>VLOOKUP(A41,'2021-22'!$A$6:$E$317,5,0)</f>
        <v>1298170.51</v>
      </c>
      <c r="AB41" s="387">
        <f t="shared" si="5"/>
        <v>1298170.51</v>
      </c>
      <c r="AC41" s="382"/>
      <c r="AD41" s="416">
        <v>137</v>
      </c>
      <c r="AE41" s="413">
        <v>0</v>
      </c>
      <c r="AF41" s="413">
        <v>1436033.63</v>
      </c>
      <c r="AG41" s="387">
        <f t="shared" si="6"/>
        <v>1436033.63</v>
      </c>
      <c r="AH41" s="557"/>
      <c r="AI41" s="387">
        <f>IFERROR(VLOOKUP(A41,'23-24 child count'!$C$4:$Y$317,23,0),0)</f>
        <v>141</v>
      </c>
      <c r="AJ41" s="387">
        <f>VLOOKUP(A41,'23-24 state &amp; local'!$A$5:$D$316,4,0)</f>
        <v>0</v>
      </c>
      <c r="AK41" s="387">
        <f>VLOOKUP(A41,'23-24 state &amp; local'!$A$5:$E$316,5,0)</f>
        <v>1748828.18</v>
      </c>
      <c r="AL41" s="387">
        <f t="shared" si="3"/>
        <v>1748828.18</v>
      </c>
      <c r="AM41" s="382"/>
    </row>
    <row r="42" spans="1:39" ht="15" hidden="1" x14ac:dyDescent="0.25">
      <c r="A42" s="375" t="s">
        <v>274</v>
      </c>
      <c r="B42" s="375" t="s">
        <v>205</v>
      </c>
      <c r="C42" s="448" t="s">
        <v>275</v>
      </c>
      <c r="E42" s="461">
        <v>1953</v>
      </c>
      <c r="F42" s="468">
        <f>IFERROR(VLOOKUP(A42,'2017-18'!$A$6:$F$315,6,0),0)</f>
        <v>3187402.3</v>
      </c>
      <c r="G42" s="468">
        <f>IFERROR(VLOOKUP(A42,'2017-18'!$A$6:$D$315,4,0),0)</f>
        <v>17087184.309999999</v>
      </c>
      <c r="H42" s="468">
        <f t="shared" si="2"/>
        <v>20274586.609999999</v>
      </c>
      <c r="I42" s="382"/>
      <c r="J42" s="462">
        <v>1999</v>
      </c>
      <c r="K42" s="468">
        <f>IFERROR(VLOOKUP(A42,'2018-19'!$A$6:$F$318,6,0),0)</f>
        <v>1472717.06</v>
      </c>
      <c r="L42" s="468">
        <f>IFERROR(VLOOKUP(A42,'2018-19'!$A$6:$D$318,4,0),0)</f>
        <v>22724471.649999999</v>
      </c>
      <c r="M42" s="468">
        <f t="shared" si="4"/>
        <v>24197188.709999997</v>
      </c>
      <c r="N42" s="382"/>
      <c r="O42" s="452">
        <v>2082</v>
      </c>
      <c r="P42" s="387">
        <v>2363928.2999999998</v>
      </c>
      <c r="Q42" s="387">
        <v>24587384.199999999</v>
      </c>
      <c r="R42" s="387">
        <v>26951312.5</v>
      </c>
      <c r="S42" s="382"/>
      <c r="T42" s="375">
        <f>VLOOKUP(A42,'Nov 2020 cc'!$B$3:$D$317,3,0)</f>
        <v>1978</v>
      </c>
      <c r="U42" s="387">
        <v>2792479.34</v>
      </c>
      <c r="V42" s="387">
        <v>23877009.149999999</v>
      </c>
      <c r="W42" s="387">
        <v>26669488.489999998</v>
      </c>
      <c r="X42" s="382"/>
      <c r="Y42" s="375">
        <v>1976</v>
      </c>
      <c r="Z42" s="413">
        <f>VLOOKUP(A42,'2021-22'!$A$6:$D$317,4,0)</f>
        <v>2946536.76</v>
      </c>
      <c r="AA42" s="413">
        <f>VLOOKUP(A42,'2021-22'!$A$6:$E$317,5,0)</f>
        <v>24060415.699999999</v>
      </c>
      <c r="AB42" s="387">
        <f t="shared" si="5"/>
        <v>27006952.460000001</v>
      </c>
      <c r="AC42" s="382"/>
      <c r="AD42" s="416">
        <v>2032</v>
      </c>
      <c r="AE42" s="413">
        <v>4820396.22</v>
      </c>
      <c r="AF42" s="413">
        <v>27045337.260000002</v>
      </c>
      <c r="AG42" s="387">
        <f t="shared" si="6"/>
        <v>31865733.48</v>
      </c>
      <c r="AH42" s="557"/>
      <c r="AI42" s="387">
        <f>IFERROR(VLOOKUP(A42,'23-24 child count'!$C$4:$Y$317,23,0),0)</f>
        <v>2174</v>
      </c>
      <c r="AJ42" s="387">
        <f>VLOOKUP(A42,'23-24 state &amp; local'!$A$5:$D$316,4,0)</f>
        <v>8599020.0999999996</v>
      </c>
      <c r="AK42" s="387">
        <f>VLOOKUP(A42,'23-24 state &amp; local'!$A$5:$E$316,5,0)</f>
        <v>31407556.100000001</v>
      </c>
      <c r="AL42" s="387">
        <f t="shared" si="3"/>
        <v>40006576.200000003</v>
      </c>
      <c r="AM42" s="382"/>
    </row>
    <row r="43" spans="1:39" ht="15" hidden="1" x14ac:dyDescent="0.25">
      <c r="A43" s="375" t="s">
        <v>276</v>
      </c>
      <c r="B43" s="375" t="s">
        <v>194</v>
      </c>
      <c r="C43" s="448" t="s">
        <v>277</v>
      </c>
      <c r="E43" s="461">
        <v>75</v>
      </c>
      <c r="F43" s="468">
        <f>IFERROR(VLOOKUP(A43,'2017-18'!$A$6:$F$315,6,0),0)</f>
        <v>0</v>
      </c>
      <c r="G43" s="468">
        <f>IFERROR(VLOOKUP(A43,'2017-18'!$A$6:$D$315,4,0),0)</f>
        <v>531302.49</v>
      </c>
      <c r="H43" s="468">
        <f t="shared" si="2"/>
        <v>531302.49</v>
      </c>
      <c r="I43" s="382"/>
      <c r="J43" s="462">
        <v>77</v>
      </c>
      <c r="K43" s="468">
        <f>IFERROR(VLOOKUP(A43,'2018-19'!$A$6:$F$318,6,0),0)</f>
        <v>0</v>
      </c>
      <c r="L43" s="468">
        <f>IFERROR(VLOOKUP(A43,'2018-19'!$A$6:$D$318,4,0),0)</f>
        <v>591290.18000000005</v>
      </c>
      <c r="M43" s="468">
        <f t="shared" si="4"/>
        <v>591290.18000000005</v>
      </c>
      <c r="N43" s="382"/>
      <c r="O43" s="452">
        <v>77</v>
      </c>
      <c r="P43" s="387">
        <v>0</v>
      </c>
      <c r="Q43" s="387">
        <v>650660.06999999995</v>
      </c>
      <c r="R43" s="387">
        <v>650660.06999999995</v>
      </c>
      <c r="S43" s="382"/>
      <c r="T43" s="375">
        <f>VLOOKUP(A43,'Nov 2020 cc'!$B$3:$D$317,3,0)</f>
        <v>76</v>
      </c>
      <c r="U43" s="387">
        <v>0</v>
      </c>
      <c r="V43" s="387">
        <v>732498.81</v>
      </c>
      <c r="W43" s="387">
        <v>732498.81</v>
      </c>
      <c r="X43" s="382"/>
      <c r="Y43" s="375">
        <v>83</v>
      </c>
      <c r="Z43" s="413">
        <f>VLOOKUP(A43,'2021-22'!$A$6:$D$317,4,0)</f>
        <v>0</v>
      </c>
      <c r="AA43" s="413">
        <f>VLOOKUP(A43,'2021-22'!$A$6:$E$317,5,0)</f>
        <v>753649</v>
      </c>
      <c r="AB43" s="387">
        <f t="shared" si="5"/>
        <v>753649</v>
      </c>
      <c r="AC43" s="382"/>
      <c r="AD43" s="416">
        <v>78</v>
      </c>
      <c r="AE43" s="413">
        <v>0</v>
      </c>
      <c r="AF43" s="413">
        <v>798009.8</v>
      </c>
      <c r="AG43" s="387">
        <f t="shared" si="6"/>
        <v>798009.8</v>
      </c>
      <c r="AH43" s="557"/>
      <c r="AI43" s="387">
        <f>IFERROR(VLOOKUP(A43,'23-24 child count'!$C$4:$Y$317,23,0),0)</f>
        <v>68</v>
      </c>
      <c r="AJ43" s="387">
        <f>VLOOKUP(A43,'23-24 state &amp; local'!$A$5:$D$316,4,0)</f>
        <v>0</v>
      </c>
      <c r="AK43" s="387">
        <f>VLOOKUP(A43,'23-24 state &amp; local'!$A$5:$E$316,5,0)</f>
        <v>845191.02</v>
      </c>
      <c r="AL43" s="387">
        <f t="shared" si="3"/>
        <v>845191.02</v>
      </c>
      <c r="AM43" s="382"/>
    </row>
    <row r="44" spans="1:39" ht="15" hidden="1" x14ac:dyDescent="0.25">
      <c r="A44" s="375" t="s">
        <v>278</v>
      </c>
      <c r="B44" s="375" t="s">
        <v>202</v>
      </c>
      <c r="C44" s="448" t="s">
        <v>279</v>
      </c>
      <c r="E44" s="461">
        <v>158</v>
      </c>
      <c r="F44" s="468">
        <f>IFERROR(VLOOKUP(A44,'2017-18'!$A$6:$F$315,6,0),0)</f>
        <v>222371.09</v>
      </c>
      <c r="G44" s="468">
        <f>IFERROR(VLOOKUP(A44,'2017-18'!$A$6:$D$315,4,0),0)</f>
        <v>1303456.52</v>
      </c>
      <c r="H44" s="468">
        <f t="shared" si="2"/>
        <v>1525827.61</v>
      </c>
      <c r="I44" s="382"/>
      <c r="J44" s="462">
        <v>175</v>
      </c>
      <c r="K44" s="468">
        <f>IFERROR(VLOOKUP(A44,'2018-19'!$A$6:$F$318,6,0),0)</f>
        <v>77113.600000000006</v>
      </c>
      <c r="L44" s="468">
        <f>IFERROR(VLOOKUP(A44,'2018-19'!$A$6:$D$318,4,0),0)</f>
        <v>1871738.42</v>
      </c>
      <c r="M44" s="468">
        <f t="shared" si="4"/>
        <v>1948852.02</v>
      </c>
      <c r="N44" s="382"/>
      <c r="O44" s="452">
        <v>205</v>
      </c>
      <c r="P44" s="387">
        <v>189203.29</v>
      </c>
      <c r="Q44" s="387">
        <v>2276065.25</v>
      </c>
      <c r="R44" s="387">
        <v>2465268.54</v>
      </c>
      <c r="S44" s="382"/>
      <c r="T44" s="375">
        <f>VLOOKUP(A44,'Nov 2020 cc'!$B$3:$D$317,3,0)</f>
        <v>222</v>
      </c>
      <c r="U44" s="387">
        <v>198524.52</v>
      </c>
      <c r="V44" s="387">
        <v>2539017.2999999998</v>
      </c>
      <c r="W44" s="387">
        <v>2737541.82</v>
      </c>
      <c r="X44" s="382"/>
      <c r="Y44" s="375">
        <v>236</v>
      </c>
      <c r="Z44" s="413">
        <f>VLOOKUP(A44,'2021-22'!$A$6:$D$317,4,0)</f>
        <v>0</v>
      </c>
      <c r="AA44" s="413">
        <f>VLOOKUP(A44,'2021-22'!$A$6:$E$317,5,0)</f>
        <v>2579618.75</v>
      </c>
      <c r="AB44" s="387">
        <f t="shared" si="5"/>
        <v>2579618.75</v>
      </c>
      <c r="AC44" s="382"/>
      <c r="AD44" s="416">
        <v>214</v>
      </c>
      <c r="AE44" s="413">
        <v>25217.14</v>
      </c>
      <c r="AF44" s="413">
        <v>2761220.78</v>
      </c>
      <c r="AG44" s="387">
        <f t="shared" si="6"/>
        <v>2786437.92</v>
      </c>
      <c r="AH44" s="557"/>
      <c r="AI44" s="387">
        <f>IFERROR(VLOOKUP(A44,'23-24 child count'!$C$4:$Y$317,23,0),0)</f>
        <v>249</v>
      </c>
      <c r="AJ44" s="387">
        <f>VLOOKUP(A44,'23-24 state &amp; local'!$A$5:$D$316,4,0)</f>
        <v>0</v>
      </c>
      <c r="AK44" s="387">
        <f>VLOOKUP(A44,'23-24 state &amp; local'!$A$5:$E$316,5,0)</f>
        <v>3073522.34</v>
      </c>
      <c r="AL44" s="387">
        <f t="shared" si="3"/>
        <v>3073522.34</v>
      </c>
      <c r="AM44" s="382"/>
    </row>
    <row r="45" spans="1:39" ht="15" hidden="1" x14ac:dyDescent="0.25">
      <c r="A45" s="375" t="s">
        <v>280</v>
      </c>
      <c r="B45" s="375" t="s">
        <v>194</v>
      </c>
      <c r="C45" s="448" t="s">
        <v>281</v>
      </c>
      <c r="E45" s="461">
        <v>25</v>
      </c>
      <c r="F45" s="468">
        <f>IFERROR(VLOOKUP(A45,'2017-18'!$A$6:$F$315,6,0),0)</f>
        <v>0</v>
      </c>
      <c r="G45" s="468">
        <f>IFERROR(VLOOKUP(A45,'2017-18'!$A$6:$D$315,4,0),0)</f>
        <v>156571.98000000001</v>
      </c>
      <c r="H45" s="468">
        <f t="shared" si="2"/>
        <v>156571.98000000001</v>
      </c>
      <c r="I45" s="382"/>
      <c r="J45" s="462">
        <v>29</v>
      </c>
      <c r="K45" s="468">
        <f>IFERROR(VLOOKUP(A45,'2018-19'!$A$6:$F$318,6,0),0)</f>
        <v>0</v>
      </c>
      <c r="L45" s="468">
        <f>IFERROR(VLOOKUP(A45,'2018-19'!$A$6:$D$318,4,0),0)</f>
        <v>190261.04</v>
      </c>
      <c r="M45" s="468">
        <f t="shared" si="4"/>
        <v>190261.04</v>
      </c>
      <c r="N45" s="382"/>
      <c r="O45" s="452">
        <v>29</v>
      </c>
      <c r="P45" s="387">
        <v>0</v>
      </c>
      <c r="Q45" s="387">
        <v>220094.43</v>
      </c>
      <c r="R45" s="387">
        <v>220094.43</v>
      </c>
      <c r="S45" s="382"/>
      <c r="T45" s="375">
        <f>VLOOKUP(A45,'Nov 2020 cc'!$B$3:$D$317,3,0)</f>
        <v>26</v>
      </c>
      <c r="U45" s="387">
        <v>0</v>
      </c>
      <c r="V45" s="387">
        <v>212814.33</v>
      </c>
      <c r="W45" s="387">
        <v>212814.33</v>
      </c>
      <c r="X45" s="382"/>
      <c r="Y45" s="375">
        <v>29</v>
      </c>
      <c r="Z45" s="413">
        <f>VLOOKUP(A45,'2021-22'!$A$6:$D$317,4,0)</f>
        <v>0</v>
      </c>
      <c r="AA45" s="413">
        <f>VLOOKUP(A45,'2021-22'!$A$6:$E$317,5,0)</f>
        <v>229095.73</v>
      </c>
      <c r="AB45" s="387">
        <f t="shared" si="5"/>
        <v>229095.73</v>
      </c>
      <c r="AC45" s="382"/>
      <c r="AD45" s="416">
        <v>28</v>
      </c>
      <c r="AE45" s="413">
        <v>0</v>
      </c>
      <c r="AF45" s="413">
        <v>229096.53</v>
      </c>
      <c r="AG45" s="387">
        <f t="shared" si="6"/>
        <v>229096.53</v>
      </c>
      <c r="AH45" s="557"/>
      <c r="AI45" s="387">
        <f>IFERROR(VLOOKUP(A45,'23-24 child count'!$C$4:$Y$317,23,0),0)</f>
        <v>28</v>
      </c>
      <c r="AJ45" s="387">
        <f>VLOOKUP(A45,'23-24 state &amp; local'!$A$5:$D$316,4,0)</f>
        <v>0</v>
      </c>
      <c r="AK45" s="387">
        <f>VLOOKUP(A45,'23-24 state &amp; local'!$A$5:$E$316,5,0)</f>
        <v>256686.36</v>
      </c>
      <c r="AL45" s="387">
        <f t="shared" si="3"/>
        <v>256686.36</v>
      </c>
      <c r="AM45" s="382"/>
    </row>
    <row r="46" spans="1:39" ht="15" hidden="1" x14ac:dyDescent="0.25">
      <c r="A46" s="375" t="s">
        <v>282</v>
      </c>
      <c r="B46" s="375" t="s">
        <v>194</v>
      </c>
      <c r="C46" s="448" t="s">
        <v>1187</v>
      </c>
      <c r="E46" s="461">
        <v>20</v>
      </c>
      <c r="F46" s="468">
        <f>IFERROR(VLOOKUP(A46,'2017-18'!$A$6:$F$315,6,0),0)</f>
        <v>8500</v>
      </c>
      <c r="G46" s="468">
        <f>IFERROR(VLOOKUP(A46,'2017-18'!$A$6:$D$315,4,0),0)</f>
        <v>191619.84</v>
      </c>
      <c r="H46" s="468">
        <f t="shared" si="2"/>
        <v>200119.84</v>
      </c>
      <c r="I46" s="382"/>
      <c r="J46" s="462">
        <v>24</v>
      </c>
      <c r="K46" s="468">
        <f>IFERROR(VLOOKUP(A46,'2018-19'!$A$6:$F$318,6,0),0)</f>
        <v>8501.68</v>
      </c>
      <c r="L46" s="468">
        <f>IFERROR(VLOOKUP(A46,'2018-19'!$A$6:$D$318,4,0),0)</f>
        <v>172273.68</v>
      </c>
      <c r="M46" s="468">
        <f t="shared" si="4"/>
        <v>180775.36</v>
      </c>
      <c r="N46" s="382"/>
      <c r="O46" s="452">
        <v>21</v>
      </c>
      <c r="P46" s="387">
        <v>9119.42</v>
      </c>
      <c r="Q46" s="387">
        <v>198870.15</v>
      </c>
      <c r="R46" s="387">
        <v>207989.57</v>
      </c>
      <c r="S46" s="382"/>
      <c r="T46" s="375">
        <f>VLOOKUP(A46,'Nov 2020 cc'!$B$3:$D$317,3,0)</f>
        <v>16</v>
      </c>
      <c r="U46" s="387">
        <v>9200</v>
      </c>
      <c r="V46" s="387">
        <v>140608.66</v>
      </c>
      <c r="W46" s="387">
        <v>149808.66</v>
      </c>
      <c r="X46" s="382"/>
      <c r="Y46" s="375">
        <v>16</v>
      </c>
      <c r="Z46" s="413">
        <f>VLOOKUP(A46,'2021-22'!$A$6:$D$317,4,0)</f>
        <v>9250</v>
      </c>
      <c r="AA46" s="413">
        <f>VLOOKUP(A46,'2021-22'!$A$6:$E$317,5,0)</f>
        <v>149675.20000000001</v>
      </c>
      <c r="AB46" s="387">
        <f t="shared" si="5"/>
        <v>158925.20000000001</v>
      </c>
      <c r="AC46" s="382"/>
      <c r="AD46" s="416">
        <v>23</v>
      </c>
      <c r="AE46" s="413">
        <v>0</v>
      </c>
      <c r="AF46" s="413">
        <v>220815.05</v>
      </c>
      <c r="AG46" s="387">
        <f t="shared" si="6"/>
        <v>220815.05</v>
      </c>
      <c r="AH46" s="557"/>
      <c r="AI46" s="387">
        <f>IFERROR(VLOOKUP(A46,'23-24 child count'!$C$4:$Y$317,23,0),0)</f>
        <v>22</v>
      </c>
      <c r="AJ46" s="387">
        <f>VLOOKUP(A46,'23-24 state &amp; local'!$A$5:$D$316,4,0)</f>
        <v>0</v>
      </c>
      <c r="AK46" s="387">
        <f>VLOOKUP(A46,'23-24 state &amp; local'!$A$5:$E$316,5,0)</f>
        <v>205047.94</v>
      </c>
      <c r="AL46" s="387">
        <f t="shared" si="3"/>
        <v>205047.94</v>
      </c>
      <c r="AM46" s="382"/>
    </row>
    <row r="47" spans="1:39" ht="15" hidden="1" x14ac:dyDescent="0.25">
      <c r="A47" s="375" t="s">
        <v>284</v>
      </c>
      <c r="B47" s="375" t="s">
        <v>202</v>
      </c>
      <c r="C47" s="448" t="s">
        <v>1188</v>
      </c>
      <c r="E47" s="461">
        <v>124</v>
      </c>
      <c r="F47" s="468">
        <f>IFERROR(VLOOKUP(A47,'2017-18'!$A$6:$F$315,6,0),0)</f>
        <v>0</v>
      </c>
      <c r="G47" s="468">
        <f>IFERROR(VLOOKUP(A47,'2017-18'!$A$6:$D$315,4,0),0)</f>
        <v>928248.11</v>
      </c>
      <c r="H47" s="468">
        <f t="shared" si="2"/>
        <v>928248.11</v>
      </c>
      <c r="I47" s="382"/>
      <c r="J47" s="462">
        <v>114</v>
      </c>
      <c r="K47" s="468">
        <f>IFERROR(VLOOKUP(A47,'2018-19'!$A$6:$F$318,6,0),0)</f>
        <v>0</v>
      </c>
      <c r="L47" s="468">
        <f>IFERROR(VLOOKUP(A47,'2018-19'!$A$6:$D$318,4,0),0)</f>
        <v>1060953.28</v>
      </c>
      <c r="M47" s="468">
        <f t="shared" si="4"/>
        <v>1060953.28</v>
      </c>
      <c r="N47" s="382"/>
      <c r="O47" s="452">
        <v>128</v>
      </c>
      <c r="P47" s="387">
        <v>0</v>
      </c>
      <c r="Q47" s="387">
        <v>1017666.68</v>
      </c>
      <c r="R47" s="387">
        <v>1017666.68</v>
      </c>
      <c r="S47" s="382"/>
      <c r="T47" s="375">
        <f>VLOOKUP(A47,'Nov 2020 cc'!$B$3:$D$317,3,0)</f>
        <v>117</v>
      </c>
      <c r="U47" s="387">
        <v>24383.93</v>
      </c>
      <c r="V47" s="387">
        <v>1135330.92</v>
      </c>
      <c r="W47" s="387">
        <v>1159714.8499999999</v>
      </c>
      <c r="X47" s="382"/>
      <c r="Y47" s="375">
        <v>103</v>
      </c>
      <c r="Z47" s="413">
        <f>VLOOKUP(A47,'2021-22'!$A$6:$D$317,4,0)</f>
        <v>0</v>
      </c>
      <c r="AA47" s="413">
        <f>VLOOKUP(A47,'2021-22'!$A$6:$E$317,5,0)</f>
        <v>1150001.8999999999</v>
      </c>
      <c r="AB47" s="387">
        <f t="shared" si="5"/>
        <v>1150001.8999999999</v>
      </c>
      <c r="AC47" s="382"/>
      <c r="AD47" s="416">
        <v>110</v>
      </c>
      <c r="AE47" s="413">
        <v>3844.39</v>
      </c>
      <c r="AF47" s="413">
        <v>1418003.43</v>
      </c>
      <c r="AG47" s="387">
        <f t="shared" si="6"/>
        <v>1421847.8199999998</v>
      </c>
      <c r="AH47" s="557"/>
      <c r="AI47" s="387">
        <f>IFERROR(VLOOKUP(A47,'23-24 child count'!$C$4:$Y$317,23,0),0)</f>
        <v>118</v>
      </c>
      <c r="AJ47" s="387">
        <f>VLOOKUP(A47,'23-24 state &amp; local'!$A$5:$D$316,4,0)</f>
        <v>0</v>
      </c>
      <c r="AK47" s="387">
        <f>VLOOKUP(A47,'23-24 state &amp; local'!$A$5:$E$316,5,0)</f>
        <v>1422131.33</v>
      </c>
      <c r="AL47" s="387">
        <f t="shared" si="3"/>
        <v>1422131.33</v>
      </c>
      <c r="AM47" s="382"/>
    </row>
    <row r="48" spans="1:39" ht="15" hidden="1" x14ac:dyDescent="0.25">
      <c r="A48" s="375" t="s">
        <v>286</v>
      </c>
      <c r="B48" s="375" t="s">
        <v>194</v>
      </c>
      <c r="C48" s="448" t="s">
        <v>287</v>
      </c>
      <c r="E48" s="461">
        <v>299</v>
      </c>
      <c r="F48" s="468">
        <f>IFERROR(VLOOKUP(A48,'2017-18'!$A$6:$F$315,6,0),0)</f>
        <v>0</v>
      </c>
      <c r="G48" s="468">
        <f>IFERROR(VLOOKUP(A48,'2017-18'!$A$6:$D$315,4,0),0)</f>
        <v>2447464.23</v>
      </c>
      <c r="H48" s="468">
        <f t="shared" si="2"/>
        <v>2447464.23</v>
      </c>
      <c r="I48" s="382"/>
      <c r="J48" s="462">
        <v>305</v>
      </c>
      <c r="K48" s="468">
        <f>IFERROR(VLOOKUP(A48,'2018-19'!$A$6:$F$318,6,0),0)</f>
        <v>0</v>
      </c>
      <c r="L48" s="468">
        <f>IFERROR(VLOOKUP(A48,'2018-19'!$A$6:$D$318,4,0),0)</f>
        <v>2886053.1</v>
      </c>
      <c r="M48" s="468">
        <f t="shared" si="4"/>
        <v>2886053.1</v>
      </c>
      <c r="N48" s="382"/>
      <c r="O48" s="452">
        <v>275</v>
      </c>
      <c r="P48" s="387">
        <v>0</v>
      </c>
      <c r="Q48" s="387">
        <v>2758468.5</v>
      </c>
      <c r="R48" s="387">
        <v>2758468.5</v>
      </c>
      <c r="S48" s="382"/>
      <c r="T48" s="375">
        <f>VLOOKUP(A48,'Nov 2020 cc'!$B$3:$D$317,3,0)</f>
        <v>248</v>
      </c>
      <c r="U48" s="387">
        <v>0</v>
      </c>
      <c r="V48" s="387">
        <v>2630266.7999999998</v>
      </c>
      <c r="W48" s="387">
        <v>2630266.7999999998</v>
      </c>
      <c r="X48" s="382"/>
      <c r="Y48" s="375">
        <v>255</v>
      </c>
      <c r="Z48" s="413">
        <f>VLOOKUP(A48,'2021-22'!$A$6:$D$317,4,0)</f>
        <v>0</v>
      </c>
      <c r="AA48" s="413">
        <f>VLOOKUP(A48,'2021-22'!$A$6:$E$317,5,0)</f>
        <v>2400556.1800000002</v>
      </c>
      <c r="AB48" s="387">
        <f t="shared" si="5"/>
        <v>2400556.1800000002</v>
      </c>
      <c r="AC48" s="382"/>
      <c r="AD48" s="416">
        <v>280</v>
      </c>
      <c r="AE48" s="413">
        <v>0</v>
      </c>
      <c r="AF48" s="413">
        <v>2943449.77</v>
      </c>
      <c r="AG48" s="387">
        <f t="shared" si="6"/>
        <v>2943449.77</v>
      </c>
      <c r="AH48" s="557"/>
      <c r="AI48" s="387">
        <f>IFERROR(VLOOKUP(A48,'23-24 child count'!$C$4:$Y$317,23,0),0)</f>
        <v>320</v>
      </c>
      <c r="AJ48" s="387">
        <f>VLOOKUP(A48,'23-24 state &amp; local'!$A$5:$D$316,4,0)</f>
        <v>0</v>
      </c>
      <c r="AK48" s="387">
        <f>VLOOKUP(A48,'23-24 state &amp; local'!$A$5:$E$316,5,0)</f>
        <v>3274940.56</v>
      </c>
      <c r="AL48" s="387">
        <f t="shared" si="3"/>
        <v>3274940.56</v>
      </c>
      <c r="AM48" s="382"/>
    </row>
    <row r="49" spans="1:39" ht="15" hidden="1" x14ac:dyDescent="0.25">
      <c r="A49" s="375" t="s">
        <v>288</v>
      </c>
      <c r="B49" s="375" t="s">
        <v>197</v>
      </c>
      <c r="C49" s="448" t="s">
        <v>289</v>
      </c>
      <c r="E49" s="461">
        <v>81</v>
      </c>
      <c r="F49" s="468">
        <f>IFERROR(VLOOKUP(A49,'2017-18'!$A$6:$F$315,6,0),0)</f>
        <v>2500</v>
      </c>
      <c r="G49" s="468">
        <f>IFERROR(VLOOKUP(A49,'2017-18'!$A$6:$D$315,4,0),0)</f>
        <v>772319.69</v>
      </c>
      <c r="H49" s="468">
        <f t="shared" si="2"/>
        <v>774819.69</v>
      </c>
      <c r="I49" s="382"/>
      <c r="J49" s="462">
        <v>98</v>
      </c>
      <c r="K49" s="468">
        <f>IFERROR(VLOOKUP(A49,'2018-19'!$A$6:$F$318,6,0),0)</f>
        <v>2600</v>
      </c>
      <c r="L49" s="468">
        <f>IFERROR(VLOOKUP(A49,'2018-19'!$A$6:$D$318,4,0),0)</f>
        <v>1019307.02</v>
      </c>
      <c r="M49" s="468">
        <f t="shared" si="4"/>
        <v>1021907.02</v>
      </c>
      <c r="N49" s="382"/>
      <c r="O49" s="452">
        <v>92</v>
      </c>
      <c r="P49" s="387">
        <v>2700</v>
      </c>
      <c r="Q49" s="387">
        <v>1081803.83</v>
      </c>
      <c r="R49" s="387">
        <v>1084503.83</v>
      </c>
      <c r="S49" s="382"/>
      <c r="T49" s="375">
        <f>VLOOKUP(A49,'Nov 2020 cc'!$B$3:$D$317,3,0)</f>
        <v>86</v>
      </c>
      <c r="U49" s="387">
        <v>2800</v>
      </c>
      <c r="V49" s="387">
        <v>1046978.87</v>
      </c>
      <c r="W49" s="387">
        <v>1049778.8700000001</v>
      </c>
      <c r="X49" s="382"/>
      <c r="Y49" s="375">
        <v>86</v>
      </c>
      <c r="Z49" s="413">
        <f>VLOOKUP(A49,'2021-22'!$A$6:$D$317,4,0)</f>
        <v>2900</v>
      </c>
      <c r="AA49" s="413">
        <f>VLOOKUP(A49,'2021-22'!$A$6:$E$317,5,0)</f>
        <v>1373604.93</v>
      </c>
      <c r="AB49" s="387">
        <f t="shared" si="5"/>
        <v>1376504.93</v>
      </c>
      <c r="AC49" s="382"/>
      <c r="AD49" s="416">
        <v>97</v>
      </c>
      <c r="AE49" s="413">
        <v>3000</v>
      </c>
      <c r="AF49" s="413">
        <v>1676902.84</v>
      </c>
      <c r="AG49" s="387">
        <f t="shared" si="6"/>
        <v>1679902.84</v>
      </c>
      <c r="AH49" s="557"/>
      <c r="AI49" s="387">
        <f>IFERROR(VLOOKUP(A49,'23-24 child count'!$C$4:$Y$317,23,0),0)</f>
        <v>90</v>
      </c>
      <c r="AJ49" s="387">
        <f>VLOOKUP(A49,'23-24 state &amp; local'!$A$5:$D$316,4,0)</f>
        <v>3500</v>
      </c>
      <c r="AK49" s="387">
        <f>VLOOKUP(A49,'23-24 state &amp; local'!$A$5:$E$316,5,0)</f>
        <v>2133132.0299999998</v>
      </c>
      <c r="AL49" s="387">
        <f t="shared" si="3"/>
        <v>2136632.0299999998</v>
      </c>
      <c r="AM49" s="382"/>
    </row>
    <row r="50" spans="1:39" ht="15" hidden="1" x14ac:dyDescent="0.25">
      <c r="A50" s="375" t="s">
        <v>290</v>
      </c>
      <c r="B50" s="375" t="s">
        <v>197</v>
      </c>
      <c r="C50" s="448" t="s">
        <v>291</v>
      </c>
      <c r="E50" s="461">
        <v>43</v>
      </c>
      <c r="F50" s="468">
        <f>IFERROR(VLOOKUP(A50,'2017-18'!$A$6:$F$315,6,0),0)</f>
        <v>9922.61</v>
      </c>
      <c r="G50" s="468">
        <f>IFERROR(VLOOKUP(A50,'2017-18'!$A$6:$D$315,4,0),0)</f>
        <v>620837.63</v>
      </c>
      <c r="H50" s="468">
        <f t="shared" si="2"/>
        <v>630760.24</v>
      </c>
      <c r="I50" s="382"/>
      <c r="J50" s="462">
        <v>46</v>
      </c>
      <c r="K50" s="468">
        <f>IFERROR(VLOOKUP(A50,'2018-19'!$A$6:$F$318,6,0),0)</f>
        <v>133821.89000000001</v>
      </c>
      <c r="L50" s="468">
        <f>IFERROR(VLOOKUP(A50,'2018-19'!$A$6:$D$318,4,0),0)</f>
        <v>434107.22</v>
      </c>
      <c r="M50" s="468">
        <f t="shared" si="4"/>
        <v>567929.11</v>
      </c>
      <c r="N50" s="382"/>
      <c r="O50" s="452">
        <v>49</v>
      </c>
      <c r="P50" s="387">
        <v>0</v>
      </c>
      <c r="Q50" s="387">
        <v>724062.57</v>
      </c>
      <c r="R50" s="387">
        <v>724062.57</v>
      </c>
      <c r="S50" s="382"/>
      <c r="T50" s="375">
        <f>VLOOKUP(A50,'Nov 2020 cc'!$B$3:$D$317,3,0)</f>
        <v>46</v>
      </c>
      <c r="U50" s="387">
        <v>0</v>
      </c>
      <c r="V50" s="387">
        <v>636065.31999999995</v>
      </c>
      <c r="W50" s="387">
        <v>636065.31999999995</v>
      </c>
      <c r="X50" s="382"/>
      <c r="Y50" s="375">
        <v>44</v>
      </c>
      <c r="Z50" s="413">
        <f>VLOOKUP(A50,'2021-22'!$A$6:$D$317,4,0)</f>
        <v>0</v>
      </c>
      <c r="AA50" s="413">
        <f>VLOOKUP(A50,'2021-22'!$A$6:$E$317,5,0)</f>
        <v>634372.84</v>
      </c>
      <c r="AB50" s="387">
        <f t="shared" si="5"/>
        <v>634372.84</v>
      </c>
      <c r="AC50" s="382"/>
      <c r="AD50" s="416">
        <v>38</v>
      </c>
      <c r="AE50" s="413">
        <v>1831.49</v>
      </c>
      <c r="AF50" s="413">
        <v>651276.98</v>
      </c>
      <c r="AG50" s="387">
        <f t="shared" si="6"/>
        <v>653108.47</v>
      </c>
      <c r="AH50" s="557"/>
      <c r="AI50" s="387">
        <f>IFERROR(VLOOKUP(A50,'23-24 child count'!$C$4:$Y$317,23,0),0)</f>
        <v>39</v>
      </c>
      <c r="AJ50" s="387">
        <f>VLOOKUP(A50,'23-24 state &amp; local'!$A$5:$D$316,4,0)</f>
        <v>1916.92</v>
      </c>
      <c r="AK50" s="387">
        <f>VLOOKUP(A50,'23-24 state &amp; local'!$A$5:$E$316,5,0)</f>
        <v>532710.89</v>
      </c>
      <c r="AL50" s="387">
        <f t="shared" si="3"/>
        <v>534627.81000000006</v>
      </c>
      <c r="AM50" s="382"/>
    </row>
    <row r="51" spans="1:39" ht="15" hidden="1" x14ac:dyDescent="0.25">
      <c r="A51" s="375" t="s">
        <v>292</v>
      </c>
      <c r="B51" s="375" t="s">
        <v>189</v>
      </c>
      <c r="C51" s="448" t="s">
        <v>293</v>
      </c>
      <c r="E51" s="461">
        <v>30</v>
      </c>
      <c r="F51" s="468">
        <f>IFERROR(VLOOKUP(A51,'2017-18'!$A$6:$F$315,6,0),0)</f>
        <v>0</v>
      </c>
      <c r="G51" s="468">
        <f>IFERROR(VLOOKUP(A51,'2017-18'!$A$6:$D$315,4,0),0)</f>
        <v>184796.5</v>
      </c>
      <c r="H51" s="468">
        <f t="shared" si="2"/>
        <v>184796.5</v>
      </c>
      <c r="I51" s="382"/>
      <c r="J51" s="462">
        <v>29</v>
      </c>
      <c r="K51" s="468">
        <f>IFERROR(VLOOKUP(A51,'2018-19'!$A$6:$F$318,6,0),0)</f>
        <v>0</v>
      </c>
      <c r="L51" s="468">
        <f>IFERROR(VLOOKUP(A51,'2018-19'!$A$6:$D$318,4,0),0)</f>
        <v>254548.73</v>
      </c>
      <c r="M51" s="468">
        <f t="shared" si="4"/>
        <v>254548.73</v>
      </c>
      <c r="N51" s="382"/>
      <c r="O51" s="452">
        <v>34</v>
      </c>
      <c r="P51" s="387">
        <v>0</v>
      </c>
      <c r="Q51" s="387">
        <v>339798.49</v>
      </c>
      <c r="R51" s="387">
        <v>339798.49</v>
      </c>
      <c r="S51" s="382"/>
      <c r="T51" s="375">
        <f>VLOOKUP(A51,'Nov 2020 cc'!$B$3:$D$317,3,0)</f>
        <v>22</v>
      </c>
      <c r="U51" s="387">
        <v>0</v>
      </c>
      <c r="V51" s="387">
        <v>273545.02</v>
      </c>
      <c r="W51" s="387">
        <v>273545.02</v>
      </c>
      <c r="X51" s="382"/>
      <c r="Y51" s="375">
        <v>24</v>
      </c>
      <c r="Z51" s="413">
        <f>VLOOKUP(A51,'2021-22'!$A$6:$D$317,4,0)</f>
        <v>0</v>
      </c>
      <c r="AA51" s="413">
        <f>VLOOKUP(A51,'2021-22'!$A$6:$E$317,5,0)</f>
        <v>252323.7</v>
      </c>
      <c r="AB51" s="387">
        <f t="shared" si="5"/>
        <v>252323.7</v>
      </c>
      <c r="AC51" s="382"/>
      <c r="AD51" s="416">
        <v>20</v>
      </c>
      <c r="AE51" s="413">
        <v>0</v>
      </c>
      <c r="AF51" s="413">
        <v>435996.92</v>
      </c>
      <c r="AG51" s="387">
        <f t="shared" si="6"/>
        <v>435996.92</v>
      </c>
      <c r="AH51" s="557"/>
      <c r="AI51" s="387">
        <f>IFERROR(VLOOKUP(A51,'23-24 child count'!$C$4:$Y$317,23,0),0)</f>
        <v>19</v>
      </c>
      <c r="AJ51" s="387">
        <f>VLOOKUP(A51,'23-24 state &amp; local'!$A$5:$D$316,4,0)</f>
        <v>0</v>
      </c>
      <c r="AK51" s="387">
        <f>VLOOKUP(A51,'23-24 state &amp; local'!$A$5:$E$316,5,0)</f>
        <v>413884.61</v>
      </c>
      <c r="AL51" s="387">
        <f t="shared" si="3"/>
        <v>413884.61</v>
      </c>
      <c r="AM51" s="382"/>
    </row>
    <row r="52" spans="1:39" ht="15" hidden="1" x14ac:dyDescent="0.25">
      <c r="A52" s="375" t="s">
        <v>294</v>
      </c>
      <c r="B52" s="375" t="s">
        <v>231</v>
      </c>
      <c r="C52" s="448" t="s">
        <v>295</v>
      </c>
      <c r="E52" s="461">
        <v>17</v>
      </c>
      <c r="F52" s="468">
        <f>IFERROR(VLOOKUP(A52,'2017-18'!$A$6:$F$315,6,0),0)</f>
        <v>1421.36</v>
      </c>
      <c r="G52" s="468">
        <f>IFERROR(VLOOKUP(A52,'2017-18'!$A$6:$D$315,4,0),0)</f>
        <v>155537.82999999999</v>
      </c>
      <c r="H52" s="468">
        <f t="shared" si="2"/>
        <v>156959.18999999997</v>
      </c>
      <c r="I52" s="382"/>
      <c r="J52" s="462">
        <v>17</v>
      </c>
      <c r="K52" s="468">
        <f>IFERROR(VLOOKUP(A52,'2018-19'!$A$6:$F$318,6,0),0)</f>
        <v>0</v>
      </c>
      <c r="L52" s="468">
        <f>IFERROR(VLOOKUP(A52,'2018-19'!$A$6:$D$318,4,0),0)</f>
        <v>195145.94</v>
      </c>
      <c r="M52" s="468">
        <f t="shared" si="4"/>
        <v>195145.94</v>
      </c>
      <c r="N52" s="382"/>
      <c r="O52" s="452">
        <v>19</v>
      </c>
      <c r="P52" s="387">
        <v>0</v>
      </c>
      <c r="Q52" s="387">
        <v>238921.44</v>
      </c>
      <c r="R52" s="387">
        <v>238921.44</v>
      </c>
      <c r="S52" s="382"/>
      <c r="T52" s="375">
        <f>VLOOKUP(A52,'Nov 2020 cc'!$B$3:$D$317,3,0)</f>
        <v>17</v>
      </c>
      <c r="U52" s="387">
        <v>0</v>
      </c>
      <c r="V52" s="387">
        <v>212134.08</v>
      </c>
      <c r="W52" s="387">
        <v>212134.08</v>
      </c>
      <c r="X52" s="382"/>
      <c r="Y52" s="375">
        <v>17</v>
      </c>
      <c r="Z52" s="413">
        <f>VLOOKUP(A52,'2021-22'!$A$6:$D$317,4,0)</f>
        <v>0</v>
      </c>
      <c r="AA52" s="413">
        <f>VLOOKUP(A52,'2021-22'!$A$6:$E$317,5,0)</f>
        <v>248721.61</v>
      </c>
      <c r="AB52" s="387">
        <f t="shared" si="5"/>
        <v>248721.61</v>
      </c>
      <c r="AC52" s="382"/>
      <c r="AD52" s="416">
        <v>16</v>
      </c>
      <c r="AE52" s="413">
        <v>0</v>
      </c>
      <c r="AF52" s="413">
        <v>259908.94</v>
      </c>
      <c r="AG52" s="387">
        <f t="shared" si="6"/>
        <v>259908.94</v>
      </c>
      <c r="AH52" s="557"/>
      <c r="AI52" s="387">
        <f>IFERROR(VLOOKUP(A52,'23-24 child count'!$C$4:$Y$317,23,0),0)</f>
        <v>24</v>
      </c>
      <c r="AJ52" s="387">
        <f>VLOOKUP(A52,'23-24 state &amp; local'!$A$5:$D$316,4,0)</f>
        <v>0</v>
      </c>
      <c r="AK52" s="387">
        <f>VLOOKUP(A52,'23-24 state &amp; local'!$A$5:$E$316,5,0)</f>
        <v>310114.71000000002</v>
      </c>
      <c r="AL52" s="387">
        <f t="shared" si="3"/>
        <v>310114.71000000002</v>
      </c>
      <c r="AM52" s="382"/>
    </row>
    <row r="53" spans="1:39" ht="15" hidden="1" x14ac:dyDescent="0.25">
      <c r="A53" s="375" t="s">
        <v>296</v>
      </c>
      <c r="B53" s="375" t="s">
        <v>197</v>
      </c>
      <c r="C53" s="448" t="s">
        <v>297</v>
      </c>
      <c r="E53" s="461">
        <v>134</v>
      </c>
      <c r="F53" s="468">
        <f>IFERROR(VLOOKUP(A53,'2017-18'!$A$6:$F$315,6,0),0)</f>
        <v>0</v>
      </c>
      <c r="G53" s="468">
        <f>IFERROR(VLOOKUP(A53,'2017-18'!$A$6:$D$315,4,0),0)</f>
        <v>1164061.27</v>
      </c>
      <c r="H53" s="468">
        <f t="shared" si="2"/>
        <v>1164061.27</v>
      </c>
      <c r="I53" s="382"/>
      <c r="J53" s="462">
        <v>138</v>
      </c>
      <c r="K53" s="468">
        <f>IFERROR(VLOOKUP(A53,'2018-19'!$A$6:$F$318,6,0),0)</f>
        <v>0</v>
      </c>
      <c r="L53" s="468">
        <f>IFERROR(VLOOKUP(A53,'2018-19'!$A$6:$D$318,4,0),0)</f>
        <v>1694308.84</v>
      </c>
      <c r="M53" s="468">
        <f t="shared" si="4"/>
        <v>1694308.84</v>
      </c>
      <c r="N53" s="382"/>
      <c r="O53" s="452">
        <v>161</v>
      </c>
      <c r="P53" s="387">
        <v>10806.52</v>
      </c>
      <c r="Q53" s="387">
        <v>1784997.66</v>
      </c>
      <c r="R53" s="387">
        <v>1795804.18</v>
      </c>
      <c r="S53" s="382"/>
      <c r="T53" s="375">
        <f>VLOOKUP(A53,'Nov 2020 cc'!$B$3:$D$317,3,0)</f>
        <v>147</v>
      </c>
      <c r="U53" s="387">
        <v>0</v>
      </c>
      <c r="V53" s="387">
        <v>1920186.98</v>
      </c>
      <c r="W53" s="387">
        <v>1920186.98</v>
      </c>
      <c r="X53" s="382"/>
      <c r="Y53" s="375">
        <v>151</v>
      </c>
      <c r="Z53" s="413">
        <f>VLOOKUP(A53,'2021-22'!$A$6:$D$317,4,0)</f>
        <v>0</v>
      </c>
      <c r="AA53" s="413">
        <f>VLOOKUP(A53,'2021-22'!$A$6:$E$317,5,0)</f>
        <v>2256900.02</v>
      </c>
      <c r="AB53" s="387">
        <f t="shared" si="5"/>
        <v>2256900.02</v>
      </c>
      <c r="AC53" s="382"/>
      <c r="AD53" s="416">
        <v>162</v>
      </c>
      <c r="AE53" s="413">
        <v>0</v>
      </c>
      <c r="AF53" s="413">
        <v>2355809.9700000002</v>
      </c>
      <c r="AG53" s="387">
        <f t="shared" si="6"/>
        <v>2355809.9700000002</v>
      </c>
      <c r="AH53" s="557"/>
      <c r="AI53" s="387">
        <f>IFERROR(VLOOKUP(A53,'23-24 child count'!$C$4:$Y$317,23,0),0)</f>
        <v>176</v>
      </c>
      <c r="AJ53" s="387">
        <f>VLOOKUP(A53,'23-24 state &amp; local'!$A$5:$D$316,4,0)</f>
        <v>0</v>
      </c>
      <c r="AK53" s="387">
        <f>VLOOKUP(A53,'23-24 state &amp; local'!$A$5:$E$316,5,0)</f>
        <v>2277102.0499999998</v>
      </c>
      <c r="AL53" s="387">
        <f t="shared" si="3"/>
        <v>2277102.0499999998</v>
      </c>
      <c r="AM53" s="382"/>
    </row>
    <row r="54" spans="1:39" ht="15" hidden="1" x14ac:dyDescent="0.25">
      <c r="A54" s="375" t="s">
        <v>298</v>
      </c>
      <c r="B54" s="375" t="s">
        <v>228</v>
      </c>
      <c r="C54" s="448" t="s">
        <v>299</v>
      </c>
      <c r="E54" s="461">
        <v>34</v>
      </c>
      <c r="F54" s="468">
        <f>IFERROR(VLOOKUP(A54,'2017-18'!$A$6:$F$315,6,0),0)</f>
        <v>1</v>
      </c>
      <c r="G54" s="468">
        <f>IFERROR(VLOOKUP(A54,'2017-18'!$A$6:$D$315,4,0),0)</f>
        <v>235352.06</v>
      </c>
      <c r="H54" s="468">
        <f t="shared" si="2"/>
        <v>235353.06</v>
      </c>
      <c r="I54" s="382"/>
      <c r="J54" s="462">
        <v>37</v>
      </c>
      <c r="K54" s="468">
        <f>IFERROR(VLOOKUP(A54,'2018-19'!$A$6:$F$318,6,0),0)</f>
        <v>0</v>
      </c>
      <c r="L54" s="468">
        <f>IFERROR(VLOOKUP(A54,'2018-19'!$A$6:$D$318,4,0),0)</f>
        <v>300184.81</v>
      </c>
      <c r="M54" s="468">
        <f t="shared" si="4"/>
        <v>300184.81</v>
      </c>
      <c r="N54" s="382"/>
      <c r="O54" s="452">
        <v>36</v>
      </c>
      <c r="P54" s="387">
        <v>0</v>
      </c>
      <c r="Q54" s="387">
        <v>488114.91</v>
      </c>
      <c r="R54" s="387">
        <v>488114.91</v>
      </c>
      <c r="S54" s="382"/>
      <c r="T54" s="375">
        <f>VLOOKUP(A54,'Nov 2020 cc'!$B$3:$D$317,3,0)</f>
        <v>32</v>
      </c>
      <c r="U54" s="387">
        <v>104005.79</v>
      </c>
      <c r="V54" s="387">
        <v>295810.59000000003</v>
      </c>
      <c r="W54" s="387">
        <v>399816.38</v>
      </c>
      <c r="X54" s="382"/>
      <c r="Y54" s="375">
        <v>32</v>
      </c>
      <c r="Z54" s="413">
        <f>VLOOKUP(A54,'2021-22'!$A$6:$D$317,4,0)</f>
        <v>4133.46</v>
      </c>
      <c r="AA54" s="413">
        <f>VLOOKUP(A54,'2021-22'!$A$6:$E$317,5,0)</f>
        <v>407595.21</v>
      </c>
      <c r="AB54" s="387">
        <f t="shared" si="5"/>
        <v>411728.67000000004</v>
      </c>
      <c r="AC54" s="382"/>
      <c r="AD54" s="416">
        <v>38</v>
      </c>
      <c r="AE54" s="413">
        <v>0</v>
      </c>
      <c r="AF54" s="413">
        <v>381578.05</v>
      </c>
      <c r="AG54" s="387">
        <f t="shared" si="6"/>
        <v>381578.05</v>
      </c>
      <c r="AH54" s="557"/>
      <c r="AI54" s="387">
        <f>IFERROR(VLOOKUP(A54,'23-24 child count'!$C$4:$Y$317,23,0),0)</f>
        <v>34</v>
      </c>
      <c r="AJ54" s="387">
        <f>VLOOKUP(A54,'23-24 state &amp; local'!$A$5:$D$316,4,0)</f>
        <v>111226.91</v>
      </c>
      <c r="AK54" s="387">
        <f>VLOOKUP(A54,'23-24 state &amp; local'!$A$5:$E$316,5,0)</f>
        <v>416082.77</v>
      </c>
      <c r="AL54" s="387">
        <f t="shared" si="3"/>
        <v>527309.68000000005</v>
      </c>
      <c r="AM54" s="382"/>
    </row>
    <row r="55" spans="1:39" ht="15" hidden="1" x14ac:dyDescent="0.25">
      <c r="A55" s="375" t="s">
        <v>300</v>
      </c>
      <c r="B55" s="375" t="s">
        <v>194</v>
      </c>
      <c r="C55" s="448" t="s">
        <v>301</v>
      </c>
      <c r="E55" s="461">
        <v>14</v>
      </c>
      <c r="F55" s="468">
        <f>IFERROR(VLOOKUP(A55,'2017-18'!$A$6:$F$315,6,0),0)</f>
        <v>0</v>
      </c>
      <c r="G55" s="468">
        <f>IFERROR(VLOOKUP(A55,'2017-18'!$A$6:$D$315,4,0),0)</f>
        <v>177043.19</v>
      </c>
      <c r="H55" s="468">
        <f t="shared" si="2"/>
        <v>177043.19</v>
      </c>
      <c r="I55" s="382"/>
      <c r="J55" s="462">
        <v>16</v>
      </c>
      <c r="K55" s="468">
        <f>IFERROR(VLOOKUP(A55,'2018-19'!$A$6:$F$318,6,0),0)</f>
        <v>40100</v>
      </c>
      <c r="L55" s="468">
        <f>IFERROR(VLOOKUP(A55,'2018-19'!$A$6:$D$318,4,0),0)</f>
        <v>121919.79</v>
      </c>
      <c r="M55" s="468">
        <f t="shared" si="4"/>
        <v>162019.78999999998</v>
      </c>
      <c r="N55" s="382"/>
      <c r="O55" s="452">
        <v>13</v>
      </c>
      <c r="P55" s="387">
        <v>36000</v>
      </c>
      <c r="Q55" s="387">
        <v>163332.26999999999</v>
      </c>
      <c r="R55" s="387">
        <v>199332.27</v>
      </c>
      <c r="S55" s="382"/>
      <c r="T55" s="375">
        <f>VLOOKUP(A55,'Nov 2020 cc'!$B$3:$D$317,3,0)</f>
        <v>17</v>
      </c>
      <c r="U55" s="387">
        <v>36000</v>
      </c>
      <c r="V55" s="387">
        <v>145471.87</v>
      </c>
      <c r="W55" s="387">
        <v>181471.87</v>
      </c>
      <c r="X55" s="382"/>
      <c r="Y55" s="375">
        <v>22</v>
      </c>
      <c r="Z55" s="413">
        <f>VLOOKUP(A55,'2021-22'!$A$6:$D$317,4,0)</f>
        <v>36000</v>
      </c>
      <c r="AA55" s="413">
        <f>VLOOKUP(A55,'2021-22'!$A$6:$E$317,5,0)</f>
        <v>148166.95000000001</v>
      </c>
      <c r="AB55" s="387">
        <f t="shared" si="5"/>
        <v>184166.95</v>
      </c>
      <c r="AC55" s="382"/>
      <c r="AD55" s="416">
        <v>22</v>
      </c>
      <c r="AE55" s="413">
        <v>36000</v>
      </c>
      <c r="AF55" s="413">
        <v>153507.06</v>
      </c>
      <c r="AG55" s="387">
        <f t="shared" si="6"/>
        <v>189507.06</v>
      </c>
      <c r="AH55" s="557"/>
      <c r="AI55" s="387">
        <f>IFERROR(VLOOKUP(A55,'23-24 child count'!$C$4:$Y$317,23,0),0)</f>
        <v>19</v>
      </c>
      <c r="AJ55" s="387">
        <f>VLOOKUP(A55,'23-24 state &amp; local'!$A$5:$D$316,4,0)</f>
        <v>115119.76</v>
      </c>
      <c r="AK55" s="387">
        <f>VLOOKUP(A55,'23-24 state &amp; local'!$A$5:$E$316,5,0)</f>
        <v>162809.9</v>
      </c>
      <c r="AL55" s="387">
        <f t="shared" si="3"/>
        <v>277929.65999999997</v>
      </c>
      <c r="AM55" s="382"/>
    </row>
    <row r="56" spans="1:39" ht="15" hidden="1" x14ac:dyDescent="0.25">
      <c r="A56" s="375" t="s">
        <v>302</v>
      </c>
      <c r="B56" s="375" t="s">
        <v>194</v>
      </c>
      <c r="C56" s="448" t="s">
        <v>303</v>
      </c>
      <c r="E56" s="461">
        <v>23</v>
      </c>
      <c r="F56" s="468">
        <f>IFERROR(VLOOKUP(A56,'2017-18'!$A$6:$F$315,6,0),0)</f>
        <v>0</v>
      </c>
      <c r="G56" s="468">
        <f>IFERROR(VLOOKUP(A56,'2017-18'!$A$6:$D$315,4,0),0)</f>
        <v>169921.28</v>
      </c>
      <c r="H56" s="468">
        <f t="shared" si="2"/>
        <v>169921.28</v>
      </c>
      <c r="I56" s="382"/>
      <c r="J56" s="462">
        <v>21</v>
      </c>
      <c r="K56" s="468">
        <f>IFERROR(VLOOKUP(A56,'2018-19'!$A$6:$F$318,6,0),0)</f>
        <v>0</v>
      </c>
      <c r="L56" s="468">
        <f>IFERROR(VLOOKUP(A56,'2018-19'!$A$6:$D$318,4,0),0)</f>
        <v>208183.9</v>
      </c>
      <c r="M56" s="468">
        <f t="shared" si="4"/>
        <v>208183.9</v>
      </c>
      <c r="N56" s="382"/>
      <c r="O56" s="452">
        <v>22</v>
      </c>
      <c r="P56" s="387">
        <v>0</v>
      </c>
      <c r="Q56" s="387">
        <v>257235</v>
      </c>
      <c r="R56" s="387">
        <v>257235</v>
      </c>
      <c r="S56" s="382"/>
      <c r="T56" s="375">
        <f>VLOOKUP(A56,'Nov 2020 cc'!$B$3:$D$317,3,0)</f>
        <v>26</v>
      </c>
      <c r="U56" s="387">
        <v>0</v>
      </c>
      <c r="V56" s="387">
        <v>289855.90999999997</v>
      </c>
      <c r="W56" s="387">
        <v>289855.90999999997</v>
      </c>
      <c r="X56" s="382"/>
      <c r="Y56" s="375">
        <v>31</v>
      </c>
      <c r="Z56" s="413">
        <f>VLOOKUP(A56,'2021-22'!$A$6:$D$317,4,0)</f>
        <v>0</v>
      </c>
      <c r="AA56" s="413">
        <f>VLOOKUP(A56,'2021-22'!$A$6:$E$317,5,0)</f>
        <v>255586.86</v>
      </c>
      <c r="AB56" s="387">
        <f t="shared" si="5"/>
        <v>255586.86</v>
      </c>
      <c r="AC56" s="382"/>
      <c r="AD56" s="416">
        <v>31</v>
      </c>
      <c r="AE56" s="413">
        <v>0</v>
      </c>
      <c r="AF56" s="413">
        <v>331227.56</v>
      </c>
      <c r="AG56" s="387">
        <f t="shared" si="6"/>
        <v>331227.56</v>
      </c>
      <c r="AH56" s="557"/>
      <c r="AI56" s="387">
        <f>IFERROR(VLOOKUP(A56,'23-24 child count'!$C$4:$Y$317,23,0),0)</f>
        <v>35</v>
      </c>
      <c r="AJ56" s="387">
        <f>VLOOKUP(A56,'23-24 state &amp; local'!$A$5:$D$316,4,0)</f>
        <v>0</v>
      </c>
      <c r="AK56" s="387">
        <f>VLOOKUP(A56,'23-24 state &amp; local'!$A$5:$E$316,5,0)</f>
        <v>544761.99</v>
      </c>
      <c r="AL56" s="387">
        <f t="shared" si="3"/>
        <v>544761.99</v>
      </c>
      <c r="AM56" s="382"/>
    </row>
    <row r="57" spans="1:39" ht="15" hidden="1" x14ac:dyDescent="0.25">
      <c r="A57" s="375" t="s">
        <v>304</v>
      </c>
      <c r="B57" s="375" t="s">
        <v>194</v>
      </c>
      <c r="C57" s="448" t="s">
        <v>305</v>
      </c>
      <c r="E57" s="461">
        <v>32</v>
      </c>
      <c r="F57" s="468">
        <f>IFERROR(VLOOKUP(A57,'2017-18'!$A$6:$F$315,6,0),0)</f>
        <v>0</v>
      </c>
      <c r="G57" s="468">
        <f>IFERROR(VLOOKUP(A57,'2017-18'!$A$6:$D$315,4,0),0)</f>
        <v>274648.09999999998</v>
      </c>
      <c r="H57" s="468">
        <f t="shared" si="2"/>
        <v>274648.09999999998</v>
      </c>
      <c r="I57" s="382"/>
      <c r="J57" s="462">
        <v>40</v>
      </c>
      <c r="K57" s="468">
        <f>IFERROR(VLOOKUP(A57,'2018-19'!$A$6:$F$318,6,0),0)</f>
        <v>0</v>
      </c>
      <c r="L57" s="468">
        <f>IFERROR(VLOOKUP(A57,'2018-19'!$A$6:$D$318,4,0),0)</f>
        <v>315577.13</v>
      </c>
      <c r="M57" s="468">
        <f t="shared" si="4"/>
        <v>315577.13</v>
      </c>
      <c r="N57" s="382"/>
      <c r="O57" s="452">
        <v>43</v>
      </c>
      <c r="P57" s="387">
        <v>1000</v>
      </c>
      <c r="Q57" s="387">
        <v>314248.36</v>
      </c>
      <c r="R57" s="387">
        <v>315248.36</v>
      </c>
      <c r="S57" s="382"/>
      <c r="T57" s="375">
        <f>VLOOKUP(A57,'Nov 2020 cc'!$B$3:$D$317,3,0)</f>
        <v>49</v>
      </c>
      <c r="U57" s="387">
        <v>0</v>
      </c>
      <c r="V57" s="387">
        <v>337975.58</v>
      </c>
      <c r="W57" s="387">
        <v>337975.58</v>
      </c>
      <c r="X57" s="382"/>
      <c r="Y57" s="375">
        <v>51</v>
      </c>
      <c r="Z57" s="413">
        <f>VLOOKUP(A57,'2021-22'!$A$6:$D$317,4,0)</f>
        <v>0</v>
      </c>
      <c r="AA57" s="413">
        <f>VLOOKUP(A57,'2021-22'!$A$6:$E$317,5,0)</f>
        <v>368249.7</v>
      </c>
      <c r="AB57" s="387">
        <f t="shared" si="5"/>
        <v>368249.7</v>
      </c>
      <c r="AC57" s="382"/>
      <c r="AD57" s="416">
        <v>52</v>
      </c>
      <c r="AE57" s="413">
        <v>0</v>
      </c>
      <c r="AF57" s="413">
        <v>441688.66</v>
      </c>
      <c r="AG57" s="387">
        <f t="shared" si="6"/>
        <v>441688.66</v>
      </c>
      <c r="AH57" s="557"/>
      <c r="AI57" s="387">
        <f>IFERROR(VLOOKUP(A57,'23-24 child count'!$C$4:$Y$317,23,0),0)</f>
        <v>51</v>
      </c>
      <c r="AJ57" s="387">
        <f>VLOOKUP(A57,'23-24 state &amp; local'!$A$5:$D$316,4,0)</f>
        <v>0</v>
      </c>
      <c r="AK57" s="387">
        <f>VLOOKUP(A57,'23-24 state &amp; local'!$A$5:$E$316,5,0)</f>
        <v>648354.52</v>
      </c>
      <c r="AL57" s="387">
        <f t="shared" si="3"/>
        <v>648354.52</v>
      </c>
      <c r="AM57" s="382"/>
    </row>
    <row r="58" spans="1:39" ht="15" hidden="1" x14ac:dyDescent="0.25">
      <c r="A58" s="375" t="s">
        <v>306</v>
      </c>
      <c r="B58" s="375" t="s">
        <v>221</v>
      </c>
      <c r="C58" s="448" t="s">
        <v>307</v>
      </c>
      <c r="E58" s="461">
        <v>3</v>
      </c>
      <c r="F58" s="468">
        <f>IFERROR(VLOOKUP(A58,'2017-18'!$A$6:$F$315,6,0),0)</f>
        <v>0</v>
      </c>
      <c r="G58" s="468">
        <f>IFERROR(VLOOKUP(A58,'2017-18'!$A$6:$D$315,4,0),0)</f>
        <v>61795.49</v>
      </c>
      <c r="H58" s="468">
        <f t="shared" si="2"/>
        <v>61795.49</v>
      </c>
      <c r="I58" s="382"/>
      <c r="J58" s="462">
        <v>5</v>
      </c>
      <c r="K58" s="468">
        <f>IFERROR(VLOOKUP(A58,'2018-19'!$A$6:$F$318,6,0),0)</f>
        <v>0</v>
      </c>
      <c r="L58" s="468">
        <f>IFERROR(VLOOKUP(A58,'2018-19'!$A$6:$D$318,4,0),0)</f>
        <v>80409.289999999994</v>
      </c>
      <c r="M58" s="468">
        <f t="shared" si="4"/>
        <v>80409.289999999994</v>
      </c>
      <c r="N58" s="382"/>
      <c r="O58" s="452">
        <v>3</v>
      </c>
      <c r="P58" s="387">
        <v>0</v>
      </c>
      <c r="Q58" s="387">
        <v>16390.8</v>
      </c>
      <c r="R58" s="387">
        <v>16390.8</v>
      </c>
      <c r="S58" s="382"/>
      <c r="T58" s="375">
        <f>VLOOKUP(A58,'Nov 2020 cc'!$B$3:$D$317,3,0)</f>
        <v>2</v>
      </c>
      <c r="U58" s="387">
        <v>21950.720000000001</v>
      </c>
      <c r="V58" s="387">
        <v>65777.279999999999</v>
      </c>
      <c r="W58" s="387">
        <v>87728</v>
      </c>
      <c r="X58" s="382"/>
      <c r="Y58" s="375">
        <v>4</v>
      </c>
      <c r="Z58" s="413">
        <f>VLOOKUP(A58,'2021-22'!$A$6:$D$317,4,0)</f>
        <v>0</v>
      </c>
      <c r="AA58" s="413">
        <f>VLOOKUP(A58,'2021-22'!$A$6:$E$317,5,0)</f>
        <v>54187.57</v>
      </c>
      <c r="AB58" s="387">
        <f t="shared" si="5"/>
        <v>54187.57</v>
      </c>
      <c r="AC58" s="382"/>
      <c r="AD58" s="416">
        <v>8</v>
      </c>
      <c r="AE58" s="413">
        <v>5329.02</v>
      </c>
      <c r="AF58" s="413">
        <v>66242.350000000006</v>
      </c>
      <c r="AG58" s="387">
        <f t="shared" si="6"/>
        <v>71571.37000000001</v>
      </c>
      <c r="AH58" s="557"/>
      <c r="AI58" s="387">
        <f>IFERROR(VLOOKUP(A58,'23-24 child count'!$C$4:$Y$317,23,0),0)</f>
        <v>8</v>
      </c>
      <c r="AJ58" s="387">
        <f>VLOOKUP(A58,'23-24 state &amp; local'!$A$5:$D$316,4,0)</f>
        <v>0</v>
      </c>
      <c r="AK58" s="387">
        <f>VLOOKUP(A58,'23-24 state &amp; local'!$A$5:$E$316,5,0)</f>
        <v>76411.009999999995</v>
      </c>
      <c r="AL58" s="387">
        <f t="shared" si="3"/>
        <v>76411.009999999995</v>
      </c>
      <c r="AM58" s="382"/>
    </row>
    <row r="59" spans="1:39" ht="15" hidden="1" x14ac:dyDescent="0.25">
      <c r="A59" s="375" t="s">
        <v>308</v>
      </c>
      <c r="B59" s="375" t="s">
        <v>197</v>
      </c>
      <c r="C59" s="448" t="s">
        <v>309</v>
      </c>
      <c r="E59" s="461">
        <v>66</v>
      </c>
      <c r="F59" s="468">
        <f>IFERROR(VLOOKUP(A59,'2017-18'!$A$6:$F$315,6,0),0)</f>
        <v>120853.24</v>
      </c>
      <c r="G59" s="468">
        <f>IFERROR(VLOOKUP(A59,'2017-18'!$A$6:$D$315,4,0),0)</f>
        <v>505405.39</v>
      </c>
      <c r="H59" s="468">
        <f t="shared" si="2"/>
        <v>626258.63</v>
      </c>
      <c r="I59" s="382"/>
      <c r="J59" s="462">
        <v>72</v>
      </c>
      <c r="K59" s="468">
        <f>IFERROR(VLOOKUP(A59,'2018-19'!$A$6:$F$318,6,0),0)</f>
        <v>14565.43</v>
      </c>
      <c r="L59" s="468">
        <f>IFERROR(VLOOKUP(A59,'2018-19'!$A$6:$D$318,4,0),0)</f>
        <v>659113.15</v>
      </c>
      <c r="M59" s="468">
        <f t="shared" si="4"/>
        <v>673678.58000000007</v>
      </c>
      <c r="N59" s="382"/>
      <c r="O59" s="452">
        <v>73</v>
      </c>
      <c r="P59" s="387">
        <v>0</v>
      </c>
      <c r="Q59" s="387">
        <v>601615.43999999994</v>
      </c>
      <c r="R59" s="387">
        <v>601615.43999999994</v>
      </c>
      <c r="S59" s="382"/>
      <c r="T59" s="375">
        <f>VLOOKUP(A59,'Nov 2020 cc'!$B$3:$D$317,3,0)</f>
        <v>73</v>
      </c>
      <c r="U59" s="387">
        <v>0</v>
      </c>
      <c r="V59" s="387">
        <v>706788.42</v>
      </c>
      <c r="W59" s="387">
        <v>706788.42</v>
      </c>
      <c r="X59" s="382"/>
      <c r="Y59" s="375">
        <v>76</v>
      </c>
      <c r="Z59" s="413">
        <f>VLOOKUP(A59,'2021-22'!$A$6:$D$317,4,0)</f>
        <v>0</v>
      </c>
      <c r="AA59" s="413">
        <f>VLOOKUP(A59,'2021-22'!$A$6:$E$317,5,0)</f>
        <v>682316.01</v>
      </c>
      <c r="AB59" s="387">
        <f t="shared" si="5"/>
        <v>682316.01</v>
      </c>
      <c r="AC59" s="382"/>
      <c r="AD59" s="416">
        <v>69</v>
      </c>
      <c r="AE59" s="413">
        <v>0</v>
      </c>
      <c r="AF59" s="413">
        <v>640069.86</v>
      </c>
      <c r="AG59" s="387">
        <f t="shared" si="6"/>
        <v>640069.86</v>
      </c>
      <c r="AH59" s="557"/>
      <c r="AI59" s="387">
        <f>IFERROR(VLOOKUP(A59,'23-24 child count'!$C$4:$Y$317,23,0),0)</f>
        <v>80</v>
      </c>
      <c r="AJ59" s="387">
        <f>VLOOKUP(A59,'23-24 state &amp; local'!$A$5:$D$316,4,0)</f>
        <v>0</v>
      </c>
      <c r="AK59" s="387">
        <f>VLOOKUP(A59,'23-24 state &amp; local'!$A$5:$E$316,5,0)</f>
        <v>844545.59</v>
      </c>
      <c r="AL59" s="387">
        <f t="shared" si="3"/>
        <v>844545.59</v>
      </c>
      <c r="AM59" s="382"/>
    </row>
    <row r="60" spans="1:39" ht="15" hidden="1" x14ac:dyDescent="0.25">
      <c r="A60" s="375" t="s">
        <v>310</v>
      </c>
      <c r="B60" s="375" t="s">
        <v>194</v>
      </c>
      <c r="C60" s="448" t="s">
        <v>311</v>
      </c>
      <c r="E60" s="461">
        <v>77</v>
      </c>
      <c r="F60" s="468">
        <f>IFERROR(VLOOKUP(A60,'2017-18'!$A$6:$F$315,6,0),0)</f>
        <v>0</v>
      </c>
      <c r="G60" s="468">
        <f>IFERROR(VLOOKUP(A60,'2017-18'!$A$6:$D$315,4,0),0)</f>
        <v>498669.81</v>
      </c>
      <c r="H60" s="468">
        <f t="shared" si="2"/>
        <v>498669.81</v>
      </c>
      <c r="I60" s="382"/>
      <c r="J60" s="462">
        <v>78</v>
      </c>
      <c r="K60" s="468">
        <f>IFERROR(VLOOKUP(A60,'2018-19'!$A$6:$F$318,6,0),0)</f>
        <v>0</v>
      </c>
      <c r="L60" s="468">
        <f>IFERROR(VLOOKUP(A60,'2018-19'!$A$6:$D$318,4,0),0)</f>
        <v>617671.86</v>
      </c>
      <c r="M60" s="468">
        <f t="shared" si="4"/>
        <v>617671.86</v>
      </c>
      <c r="N60" s="382"/>
      <c r="O60" s="452">
        <v>73</v>
      </c>
      <c r="P60" s="387">
        <v>2157.02</v>
      </c>
      <c r="Q60" s="387">
        <v>636002.15</v>
      </c>
      <c r="R60" s="387">
        <v>638159.17000000004</v>
      </c>
      <c r="S60" s="382"/>
      <c r="T60" s="375">
        <f>VLOOKUP(A60,'Nov 2020 cc'!$B$3:$D$317,3,0)</f>
        <v>75</v>
      </c>
      <c r="U60" s="387">
        <v>6121.55</v>
      </c>
      <c r="V60" s="387">
        <v>620385.19999999995</v>
      </c>
      <c r="W60" s="387">
        <v>626506.75</v>
      </c>
      <c r="X60" s="382"/>
      <c r="Y60" s="375">
        <v>77</v>
      </c>
      <c r="Z60" s="413">
        <f>VLOOKUP(A60,'2021-22'!$A$6:$D$317,4,0)</f>
        <v>6121.55</v>
      </c>
      <c r="AA60" s="413">
        <f>VLOOKUP(A60,'2021-22'!$A$6:$E$317,5,0)</f>
        <v>793373.5</v>
      </c>
      <c r="AB60" s="387">
        <f t="shared" si="5"/>
        <v>799495.05</v>
      </c>
      <c r="AC60" s="382"/>
      <c r="AD60" s="416">
        <v>76</v>
      </c>
      <c r="AE60" s="413">
        <v>6645.58</v>
      </c>
      <c r="AF60" s="413">
        <v>861289.44</v>
      </c>
      <c r="AG60" s="387">
        <f t="shared" si="6"/>
        <v>867935.0199999999</v>
      </c>
      <c r="AH60" s="557"/>
      <c r="AI60" s="387">
        <f>IFERROR(VLOOKUP(A60,'23-24 child count'!$C$4:$Y$317,23,0),0)</f>
        <v>87</v>
      </c>
      <c r="AJ60" s="387">
        <f>VLOOKUP(A60,'23-24 state &amp; local'!$A$5:$D$316,4,0)</f>
        <v>6779.47</v>
      </c>
      <c r="AK60" s="387">
        <f>VLOOKUP(A60,'23-24 state &amp; local'!$A$5:$E$316,5,0)</f>
        <v>878642.17</v>
      </c>
      <c r="AL60" s="387">
        <f t="shared" si="3"/>
        <v>885421.64</v>
      </c>
      <c r="AM60" s="382"/>
    </row>
    <row r="61" spans="1:39" ht="15" hidden="1" x14ac:dyDescent="0.25">
      <c r="A61" s="375" t="s">
        <v>312</v>
      </c>
      <c r="B61" s="375" t="s">
        <v>202</v>
      </c>
      <c r="C61" s="448" t="s">
        <v>313</v>
      </c>
      <c r="D61" s="375" t="s">
        <v>819</v>
      </c>
      <c r="E61" s="461">
        <v>59</v>
      </c>
      <c r="F61" s="468">
        <f>IFERROR(VLOOKUP(A61,'2017-18'!$A$6:$F$315,6,0),0)</f>
        <v>0</v>
      </c>
      <c r="G61" s="468">
        <f>IFERROR(VLOOKUP(A61,'2017-18'!$A$6:$D$315,4,0),0)</f>
        <v>451692.25</v>
      </c>
      <c r="H61" s="468">
        <f t="shared" si="2"/>
        <v>451692.25</v>
      </c>
      <c r="I61" s="382"/>
      <c r="J61" s="462">
        <v>48</v>
      </c>
      <c r="K61" s="468">
        <f>IFERROR(VLOOKUP(A61,'2018-19'!$A$6:$F$318,6,0),0)</f>
        <v>0</v>
      </c>
      <c r="L61" s="468">
        <f>IFERROR(VLOOKUP(A61,'2018-19'!$A$6:$D$318,4,0),0)</f>
        <v>452709.13</v>
      </c>
      <c r="M61" s="468">
        <f t="shared" si="4"/>
        <v>452709.13</v>
      </c>
      <c r="N61" s="382"/>
      <c r="O61" s="452">
        <v>61</v>
      </c>
      <c r="P61" s="387">
        <v>0</v>
      </c>
      <c r="Q61" s="387">
        <v>522873.07</v>
      </c>
      <c r="R61" s="387">
        <v>522873.07</v>
      </c>
      <c r="S61" s="382"/>
      <c r="T61" s="375">
        <f>VLOOKUP(A61,'Nov 2020 cc'!$B$3:$D$317,3,0)</f>
        <v>48</v>
      </c>
      <c r="U61" s="387">
        <v>0</v>
      </c>
      <c r="V61" s="387">
        <v>476915.78</v>
      </c>
      <c r="W61" s="387">
        <v>476915.78</v>
      </c>
      <c r="X61" s="382"/>
      <c r="Y61" s="375">
        <v>51</v>
      </c>
      <c r="Z61" s="413">
        <f>VLOOKUP(A61,'2021-22'!$A$6:$D$317,4,0)</f>
        <v>0</v>
      </c>
      <c r="AA61" s="413">
        <f>VLOOKUP(A61,'2021-22'!$A$6:$E$317,5,0)</f>
        <v>487656.1</v>
      </c>
      <c r="AB61" s="387">
        <f t="shared" si="5"/>
        <v>487656.1</v>
      </c>
      <c r="AC61" s="382"/>
      <c r="AD61" s="416">
        <v>51</v>
      </c>
      <c r="AE61" s="413">
        <v>0</v>
      </c>
      <c r="AF61" s="413">
        <v>546313.52</v>
      </c>
      <c r="AG61" s="387">
        <f t="shared" si="6"/>
        <v>546313.52</v>
      </c>
      <c r="AH61" s="557"/>
      <c r="AI61" s="387">
        <f>IFERROR(VLOOKUP(A61,'23-24 child count'!$C$4:$Y$317,23,0),0)</f>
        <v>49</v>
      </c>
      <c r="AJ61" s="387">
        <f>VLOOKUP(A61,'23-24 state &amp; local'!$A$5:$D$316,4,0)</f>
        <v>0</v>
      </c>
      <c r="AK61" s="387">
        <f>VLOOKUP(A61,'23-24 state &amp; local'!$A$5:$E$316,5,0)</f>
        <v>615758.61</v>
      </c>
      <c r="AL61" s="387">
        <f t="shared" si="3"/>
        <v>615758.61</v>
      </c>
      <c r="AM61" s="382"/>
    </row>
    <row r="62" spans="1:39" ht="15" hidden="1" x14ac:dyDescent="0.25">
      <c r="A62" s="375" t="s">
        <v>314</v>
      </c>
      <c r="B62" s="375" t="s">
        <v>194</v>
      </c>
      <c r="C62" s="448" t="s">
        <v>315</v>
      </c>
      <c r="E62" s="461">
        <v>288</v>
      </c>
      <c r="F62" s="468">
        <f>IFERROR(VLOOKUP(A62,'2017-18'!$A$6:$F$315,6,0),0)</f>
        <v>0</v>
      </c>
      <c r="G62" s="468">
        <f>IFERROR(VLOOKUP(A62,'2017-18'!$A$6:$D$315,4,0),0)</f>
        <v>2348933.98</v>
      </c>
      <c r="H62" s="468">
        <f t="shared" si="2"/>
        <v>2348933.98</v>
      </c>
      <c r="I62" s="382"/>
      <c r="J62" s="462">
        <v>315</v>
      </c>
      <c r="K62" s="468">
        <f>IFERROR(VLOOKUP(A62,'2018-19'!$A$6:$F$318,6,0),0)</f>
        <v>0</v>
      </c>
      <c r="L62" s="468">
        <f>IFERROR(VLOOKUP(A62,'2018-19'!$A$6:$D$318,4,0),0)</f>
        <v>2818953.13</v>
      </c>
      <c r="M62" s="468">
        <f t="shared" si="4"/>
        <v>2818953.13</v>
      </c>
      <c r="N62" s="382"/>
      <c r="O62" s="452">
        <v>321</v>
      </c>
      <c r="P62" s="387">
        <v>0</v>
      </c>
      <c r="Q62" s="387">
        <v>3156127.81</v>
      </c>
      <c r="R62" s="387">
        <v>3156127.81</v>
      </c>
      <c r="S62" s="382"/>
      <c r="T62" s="375">
        <f>VLOOKUP(A62,'Nov 2020 cc'!$B$3:$D$317,3,0)</f>
        <v>312</v>
      </c>
      <c r="U62" s="387">
        <v>0</v>
      </c>
      <c r="V62" s="387">
        <v>3178772.97</v>
      </c>
      <c r="W62" s="387">
        <v>3178772.97</v>
      </c>
      <c r="X62" s="382"/>
      <c r="Y62" s="375">
        <v>300</v>
      </c>
      <c r="Z62" s="413">
        <f>VLOOKUP(A62,'2021-22'!$A$6:$D$317,4,0)</f>
        <v>0</v>
      </c>
      <c r="AA62" s="413">
        <f>VLOOKUP(A62,'2021-22'!$A$6:$E$317,5,0)</f>
        <v>3041796.49</v>
      </c>
      <c r="AB62" s="387">
        <f t="shared" si="5"/>
        <v>3041796.49</v>
      </c>
      <c r="AC62" s="382"/>
      <c r="AD62" s="416">
        <v>332</v>
      </c>
      <c r="AE62" s="413">
        <v>0</v>
      </c>
      <c r="AF62" s="413">
        <v>3398028.08</v>
      </c>
      <c r="AG62" s="387">
        <f t="shared" si="6"/>
        <v>3398028.08</v>
      </c>
      <c r="AH62" s="557"/>
      <c r="AI62" s="387">
        <f>IFERROR(VLOOKUP(A62,'23-24 child count'!$C$4:$Y$317,23,0),0)</f>
        <v>350</v>
      </c>
      <c r="AJ62" s="387">
        <f>VLOOKUP(A62,'23-24 state &amp; local'!$A$5:$D$316,4,0)</f>
        <v>0</v>
      </c>
      <c r="AK62" s="387">
        <f>VLOOKUP(A62,'23-24 state &amp; local'!$A$5:$E$316,5,0)</f>
        <v>4089455.9</v>
      </c>
      <c r="AL62" s="387">
        <f t="shared" si="3"/>
        <v>4089455.9</v>
      </c>
      <c r="AM62" s="382"/>
    </row>
    <row r="63" spans="1:39" ht="15" hidden="1" x14ac:dyDescent="0.25">
      <c r="A63" s="375" t="s">
        <v>316</v>
      </c>
      <c r="B63" s="375" t="s">
        <v>205</v>
      </c>
      <c r="C63" s="448" t="s">
        <v>317</v>
      </c>
      <c r="E63" s="461">
        <v>187</v>
      </c>
      <c r="F63" s="468">
        <f>IFERROR(VLOOKUP(A63,'2017-18'!$A$6:$F$315,6,0),0)</f>
        <v>0</v>
      </c>
      <c r="G63" s="468">
        <f>IFERROR(VLOOKUP(A63,'2017-18'!$A$6:$D$315,4,0),0)</f>
        <v>3352603.41</v>
      </c>
      <c r="H63" s="468">
        <f t="shared" si="2"/>
        <v>3352603.41</v>
      </c>
      <c r="I63" s="382"/>
      <c r="J63" s="462">
        <v>208</v>
      </c>
      <c r="K63" s="468">
        <f>IFERROR(VLOOKUP(A63,'2018-19'!$A$6:$F$318,6,0),0)</f>
        <v>1281750.02</v>
      </c>
      <c r="L63" s="468">
        <f>IFERROR(VLOOKUP(A63,'2018-19'!$A$6:$D$318,4,0),0)</f>
        <v>2173251.66</v>
      </c>
      <c r="M63" s="468">
        <f t="shared" si="4"/>
        <v>3455001.68</v>
      </c>
      <c r="N63" s="382"/>
      <c r="O63" s="452">
        <v>200</v>
      </c>
      <c r="P63" s="387">
        <v>850005.97</v>
      </c>
      <c r="Q63" s="387">
        <v>2647154.56</v>
      </c>
      <c r="R63" s="387">
        <v>3497160.5300000003</v>
      </c>
      <c r="S63" s="382"/>
      <c r="T63" s="375">
        <f>VLOOKUP(A63,'Nov 2020 cc'!$B$3:$D$317,3,0)</f>
        <v>180</v>
      </c>
      <c r="U63" s="387">
        <v>452209.37</v>
      </c>
      <c r="V63" s="387">
        <v>3034231.91</v>
      </c>
      <c r="W63" s="387">
        <v>3486441.2800000003</v>
      </c>
      <c r="X63" s="382"/>
      <c r="Y63" s="375">
        <v>174</v>
      </c>
      <c r="Z63" s="413">
        <f>VLOOKUP(A63,'2021-22'!$A$6:$D$317,4,0)</f>
        <v>402889.18</v>
      </c>
      <c r="AA63" s="413">
        <f>VLOOKUP(A63,'2021-22'!$A$6:$E$317,5,0)</f>
        <v>3055286.85</v>
      </c>
      <c r="AB63" s="387">
        <f t="shared" si="5"/>
        <v>3458176.0300000003</v>
      </c>
      <c r="AC63" s="382"/>
      <c r="AD63" s="416">
        <v>176</v>
      </c>
      <c r="AE63" s="413">
        <v>492126.77</v>
      </c>
      <c r="AF63" s="413">
        <v>2985935.34</v>
      </c>
      <c r="AG63" s="387">
        <f t="shared" si="6"/>
        <v>3478062.11</v>
      </c>
      <c r="AH63" s="557"/>
      <c r="AI63" s="387">
        <f>IFERROR(VLOOKUP(A63,'23-24 child count'!$C$4:$Y$317,23,0),0)</f>
        <v>176</v>
      </c>
      <c r="AJ63" s="387">
        <f>VLOOKUP(A63,'23-24 state &amp; local'!$A$5:$D$316,4,0)</f>
        <v>1382791.43</v>
      </c>
      <c r="AK63" s="387">
        <f>VLOOKUP(A63,'23-24 state &amp; local'!$A$5:$E$316,5,0)</f>
        <v>2883537.42</v>
      </c>
      <c r="AL63" s="387">
        <f t="shared" si="3"/>
        <v>4266328.8499999996</v>
      </c>
      <c r="AM63" s="382"/>
    </row>
    <row r="64" spans="1:39" ht="15" hidden="1" x14ac:dyDescent="0.25">
      <c r="A64" s="375" t="s">
        <v>318</v>
      </c>
      <c r="B64" s="375" t="s">
        <v>202</v>
      </c>
      <c r="C64" s="448" t="s">
        <v>319</v>
      </c>
      <c r="D64" s="375" t="s">
        <v>819</v>
      </c>
      <c r="E64" s="461">
        <v>3</v>
      </c>
      <c r="F64" s="468">
        <f>IFERROR(VLOOKUP(A64,'2017-18'!$A$6:$F$315,6,0),0)</f>
        <v>0</v>
      </c>
      <c r="G64" s="468">
        <f>IFERROR(VLOOKUP(A64,'2017-18'!$A$6:$D$315,4,0),0)</f>
        <v>31868.31</v>
      </c>
      <c r="H64" s="468">
        <f t="shared" si="2"/>
        <v>31868.31</v>
      </c>
      <c r="I64" s="382"/>
      <c r="J64" s="462">
        <v>3</v>
      </c>
      <c r="K64" s="468">
        <f>IFERROR(VLOOKUP(A64,'2018-19'!$A$6:$F$318,6,0),0)</f>
        <v>0</v>
      </c>
      <c r="L64" s="468">
        <f>IFERROR(VLOOKUP(A64,'2018-19'!$A$6:$D$318,4,0),0)</f>
        <v>35130.69</v>
      </c>
      <c r="M64" s="468">
        <f t="shared" si="4"/>
        <v>35130.69</v>
      </c>
      <c r="N64" s="382"/>
      <c r="O64" s="452">
        <v>4</v>
      </c>
      <c r="P64" s="387">
        <v>0</v>
      </c>
      <c r="Q64" s="387">
        <v>29097.69</v>
      </c>
      <c r="R64" s="387">
        <v>29097.69</v>
      </c>
      <c r="S64" s="382"/>
      <c r="T64" s="375">
        <f>VLOOKUP(A64,'Nov 2020 cc'!$B$3:$D$317,3,0)</f>
        <v>4</v>
      </c>
      <c r="U64" s="387">
        <v>0</v>
      </c>
      <c r="V64" s="387">
        <v>24330.35</v>
      </c>
      <c r="W64" s="387">
        <v>24330.35</v>
      </c>
      <c r="X64" s="382"/>
      <c r="Y64" s="375">
        <v>2</v>
      </c>
      <c r="Z64" s="413">
        <f>VLOOKUP(A64,'2021-22'!$A$6:$D$317,4,0)</f>
        <v>0</v>
      </c>
      <c r="AA64" s="413">
        <f>VLOOKUP(A64,'2021-22'!$A$6:$E$317,5,0)</f>
        <v>18932.63</v>
      </c>
      <c r="AB64" s="387">
        <f t="shared" si="5"/>
        <v>18932.63</v>
      </c>
      <c r="AC64" s="382"/>
      <c r="AD64" s="416">
        <v>3</v>
      </c>
      <c r="AE64" s="413">
        <v>0</v>
      </c>
      <c r="AF64" s="413">
        <v>117328.72</v>
      </c>
      <c r="AG64" s="387">
        <f t="shared" si="6"/>
        <v>117328.72</v>
      </c>
      <c r="AH64" s="557"/>
      <c r="AI64" s="387">
        <f>IFERROR(VLOOKUP(A64,'23-24 child count'!$C$4:$Y$317,23,0),0)</f>
        <v>2</v>
      </c>
      <c r="AJ64" s="387">
        <f>VLOOKUP(A64,'23-24 state &amp; local'!$A$5:$D$316,4,0)</f>
        <v>0</v>
      </c>
      <c r="AK64" s="387">
        <f>VLOOKUP(A64,'23-24 state &amp; local'!$A$5:$E$316,5,0)</f>
        <v>2056.7800000000002</v>
      </c>
      <c r="AL64" s="387">
        <f t="shared" si="3"/>
        <v>2056.7800000000002</v>
      </c>
      <c r="AM64" s="382"/>
    </row>
    <row r="65" spans="1:39" ht="15" hidden="1" x14ac:dyDescent="0.25">
      <c r="A65" s="375" t="s">
        <v>320</v>
      </c>
      <c r="B65" s="375" t="s">
        <v>194</v>
      </c>
      <c r="C65" s="448" t="s">
        <v>1189</v>
      </c>
      <c r="E65" s="461">
        <v>649</v>
      </c>
      <c r="F65" s="468">
        <f>IFERROR(VLOOKUP(A65,'2017-18'!$A$6:$F$315,6,0),0)</f>
        <v>774573.26</v>
      </c>
      <c r="G65" s="468">
        <f>IFERROR(VLOOKUP(A65,'2017-18'!$A$6:$D$315,4,0),0)</f>
        <v>5343967.07</v>
      </c>
      <c r="H65" s="468">
        <f t="shared" si="2"/>
        <v>6118540.3300000001</v>
      </c>
      <c r="I65" s="382"/>
      <c r="J65" s="462">
        <v>626</v>
      </c>
      <c r="K65" s="468">
        <f>IFERROR(VLOOKUP(A65,'2018-19'!$A$6:$F$318,6,0),0)</f>
        <v>554588.6</v>
      </c>
      <c r="L65" s="468">
        <f>IFERROR(VLOOKUP(A65,'2018-19'!$A$6:$D$318,4,0),0)</f>
        <v>6063427.5099999998</v>
      </c>
      <c r="M65" s="468">
        <f t="shared" si="4"/>
        <v>6618016.1099999994</v>
      </c>
      <c r="N65" s="382"/>
      <c r="O65" s="452">
        <v>613</v>
      </c>
      <c r="P65" s="387">
        <v>591133.51</v>
      </c>
      <c r="Q65" s="387">
        <v>6506343.6500000004</v>
      </c>
      <c r="R65" s="387">
        <v>7097477.1600000001</v>
      </c>
      <c r="S65" s="382"/>
      <c r="T65" s="375">
        <f>VLOOKUP(A65,'Nov 2020 cc'!$B$3:$D$317,3,0)</f>
        <v>553</v>
      </c>
      <c r="U65" s="387">
        <v>629542.47</v>
      </c>
      <c r="V65" s="387">
        <v>6763644.9299999997</v>
      </c>
      <c r="W65" s="387">
        <v>7393187.3999999994</v>
      </c>
      <c r="X65" s="382"/>
      <c r="Y65" s="375">
        <v>581</v>
      </c>
      <c r="Z65" s="413">
        <f>VLOOKUP(A65,'2021-22'!$A$6:$D$317,4,0)</f>
        <v>644793.81000000006</v>
      </c>
      <c r="AA65" s="413">
        <f>VLOOKUP(A65,'2021-22'!$A$6:$E$317,5,0)</f>
        <v>6751822.54</v>
      </c>
      <c r="AB65" s="387">
        <f t="shared" si="5"/>
        <v>7396616.3499999996</v>
      </c>
      <c r="AC65" s="382"/>
      <c r="AD65" s="416">
        <v>602</v>
      </c>
      <c r="AE65" s="413">
        <v>1711396.6</v>
      </c>
      <c r="AF65" s="413">
        <v>6601252.4500000002</v>
      </c>
      <c r="AG65" s="387">
        <f t="shared" si="6"/>
        <v>8312649.0500000007</v>
      </c>
      <c r="AH65" s="557"/>
      <c r="AI65" s="387">
        <f>IFERROR(VLOOKUP(A65,'23-24 child count'!$C$4:$Y$317,23,0),0)</f>
        <v>613</v>
      </c>
      <c r="AJ65" s="387">
        <f>VLOOKUP(A65,'23-24 state &amp; local'!$A$5:$D$316,4,0)</f>
        <v>1002975</v>
      </c>
      <c r="AK65" s="387">
        <f>VLOOKUP(A65,'23-24 state &amp; local'!$A$5:$E$316,5,0)</f>
        <v>8039977.4400000004</v>
      </c>
      <c r="AL65" s="387">
        <f t="shared" si="3"/>
        <v>9042952.4400000013</v>
      </c>
      <c r="AM65" s="382"/>
    </row>
    <row r="66" spans="1:39" ht="15" hidden="1" x14ac:dyDescent="0.25">
      <c r="A66" s="375" t="s">
        <v>322</v>
      </c>
      <c r="B66" s="375" t="s">
        <v>221</v>
      </c>
      <c r="C66" s="448" t="s">
        <v>1190</v>
      </c>
      <c r="E66" s="461">
        <v>381</v>
      </c>
      <c r="F66" s="468">
        <f>IFERROR(VLOOKUP(A66,'2017-18'!$A$6:$F$315,6,0),0)</f>
        <v>0</v>
      </c>
      <c r="G66" s="468">
        <f>IFERROR(VLOOKUP(A66,'2017-18'!$A$6:$D$315,4,0),0)</f>
        <v>3321445.91</v>
      </c>
      <c r="H66" s="468">
        <f t="shared" si="2"/>
        <v>3321445.91</v>
      </c>
      <c r="I66" s="382"/>
      <c r="J66" s="462">
        <v>404</v>
      </c>
      <c r="K66" s="468">
        <f>IFERROR(VLOOKUP(A66,'2018-19'!$A$6:$F$318,6,0),0)</f>
        <v>0</v>
      </c>
      <c r="L66" s="468">
        <f>IFERROR(VLOOKUP(A66,'2018-19'!$A$6:$D$318,4,0),0)</f>
        <v>4097502.12</v>
      </c>
      <c r="M66" s="468">
        <f t="shared" si="4"/>
        <v>4097502.12</v>
      </c>
      <c r="N66" s="382"/>
      <c r="O66" s="452">
        <v>413</v>
      </c>
      <c r="P66" s="387">
        <v>320000</v>
      </c>
      <c r="Q66" s="387">
        <v>4068098.47</v>
      </c>
      <c r="R66" s="387">
        <v>4388098.4700000007</v>
      </c>
      <c r="S66" s="382"/>
      <c r="T66" s="375">
        <f>VLOOKUP(A66,'Nov 2020 cc'!$B$3:$D$317,3,0)</f>
        <v>418</v>
      </c>
      <c r="U66" s="387">
        <v>355000</v>
      </c>
      <c r="V66" s="387">
        <v>4335544.2</v>
      </c>
      <c r="W66" s="387">
        <v>4690544.2</v>
      </c>
      <c r="X66" s="382"/>
      <c r="Y66" s="375">
        <v>410</v>
      </c>
      <c r="Z66" s="413">
        <f>VLOOKUP(A66,'2021-22'!$A$6:$D$317,4,0)</f>
        <v>440000</v>
      </c>
      <c r="AA66" s="413">
        <f>VLOOKUP(A66,'2021-22'!$A$6:$E$317,5,0)</f>
        <v>4480804.91</v>
      </c>
      <c r="AB66" s="387">
        <f t="shared" si="5"/>
        <v>4920804.91</v>
      </c>
      <c r="AC66" s="382"/>
      <c r="AD66" s="416">
        <v>436</v>
      </c>
      <c r="AE66" s="413">
        <v>584320.29</v>
      </c>
      <c r="AF66" s="413">
        <v>4640882.8499999996</v>
      </c>
      <c r="AG66" s="387">
        <f t="shared" si="6"/>
        <v>5225203.1399999997</v>
      </c>
      <c r="AH66" s="557"/>
      <c r="AI66" s="387">
        <f>IFERROR(VLOOKUP(A66,'23-24 child count'!$C$4:$Y$317,23,0),0)</f>
        <v>449</v>
      </c>
      <c r="AJ66" s="387">
        <f>VLOOKUP(A66,'23-24 state &amp; local'!$A$5:$D$316,4,0)</f>
        <v>454000</v>
      </c>
      <c r="AK66" s="387">
        <f>VLOOKUP(A66,'23-24 state &amp; local'!$A$5:$E$316,5,0)</f>
        <v>5031167.28</v>
      </c>
      <c r="AL66" s="387">
        <f t="shared" si="3"/>
        <v>5485167.2800000003</v>
      </c>
      <c r="AM66" s="382"/>
    </row>
    <row r="67" spans="1:39" ht="15" hidden="1" x14ac:dyDescent="0.25">
      <c r="A67" s="375" t="s">
        <v>324</v>
      </c>
      <c r="B67" s="375" t="s">
        <v>231</v>
      </c>
      <c r="C67" s="448" t="s">
        <v>325</v>
      </c>
      <c r="E67" s="461">
        <v>682</v>
      </c>
      <c r="F67" s="468">
        <f>IFERROR(VLOOKUP(A67,'2017-18'!$A$6:$F$315,6,0),0)</f>
        <v>737887.28</v>
      </c>
      <c r="G67" s="468">
        <f>IFERROR(VLOOKUP(A67,'2017-18'!$A$6:$D$315,4,0),0)</f>
        <v>5492420.1100000003</v>
      </c>
      <c r="H67" s="468">
        <f t="shared" si="2"/>
        <v>6230307.3900000006</v>
      </c>
      <c r="I67" s="382"/>
      <c r="J67" s="462">
        <v>727</v>
      </c>
      <c r="K67" s="468">
        <f>IFERROR(VLOOKUP(A67,'2018-19'!$A$6:$F$318,6,0),0)</f>
        <v>868515.81</v>
      </c>
      <c r="L67" s="468">
        <f>IFERROR(VLOOKUP(A67,'2018-19'!$A$6:$D$318,4,0),0)</f>
        <v>6425284.9000000004</v>
      </c>
      <c r="M67" s="468">
        <f t="shared" si="4"/>
        <v>7293800.7100000009</v>
      </c>
      <c r="N67" s="382"/>
      <c r="O67" s="452">
        <v>753</v>
      </c>
      <c r="P67" s="387">
        <v>966328.21</v>
      </c>
      <c r="Q67" s="387">
        <v>7161580.2199999997</v>
      </c>
      <c r="R67" s="387">
        <v>8127908.4299999997</v>
      </c>
      <c r="S67" s="382"/>
      <c r="T67" s="375">
        <f>VLOOKUP(A67,'Nov 2020 cc'!$B$3:$D$317,3,0)</f>
        <v>735</v>
      </c>
      <c r="U67" s="387">
        <v>904395.18</v>
      </c>
      <c r="V67" s="387">
        <v>7462883.5999999996</v>
      </c>
      <c r="W67" s="387">
        <v>8367278.7799999993</v>
      </c>
      <c r="X67" s="382"/>
      <c r="Y67" s="375">
        <v>710</v>
      </c>
      <c r="Z67" s="413">
        <f>VLOOKUP(A67,'2021-22'!$A$6:$D$317,4,0)</f>
        <v>1818138.78</v>
      </c>
      <c r="AA67" s="413">
        <f>VLOOKUP(A67,'2021-22'!$A$6:$E$317,5,0)</f>
        <v>7387326.5300000003</v>
      </c>
      <c r="AB67" s="387">
        <f t="shared" si="5"/>
        <v>9205465.3100000005</v>
      </c>
      <c r="AC67" s="382"/>
      <c r="AD67" s="416">
        <v>737</v>
      </c>
      <c r="AE67" s="413">
        <v>1136683.01</v>
      </c>
      <c r="AF67" s="413">
        <v>8195333.3499999996</v>
      </c>
      <c r="AG67" s="387">
        <f t="shared" si="6"/>
        <v>9332016.3599999994</v>
      </c>
      <c r="AH67" s="557"/>
      <c r="AI67" s="387">
        <f>IFERROR(VLOOKUP(A67,'23-24 child count'!$C$4:$Y$317,23,0),0)</f>
        <v>751</v>
      </c>
      <c r="AJ67" s="387">
        <f>VLOOKUP(A67,'23-24 state &amp; local'!$A$5:$D$316,4,0)</f>
        <v>551717.91</v>
      </c>
      <c r="AK67" s="387">
        <f>VLOOKUP(A67,'23-24 state &amp; local'!$A$5:$E$316,5,0)</f>
        <v>9755089.5399999991</v>
      </c>
      <c r="AL67" s="387">
        <f t="shared" si="3"/>
        <v>10306807.449999999</v>
      </c>
      <c r="AM67" s="382"/>
    </row>
    <row r="68" spans="1:39" ht="15" hidden="1" x14ac:dyDescent="0.25">
      <c r="A68" s="375" t="s">
        <v>326</v>
      </c>
      <c r="B68" s="375" t="s">
        <v>221</v>
      </c>
      <c r="C68" s="448" t="s">
        <v>327</v>
      </c>
      <c r="E68" s="461">
        <v>16</v>
      </c>
      <c r="F68" s="468">
        <f>IFERROR(VLOOKUP(A68,'2017-18'!$A$6:$F$315,6,0),0)</f>
        <v>0</v>
      </c>
      <c r="G68" s="468">
        <f>IFERROR(VLOOKUP(A68,'2017-18'!$A$6:$D$315,4,0),0)</f>
        <v>115605.17</v>
      </c>
      <c r="H68" s="468">
        <f t="shared" si="2"/>
        <v>115605.17</v>
      </c>
      <c r="I68" s="382"/>
      <c r="J68" s="462">
        <v>13</v>
      </c>
      <c r="K68" s="468">
        <f>IFERROR(VLOOKUP(A68,'2018-19'!$A$6:$F$318,6,0),0)</f>
        <v>0</v>
      </c>
      <c r="L68" s="468">
        <f>IFERROR(VLOOKUP(A68,'2018-19'!$A$6:$D$318,4,0),0)</f>
        <v>143315.24</v>
      </c>
      <c r="M68" s="468">
        <f t="shared" si="4"/>
        <v>143315.24</v>
      </c>
      <c r="N68" s="382"/>
      <c r="O68" s="452">
        <v>16</v>
      </c>
      <c r="P68" s="387">
        <v>17268.830000000002</v>
      </c>
      <c r="Q68" s="387">
        <v>134281.92000000001</v>
      </c>
      <c r="R68" s="387">
        <v>151550.75</v>
      </c>
      <c r="S68" s="382"/>
      <c r="T68" s="375">
        <f>VLOOKUP(A68,'Nov 2020 cc'!$B$3:$D$317,3,0)</f>
        <v>17</v>
      </c>
      <c r="U68" s="387">
        <v>27723.46</v>
      </c>
      <c r="V68" s="387">
        <v>129992.31</v>
      </c>
      <c r="W68" s="387">
        <v>157715.76999999999</v>
      </c>
      <c r="X68" s="382"/>
      <c r="Y68" s="375">
        <v>10</v>
      </c>
      <c r="Z68" s="413">
        <f>VLOOKUP(A68,'2021-22'!$A$6:$D$317,4,0)</f>
        <v>41378.46</v>
      </c>
      <c r="AA68" s="413">
        <f>VLOOKUP(A68,'2021-22'!$A$6:$E$317,5,0)-510</f>
        <v>117494.39</v>
      </c>
      <c r="AB68" s="387">
        <f t="shared" ref="AB68:AB81" si="7">Z68+AA68</f>
        <v>158872.85</v>
      </c>
      <c r="AC68" s="382"/>
      <c r="AD68" s="416">
        <v>15</v>
      </c>
      <c r="AE68" s="413">
        <v>0</v>
      </c>
      <c r="AF68" s="413">
        <v>104673.48</v>
      </c>
      <c r="AG68" s="387">
        <f t="shared" ref="AG68:AG81" si="8">AE68+AF68</f>
        <v>104673.48</v>
      </c>
      <c r="AH68" s="557"/>
      <c r="AI68" s="387">
        <f>IFERROR(VLOOKUP(A68,'23-24 child count'!$C$4:$Y$317,23,0),0)</f>
        <v>14</v>
      </c>
      <c r="AJ68" s="387">
        <f>VLOOKUP(A68,'23-24 state &amp; local'!$A$5:$D$316,4,0)</f>
        <v>19643.86</v>
      </c>
      <c r="AK68" s="387">
        <f>VLOOKUP(A68,'23-24 state &amp; local'!$A$5:$E$316,5,0)</f>
        <v>174605.15</v>
      </c>
      <c r="AL68" s="387">
        <f t="shared" si="3"/>
        <v>194249.01</v>
      </c>
      <c r="AM68" s="382"/>
    </row>
    <row r="69" spans="1:39" ht="15" hidden="1" x14ac:dyDescent="0.25">
      <c r="A69" s="375" t="s">
        <v>328</v>
      </c>
      <c r="B69" s="375" t="s">
        <v>205</v>
      </c>
      <c r="C69" s="448" t="s">
        <v>329</v>
      </c>
      <c r="E69" s="461">
        <v>218</v>
      </c>
      <c r="F69" s="468">
        <f>IFERROR(VLOOKUP(A69,'2017-18'!$A$6:$F$315,6,0),0)</f>
        <v>0</v>
      </c>
      <c r="G69" s="468">
        <f>IFERROR(VLOOKUP(A69,'2017-18'!$A$6:$D$315,4,0),0)</f>
        <v>2266235.42</v>
      </c>
      <c r="H69" s="468">
        <f t="shared" ref="H69:H133" si="9">F69+G69</f>
        <v>2266235.42</v>
      </c>
      <c r="I69" s="382"/>
      <c r="J69" s="462">
        <v>210</v>
      </c>
      <c r="K69" s="468">
        <f>IFERROR(VLOOKUP(A69,'2018-19'!$A$6:$F$318,6,0),0)</f>
        <v>0</v>
      </c>
      <c r="L69" s="468">
        <f>IFERROR(VLOOKUP(A69,'2018-19'!$A$6:$D$318,4,0),0)</f>
        <v>2432012.4</v>
      </c>
      <c r="M69" s="468">
        <f t="shared" si="4"/>
        <v>2432012.4</v>
      </c>
      <c r="N69" s="382"/>
      <c r="O69" s="452">
        <v>234</v>
      </c>
      <c r="P69" s="387">
        <v>0</v>
      </c>
      <c r="Q69" s="387">
        <v>2852827.46</v>
      </c>
      <c r="R69" s="387">
        <v>2852827.46</v>
      </c>
      <c r="S69" s="382"/>
      <c r="T69" s="375">
        <f>VLOOKUP(A69,'Nov 2020 cc'!$B$3:$D$317,3,0)</f>
        <v>238</v>
      </c>
      <c r="U69" s="387">
        <v>0</v>
      </c>
      <c r="V69" s="387">
        <v>2789203.2</v>
      </c>
      <c r="W69" s="387">
        <v>2789203.2</v>
      </c>
      <c r="X69" s="382"/>
      <c r="Y69" s="375">
        <v>232</v>
      </c>
      <c r="Z69" s="413">
        <f>VLOOKUP(A69,'2021-22'!$A$6:$D$317,4,0)</f>
        <v>0</v>
      </c>
      <c r="AA69" s="413">
        <f>VLOOKUP(A69,'2021-22'!$A$6:$E$317,5,0)</f>
        <v>2850041.13</v>
      </c>
      <c r="AB69" s="387">
        <f t="shared" si="7"/>
        <v>2850041.13</v>
      </c>
      <c r="AC69" s="382"/>
      <c r="AD69" s="416">
        <v>232</v>
      </c>
      <c r="AE69" s="413">
        <v>0</v>
      </c>
      <c r="AF69" s="413">
        <v>3212184.12</v>
      </c>
      <c r="AG69" s="387">
        <f t="shared" si="8"/>
        <v>3212184.12</v>
      </c>
      <c r="AH69" s="557"/>
      <c r="AI69" s="387">
        <f>IFERROR(VLOOKUP(A69,'23-24 child count'!$C$4:$Y$317,23,0),0)</f>
        <v>239</v>
      </c>
      <c r="AJ69" s="387">
        <f>VLOOKUP(A69,'23-24 state &amp; local'!$A$5:$D$316,4,0)</f>
        <v>0</v>
      </c>
      <c r="AK69" s="387">
        <f>VLOOKUP(A69,'23-24 state &amp; local'!$A$5:$E$316,5,0)</f>
        <v>3663710.29</v>
      </c>
      <c r="AL69" s="387">
        <f t="shared" ref="AL69:AL132" si="10">AJ69+AK69</f>
        <v>3663710.29</v>
      </c>
      <c r="AM69" s="382"/>
    </row>
    <row r="70" spans="1:39" ht="15" hidden="1" x14ac:dyDescent="0.25">
      <c r="A70" s="375" t="s">
        <v>330</v>
      </c>
      <c r="B70" s="375" t="s">
        <v>197</v>
      </c>
      <c r="C70" s="448" t="s">
        <v>331</v>
      </c>
      <c r="E70" s="461">
        <v>2924</v>
      </c>
      <c r="F70" s="468">
        <f>IFERROR(VLOOKUP(A70,'2017-18'!$A$6:$F$315,6,0),0)</f>
        <v>2165000</v>
      </c>
      <c r="G70" s="468">
        <f>IFERROR(VLOOKUP(A70,'2017-18'!$A$6:$D$315,4,0),0)</f>
        <v>35960368.659999996</v>
      </c>
      <c r="H70" s="468">
        <f t="shared" si="9"/>
        <v>38125368.659999996</v>
      </c>
      <c r="I70" s="382"/>
      <c r="J70" s="462">
        <v>3033</v>
      </c>
      <c r="K70" s="468">
        <f>IFERROR(VLOOKUP(A70,'2018-19'!$A$6:$F$318,6,0),0)</f>
        <v>7159635.71</v>
      </c>
      <c r="L70" s="468">
        <f>IFERROR(VLOOKUP(A70,'2018-19'!$A$6:$D$318,4,0),0)</f>
        <v>35396908.509999998</v>
      </c>
      <c r="M70" s="468">
        <f t="shared" ref="M70:M134" si="11">K70+L70</f>
        <v>42556544.219999999</v>
      </c>
      <c r="N70" s="382"/>
      <c r="O70" s="452">
        <v>3096</v>
      </c>
      <c r="P70" s="387">
        <v>3532542.92</v>
      </c>
      <c r="Q70" s="387">
        <v>41458831.579999998</v>
      </c>
      <c r="R70" s="387">
        <v>44991374.5</v>
      </c>
      <c r="S70" s="382"/>
      <c r="T70" s="375">
        <f>VLOOKUP(A70,'Nov 2020 cc'!$B$3:$D$317,3,0)</f>
        <v>3044</v>
      </c>
      <c r="U70" s="387">
        <v>4614231.8499999996</v>
      </c>
      <c r="V70" s="387">
        <v>40368940.369999997</v>
      </c>
      <c r="W70" s="387">
        <v>44983172.219999999</v>
      </c>
      <c r="X70" s="382"/>
      <c r="Y70" s="375">
        <v>2979</v>
      </c>
      <c r="Z70" s="413">
        <f>VLOOKUP(A70,'2021-22'!$A$6:$D$317,4,0)</f>
        <v>6181499.3799999999</v>
      </c>
      <c r="AA70" s="413">
        <f>VLOOKUP(A70,'2021-22'!$A$6:$E$317,5,0)</f>
        <v>41367519.409999996</v>
      </c>
      <c r="AB70" s="387">
        <f t="shared" si="7"/>
        <v>47549018.789999999</v>
      </c>
      <c r="AC70" s="382"/>
      <c r="AD70" s="416">
        <v>3062</v>
      </c>
      <c r="AE70" s="413">
        <v>10175555.08</v>
      </c>
      <c r="AF70" s="413">
        <v>45273956.609999999</v>
      </c>
      <c r="AG70" s="387">
        <f t="shared" si="8"/>
        <v>55449511.689999998</v>
      </c>
      <c r="AH70" s="557"/>
      <c r="AI70" s="387">
        <f>IFERROR(VLOOKUP(A70,'23-24 child count'!$C$4:$Y$317,23,0),0)</f>
        <v>3264</v>
      </c>
      <c r="AJ70" s="387">
        <f>VLOOKUP(A70,'23-24 state &amp; local'!$A$5:$D$316,4,0)</f>
        <v>5034477.82</v>
      </c>
      <c r="AK70" s="387">
        <f>VLOOKUP(A70,'23-24 state &amp; local'!$A$5:$E$316,5,0)</f>
        <v>56601661.130000003</v>
      </c>
      <c r="AL70" s="387">
        <f t="shared" si="10"/>
        <v>61636138.950000003</v>
      </c>
      <c r="AM70" s="382"/>
    </row>
    <row r="71" spans="1:39" ht="15" hidden="1" x14ac:dyDescent="0.25">
      <c r="A71" s="375" t="s">
        <v>332</v>
      </c>
      <c r="B71" s="375" t="s">
        <v>221</v>
      </c>
      <c r="C71" s="448" t="s">
        <v>333</v>
      </c>
      <c r="E71" s="461">
        <v>460</v>
      </c>
      <c r="F71" s="468">
        <f>IFERROR(VLOOKUP(A71,'2017-18'!$A$6:$F$315,6,0),0)</f>
        <v>589560.42000000004</v>
      </c>
      <c r="G71" s="468">
        <f>IFERROR(VLOOKUP(A71,'2017-18'!$A$6:$D$315,4,0),0)</f>
        <v>3828606.9</v>
      </c>
      <c r="H71" s="468">
        <f t="shared" si="9"/>
        <v>4418167.32</v>
      </c>
      <c r="I71" s="382"/>
      <c r="J71" s="462">
        <v>449</v>
      </c>
      <c r="K71" s="468">
        <f>IFERROR(VLOOKUP(A71,'2018-19'!$A$6:$F$318,6,0),0)</f>
        <v>543602.06000000006</v>
      </c>
      <c r="L71" s="468">
        <f>IFERROR(VLOOKUP(A71,'2018-19'!$A$6:$D$318,4,0),0)</f>
        <v>4529693.87</v>
      </c>
      <c r="M71" s="468">
        <f t="shared" si="11"/>
        <v>5073295.93</v>
      </c>
      <c r="N71" s="382"/>
      <c r="O71" s="452">
        <v>446</v>
      </c>
      <c r="P71" s="387">
        <v>350037.6</v>
      </c>
      <c r="Q71" s="387">
        <v>4777403.88</v>
      </c>
      <c r="R71" s="387">
        <v>5127441.4799999995</v>
      </c>
      <c r="S71" s="382"/>
      <c r="T71" s="375">
        <f>VLOOKUP(A71,'Nov 2020 cc'!$B$3:$D$317,3,0)</f>
        <v>401</v>
      </c>
      <c r="U71" s="387">
        <v>735021.58</v>
      </c>
      <c r="V71" s="387">
        <v>4349020.1399999997</v>
      </c>
      <c r="W71" s="387">
        <v>5084041.72</v>
      </c>
      <c r="X71" s="382"/>
      <c r="Y71" s="375">
        <v>403</v>
      </c>
      <c r="Z71" s="413">
        <f>VLOOKUP(A71,'2021-22'!$A$6:$D$317,4,0)</f>
        <v>731166.5</v>
      </c>
      <c r="AA71" s="413">
        <f>VLOOKUP(A71,'2021-22'!$A$6:$E$317,5,0)</f>
        <v>4539525.75</v>
      </c>
      <c r="AB71" s="387">
        <f t="shared" si="7"/>
        <v>5270692.25</v>
      </c>
      <c r="AC71" s="382"/>
      <c r="AD71" s="416">
        <v>415</v>
      </c>
      <c r="AE71" s="413">
        <v>606337.35</v>
      </c>
      <c r="AF71" s="413">
        <v>5004302.53</v>
      </c>
      <c r="AG71" s="387">
        <f t="shared" si="8"/>
        <v>5610639.8799999999</v>
      </c>
      <c r="AH71" s="557"/>
      <c r="AI71" s="387">
        <f>IFERROR(VLOOKUP(A71,'23-24 child count'!$C$4:$Y$317,23,0),0)</f>
        <v>476</v>
      </c>
      <c r="AJ71" s="387">
        <f>VLOOKUP(A71,'23-24 state &amp; local'!$A$5:$D$316,4,0)</f>
        <v>0</v>
      </c>
      <c r="AK71" s="387">
        <f>VLOOKUP(A71,'23-24 state &amp; local'!$A$5:$E$316,5,0)</f>
        <v>5826454.4500000002</v>
      </c>
      <c r="AL71" s="387">
        <f t="shared" si="10"/>
        <v>5826454.4500000002</v>
      </c>
      <c r="AM71" s="382"/>
    </row>
    <row r="72" spans="1:39" ht="15" hidden="1" x14ac:dyDescent="0.25">
      <c r="A72" s="375" t="s">
        <v>334</v>
      </c>
      <c r="B72" s="375" t="s">
        <v>189</v>
      </c>
      <c r="C72" s="448" t="s">
        <v>335</v>
      </c>
      <c r="E72" s="461">
        <v>277</v>
      </c>
      <c r="F72" s="468">
        <f>IFERROR(VLOOKUP(A72,'2017-18'!$A$6:$F$315,6,0),0)</f>
        <v>0</v>
      </c>
      <c r="G72" s="468">
        <f>IFERROR(VLOOKUP(A72,'2017-18'!$A$6:$D$315,4,0),0)</f>
        <v>1861769.92</v>
      </c>
      <c r="H72" s="468">
        <f t="shared" si="9"/>
        <v>1861769.92</v>
      </c>
      <c r="I72" s="382"/>
      <c r="J72" s="462">
        <v>269</v>
      </c>
      <c r="K72" s="468">
        <f>IFERROR(VLOOKUP(A72,'2018-19'!$A$6:$F$318,6,0),0)</f>
        <v>0</v>
      </c>
      <c r="L72" s="468">
        <f>IFERROR(VLOOKUP(A72,'2018-19'!$A$6:$D$318,4,0),0)</f>
        <v>2457008.56</v>
      </c>
      <c r="M72" s="468">
        <f t="shared" si="11"/>
        <v>2457008.56</v>
      </c>
      <c r="N72" s="382"/>
      <c r="O72" s="452">
        <v>302</v>
      </c>
      <c r="P72" s="387">
        <v>0</v>
      </c>
      <c r="Q72" s="387">
        <v>2827158.65</v>
      </c>
      <c r="R72" s="387">
        <v>2827158.65</v>
      </c>
      <c r="S72" s="382"/>
      <c r="T72" s="375">
        <f>VLOOKUP(A72,'Nov 2020 cc'!$B$3:$D$317,3,0)</f>
        <v>281</v>
      </c>
      <c r="U72" s="387">
        <v>0</v>
      </c>
      <c r="V72" s="387">
        <v>2903469.81</v>
      </c>
      <c r="W72" s="387">
        <v>2903469.81</v>
      </c>
      <c r="X72" s="382"/>
      <c r="Y72" s="375">
        <v>283</v>
      </c>
      <c r="Z72" s="413">
        <f>VLOOKUP(A72,'2021-22'!$A$6:$D$317,4,0)</f>
        <v>29681.45</v>
      </c>
      <c r="AA72" s="413">
        <f>VLOOKUP(A72,'2021-22'!$A$6:$E$317,5,0)</f>
        <v>2688292.4</v>
      </c>
      <c r="AB72" s="387">
        <f t="shared" si="7"/>
        <v>2717973.85</v>
      </c>
      <c r="AC72" s="382"/>
      <c r="AD72" s="416">
        <v>270</v>
      </c>
      <c r="AE72" s="413">
        <v>0</v>
      </c>
      <c r="AF72" s="413">
        <v>2823683.47</v>
      </c>
      <c r="AG72" s="387">
        <f t="shared" si="8"/>
        <v>2823683.47</v>
      </c>
      <c r="AH72" s="557"/>
      <c r="AI72" s="387">
        <f>IFERROR(VLOOKUP(A72,'23-24 child count'!$C$4:$Y$317,23,0),0)</f>
        <v>260</v>
      </c>
      <c r="AJ72" s="387">
        <f>VLOOKUP(A72,'23-24 state &amp; local'!$A$5:$D$316,4,0)</f>
        <v>0</v>
      </c>
      <c r="AK72" s="387">
        <f>VLOOKUP(A72,'23-24 state &amp; local'!$A$5:$E$316,5,0)</f>
        <v>3049495.72</v>
      </c>
      <c r="AL72" s="387">
        <f t="shared" si="10"/>
        <v>3049495.72</v>
      </c>
      <c r="AM72" s="382"/>
    </row>
    <row r="73" spans="1:39" ht="15" hidden="1" x14ac:dyDescent="0.25">
      <c r="A73" s="375" t="s">
        <v>336</v>
      </c>
      <c r="B73" s="375" t="s">
        <v>194</v>
      </c>
      <c r="C73" s="448" t="s">
        <v>337</v>
      </c>
      <c r="E73" s="461">
        <v>7</v>
      </c>
      <c r="F73" s="468">
        <f>IFERROR(VLOOKUP(A73,'2017-18'!$A$6:$F$315,6,0),0)</f>
        <v>0</v>
      </c>
      <c r="G73" s="468">
        <f>IFERROR(VLOOKUP(A73,'2017-18'!$A$6:$D$315,4,0),0)</f>
        <v>143956.07999999999</v>
      </c>
      <c r="H73" s="468">
        <f t="shared" si="9"/>
        <v>143956.07999999999</v>
      </c>
      <c r="I73" s="382"/>
      <c r="J73" s="462">
        <v>10</v>
      </c>
      <c r="K73" s="468">
        <f>IFERROR(VLOOKUP(A73,'2018-19'!$A$6:$F$318,6,0),0)</f>
        <v>0</v>
      </c>
      <c r="L73" s="468">
        <f>IFERROR(VLOOKUP(A73,'2018-19'!$A$6:$D$318,4,0),0)</f>
        <v>178565.46</v>
      </c>
      <c r="M73" s="468">
        <f t="shared" si="11"/>
        <v>178565.46</v>
      </c>
      <c r="N73" s="382"/>
      <c r="O73" s="452">
        <v>12</v>
      </c>
      <c r="P73" s="387">
        <v>0</v>
      </c>
      <c r="Q73" s="387">
        <v>170731.69</v>
      </c>
      <c r="R73" s="387">
        <v>170731.69</v>
      </c>
      <c r="S73" s="382"/>
      <c r="T73" s="375">
        <f>VLOOKUP(A73,'Nov 2020 cc'!$B$3:$D$317,3,0)</f>
        <v>15</v>
      </c>
      <c r="U73" s="387">
        <v>0</v>
      </c>
      <c r="V73" s="387">
        <v>211307.29</v>
      </c>
      <c r="W73" s="387">
        <v>211307.29</v>
      </c>
      <c r="X73" s="382"/>
      <c r="Y73" s="375">
        <v>14</v>
      </c>
      <c r="Z73" s="413">
        <f>VLOOKUP(A73,'2021-22'!$A$6:$D$317,4,0)</f>
        <v>0</v>
      </c>
      <c r="AA73" s="413">
        <f>VLOOKUP(A73,'2021-22'!$A$6:$E$317,5,0)</f>
        <v>259655.67</v>
      </c>
      <c r="AB73" s="387">
        <f t="shared" si="7"/>
        <v>259655.67</v>
      </c>
      <c r="AC73" s="382"/>
      <c r="AD73" s="416">
        <v>22</v>
      </c>
      <c r="AE73" s="413">
        <v>0</v>
      </c>
      <c r="AF73" s="413">
        <v>283717.8</v>
      </c>
      <c r="AG73" s="387">
        <f t="shared" si="8"/>
        <v>283717.8</v>
      </c>
      <c r="AH73" s="557"/>
      <c r="AI73" s="387">
        <f>IFERROR(VLOOKUP(A73,'23-24 child count'!$C$4:$Y$317,23,0),0)</f>
        <v>22</v>
      </c>
      <c r="AJ73" s="387">
        <f>VLOOKUP(A73,'23-24 state &amp; local'!$A$5:$D$316,4,0)</f>
        <v>0</v>
      </c>
      <c r="AK73" s="387">
        <f>VLOOKUP(A73,'23-24 state &amp; local'!$A$5:$E$316,5,0)</f>
        <v>242924.52</v>
      </c>
      <c r="AL73" s="387">
        <f t="shared" si="10"/>
        <v>242924.52</v>
      </c>
      <c r="AM73" s="382"/>
    </row>
    <row r="74" spans="1:39" ht="15" hidden="1" x14ac:dyDescent="0.25">
      <c r="A74" s="375" t="s">
        <v>338</v>
      </c>
      <c r="B74" s="375" t="s">
        <v>231</v>
      </c>
      <c r="C74" s="448" t="s">
        <v>339</v>
      </c>
      <c r="E74" s="461">
        <v>32</v>
      </c>
      <c r="F74" s="468">
        <f>IFERROR(VLOOKUP(A74,'2017-18'!$A$6:$F$315,6,0),0)</f>
        <v>1256.4100000000001</v>
      </c>
      <c r="G74" s="468">
        <f>IFERROR(VLOOKUP(A74,'2017-18'!$A$6:$D$315,4,0),0)</f>
        <v>210590.77</v>
      </c>
      <c r="H74" s="468">
        <f t="shared" si="9"/>
        <v>211847.18</v>
      </c>
      <c r="I74" s="382"/>
      <c r="J74" s="462">
        <v>33</v>
      </c>
      <c r="K74" s="468">
        <f>IFERROR(VLOOKUP(A74,'2018-19'!$A$6:$F$318,6,0),0)</f>
        <v>0</v>
      </c>
      <c r="L74" s="468">
        <f>IFERROR(VLOOKUP(A74,'2018-19'!$A$6:$D$318,4,0),0)</f>
        <v>233031.44</v>
      </c>
      <c r="M74" s="468">
        <f t="shared" si="11"/>
        <v>233031.44</v>
      </c>
      <c r="N74" s="382"/>
      <c r="O74" s="452">
        <v>38</v>
      </c>
      <c r="P74" s="387">
        <v>0</v>
      </c>
      <c r="Q74" s="387">
        <v>308041.64</v>
      </c>
      <c r="R74" s="387">
        <v>308041.64</v>
      </c>
      <c r="S74" s="382"/>
      <c r="T74" s="375">
        <f>VLOOKUP(A74,'Nov 2020 cc'!$B$3:$D$317,3,0)</f>
        <v>37</v>
      </c>
      <c r="U74" s="387">
        <v>0</v>
      </c>
      <c r="V74" s="387">
        <v>319369.55</v>
      </c>
      <c r="W74" s="387">
        <v>319369.55</v>
      </c>
      <c r="X74" s="382"/>
      <c r="Y74" s="375">
        <v>37</v>
      </c>
      <c r="Z74" s="413">
        <f>VLOOKUP(A74,'2021-22'!$A$6:$D$317,4,0)</f>
        <v>6075.51</v>
      </c>
      <c r="AA74" s="413">
        <f>VLOOKUP(A74,'2021-22'!$A$6:$E$317,5,0)</f>
        <v>385494.08</v>
      </c>
      <c r="AB74" s="387">
        <f t="shared" si="7"/>
        <v>391569.59</v>
      </c>
      <c r="AC74" s="382"/>
      <c r="AD74" s="416">
        <v>23</v>
      </c>
      <c r="AE74" s="413">
        <v>16161.38</v>
      </c>
      <c r="AF74" s="413">
        <v>292251.24</v>
      </c>
      <c r="AG74" s="387">
        <f t="shared" si="8"/>
        <v>308412.62</v>
      </c>
      <c r="AH74" s="557"/>
      <c r="AI74" s="387">
        <f>IFERROR(VLOOKUP(A74,'23-24 child count'!$C$4:$Y$317,23,0),0)</f>
        <v>35</v>
      </c>
      <c r="AJ74" s="387">
        <f>VLOOKUP(A74,'23-24 state &amp; local'!$A$5:$D$316,4,0)</f>
        <v>0</v>
      </c>
      <c r="AK74" s="387">
        <f>VLOOKUP(A74,'23-24 state &amp; local'!$A$5:$E$316,5,0)</f>
        <v>430727.8</v>
      </c>
      <c r="AL74" s="387">
        <f t="shared" si="10"/>
        <v>430727.8</v>
      </c>
      <c r="AM74" s="382"/>
    </row>
    <row r="75" spans="1:39" ht="15" hidden="1" x14ac:dyDescent="0.25">
      <c r="A75" s="375" t="s">
        <v>340</v>
      </c>
      <c r="B75" s="375" t="s">
        <v>205</v>
      </c>
      <c r="C75" s="448" t="s">
        <v>341</v>
      </c>
      <c r="E75" s="461">
        <v>636</v>
      </c>
      <c r="F75" s="468">
        <f>IFERROR(VLOOKUP(A75,'2017-18'!$A$6:$F$315,6,0),0)</f>
        <v>5196.4399999999996</v>
      </c>
      <c r="G75" s="468">
        <f>IFERROR(VLOOKUP(A75,'2017-18'!$A$6:$D$315,4,0),0)</f>
        <v>6453775.8099999996</v>
      </c>
      <c r="H75" s="468">
        <f t="shared" si="9"/>
        <v>6458972.25</v>
      </c>
      <c r="I75" s="382"/>
      <c r="J75" s="462">
        <v>647</v>
      </c>
      <c r="K75" s="468">
        <f>IFERROR(VLOOKUP(A75,'2018-19'!$A$6:$F$318,6,0),0)</f>
        <v>377461.63</v>
      </c>
      <c r="L75" s="468">
        <f>IFERROR(VLOOKUP(A75,'2018-19'!$A$6:$D$318,4,0),0)</f>
        <v>6934623.75</v>
      </c>
      <c r="M75" s="468">
        <f t="shared" si="11"/>
        <v>7312085.3799999999</v>
      </c>
      <c r="N75" s="382"/>
      <c r="O75" s="452">
        <v>671</v>
      </c>
      <c r="P75" s="387">
        <v>0</v>
      </c>
      <c r="Q75" s="387">
        <v>7996223.75</v>
      </c>
      <c r="R75" s="387">
        <v>7996223.75</v>
      </c>
      <c r="S75" s="382"/>
      <c r="T75" s="375">
        <f>VLOOKUP(A75,'Nov 2020 cc'!$B$3:$D$317,3,0)</f>
        <v>686</v>
      </c>
      <c r="U75" s="387">
        <v>0</v>
      </c>
      <c r="V75" s="387">
        <v>8281665.6399999997</v>
      </c>
      <c r="W75" s="387">
        <v>8281665.6399999997</v>
      </c>
      <c r="X75" s="382"/>
      <c r="Y75" s="375">
        <v>656</v>
      </c>
      <c r="Z75" s="413">
        <f>VLOOKUP(A75,'2021-22'!$A$6:$D$317,4,0)</f>
        <v>710270.96</v>
      </c>
      <c r="AA75" s="413">
        <f>VLOOKUP(A75,'2021-22'!$A$6:$E$317,5,0)</f>
        <v>8767284.0199999996</v>
      </c>
      <c r="AB75" s="387">
        <f t="shared" si="7"/>
        <v>9477554.9800000004</v>
      </c>
      <c r="AC75" s="382"/>
      <c r="AD75" s="416">
        <v>712</v>
      </c>
      <c r="AE75" s="413">
        <v>1506604.06</v>
      </c>
      <c r="AF75" s="413">
        <v>8982247.8599999994</v>
      </c>
      <c r="AG75" s="387">
        <f t="shared" si="8"/>
        <v>10488851.92</v>
      </c>
      <c r="AH75" s="557"/>
      <c r="AI75" s="387">
        <f>IFERROR(VLOOKUP(A75,'23-24 child count'!$C$4:$Y$317,23,0),0)</f>
        <v>769</v>
      </c>
      <c r="AJ75" s="387">
        <f>VLOOKUP(A75,'23-24 state &amp; local'!$A$5:$D$316,4,0)</f>
        <v>496914.29</v>
      </c>
      <c r="AK75" s="387">
        <f>VLOOKUP(A75,'23-24 state &amp; local'!$A$5:$E$316,5,0)</f>
        <v>11264455.68</v>
      </c>
      <c r="AL75" s="387">
        <f t="shared" si="10"/>
        <v>11761369.969999999</v>
      </c>
      <c r="AM75" s="382"/>
    </row>
    <row r="76" spans="1:39" ht="15" hidden="1" x14ac:dyDescent="0.25">
      <c r="A76" s="375" t="s">
        <v>342</v>
      </c>
      <c r="B76" s="375" t="s">
        <v>231</v>
      </c>
      <c r="C76" s="448" t="s">
        <v>343</v>
      </c>
      <c r="E76" s="461">
        <v>284</v>
      </c>
      <c r="F76" s="468">
        <f>IFERROR(VLOOKUP(A76,'2017-18'!$A$6:$F$315,6,0),0)</f>
        <v>0</v>
      </c>
      <c r="G76" s="468">
        <f>IFERROR(VLOOKUP(A76,'2017-18'!$A$6:$D$315,4,0),0)</f>
        <v>2193603.44</v>
      </c>
      <c r="H76" s="468">
        <f t="shared" si="9"/>
        <v>2193603.44</v>
      </c>
      <c r="I76" s="382"/>
      <c r="J76" s="462">
        <v>290</v>
      </c>
      <c r="K76" s="468">
        <f>IFERROR(VLOOKUP(A76,'2018-19'!$A$6:$F$318,6,0),0)</f>
        <v>0</v>
      </c>
      <c r="L76" s="468">
        <f>IFERROR(VLOOKUP(A76,'2018-19'!$A$6:$D$318,4,0),0)</f>
        <v>2506819.09</v>
      </c>
      <c r="M76" s="468">
        <f t="shared" si="11"/>
        <v>2506819.09</v>
      </c>
      <c r="N76" s="382"/>
      <c r="O76" s="452">
        <v>358</v>
      </c>
      <c r="P76" s="387">
        <v>0</v>
      </c>
      <c r="Q76" s="387">
        <v>3306426.94</v>
      </c>
      <c r="R76" s="387">
        <v>3306426.94</v>
      </c>
      <c r="S76" s="382"/>
      <c r="T76" s="375">
        <f>VLOOKUP(A76,'Nov 2020 cc'!$B$3:$D$317,3,0)</f>
        <v>357</v>
      </c>
      <c r="U76" s="387">
        <v>0</v>
      </c>
      <c r="V76" s="387">
        <v>3387015.47</v>
      </c>
      <c r="W76" s="387">
        <v>3387015.47</v>
      </c>
      <c r="X76" s="382"/>
      <c r="Y76" s="375">
        <v>357</v>
      </c>
      <c r="Z76" s="413">
        <f>VLOOKUP(A76,'2021-22'!$A$6:$D$317,4,0)</f>
        <v>0</v>
      </c>
      <c r="AA76" s="413">
        <f>VLOOKUP(A76,'2021-22'!$A$6:$E$317,5,0)</f>
        <v>3221619.67</v>
      </c>
      <c r="AB76" s="387">
        <f t="shared" si="7"/>
        <v>3221619.67</v>
      </c>
      <c r="AC76" s="382"/>
      <c r="AD76" s="416">
        <v>340</v>
      </c>
      <c r="AE76" s="413">
        <v>0</v>
      </c>
      <c r="AF76" s="413">
        <v>3504168.79</v>
      </c>
      <c r="AG76" s="387">
        <f t="shared" si="8"/>
        <v>3504168.79</v>
      </c>
      <c r="AH76" s="557"/>
      <c r="AI76" s="387">
        <f>IFERROR(VLOOKUP(A76,'23-24 child count'!$C$4:$Y$317,23,0),0)</f>
        <v>350</v>
      </c>
      <c r="AJ76" s="387">
        <f>VLOOKUP(A76,'23-24 state &amp; local'!$A$5:$D$316,4,0)</f>
        <v>0</v>
      </c>
      <c r="AK76" s="387">
        <f>VLOOKUP(A76,'23-24 state &amp; local'!$A$5:$E$316,5,0)</f>
        <v>3806656.36</v>
      </c>
      <c r="AL76" s="387">
        <f t="shared" si="10"/>
        <v>3806656.36</v>
      </c>
      <c r="AM76" s="382"/>
    </row>
    <row r="77" spans="1:39" ht="15" hidden="1" x14ac:dyDescent="0.25">
      <c r="A77" s="599" t="s">
        <v>818</v>
      </c>
      <c r="B77" s="599" t="s">
        <v>210</v>
      </c>
      <c r="C77" s="600" t="s">
        <v>819</v>
      </c>
      <c r="D77" s="599" t="s">
        <v>819</v>
      </c>
      <c r="E77" s="601">
        <v>1524</v>
      </c>
      <c r="F77" s="602">
        <f>IFERROR(VLOOKUP(A77,'2017-18'!$A$6:$F$315,6,0),0)</f>
        <v>0</v>
      </c>
      <c r="G77" s="602">
        <f>IFERROR(VLOOKUP(A77,'2017-18'!$A$6:$D$315,4,0),0)</f>
        <v>0</v>
      </c>
      <c r="H77" s="602">
        <f t="shared" si="9"/>
        <v>0</v>
      </c>
      <c r="I77" s="599"/>
      <c r="J77" s="601">
        <v>1621</v>
      </c>
      <c r="K77" s="602">
        <f>IFERROR(VLOOKUP(A77,'2018-19'!$A$6:$F$318,6,0),0)</f>
        <v>0</v>
      </c>
      <c r="L77" s="602">
        <f>IFERROR(VLOOKUP(A77,'2018-19'!$A$6:$D$318,4,0),0)</f>
        <v>0</v>
      </c>
      <c r="M77" s="602">
        <f t="shared" si="11"/>
        <v>0</v>
      </c>
      <c r="N77" s="599"/>
      <c r="O77" s="603">
        <v>0</v>
      </c>
      <c r="P77" s="602">
        <v>0</v>
      </c>
      <c r="Q77" s="602">
        <v>14261551.469999997</v>
      </c>
      <c r="R77" s="602">
        <v>14261551.469999997</v>
      </c>
      <c r="S77" s="599"/>
      <c r="T77" s="599">
        <v>0</v>
      </c>
      <c r="U77" s="602">
        <v>0</v>
      </c>
      <c r="V77" s="602">
        <v>0</v>
      </c>
      <c r="W77" s="602">
        <v>0</v>
      </c>
      <c r="X77" s="599"/>
      <c r="Y77" s="599">
        <v>0</v>
      </c>
      <c r="Z77" s="602">
        <v>0</v>
      </c>
      <c r="AA77" s="602">
        <v>0</v>
      </c>
      <c r="AB77" s="602">
        <f t="shared" si="7"/>
        <v>0</v>
      </c>
      <c r="AC77" s="599"/>
      <c r="AD77" s="604">
        <v>1784</v>
      </c>
      <c r="AE77" s="602">
        <v>0</v>
      </c>
      <c r="AF77" s="602">
        <v>0</v>
      </c>
      <c r="AG77" s="602">
        <f t="shared" si="8"/>
        <v>0</v>
      </c>
      <c r="AH77" s="605"/>
      <c r="AI77" s="602">
        <f>IFERROR(VLOOKUP(A77,'23-24 child count'!$C$4:$Y$317,23,0),0)</f>
        <v>0</v>
      </c>
      <c r="AJ77" s="602">
        <v>0</v>
      </c>
      <c r="AK77" s="602">
        <v>0</v>
      </c>
      <c r="AL77" s="572">
        <f t="shared" si="10"/>
        <v>0</v>
      </c>
      <c r="AM77" s="571"/>
    </row>
    <row r="78" spans="1:39" ht="15" hidden="1" x14ac:dyDescent="0.25">
      <c r="A78" s="375" t="s">
        <v>344</v>
      </c>
      <c r="B78" s="375" t="s">
        <v>189</v>
      </c>
      <c r="C78" s="448" t="s">
        <v>345</v>
      </c>
      <c r="E78" s="461">
        <v>14</v>
      </c>
      <c r="F78" s="468">
        <f>IFERROR(VLOOKUP(A78,'2017-18'!$A$6:$F$315,6,0),0)</f>
        <v>16704.560000000001</v>
      </c>
      <c r="G78" s="468">
        <f>IFERROR(VLOOKUP(A78,'2017-18'!$A$6:$D$315,4,0),0)</f>
        <v>84291.11</v>
      </c>
      <c r="H78" s="468">
        <f t="shared" si="9"/>
        <v>100995.67</v>
      </c>
      <c r="I78" s="382"/>
      <c r="J78" s="462">
        <v>10</v>
      </c>
      <c r="K78" s="468">
        <f>IFERROR(VLOOKUP(A78,'2018-19'!$A$6:$F$318,6,0),0)</f>
        <v>29089.43</v>
      </c>
      <c r="L78" s="468">
        <f>IFERROR(VLOOKUP(A78,'2018-19'!$A$6:$D$318,4,0),0)</f>
        <v>72199.77</v>
      </c>
      <c r="M78" s="468">
        <f t="shared" si="11"/>
        <v>101289.20000000001</v>
      </c>
      <c r="N78" s="382"/>
      <c r="O78" s="452">
        <v>11</v>
      </c>
      <c r="P78" s="387">
        <v>3964.71</v>
      </c>
      <c r="Q78" s="387">
        <v>81780.740000000005</v>
      </c>
      <c r="R78" s="387">
        <v>85745.450000000012</v>
      </c>
      <c r="S78" s="382"/>
      <c r="T78" s="375">
        <f>VLOOKUP(A78,'Nov 2020 cc'!$B$3:$D$317,3,0)</f>
        <v>8</v>
      </c>
      <c r="U78" s="387">
        <v>2889</v>
      </c>
      <c r="V78" s="387">
        <v>84778.37</v>
      </c>
      <c r="W78" s="387">
        <v>87667.37</v>
      </c>
      <c r="X78" s="382"/>
      <c r="Y78" s="375">
        <v>8</v>
      </c>
      <c r="Z78" s="413">
        <f>VLOOKUP(A78,'2021-22'!$A$6:$D$317,4,0)</f>
        <v>2890</v>
      </c>
      <c r="AA78" s="413">
        <f>VLOOKUP(A78,'2021-22'!$A$6:$E$317,5,0)</f>
        <v>74530.990000000005</v>
      </c>
      <c r="AB78" s="387">
        <f t="shared" si="7"/>
        <v>77420.990000000005</v>
      </c>
      <c r="AC78" s="382"/>
      <c r="AD78" s="416">
        <v>4</v>
      </c>
      <c r="AE78" s="413">
        <v>761.27</v>
      </c>
      <c r="AF78" s="413">
        <v>70018.899999999994</v>
      </c>
      <c r="AG78" s="387">
        <f t="shared" si="8"/>
        <v>70780.17</v>
      </c>
      <c r="AH78" s="557"/>
      <c r="AI78" s="387">
        <f>IFERROR(VLOOKUP(A78,'23-24 child count'!$C$4:$Y$317,23,0),0)</f>
        <v>4</v>
      </c>
      <c r="AJ78" s="387">
        <f>VLOOKUP(A78,'23-24 state &amp; local'!$A$5:$D$316,4,0)</f>
        <v>13.89</v>
      </c>
      <c r="AK78" s="387">
        <f>VLOOKUP(A78,'23-24 state &amp; local'!$A$5:$E$316,5,0)</f>
        <v>70778.02</v>
      </c>
      <c r="AL78" s="387">
        <f t="shared" si="10"/>
        <v>70791.91</v>
      </c>
      <c r="AM78" s="382"/>
    </row>
    <row r="79" spans="1:39" ht="15" hidden="1" x14ac:dyDescent="0.25">
      <c r="A79" s="375" t="s">
        <v>346</v>
      </c>
      <c r="B79" s="375" t="s">
        <v>197</v>
      </c>
      <c r="C79" s="448" t="s">
        <v>347</v>
      </c>
      <c r="E79" s="461">
        <v>2514</v>
      </c>
      <c r="F79" s="468">
        <f>IFERROR(VLOOKUP(A79,'2017-18'!$A$6:$F$315,6,0),0)</f>
        <v>1870509.39</v>
      </c>
      <c r="G79" s="468">
        <f>IFERROR(VLOOKUP(A79,'2017-18'!$A$6:$D$315,4,0),0)</f>
        <v>29965745.109999999</v>
      </c>
      <c r="H79" s="468">
        <f t="shared" si="9"/>
        <v>31836254.5</v>
      </c>
      <c r="I79" s="382"/>
      <c r="J79" s="462">
        <v>2658</v>
      </c>
      <c r="K79" s="468">
        <f>IFERROR(VLOOKUP(A79,'2018-19'!$A$6:$F$318,6,0),0)</f>
        <v>807283.62</v>
      </c>
      <c r="L79" s="468">
        <f>IFERROR(VLOOKUP(A79,'2018-19'!$A$6:$D$318,4,0),0)</f>
        <v>37419393.299999997</v>
      </c>
      <c r="M79" s="468">
        <f t="shared" si="11"/>
        <v>38226676.919999994</v>
      </c>
      <c r="N79" s="382"/>
      <c r="O79" s="452">
        <v>2690</v>
      </c>
      <c r="P79" s="387">
        <v>892221.14</v>
      </c>
      <c r="Q79" s="387">
        <v>40851596.460000001</v>
      </c>
      <c r="R79" s="387">
        <v>41743817.600000001</v>
      </c>
      <c r="S79" s="382"/>
      <c r="T79" s="375">
        <f>VLOOKUP(A79,'Nov 2020 cc'!$B$3:$D$317,3,0)</f>
        <v>2648</v>
      </c>
      <c r="U79" s="387">
        <v>1238515.07</v>
      </c>
      <c r="V79" s="387">
        <v>43162388.399999999</v>
      </c>
      <c r="W79" s="387">
        <v>44400903.469999999</v>
      </c>
      <c r="X79" s="382"/>
      <c r="Y79" s="375">
        <v>2573</v>
      </c>
      <c r="Z79" s="413">
        <f>VLOOKUP(A79,'2021-22'!$A$6:$D$317,4,0)</f>
        <v>1241534.4099999999</v>
      </c>
      <c r="AA79" s="413">
        <f>VLOOKUP(A79,'2021-22'!$A$6:$E$317,5,0)</f>
        <v>44135087.899999999</v>
      </c>
      <c r="AB79" s="387">
        <f t="shared" si="7"/>
        <v>45376622.309999995</v>
      </c>
      <c r="AC79" s="382"/>
      <c r="AD79" s="416">
        <v>2630</v>
      </c>
      <c r="AE79" s="413">
        <v>1383996.29</v>
      </c>
      <c r="AF79" s="413">
        <v>48624678.649999999</v>
      </c>
      <c r="AG79" s="387">
        <f t="shared" si="8"/>
        <v>50008674.939999998</v>
      </c>
      <c r="AH79" s="557"/>
      <c r="AI79" s="387">
        <f>IFERROR(VLOOKUP(A79,'23-24 child count'!$C$4:$Y$317,23,0),0)</f>
        <v>2729</v>
      </c>
      <c r="AJ79" s="387">
        <f>VLOOKUP(A79,'23-24 state &amp; local'!$A$5:$D$316,4,0)</f>
        <v>1435901</v>
      </c>
      <c r="AK79" s="387">
        <f>VLOOKUP(A79,'23-24 state &amp; local'!$A$5:$E$316,5,0)</f>
        <v>54289355.18</v>
      </c>
      <c r="AL79" s="387">
        <f t="shared" si="10"/>
        <v>55725256.18</v>
      </c>
      <c r="AM79" s="382"/>
    </row>
    <row r="80" spans="1:39" ht="15" hidden="1" x14ac:dyDescent="0.25">
      <c r="A80" s="375" t="s">
        <v>348</v>
      </c>
      <c r="B80" s="375" t="s">
        <v>210</v>
      </c>
      <c r="C80" s="448" t="s">
        <v>1191</v>
      </c>
      <c r="E80" s="461">
        <v>3471</v>
      </c>
      <c r="F80" s="468">
        <f>IFERROR(VLOOKUP(A80,'2017-18'!$A$6:$F$315,6,0),0)</f>
        <v>10317963.93</v>
      </c>
      <c r="G80" s="468">
        <f>IFERROR(VLOOKUP(A80,'2017-18'!$A$6:$D$315,4,0),0)</f>
        <v>28860960.329999998</v>
      </c>
      <c r="H80" s="468">
        <f t="shared" si="9"/>
        <v>39178924.259999998</v>
      </c>
      <c r="I80" s="382"/>
      <c r="J80" s="462">
        <v>3465</v>
      </c>
      <c r="K80" s="468">
        <f>IFERROR(VLOOKUP(A80,'2018-19'!$A$6:$F$318,6,0),0)</f>
        <v>7462071.1600000001</v>
      </c>
      <c r="L80" s="468">
        <f>IFERROR(VLOOKUP(A80,'2018-19'!$A$6:$D$318,4,0),0)</f>
        <v>36038523.020000003</v>
      </c>
      <c r="M80" s="468">
        <f t="shared" si="11"/>
        <v>43500594.180000007</v>
      </c>
      <c r="N80" s="382"/>
      <c r="O80" s="452">
        <v>3494</v>
      </c>
      <c r="P80" s="387">
        <v>7474633.1699999999</v>
      </c>
      <c r="Q80" s="387">
        <v>38809458.619999997</v>
      </c>
      <c r="R80" s="387">
        <v>46284091.789999999</v>
      </c>
      <c r="S80" s="382"/>
      <c r="T80" s="375">
        <f>VLOOKUP(A80,'Nov 2020 cc'!$B$3:$D$317,3,0)</f>
        <v>3358</v>
      </c>
      <c r="U80" s="387">
        <v>7781327.3899999997</v>
      </c>
      <c r="V80" s="387">
        <v>40270277.810000002</v>
      </c>
      <c r="W80" s="387">
        <v>48051605.200000003</v>
      </c>
      <c r="X80" s="382"/>
      <c r="Y80" s="375">
        <v>3255</v>
      </c>
      <c r="Z80" s="413">
        <f>VLOOKUP(A80,'2021-22'!$A$6:$D$317,4,0)</f>
        <v>8070900.0999999996</v>
      </c>
      <c r="AA80" s="413">
        <f>VLOOKUP(A80,'2021-22'!$A$6:$E$317,5,0)</f>
        <v>42070805.329999998</v>
      </c>
      <c r="AB80" s="387">
        <f t="shared" si="7"/>
        <v>50141705.43</v>
      </c>
      <c r="AC80" s="382"/>
      <c r="AD80" s="416">
        <v>3267</v>
      </c>
      <c r="AE80" s="413">
        <v>9818475.3800000008</v>
      </c>
      <c r="AF80" s="413">
        <v>43546768.740000002</v>
      </c>
      <c r="AG80" s="387">
        <f t="shared" si="8"/>
        <v>53365244.120000005</v>
      </c>
      <c r="AH80" s="557"/>
      <c r="AI80" s="387">
        <f>IFERROR(VLOOKUP(A80,'23-24 child count'!$C$4:$Y$317,23,0),0)</f>
        <v>3399</v>
      </c>
      <c r="AJ80" s="387">
        <f>VLOOKUP(A80,'23-24 state &amp; local'!$A$5:$D$316,4,0)</f>
        <v>10265345.130000001</v>
      </c>
      <c r="AK80" s="387">
        <f>VLOOKUP(A80,'23-24 state &amp; local'!$A$5:$E$316,5,0)</f>
        <v>51010871.82</v>
      </c>
      <c r="AL80" s="387">
        <f t="shared" si="10"/>
        <v>61276216.950000003</v>
      </c>
      <c r="AM80" s="382"/>
    </row>
    <row r="81" spans="1:39" ht="15" hidden="1" x14ac:dyDescent="0.25">
      <c r="A81" s="375" t="s">
        <v>350</v>
      </c>
      <c r="B81" s="375" t="s">
        <v>194</v>
      </c>
      <c r="C81" s="448" t="s">
        <v>1192</v>
      </c>
      <c r="E81" s="461">
        <v>2</v>
      </c>
      <c r="F81" s="468">
        <f>IFERROR(VLOOKUP(A81,'2017-18'!$A$6:$F$315,6,0),0)</f>
        <v>0</v>
      </c>
      <c r="G81" s="468">
        <f>IFERROR(VLOOKUP(A81,'2017-18'!$A$6:$D$315,4,0),0)</f>
        <v>15942.9</v>
      </c>
      <c r="H81" s="468">
        <f t="shared" si="9"/>
        <v>15942.9</v>
      </c>
      <c r="I81" s="382"/>
      <c r="J81" s="462">
        <v>3</v>
      </c>
      <c r="K81" s="468">
        <f>IFERROR(VLOOKUP(A81,'2018-19'!$A$6:$F$318,6,0),0)</f>
        <v>0</v>
      </c>
      <c r="L81" s="468">
        <f>IFERROR(VLOOKUP(A81,'2018-19'!$A$6:$D$318,4,0),0)</f>
        <v>22737.27</v>
      </c>
      <c r="M81" s="468">
        <f t="shared" si="11"/>
        <v>22737.27</v>
      </c>
      <c r="N81" s="382"/>
      <c r="O81" s="452">
        <v>1</v>
      </c>
      <c r="P81" s="387">
        <v>0</v>
      </c>
      <c r="Q81" s="387">
        <v>31991.61</v>
      </c>
      <c r="R81" s="387">
        <v>31991.61</v>
      </c>
      <c r="S81" s="382"/>
      <c r="T81" s="375">
        <f>VLOOKUP(A81,'Nov 2020 cc'!$B$3:$D$317,3,0)</f>
        <v>1</v>
      </c>
      <c r="U81" s="387">
        <v>0</v>
      </c>
      <c r="V81" s="387">
        <v>33281.99</v>
      </c>
      <c r="W81" s="387">
        <v>33281.99</v>
      </c>
      <c r="X81" s="382"/>
      <c r="Y81" s="375">
        <v>1</v>
      </c>
      <c r="Z81" s="413">
        <f>VLOOKUP(A81,'2021-22'!$A$6:$D$317,4,0)</f>
        <v>0</v>
      </c>
      <c r="AA81" s="413">
        <f>VLOOKUP(A81,'2021-22'!$A$6:$E$317,5,0)</f>
        <v>32684.11</v>
      </c>
      <c r="AB81" s="387">
        <f t="shared" si="7"/>
        <v>32684.11</v>
      </c>
      <c r="AC81" s="382"/>
      <c r="AD81" s="416">
        <v>2</v>
      </c>
      <c r="AE81" s="413">
        <v>0</v>
      </c>
      <c r="AF81" s="413">
        <v>34509.480000000003</v>
      </c>
      <c r="AG81" s="387">
        <f t="shared" si="8"/>
        <v>34509.480000000003</v>
      </c>
      <c r="AH81" s="557"/>
      <c r="AI81" s="387">
        <f>IFERROR(VLOOKUP(A81,'23-24 child count'!$C$4:$Y$317,23,0),0)</f>
        <v>4</v>
      </c>
      <c r="AJ81" s="387">
        <f>VLOOKUP(A81,'23-24 state &amp; local'!$A$5:$D$316,4,0)</f>
        <v>0</v>
      </c>
      <c r="AK81" s="387">
        <f>VLOOKUP(A81,'23-24 state &amp; local'!$A$5:$E$316,5,0)</f>
        <v>48051.18</v>
      </c>
      <c r="AL81" s="387">
        <f t="shared" si="10"/>
        <v>48051.18</v>
      </c>
      <c r="AM81" s="382"/>
    </row>
    <row r="82" spans="1:39" ht="15" hidden="1" x14ac:dyDescent="0.25">
      <c r="A82" s="598" t="s">
        <v>383</v>
      </c>
      <c r="B82" s="599"/>
      <c r="C82" s="600" t="s">
        <v>1416</v>
      </c>
      <c r="D82" s="599"/>
      <c r="E82" s="601"/>
      <c r="F82" s="602">
        <f>IFERROR(VLOOKUP(A82,'2017-18'!$A$6:$F$315,6,0),0)</f>
        <v>0</v>
      </c>
      <c r="G82" s="602">
        <f>IFERROR(VLOOKUP(A82,'2017-18'!$A$6:$D$315,4,0),0)</f>
        <v>458128.06</v>
      </c>
      <c r="H82" s="602">
        <f t="shared" si="9"/>
        <v>458128.06</v>
      </c>
      <c r="I82" s="599"/>
      <c r="J82" s="599"/>
      <c r="K82" s="602">
        <f>IFERROR(VLOOKUP(A82,'2018-19'!$A$6:$F$318,6,0),0)</f>
        <v>188289.43</v>
      </c>
      <c r="L82" s="602">
        <f>IFERROR(VLOOKUP(A82,'2018-19'!$A$6:$D$318,4,0),0)</f>
        <v>101330.11</v>
      </c>
      <c r="M82" s="602">
        <f t="shared" si="11"/>
        <v>289619.53999999998</v>
      </c>
      <c r="N82" s="599"/>
      <c r="O82" s="603"/>
      <c r="P82" s="602"/>
      <c r="Q82" s="602"/>
      <c r="R82" s="602"/>
      <c r="S82" s="599"/>
      <c r="T82" s="599">
        <v>0</v>
      </c>
      <c r="U82" s="602"/>
      <c r="V82" s="602"/>
      <c r="W82" s="602"/>
      <c r="X82" s="599"/>
      <c r="Y82" s="599"/>
      <c r="Z82" s="602">
        <v>0</v>
      </c>
      <c r="AA82" s="602">
        <v>0</v>
      </c>
      <c r="AB82" s="602"/>
      <c r="AC82" s="599"/>
      <c r="AD82" s="604"/>
      <c r="AE82" s="602"/>
      <c r="AF82" s="602"/>
      <c r="AG82" s="602"/>
      <c r="AH82" s="605"/>
      <c r="AI82" s="602">
        <f>IFERROR(VLOOKUP(A82,'23-24 child count'!$C$4:$Y$317,23,0),0)</f>
        <v>0</v>
      </c>
      <c r="AJ82" s="602">
        <v>0</v>
      </c>
      <c r="AK82" s="602">
        <v>0</v>
      </c>
      <c r="AL82" s="572">
        <f t="shared" si="10"/>
        <v>0</v>
      </c>
      <c r="AM82" s="599"/>
    </row>
    <row r="83" spans="1:39" ht="15" hidden="1" x14ac:dyDescent="0.25">
      <c r="A83" s="375" t="s">
        <v>352</v>
      </c>
      <c r="B83" s="375" t="s">
        <v>205</v>
      </c>
      <c r="C83" s="448" t="s">
        <v>353</v>
      </c>
      <c r="E83" s="461">
        <v>3020</v>
      </c>
      <c r="F83" s="468">
        <f>IFERROR(VLOOKUP(A83,'2017-18'!$A$6:$F$315,6,0),0)</f>
        <v>0</v>
      </c>
      <c r="G83" s="468">
        <f>IFERROR(VLOOKUP(A83,'2017-18'!$A$6:$D$315,4,0),0)</f>
        <v>34098610.18</v>
      </c>
      <c r="H83" s="468">
        <f t="shared" si="9"/>
        <v>34098610.18</v>
      </c>
      <c r="I83" s="382"/>
      <c r="J83" s="462">
        <v>3085</v>
      </c>
      <c r="K83" s="468">
        <f>IFERROR(VLOOKUP(A83,'2018-19'!$A$6:$F$318,6,0),0)</f>
        <v>0</v>
      </c>
      <c r="L83" s="468">
        <f>IFERROR(VLOOKUP(A83,'2018-19'!$A$6:$D$318,4,0),0)</f>
        <v>43945896.560000002</v>
      </c>
      <c r="M83" s="468">
        <f t="shared" si="11"/>
        <v>43945896.560000002</v>
      </c>
      <c r="N83" s="382"/>
      <c r="O83" s="452">
        <v>3157</v>
      </c>
      <c r="P83" s="387">
        <v>0</v>
      </c>
      <c r="Q83" s="387">
        <v>44178341.93</v>
      </c>
      <c r="R83" s="387">
        <v>44178341.93</v>
      </c>
      <c r="S83" s="382"/>
      <c r="T83" s="375">
        <f>VLOOKUP(A83,'Nov 2020 cc'!$B$3:$D$317,3,0)</f>
        <v>3049</v>
      </c>
      <c r="U83" s="387">
        <v>0</v>
      </c>
      <c r="V83" s="387">
        <v>43772852.810000002</v>
      </c>
      <c r="W83" s="387">
        <v>43772852.810000002</v>
      </c>
      <c r="X83" s="382"/>
      <c r="Y83" s="375">
        <v>2890</v>
      </c>
      <c r="Z83" s="413">
        <f>VLOOKUP(A83,'2021-22'!$A$6:$D$317,4,0)</f>
        <v>0</v>
      </c>
      <c r="AA83" s="413">
        <f>VLOOKUP(A83,'2021-22'!$A$6:$E$317,5,0)</f>
        <v>42890505.780000001</v>
      </c>
      <c r="AB83" s="387">
        <f t="shared" ref="AB83:AB97" si="12">Z83+AA83</f>
        <v>42890505.780000001</v>
      </c>
      <c r="AC83" s="382"/>
      <c r="AD83" s="416">
        <v>2879</v>
      </c>
      <c r="AE83" s="413">
        <v>0</v>
      </c>
      <c r="AF83" s="413">
        <v>47319836.770000003</v>
      </c>
      <c r="AG83" s="387">
        <f t="shared" ref="AG83:AG97" si="13">AE83+AF83</f>
        <v>47319836.770000003</v>
      </c>
      <c r="AH83" s="557"/>
      <c r="AI83" s="387">
        <f>IFERROR(VLOOKUP(A83,'23-24 child count'!$C$4:$Y$317,23,0),0)</f>
        <v>3081</v>
      </c>
      <c r="AJ83" s="387">
        <f>VLOOKUP(A83,'23-24 state &amp; local'!$A$5:$D$316,4,0)</f>
        <v>4244258.57</v>
      </c>
      <c r="AK83" s="387">
        <f>VLOOKUP(A83,'23-24 state &amp; local'!$A$5:$E$316,5,0)</f>
        <v>50604226.049999997</v>
      </c>
      <c r="AL83" s="387">
        <f t="shared" si="10"/>
        <v>54848484.619999997</v>
      </c>
      <c r="AM83" s="382"/>
    </row>
    <row r="84" spans="1:39" ht="15" hidden="1" x14ac:dyDescent="0.25">
      <c r="A84" s="375" t="s">
        <v>354</v>
      </c>
      <c r="B84" s="375" t="s">
        <v>197</v>
      </c>
      <c r="C84" s="448" t="s">
        <v>355</v>
      </c>
      <c r="E84" s="461">
        <v>733</v>
      </c>
      <c r="F84" s="468">
        <f>IFERROR(VLOOKUP(A84,'2017-18'!$A$6:$F$315,6,0),0)</f>
        <v>225.5</v>
      </c>
      <c r="G84" s="468">
        <f>IFERROR(VLOOKUP(A84,'2017-18'!$A$6:$D$315,4,0),0)</f>
        <v>8423411.5</v>
      </c>
      <c r="H84" s="468">
        <f t="shared" si="9"/>
        <v>8423637</v>
      </c>
      <c r="I84" s="382"/>
      <c r="J84" s="462">
        <v>732</v>
      </c>
      <c r="K84" s="468">
        <f>IFERROR(VLOOKUP(A84,'2018-19'!$A$6:$F$318,6,0),0)</f>
        <v>230</v>
      </c>
      <c r="L84" s="468">
        <f>IFERROR(VLOOKUP(A84,'2018-19'!$A$6:$D$318,4,0),0)</f>
        <v>9485314.3200000003</v>
      </c>
      <c r="M84" s="468">
        <f t="shared" si="11"/>
        <v>9485544.3200000003</v>
      </c>
      <c r="N84" s="382"/>
      <c r="O84" s="452">
        <v>739</v>
      </c>
      <c r="P84" s="387">
        <v>217.75</v>
      </c>
      <c r="Q84" s="387">
        <v>10252703.93</v>
      </c>
      <c r="R84" s="387">
        <v>10252921.68</v>
      </c>
      <c r="S84" s="382"/>
      <c r="T84" s="375">
        <f>VLOOKUP(A84,'Nov 2020 cc'!$B$3:$D$317,3,0)</f>
        <v>689</v>
      </c>
      <c r="U84" s="387">
        <v>0</v>
      </c>
      <c r="V84" s="387">
        <v>9156287.4700000007</v>
      </c>
      <c r="W84" s="387">
        <v>9156287.4700000007</v>
      </c>
      <c r="X84" s="382"/>
      <c r="Y84" s="375">
        <v>658</v>
      </c>
      <c r="Z84" s="413">
        <f>VLOOKUP(A84,'2021-22'!$A$6:$D$317,4,0)</f>
        <v>0</v>
      </c>
      <c r="AA84" s="413">
        <f>VLOOKUP(A84,'2021-22'!$A$6:$E$317,5,0)</f>
        <v>9740360.8699999992</v>
      </c>
      <c r="AB84" s="387">
        <f t="shared" si="12"/>
        <v>9740360.8699999992</v>
      </c>
      <c r="AC84" s="382"/>
      <c r="AD84" s="416">
        <v>684</v>
      </c>
      <c r="AE84" s="413">
        <v>0</v>
      </c>
      <c r="AF84" s="413">
        <v>11783958.57</v>
      </c>
      <c r="AG84" s="387">
        <f t="shared" si="13"/>
        <v>11783958.57</v>
      </c>
      <c r="AH84" s="557"/>
      <c r="AI84" s="387">
        <f>IFERROR(VLOOKUP(A84,'23-24 child count'!$C$4:$Y$317,23,0),0)</f>
        <v>715</v>
      </c>
      <c r="AJ84" s="387">
        <f>VLOOKUP(A84,'23-24 state &amp; local'!$A$5:$D$316,4,0)</f>
        <v>0</v>
      </c>
      <c r="AK84" s="387">
        <f>VLOOKUP(A84,'23-24 state &amp; local'!$A$5:$E$316,5,0)</f>
        <v>13213779.52</v>
      </c>
      <c r="AL84" s="387">
        <f t="shared" si="10"/>
        <v>13213779.52</v>
      </c>
      <c r="AM84" s="382"/>
    </row>
    <row r="85" spans="1:39" ht="15" hidden="1" x14ac:dyDescent="0.25">
      <c r="A85" s="375" t="s">
        <v>356</v>
      </c>
      <c r="B85" s="375" t="s">
        <v>205</v>
      </c>
      <c r="C85" s="448" t="s">
        <v>357</v>
      </c>
      <c r="E85" s="461">
        <v>395</v>
      </c>
      <c r="F85" s="468">
        <f>IFERROR(VLOOKUP(A85,'2017-18'!$A$6:$F$315,6,0),0)</f>
        <v>0</v>
      </c>
      <c r="G85" s="468">
        <f>IFERROR(VLOOKUP(A85,'2017-18'!$A$6:$D$315,4,0),0)</f>
        <v>4500331.72</v>
      </c>
      <c r="H85" s="468">
        <f t="shared" si="9"/>
        <v>4500331.72</v>
      </c>
      <c r="I85" s="382"/>
      <c r="J85" s="462">
        <v>427</v>
      </c>
      <c r="K85" s="468">
        <f>IFERROR(VLOOKUP(A85,'2018-19'!$A$6:$F$318,6,0),0)</f>
        <v>0</v>
      </c>
      <c r="L85" s="468">
        <f>IFERROR(VLOOKUP(A85,'2018-19'!$A$6:$D$318,4,0),0)</f>
        <v>5637074.21</v>
      </c>
      <c r="M85" s="468">
        <f t="shared" si="11"/>
        <v>5637074.21</v>
      </c>
      <c r="N85" s="382"/>
      <c r="O85" s="452">
        <v>465</v>
      </c>
      <c r="P85" s="387">
        <v>982034.2</v>
      </c>
      <c r="Q85" s="387">
        <v>5574858.8600000003</v>
      </c>
      <c r="R85" s="387">
        <v>6556893.0600000005</v>
      </c>
      <c r="S85" s="382"/>
      <c r="T85" s="375">
        <f>VLOOKUP(A85,'Nov 2020 cc'!$B$3:$D$317,3,0)</f>
        <v>446</v>
      </c>
      <c r="U85" s="387">
        <v>0</v>
      </c>
      <c r="V85" s="387">
        <v>6836381.79</v>
      </c>
      <c r="W85" s="387">
        <v>6836381.79</v>
      </c>
      <c r="X85" s="382"/>
      <c r="Y85" s="375">
        <v>425</v>
      </c>
      <c r="Z85" s="413">
        <f>VLOOKUP(A85,'2021-22'!$A$6:$D$317,4,0)</f>
        <v>0</v>
      </c>
      <c r="AA85" s="413">
        <f>VLOOKUP(A85,'2021-22'!$A$6:$E$317,5,0)</f>
        <v>7507937.0700000003</v>
      </c>
      <c r="AB85" s="387">
        <f t="shared" si="12"/>
        <v>7507937.0700000003</v>
      </c>
      <c r="AC85" s="382"/>
      <c r="AD85" s="416">
        <v>438</v>
      </c>
      <c r="AE85" s="413">
        <v>0</v>
      </c>
      <c r="AF85" s="413">
        <v>8953544.0399999991</v>
      </c>
      <c r="AG85" s="387">
        <f t="shared" si="13"/>
        <v>8953544.0399999991</v>
      </c>
      <c r="AH85" s="557"/>
      <c r="AI85" s="387">
        <f>IFERROR(VLOOKUP(A85,'23-24 child count'!$C$4:$Y$317,23,0),0)</f>
        <v>459</v>
      </c>
      <c r="AJ85" s="387">
        <f>VLOOKUP(A85,'23-24 state &amp; local'!$A$5:$D$316,4,0)</f>
        <v>0</v>
      </c>
      <c r="AK85" s="387">
        <f>VLOOKUP(A85,'23-24 state &amp; local'!$A$5:$E$316,5,0)</f>
        <v>8969865.2400000002</v>
      </c>
      <c r="AL85" s="387">
        <f t="shared" si="10"/>
        <v>8969865.2400000002</v>
      </c>
      <c r="AM85" s="382"/>
    </row>
    <row r="86" spans="1:39" ht="15" hidden="1" x14ac:dyDescent="0.25">
      <c r="A86" s="375" t="s">
        <v>358</v>
      </c>
      <c r="B86" s="375" t="s">
        <v>202</v>
      </c>
      <c r="C86" s="448" t="s">
        <v>359</v>
      </c>
      <c r="E86" s="461">
        <v>144</v>
      </c>
      <c r="F86" s="468">
        <f>IFERROR(VLOOKUP(A86,'2017-18'!$A$6:$F$315,6,0),0)</f>
        <v>7040.17</v>
      </c>
      <c r="G86" s="468">
        <f>IFERROR(VLOOKUP(A86,'2017-18'!$A$6:$D$315,4,0),0)</f>
        <v>1121687.05</v>
      </c>
      <c r="H86" s="468">
        <f t="shared" si="9"/>
        <v>1128727.22</v>
      </c>
      <c r="I86" s="382"/>
      <c r="J86" s="462">
        <v>142</v>
      </c>
      <c r="K86" s="468">
        <f>IFERROR(VLOOKUP(A86,'2018-19'!$A$6:$F$318,6,0),0)</f>
        <v>0</v>
      </c>
      <c r="L86" s="468">
        <f>IFERROR(VLOOKUP(A86,'2018-19'!$A$6:$D$318,4,0),0)</f>
        <v>1267030.72</v>
      </c>
      <c r="M86" s="468">
        <f t="shared" si="11"/>
        <v>1267030.72</v>
      </c>
      <c r="N86" s="382"/>
      <c r="O86" s="452">
        <v>126</v>
      </c>
      <c r="P86" s="387">
        <v>0</v>
      </c>
      <c r="Q86" s="387">
        <v>1257846.6000000001</v>
      </c>
      <c r="R86" s="387">
        <v>1257846.6000000001</v>
      </c>
      <c r="S86" s="382"/>
      <c r="T86" s="375">
        <f>VLOOKUP(A86,'Nov 2020 cc'!$B$3:$D$317,3,0)</f>
        <v>122</v>
      </c>
      <c r="U86" s="387">
        <v>222280.12</v>
      </c>
      <c r="V86" s="387">
        <v>1156512.78</v>
      </c>
      <c r="W86" s="387">
        <v>1378792.9</v>
      </c>
      <c r="X86" s="382"/>
      <c r="Y86" s="375">
        <v>113</v>
      </c>
      <c r="Z86" s="413">
        <f>VLOOKUP(A86,'2021-22'!$A$6:$D$317,4,0)</f>
        <v>482687.13</v>
      </c>
      <c r="AA86" s="413">
        <f>VLOOKUP(A86,'2021-22'!$A$6:$E$317,5,0)-1974.5</f>
        <v>852671.42</v>
      </c>
      <c r="AB86" s="387">
        <f t="shared" si="12"/>
        <v>1335358.55</v>
      </c>
      <c r="AC86" s="382"/>
      <c r="AD86" s="416">
        <v>115</v>
      </c>
      <c r="AE86" s="413">
        <v>88.5</v>
      </c>
      <c r="AF86" s="413">
        <v>1258298.72</v>
      </c>
      <c r="AG86" s="387">
        <f t="shared" si="13"/>
        <v>1258387.22</v>
      </c>
      <c r="AH86" s="557"/>
      <c r="AI86" s="387">
        <f>IFERROR(VLOOKUP(A86,'23-24 child count'!$C$4:$Y$317,23,0),0)</f>
        <v>121</v>
      </c>
      <c r="AJ86" s="387">
        <f>VLOOKUP(A86,'23-24 state &amp; local'!$A$5:$D$316,4,0)</f>
        <v>123519.16</v>
      </c>
      <c r="AK86" s="387">
        <f>VLOOKUP(A86,'23-24 state &amp; local'!$A$5:$E$316,5,0)</f>
        <v>1319136.7</v>
      </c>
      <c r="AL86" s="387">
        <f t="shared" si="10"/>
        <v>1442655.8599999999</v>
      </c>
      <c r="AM86" s="382"/>
    </row>
    <row r="87" spans="1:39" ht="15" hidden="1" x14ac:dyDescent="0.25">
      <c r="A87" s="375" t="s">
        <v>360</v>
      </c>
      <c r="B87" s="375" t="s">
        <v>205</v>
      </c>
      <c r="C87" s="448" t="s">
        <v>361</v>
      </c>
      <c r="E87" s="461">
        <v>1107</v>
      </c>
      <c r="F87" s="468">
        <f>IFERROR(VLOOKUP(A87,'2017-18'!$A$6:$F$315,6,0),0)</f>
        <v>0</v>
      </c>
      <c r="G87" s="468">
        <f>IFERROR(VLOOKUP(A87,'2017-18'!$A$6:$D$315,4,0),0)</f>
        <v>13898428.75</v>
      </c>
      <c r="H87" s="468">
        <f t="shared" si="9"/>
        <v>13898428.75</v>
      </c>
      <c r="I87" s="382"/>
      <c r="J87" s="462">
        <v>1143</v>
      </c>
      <c r="K87" s="468">
        <f>IFERROR(VLOOKUP(A87,'2018-19'!$A$6:$F$318,6,0),0)</f>
        <v>0</v>
      </c>
      <c r="L87" s="468">
        <f>IFERROR(VLOOKUP(A87,'2018-19'!$A$6:$D$318,4,0),0)</f>
        <v>16223497.800000001</v>
      </c>
      <c r="M87" s="468">
        <f t="shared" si="11"/>
        <v>16223497.800000001</v>
      </c>
      <c r="N87" s="382"/>
      <c r="O87" s="452">
        <v>1158</v>
      </c>
      <c r="P87" s="387">
        <v>0</v>
      </c>
      <c r="Q87" s="387">
        <v>17834420.52</v>
      </c>
      <c r="R87" s="387">
        <v>17834420.52</v>
      </c>
      <c r="S87" s="382"/>
      <c r="T87" s="375">
        <f>VLOOKUP(A87,'Nov 2020 cc'!$B$3:$D$317,3,0)</f>
        <v>1002</v>
      </c>
      <c r="U87" s="387">
        <v>0</v>
      </c>
      <c r="V87" s="387">
        <v>17486215.199999999</v>
      </c>
      <c r="W87" s="387">
        <v>17486215.199999999</v>
      </c>
      <c r="X87" s="382"/>
      <c r="Y87" s="375">
        <v>1016</v>
      </c>
      <c r="Z87" s="413">
        <f>VLOOKUP(A87,'2021-22'!$A$6:$D$317,4,0)</f>
        <v>0</v>
      </c>
      <c r="AA87" s="413">
        <f>VLOOKUP(A87,'2021-22'!$A$6:$E$317,5,0)</f>
        <v>17935754.699999999</v>
      </c>
      <c r="AB87" s="387">
        <f t="shared" si="12"/>
        <v>17935754.699999999</v>
      </c>
      <c r="AC87" s="382"/>
      <c r="AD87" s="416">
        <v>1027</v>
      </c>
      <c r="AE87" s="413">
        <v>6093098.7199999997</v>
      </c>
      <c r="AF87" s="413">
        <v>13349425.220000001</v>
      </c>
      <c r="AG87" s="387">
        <f t="shared" si="13"/>
        <v>19442523.940000001</v>
      </c>
      <c r="AH87" s="557"/>
      <c r="AI87" s="387">
        <f>IFERROR(VLOOKUP(A87,'23-24 child count'!$C$4:$Y$317,23,0),0)</f>
        <v>1109</v>
      </c>
      <c r="AJ87" s="387">
        <f>VLOOKUP(A87,'23-24 state &amp; local'!$A$5:$D$316,4,0)</f>
        <v>5433551.6799999997</v>
      </c>
      <c r="AK87" s="387">
        <f>VLOOKUP(A87,'23-24 state &amp; local'!$A$5:$E$316,5,0)</f>
        <v>16389134.51</v>
      </c>
      <c r="AL87" s="387">
        <f t="shared" si="10"/>
        <v>21822686.189999998</v>
      </c>
      <c r="AM87" s="382"/>
    </row>
    <row r="88" spans="1:39" ht="15" hidden="1" x14ac:dyDescent="0.25">
      <c r="A88" s="375" t="s">
        <v>362</v>
      </c>
      <c r="B88" s="375" t="s">
        <v>194</v>
      </c>
      <c r="C88" s="448" t="s">
        <v>363</v>
      </c>
      <c r="E88" s="461">
        <v>93</v>
      </c>
      <c r="F88" s="468">
        <f>IFERROR(VLOOKUP(A88,'2017-18'!$A$6:$F$315,6,0),0)</f>
        <v>58855.64</v>
      </c>
      <c r="G88" s="468">
        <f>IFERROR(VLOOKUP(A88,'2017-18'!$A$6:$D$315,4,0),0)</f>
        <v>838091</v>
      </c>
      <c r="H88" s="468">
        <f t="shared" si="9"/>
        <v>896946.64</v>
      </c>
      <c r="I88" s="382"/>
      <c r="J88" s="462">
        <v>98</v>
      </c>
      <c r="K88" s="468">
        <f>IFERROR(VLOOKUP(A88,'2018-19'!$A$6:$F$318,6,0),0)</f>
        <v>0</v>
      </c>
      <c r="L88" s="468">
        <f>IFERROR(VLOOKUP(A88,'2018-19'!$A$6:$D$318,4,0),0)</f>
        <v>964325.17</v>
      </c>
      <c r="M88" s="468">
        <f t="shared" si="11"/>
        <v>964325.17</v>
      </c>
      <c r="N88" s="382"/>
      <c r="O88" s="452">
        <v>113</v>
      </c>
      <c r="P88" s="387">
        <v>0</v>
      </c>
      <c r="Q88" s="387">
        <v>1030632.24</v>
      </c>
      <c r="R88" s="387">
        <v>1030632.24</v>
      </c>
      <c r="S88" s="382"/>
      <c r="T88" s="375">
        <f>VLOOKUP(A88,'Nov 2020 cc'!$B$3:$D$317,3,0)</f>
        <v>113</v>
      </c>
      <c r="U88" s="387">
        <v>0</v>
      </c>
      <c r="V88" s="387">
        <v>966394.72</v>
      </c>
      <c r="W88" s="387">
        <v>966394.72</v>
      </c>
      <c r="X88" s="382"/>
      <c r="Y88" s="375">
        <v>113</v>
      </c>
      <c r="Z88" s="413">
        <f>VLOOKUP(A88,'2021-22'!$A$6:$D$317,4,0)</f>
        <v>0</v>
      </c>
      <c r="AA88" s="413">
        <f>VLOOKUP(A88,'2021-22'!$A$6:$E$317,5,0)</f>
        <v>1166295.9099999999</v>
      </c>
      <c r="AB88" s="387">
        <f t="shared" si="12"/>
        <v>1166295.9099999999</v>
      </c>
      <c r="AC88" s="382"/>
      <c r="AD88" s="416">
        <v>111</v>
      </c>
      <c r="AE88" s="413">
        <v>7534.66</v>
      </c>
      <c r="AF88" s="413">
        <v>1073018.0900000001</v>
      </c>
      <c r="AG88" s="387">
        <f t="shared" si="13"/>
        <v>1080552.75</v>
      </c>
      <c r="AH88" s="557"/>
      <c r="AI88" s="387">
        <f>IFERROR(VLOOKUP(A88,'23-24 child count'!$C$4:$Y$317,23,0),0)</f>
        <v>107</v>
      </c>
      <c r="AJ88" s="387">
        <f>VLOOKUP(A88,'23-24 state &amp; local'!$A$5:$D$316,4,0)</f>
        <v>0</v>
      </c>
      <c r="AK88" s="387">
        <f>VLOOKUP(A88,'23-24 state &amp; local'!$A$5:$E$316,5,0)</f>
        <v>1299481.47</v>
      </c>
      <c r="AL88" s="387">
        <f t="shared" si="10"/>
        <v>1299481.47</v>
      </c>
      <c r="AM88" s="382"/>
    </row>
    <row r="89" spans="1:39" ht="15" hidden="1" x14ac:dyDescent="0.25">
      <c r="A89" s="375" t="s">
        <v>364</v>
      </c>
      <c r="B89" s="375" t="s">
        <v>194</v>
      </c>
      <c r="C89" s="448" t="s">
        <v>365</v>
      </c>
      <c r="E89" s="461">
        <v>20</v>
      </c>
      <c r="F89" s="468">
        <f>IFERROR(VLOOKUP(A89,'2017-18'!$A$6:$F$315,6,0),0)</f>
        <v>0</v>
      </c>
      <c r="G89" s="468">
        <f>IFERROR(VLOOKUP(A89,'2017-18'!$A$6:$D$315,4,0),0)</f>
        <v>231174.39999999999</v>
      </c>
      <c r="H89" s="468">
        <f t="shared" si="9"/>
        <v>231174.39999999999</v>
      </c>
      <c r="I89" s="382"/>
      <c r="J89" s="462">
        <v>19</v>
      </c>
      <c r="K89" s="468">
        <f>IFERROR(VLOOKUP(A89,'2018-19'!$A$6:$F$318,6,0),0)</f>
        <v>0</v>
      </c>
      <c r="L89" s="468">
        <f>IFERROR(VLOOKUP(A89,'2018-19'!$A$6:$D$318,4,0),0)</f>
        <v>246338.1</v>
      </c>
      <c r="M89" s="468">
        <f t="shared" si="11"/>
        <v>246338.1</v>
      </c>
      <c r="N89" s="382"/>
      <c r="O89" s="452">
        <v>15</v>
      </c>
      <c r="P89" s="387">
        <v>0</v>
      </c>
      <c r="Q89" s="387">
        <v>227562.34</v>
      </c>
      <c r="R89" s="387">
        <v>227562.34</v>
      </c>
      <c r="S89" s="382"/>
      <c r="T89" s="375">
        <f>VLOOKUP(A89,'Nov 2020 cc'!$B$3:$D$317,3,0)</f>
        <v>18</v>
      </c>
      <c r="U89" s="387">
        <v>2913.78</v>
      </c>
      <c r="V89" s="387">
        <v>160000</v>
      </c>
      <c r="W89" s="387">
        <v>162913.78</v>
      </c>
      <c r="X89" s="382"/>
      <c r="Y89" s="375">
        <v>14</v>
      </c>
      <c r="Z89" s="413">
        <f>VLOOKUP(A89,'2021-22'!$A$6:$D$317,4,0)</f>
        <v>2706.94</v>
      </c>
      <c r="AA89" s="413">
        <f>VLOOKUP(A89,'2021-22'!$A$6:$E$317,5,0)</f>
        <v>151021.28</v>
      </c>
      <c r="AB89" s="387">
        <f t="shared" si="12"/>
        <v>153728.22</v>
      </c>
      <c r="AC89" s="382"/>
      <c r="AD89" s="416">
        <v>15</v>
      </c>
      <c r="AE89" s="413">
        <v>3351.68</v>
      </c>
      <c r="AF89" s="413">
        <v>169044.74</v>
      </c>
      <c r="AG89" s="387">
        <f t="shared" si="13"/>
        <v>172396.41999999998</v>
      </c>
      <c r="AH89" s="557"/>
      <c r="AI89" s="387">
        <f>IFERROR(VLOOKUP(A89,'23-24 child count'!$C$4:$Y$317,23,0),0)</f>
        <v>17</v>
      </c>
      <c r="AJ89" s="387">
        <f>VLOOKUP(A89,'23-24 state &amp; local'!$A$5:$D$316,4,0)</f>
        <v>4218.12</v>
      </c>
      <c r="AK89" s="387">
        <f>VLOOKUP(A89,'23-24 state &amp; local'!$A$5:$E$316,5,0)</f>
        <v>170530.28</v>
      </c>
      <c r="AL89" s="387">
        <f t="shared" si="10"/>
        <v>174748.4</v>
      </c>
      <c r="AM89" s="382"/>
    </row>
    <row r="90" spans="1:39" ht="15" hidden="1" x14ac:dyDescent="0.25">
      <c r="A90" s="375" t="s">
        <v>366</v>
      </c>
      <c r="B90" s="375" t="s">
        <v>210</v>
      </c>
      <c r="C90" s="448" t="s">
        <v>367</v>
      </c>
      <c r="D90" s="375" t="s">
        <v>819</v>
      </c>
      <c r="E90" s="461">
        <v>8</v>
      </c>
      <c r="F90" s="468">
        <f>IFERROR(VLOOKUP(A90,'2017-18'!$A$6:$F$315,6,0),0)</f>
        <v>0</v>
      </c>
      <c r="G90" s="468">
        <f>IFERROR(VLOOKUP(A90,'2017-18'!$A$6:$D$315,4,0),0)</f>
        <v>65088</v>
      </c>
      <c r="H90" s="468">
        <f t="shared" si="9"/>
        <v>65088</v>
      </c>
      <c r="I90" s="382"/>
      <c r="J90" s="462">
        <v>11</v>
      </c>
      <c r="K90" s="468">
        <f>IFERROR(VLOOKUP(A90,'2018-19'!$A$6:$F$318,6,0),0)</f>
        <v>0</v>
      </c>
      <c r="L90" s="468">
        <f>IFERROR(VLOOKUP(A90,'2018-19'!$A$6:$D$318,4,0),0)</f>
        <v>90634.36</v>
      </c>
      <c r="M90" s="468">
        <f t="shared" si="11"/>
        <v>90634.36</v>
      </c>
      <c r="N90" s="382"/>
      <c r="O90" s="452">
        <v>12</v>
      </c>
      <c r="P90" s="387">
        <v>0</v>
      </c>
      <c r="Q90" s="387">
        <v>117990.8</v>
      </c>
      <c r="R90" s="387">
        <v>117990.8</v>
      </c>
      <c r="S90" s="382"/>
      <c r="T90" s="375">
        <f>VLOOKUP(A90,'Nov 2020 cc'!$B$3:$D$317,3,0)</f>
        <v>11</v>
      </c>
      <c r="U90" s="387">
        <v>0</v>
      </c>
      <c r="V90" s="387">
        <v>122245.78</v>
      </c>
      <c r="W90" s="387">
        <v>122245.78</v>
      </c>
      <c r="X90" s="382"/>
      <c r="Y90" s="375">
        <v>12</v>
      </c>
      <c r="Z90" s="413">
        <f>VLOOKUP(A90,'2021-22'!$A$6:$D$317,4,0)</f>
        <v>0</v>
      </c>
      <c r="AA90" s="413">
        <f>VLOOKUP(A90,'2021-22'!$A$6:$E$317,5,0)</f>
        <v>100066.66</v>
      </c>
      <c r="AB90" s="387">
        <f t="shared" si="12"/>
        <v>100066.66</v>
      </c>
      <c r="AC90" s="382"/>
      <c r="AD90" s="416">
        <v>11</v>
      </c>
      <c r="AE90" s="413">
        <v>0</v>
      </c>
      <c r="AF90" s="413">
        <v>113295.39</v>
      </c>
      <c r="AG90" s="387">
        <f t="shared" si="13"/>
        <v>113295.39</v>
      </c>
      <c r="AH90" s="557"/>
      <c r="AI90" s="387">
        <f>IFERROR(VLOOKUP(A90,'23-24 child count'!$C$4:$Y$317,23,0),0)</f>
        <v>11</v>
      </c>
      <c r="AJ90" s="387">
        <f>VLOOKUP(A90,'23-24 state &amp; local'!$A$5:$D$316,4,0)</f>
        <v>0</v>
      </c>
      <c r="AK90" s="387">
        <f>VLOOKUP(A90,'23-24 state &amp; local'!$A$5:$E$316,5,0)</f>
        <v>136626.67000000001</v>
      </c>
      <c r="AL90" s="387">
        <f t="shared" si="10"/>
        <v>136626.67000000001</v>
      </c>
      <c r="AM90" s="382"/>
    </row>
    <row r="91" spans="1:39" ht="15" hidden="1" x14ac:dyDescent="0.25">
      <c r="A91" s="375" t="s">
        <v>368</v>
      </c>
      <c r="B91" s="375" t="s">
        <v>221</v>
      </c>
      <c r="C91" s="448" t="s">
        <v>369</v>
      </c>
      <c r="D91" s="375" t="s">
        <v>819</v>
      </c>
      <c r="E91" s="461">
        <v>117</v>
      </c>
      <c r="F91" s="468">
        <f>IFERROR(VLOOKUP(A91,'2017-18'!$A$6:$F$315,6,0),0)</f>
        <v>0</v>
      </c>
      <c r="G91" s="468">
        <f>IFERROR(VLOOKUP(A91,'2017-18'!$A$6:$D$315,4,0),0)</f>
        <v>920706.04</v>
      </c>
      <c r="H91" s="468">
        <f t="shared" si="9"/>
        <v>920706.04</v>
      </c>
      <c r="I91" s="382"/>
      <c r="J91" s="462">
        <v>119</v>
      </c>
      <c r="K91" s="468">
        <f>IFERROR(VLOOKUP(A91,'2018-19'!$A$6:$F$318,6,0),0)</f>
        <v>0</v>
      </c>
      <c r="L91" s="468">
        <f>IFERROR(VLOOKUP(A91,'2018-19'!$A$6:$D$318,4,0),0)</f>
        <v>1102798.8700000001</v>
      </c>
      <c r="M91" s="468">
        <f t="shared" si="11"/>
        <v>1102798.8700000001</v>
      </c>
      <c r="N91" s="382"/>
      <c r="O91" s="452">
        <v>122</v>
      </c>
      <c r="P91" s="387">
        <v>0</v>
      </c>
      <c r="Q91" s="387">
        <v>1158150.1599999999</v>
      </c>
      <c r="R91" s="387">
        <v>1158150.1599999999</v>
      </c>
      <c r="S91" s="382"/>
      <c r="T91" s="375">
        <f>VLOOKUP(A91,'Nov 2020 cc'!$B$3:$D$317,3,0)</f>
        <v>259</v>
      </c>
      <c r="U91" s="387">
        <v>0</v>
      </c>
      <c r="V91" s="387">
        <v>2534143.91</v>
      </c>
      <c r="W91" s="387">
        <v>2534143.91</v>
      </c>
      <c r="X91" s="382"/>
      <c r="Y91" s="375">
        <v>310</v>
      </c>
      <c r="Z91" s="413">
        <f>VLOOKUP(A91,'2021-22'!$A$6:$D$317,4,0)</f>
        <v>0</v>
      </c>
      <c r="AA91" s="413">
        <f>VLOOKUP(A91,'2021-22'!$A$6:$E$317,5,0)</f>
        <v>3007033.3</v>
      </c>
      <c r="AB91" s="387">
        <f t="shared" si="12"/>
        <v>3007033.3</v>
      </c>
      <c r="AC91" s="382"/>
      <c r="AD91" s="416">
        <v>420</v>
      </c>
      <c r="AE91" s="413">
        <v>0</v>
      </c>
      <c r="AF91" s="413">
        <v>4397511.04</v>
      </c>
      <c r="AG91" s="387">
        <f t="shared" si="13"/>
        <v>4397511.04</v>
      </c>
      <c r="AH91" s="557"/>
      <c r="AI91" s="387">
        <f>IFERROR(VLOOKUP(A91,'23-24 child count'!$C$4:$Y$317,23,0),0)</f>
        <v>483</v>
      </c>
      <c r="AJ91" s="387">
        <f>VLOOKUP(A91,'23-24 state &amp; local'!$A$5:$D$316,4,0)</f>
        <v>0</v>
      </c>
      <c r="AK91" s="387">
        <f>VLOOKUP(A91,'23-24 state &amp; local'!$A$5:$E$316,5,0)</f>
        <v>5763668.8700000001</v>
      </c>
      <c r="AL91" s="387">
        <f t="shared" si="10"/>
        <v>5763668.8700000001</v>
      </c>
      <c r="AM91" s="382"/>
    </row>
    <row r="92" spans="1:39" ht="15" hidden="1" x14ac:dyDescent="0.25">
      <c r="A92" s="375" t="s">
        <v>370</v>
      </c>
      <c r="B92" s="375" t="s">
        <v>231</v>
      </c>
      <c r="C92" s="448" t="s">
        <v>371</v>
      </c>
      <c r="E92" s="461">
        <v>101</v>
      </c>
      <c r="F92" s="468">
        <f>IFERROR(VLOOKUP(A92,'2017-18'!$A$6:$F$315,6,0),0)</f>
        <v>170000</v>
      </c>
      <c r="G92" s="468">
        <f>IFERROR(VLOOKUP(A92,'2017-18'!$A$6:$D$315,4,0),0)</f>
        <v>786743.71</v>
      </c>
      <c r="H92" s="468">
        <f t="shared" si="9"/>
        <v>956743.71</v>
      </c>
      <c r="I92" s="382"/>
      <c r="J92" s="462">
        <v>112</v>
      </c>
      <c r="K92" s="468">
        <f>IFERROR(VLOOKUP(A92,'2018-19'!$A$6:$F$318,6,0),0)</f>
        <v>16384.87</v>
      </c>
      <c r="L92" s="468">
        <f>IFERROR(VLOOKUP(A92,'2018-19'!$A$6:$D$318,4,0),0)</f>
        <v>1022932.12</v>
      </c>
      <c r="M92" s="468">
        <f t="shared" si="11"/>
        <v>1039316.99</v>
      </c>
      <c r="N92" s="382"/>
      <c r="O92" s="452">
        <v>113</v>
      </c>
      <c r="P92" s="387">
        <v>43872.62</v>
      </c>
      <c r="Q92" s="387">
        <v>1089791.1599999999</v>
      </c>
      <c r="R92" s="387">
        <v>1133663.78</v>
      </c>
      <c r="S92" s="382"/>
      <c r="T92" s="375">
        <f>VLOOKUP(A92,'Nov 2020 cc'!$B$3:$D$317,3,0)</f>
        <v>110</v>
      </c>
      <c r="U92" s="387">
        <v>121860.49</v>
      </c>
      <c r="V92" s="387">
        <v>986633.48</v>
      </c>
      <c r="W92" s="387">
        <v>1108493.97</v>
      </c>
      <c r="X92" s="382"/>
      <c r="Y92" s="375">
        <v>107</v>
      </c>
      <c r="Z92" s="413">
        <f>VLOOKUP(A92,'2021-22'!$A$6:$D$317,4,0)</f>
        <v>104299.01</v>
      </c>
      <c r="AA92" s="413">
        <f>VLOOKUP(A92,'2021-22'!$A$6:$E$317,5,0)</f>
        <v>991976.21</v>
      </c>
      <c r="AB92" s="387">
        <f t="shared" si="12"/>
        <v>1096275.22</v>
      </c>
      <c r="AC92" s="382"/>
      <c r="AD92" s="416">
        <v>106</v>
      </c>
      <c r="AE92" s="413">
        <v>100429.23</v>
      </c>
      <c r="AF92" s="413">
        <v>1089604.5900000001</v>
      </c>
      <c r="AG92" s="387">
        <f t="shared" si="13"/>
        <v>1190033.82</v>
      </c>
      <c r="AH92" s="557"/>
      <c r="AI92" s="387">
        <f>IFERROR(VLOOKUP(A92,'23-24 child count'!$C$4:$Y$317,23,0),0)</f>
        <v>95</v>
      </c>
      <c r="AJ92" s="387">
        <f>VLOOKUP(A92,'23-24 state &amp; local'!$A$5:$D$316,4,0)</f>
        <v>17570.099999999999</v>
      </c>
      <c r="AK92" s="387">
        <f>VLOOKUP(A92,'23-24 state &amp; local'!$A$5:$E$316,5,0)</f>
        <v>1277565.08</v>
      </c>
      <c r="AL92" s="387">
        <f t="shared" si="10"/>
        <v>1295135.1800000002</v>
      </c>
      <c r="AM92" s="382"/>
    </row>
    <row r="93" spans="1:39" ht="15" hidden="1" x14ac:dyDescent="0.25">
      <c r="A93" s="375" t="s">
        <v>372</v>
      </c>
      <c r="B93" s="375" t="s">
        <v>221</v>
      </c>
      <c r="C93" s="448" t="s">
        <v>373</v>
      </c>
      <c r="E93" s="461">
        <v>490</v>
      </c>
      <c r="F93" s="468">
        <f>IFERROR(VLOOKUP(A93,'2017-18'!$A$6:$F$315,6,0),0)</f>
        <v>0</v>
      </c>
      <c r="G93" s="468">
        <f>IFERROR(VLOOKUP(A93,'2017-18'!$A$6:$D$315,4,0),0)</f>
        <v>3489331.15</v>
      </c>
      <c r="H93" s="468">
        <f t="shared" si="9"/>
        <v>3489331.15</v>
      </c>
      <c r="I93" s="382"/>
      <c r="J93" s="462">
        <v>478</v>
      </c>
      <c r="K93" s="468">
        <f>IFERROR(VLOOKUP(A93,'2018-19'!$A$6:$F$318,6,0),0)</f>
        <v>0</v>
      </c>
      <c r="L93" s="468">
        <f>IFERROR(VLOOKUP(A93,'2018-19'!$A$6:$D$318,4,0),0)</f>
        <v>4311370.88</v>
      </c>
      <c r="M93" s="468">
        <f t="shared" si="11"/>
        <v>4311370.88</v>
      </c>
      <c r="N93" s="382"/>
      <c r="O93" s="452">
        <v>513</v>
      </c>
      <c r="P93" s="387">
        <v>0</v>
      </c>
      <c r="Q93" s="387">
        <v>5304574.3</v>
      </c>
      <c r="R93" s="387">
        <v>5304574.3</v>
      </c>
      <c r="S93" s="382"/>
      <c r="T93" s="375">
        <f>VLOOKUP(A93,'Nov 2020 cc'!$B$3:$D$317,3,0)</f>
        <v>524</v>
      </c>
      <c r="U93" s="387">
        <v>0</v>
      </c>
      <c r="V93" s="387">
        <v>5621644.7300000004</v>
      </c>
      <c r="W93" s="387">
        <v>5621644.7300000004</v>
      </c>
      <c r="X93" s="382"/>
      <c r="Y93" s="375">
        <v>528</v>
      </c>
      <c r="Z93" s="413">
        <f>VLOOKUP(A93,'2021-22'!$A$6:$D$317,4,0)</f>
        <v>0</v>
      </c>
      <c r="AA93" s="413">
        <f>VLOOKUP(A93,'2021-22'!$A$6:$E$317,5,0)</f>
        <v>5775391.6100000003</v>
      </c>
      <c r="AB93" s="387">
        <f t="shared" si="12"/>
        <v>5775391.6100000003</v>
      </c>
      <c r="AC93" s="382"/>
      <c r="AD93" s="416">
        <v>546</v>
      </c>
      <c r="AE93" s="413">
        <v>0</v>
      </c>
      <c r="AF93" s="413">
        <v>5777779.3399999999</v>
      </c>
      <c r="AG93" s="387">
        <f t="shared" si="13"/>
        <v>5777779.3399999999</v>
      </c>
      <c r="AH93" s="557"/>
      <c r="AI93" s="387">
        <f>IFERROR(VLOOKUP(A93,'23-24 child count'!$C$4:$Y$317,23,0),0)</f>
        <v>590</v>
      </c>
      <c r="AJ93" s="387">
        <f>VLOOKUP(A93,'23-24 state &amp; local'!$A$5:$D$316,4,0)</f>
        <v>0</v>
      </c>
      <c r="AK93" s="387">
        <f>VLOOKUP(A93,'23-24 state &amp; local'!$A$5:$E$316,5,0)</f>
        <v>6478616.5800000001</v>
      </c>
      <c r="AL93" s="387">
        <f t="shared" si="10"/>
        <v>6478616.5800000001</v>
      </c>
      <c r="AM93" s="382"/>
    </row>
    <row r="94" spans="1:39" ht="15" hidden="1" x14ac:dyDescent="0.25">
      <c r="A94" s="375" t="s">
        <v>374</v>
      </c>
      <c r="B94" s="375" t="s">
        <v>221</v>
      </c>
      <c r="C94" s="448" t="s">
        <v>375</v>
      </c>
      <c r="E94" s="461">
        <v>192</v>
      </c>
      <c r="F94" s="468">
        <f>IFERROR(VLOOKUP(A94,'2017-18'!$A$6:$F$315,6,0),0)</f>
        <v>0</v>
      </c>
      <c r="G94" s="468">
        <f>IFERROR(VLOOKUP(A94,'2017-18'!$A$6:$D$315,4,0),0)</f>
        <v>1389077.72</v>
      </c>
      <c r="H94" s="468">
        <f t="shared" si="9"/>
        <v>1389077.72</v>
      </c>
      <c r="I94" s="382"/>
      <c r="J94" s="462">
        <v>201</v>
      </c>
      <c r="K94" s="468">
        <f>IFERROR(VLOOKUP(A94,'2018-19'!$A$6:$F$318,6,0),0)</f>
        <v>0</v>
      </c>
      <c r="L94" s="468">
        <f>IFERROR(VLOOKUP(A94,'2018-19'!$A$6:$D$318,4,0),0)</f>
        <v>1582358.89</v>
      </c>
      <c r="M94" s="468">
        <f t="shared" si="11"/>
        <v>1582358.89</v>
      </c>
      <c r="N94" s="382"/>
      <c r="O94" s="452">
        <v>213</v>
      </c>
      <c r="P94" s="387">
        <v>0</v>
      </c>
      <c r="Q94" s="387">
        <v>1786085.03</v>
      </c>
      <c r="R94" s="387">
        <v>1786085.03</v>
      </c>
      <c r="S94" s="382"/>
      <c r="T94" s="375">
        <f>VLOOKUP(A94,'Nov 2020 cc'!$B$3:$D$317,3,0)</f>
        <v>201</v>
      </c>
      <c r="U94" s="387">
        <v>0</v>
      </c>
      <c r="V94" s="387">
        <v>1935371.76</v>
      </c>
      <c r="W94" s="387">
        <v>1935371.76</v>
      </c>
      <c r="X94" s="382"/>
      <c r="Y94" s="375">
        <v>207</v>
      </c>
      <c r="Z94" s="413">
        <f>VLOOKUP(A94,'2021-22'!$A$6:$D$317,4,0)</f>
        <v>0</v>
      </c>
      <c r="AA94" s="413">
        <f>VLOOKUP(A94,'2021-22'!$A$6:$E$317,5,0)</f>
        <v>1965377.29</v>
      </c>
      <c r="AB94" s="387">
        <f t="shared" si="12"/>
        <v>1965377.29</v>
      </c>
      <c r="AC94" s="382"/>
      <c r="AD94" s="416">
        <v>214</v>
      </c>
      <c r="AE94" s="413">
        <v>0</v>
      </c>
      <c r="AF94" s="413">
        <v>2225210.67</v>
      </c>
      <c r="AG94" s="387">
        <f t="shared" si="13"/>
        <v>2225210.67</v>
      </c>
      <c r="AH94" s="557"/>
      <c r="AI94" s="387">
        <f>IFERROR(VLOOKUP(A94,'23-24 child count'!$C$4:$Y$317,23,0),0)</f>
        <v>207</v>
      </c>
      <c r="AJ94" s="387">
        <f>VLOOKUP(A94,'23-24 state &amp; local'!$A$5:$D$316,4,0)</f>
        <v>0</v>
      </c>
      <c r="AK94" s="387">
        <f>VLOOKUP(A94,'23-24 state &amp; local'!$A$5:$E$316,5,0)</f>
        <v>2341890.5299999998</v>
      </c>
      <c r="AL94" s="387">
        <f t="shared" si="10"/>
        <v>2341890.5299999998</v>
      </c>
      <c r="AM94" s="382"/>
    </row>
    <row r="95" spans="1:39" ht="15" hidden="1" x14ac:dyDescent="0.25">
      <c r="A95" s="375" t="s">
        <v>376</v>
      </c>
      <c r="B95" s="375" t="s">
        <v>197</v>
      </c>
      <c r="C95" s="448" t="s">
        <v>377</v>
      </c>
      <c r="E95" s="461">
        <v>366</v>
      </c>
      <c r="F95" s="468">
        <f>IFERROR(VLOOKUP(A95,'2017-18'!$A$6:$F$315,6,0),0)</f>
        <v>0</v>
      </c>
      <c r="G95" s="468">
        <f>IFERROR(VLOOKUP(A95,'2017-18'!$A$6:$D$315,4,0),0)</f>
        <v>4179311.38</v>
      </c>
      <c r="H95" s="468">
        <f t="shared" si="9"/>
        <v>4179311.38</v>
      </c>
      <c r="I95" s="382"/>
      <c r="J95" s="462">
        <v>371</v>
      </c>
      <c r="K95" s="468">
        <f>IFERROR(VLOOKUP(A95,'2018-19'!$A$6:$F$318,6,0),0)</f>
        <v>0</v>
      </c>
      <c r="L95" s="468">
        <f>IFERROR(VLOOKUP(A95,'2018-19'!$A$6:$D$318,4,0),0)</f>
        <v>4872194.04</v>
      </c>
      <c r="M95" s="468">
        <f t="shared" si="11"/>
        <v>4872194.04</v>
      </c>
      <c r="N95" s="382"/>
      <c r="O95" s="452">
        <v>370</v>
      </c>
      <c r="P95" s="387">
        <v>0</v>
      </c>
      <c r="Q95" s="387">
        <v>5434670.6299999999</v>
      </c>
      <c r="R95" s="387">
        <v>5434670.6299999999</v>
      </c>
      <c r="S95" s="382"/>
      <c r="T95" s="375">
        <f>VLOOKUP(A95,'Nov 2020 cc'!$B$3:$D$317,3,0)</f>
        <v>400</v>
      </c>
      <c r="U95" s="387">
        <v>0</v>
      </c>
      <c r="V95" s="387">
        <v>5880700.21</v>
      </c>
      <c r="W95" s="387">
        <v>5880700.21</v>
      </c>
      <c r="X95" s="382"/>
      <c r="Y95" s="375">
        <v>391</v>
      </c>
      <c r="Z95" s="413">
        <f>VLOOKUP(A95,'2021-22'!$A$6:$D$317,4,0)</f>
        <v>0</v>
      </c>
      <c r="AA95" s="413">
        <f>VLOOKUP(A95,'2021-22'!$A$6:$E$317,5,0)</f>
        <v>6324214.1600000001</v>
      </c>
      <c r="AB95" s="387">
        <f t="shared" si="12"/>
        <v>6324214.1600000001</v>
      </c>
      <c r="AC95" s="382"/>
      <c r="AD95" s="416">
        <v>408</v>
      </c>
      <c r="AE95" s="413">
        <v>0</v>
      </c>
      <c r="AF95" s="413">
        <v>6625874.25</v>
      </c>
      <c r="AG95" s="387">
        <f t="shared" si="13"/>
        <v>6625874.25</v>
      </c>
      <c r="AH95" s="557"/>
      <c r="AI95" s="387">
        <f>IFERROR(VLOOKUP(A95,'23-24 child count'!$C$4:$Y$317,23,0),0)</f>
        <v>456</v>
      </c>
      <c r="AJ95" s="387">
        <f>VLOOKUP(A95,'23-24 state &amp; local'!$A$5:$D$316,4,0)</f>
        <v>0</v>
      </c>
      <c r="AK95" s="387">
        <f>VLOOKUP(A95,'23-24 state &amp; local'!$A$5:$E$316,5,0)</f>
        <v>7520879.7699999996</v>
      </c>
      <c r="AL95" s="387">
        <f t="shared" si="10"/>
        <v>7520879.7699999996</v>
      </c>
      <c r="AM95" s="382"/>
    </row>
    <row r="96" spans="1:39" ht="15" hidden="1" x14ac:dyDescent="0.25">
      <c r="A96" s="375" t="s">
        <v>378</v>
      </c>
      <c r="B96" s="375" t="s">
        <v>189</v>
      </c>
      <c r="C96" s="448" t="s">
        <v>379</v>
      </c>
      <c r="E96" s="461">
        <v>21</v>
      </c>
      <c r="F96" s="468">
        <f>IFERROR(VLOOKUP(A96,'2017-18'!$A$6:$F$315,6,0),0)</f>
        <v>18643.919999999998</v>
      </c>
      <c r="G96" s="468">
        <f>IFERROR(VLOOKUP(A96,'2017-18'!$A$6:$D$315,4,0),0)</f>
        <v>164154.01999999999</v>
      </c>
      <c r="H96" s="468">
        <f t="shared" si="9"/>
        <v>182797.94</v>
      </c>
      <c r="I96" s="382"/>
      <c r="J96" s="462">
        <v>22</v>
      </c>
      <c r="K96" s="468">
        <f>IFERROR(VLOOKUP(A96,'2018-19'!$A$6:$F$318,6,0),0)</f>
        <v>47900.09</v>
      </c>
      <c r="L96" s="468">
        <f>IFERROR(VLOOKUP(A96,'2018-19'!$A$6:$D$318,4,0),0)</f>
        <v>250733.93</v>
      </c>
      <c r="M96" s="468">
        <f t="shared" si="11"/>
        <v>298634.02</v>
      </c>
      <c r="N96" s="382"/>
      <c r="O96" s="452">
        <v>29</v>
      </c>
      <c r="P96" s="387">
        <v>19003.919999999998</v>
      </c>
      <c r="Q96" s="387">
        <v>270233.46000000002</v>
      </c>
      <c r="R96" s="387">
        <v>289237.38</v>
      </c>
      <c r="S96" s="382"/>
      <c r="T96" s="375">
        <f>VLOOKUP(A96,'Nov 2020 cc'!$B$3:$D$317,3,0)</f>
        <v>26</v>
      </c>
      <c r="U96" s="387">
        <v>5825.71</v>
      </c>
      <c r="V96" s="387">
        <v>241380.82</v>
      </c>
      <c r="W96" s="387">
        <v>247206.53</v>
      </c>
      <c r="X96" s="382"/>
      <c r="Y96" s="375">
        <v>24</v>
      </c>
      <c r="Z96" s="413">
        <f>VLOOKUP(A96,'2021-22'!$A$6:$D$317,4,0)</f>
        <v>54560.54</v>
      </c>
      <c r="AA96" s="413">
        <f>VLOOKUP(A96,'2021-22'!$A$6:$E$317,5,0)</f>
        <v>304368.59000000003</v>
      </c>
      <c r="AB96" s="387">
        <f t="shared" si="12"/>
        <v>358929.13</v>
      </c>
      <c r="AC96" s="382"/>
      <c r="AD96" s="416">
        <v>30</v>
      </c>
      <c r="AE96" s="413">
        <v>25029.27</v>
      </c>
      <c r="AF96" s="413">
        <v>339074</v>
      </c>
      <c r="AG96" s="387">
        <f t="shared" si="13"/>
        <v>364103.27</v>
      </c>
      <c r="AH96" s="557"/>
      <c r="AI96" s="387">
        <f>IFERROR(VLOOKUP(A96,'23-24 child count'!$C$4:$Y$317,23,0),0)</f>
        <v>37</v>
      </c>
      <c r="AJ96" s="387">
        <f>VLOOKUP(A96,'23-24 state &amp; local'!$A$5:$D$316,4,0)</f>
        <v>21692.03</v>
      </c>
      <c r="AK96" s="387">
        <f>VLOOKUP(A96,'23-24 state &amp; local'!$A$5:$E$316,5,0)</f>
        <v>514000.76</v>
      </c>
      <c r="AL96" s="387">
        <f t="shared" si="10"/>
        <v>535692.79</v>
      </c>
      <c r="AM96" s="382"/>
    </row>
    <row r="97" spans="1:39" ht="15" hidden="1" x14ac:dyDescent="0.25">
      <c r="A97" s="375" t="s">
        <v>380</v>
      </c>
      <c r="B97" s="375" t="s">
        <v>194</v>
      </c>
      <c r="C97" s="448" t="s">
        <v>381</v>
      </c>
      <c r="E97" s="461">
        <v>8</v>
      </c>
      <c r="F97" s="468">
        <f>IFERROR(VLOOKUP(A97,'2017-18'!$A$6:$F$315,6,0),0)</f>
        <v>1091.94</v>
      </c>
      <c r="G97" s="468">
        <f>IFERROR(VLOOKUP(A97,'2017-18'!$A$6:$D$315,4,0),0)</f>
        <v>55939.22</v>
      </c>
      <c r="H97" s="468">
        <f t="shared" si="9"/>
        <v>57031.16</v>
      </c>
      <c r="I97" s="382"/>
      <c r="J97" s="462">
        <v>6</v>
      </c>
      <c r="K97" s="468">
        <f>IFERROR(VLOOKUP(A97,'2018-19'!$A$6:$F$318,6,0),0)</f>
        <v>3975.88</v>
      </c>
      <c r="L97" s="468">
        <f>IFERROR(VLOOKUP(A97,'2018-19'!$A$6:$D$318,4,0),0)</f>
        <v>37702.269999999997</v>
      </c>
      <c r="M97" s="468">
        <f t="shared" si="11"/>
        <v>41678.149999999994</v>
      </c>
      <c r="N97" s="382"/>
      <c r="O97" s="452">
        <v>5</v>
      </c>
      <c r="P97" s="387">
        <v>0</v>
      </c>
      <c r="Q97" s="387">
        <v>61792.62</v>
      </c>
      <c r="R97" s="387">
        <v>61792.62</v>
      </c>
      <c r="S97" s="382"/>
      <c r="T97" s="375">
        <f>VLOOKUP(A97,'Nov 2020 cc'!$B$3:$D$317,3,0)</f>
        <v>7</v>
      </c>
      <c r="U97" s="387">
        <v>0</v>
      </c>
      <c r="V97" s="387">
        <v>65931.03</v>
      </c>
      <c r="W97" s="387">
        <v>65931.03</v>
      </c>
      <c r="X97" s="382"/>
      <c r="Y97" s="375">
        <v>2</v>
      </c>
      <c r="Z97" s="413">
        <f>VLOOKUP(A97,'2021-22'!$A$6:$D$317,4,0)</f>
        <v>0</v>
      </c>
      <c r="AA97" s="413">
        <f>VLOOKUP(A97,'2021-22'!$A$6:$E$317,5,0)</f>
        <v>51044.639999999999</v>
      </c>
      <c r="AB97" s="387">
        <f t="shared" si="12"/>
        <v>51044.639999999999</v>
      </c>
      <c r="AC97" s="382"/>
      <c r="AD97" s="416">
        <v>5</v>
      </c>
      <c r="AE97" s="413">
        <v>0</v>
      </c>
      <c r="AF97" s="413">
        <v>58839.74</v>
      </c>
      <c r="AG97" s="387">
        <f t="shared" si="13"/>
        <v>58839.74</v>
      </c>
      <c r="AH97" s="557"/>
      <c r="AI97" s="387">
        <f>IFERROR(VLOOKUP(A97,'23-24 child count'!$C$4:$Y$317,23,0),0)</f>
        <v>8</v>
      </c>
      <c r="AJ97" s="387">
        <f>VLOOKUP(A97,'23-24 state &amp; local'!$A$5:$D$316,4,0)</f>
        <v>0</v>
      </c>
      <c r="AK97" s="387">
        <f>VLOOKUP(A97,'23-24 state &amp; local'!$A$5:$E$316,5,0)</f>
        <v>60060.69</v>
      </c>
      <c r="AL97" s="387">
        <f t="shared" si="10"/>
        <v>60060.69</v>
      </c>
      <c r="AM97" s="382"/>
    </row>
    <row r="98" spans="1:39" ht="15" hidden="1" x14ac:dyDescent="0.25">
      <c r="A98" s="598" t="s">
        <v>382</v>
      </c>
      <c r="B98" s="599"/>
      <c r="C98" s="600" t="s">
        <v>1415</v>
      </c>
      <c r="D98" s="599"/>
      <c r="E98" s="601"/>
      <c r="F98" s="602">
        <f>IFERROR(VLOOKUP(A98,'2017-18'!$A$6:$F$315,6,0),0)</f>
        <v>0</v>
      </c>
      <c r="G98" s="602">
        <f>IFERROR(VLOOKUP(A98,'2017-18'!$A$6:$D$315,4,0),0)</f>
        <v>690479.74</v>
      </c>
      <c r="H98" s="602">
        <f t="shared" si="9"/>
        <v>690479.74</v>
      </c>
      <c r="I98" s="599"/>
      <c r="J98" s="599"/>
      <c r="K98" s="602">
        <f>IFERROR(VLOOKUP(A98,'2018-19'!$A$6:$F$318,6,0),0)</f>
        <v>262704.87</v>
      </c>
      <c r="L98" s="602">
        <f>IFERROR(VLOOKUP(A98,'2018-19'!$A$6:$D$318,4,0),0)</f>
        <v>71960.78</v>
      </c>
      <c r="M98" s="602">
        <f t="shared" si="11"/>
        <v>334665.65000000002</v>
      </c>
      <c r="N98" s="599"/>
      <c r="O98" s="603"/>
      <c r="P98" s="602"/>
      <c r="Q98" s="602"/>
      <c r="R98" s="602"/>
      <c r="S98" s="599"/>
      <c r="T98" s="599">
        <v>0</v>
      </c>
      <c r="U98" s="602"/>
      <c r="V98" s="602"/>
      <c r="W98" s="602"/>
      <c r="X98" s="599"/>
      <c r="Y98" s="599"/>
      <c r="Z98" s="602">
        <v>0</v>
      </c>
      <c r="AA98" s="602">
        <v>0</v>
      </c>
      <c r="AB98" s="602"/>
      <c r="AC98" s="599"/>
      <c r="AD98" s="604"/>
      <c r="AE98" s="602"/>
      <c r="AF98" s="602"/>
      <c r="AG98" s="602"/>
      <c r="AH98" s="605"/>
      <c r="AI98" s="602">
        <f>IFERROR(VLOOKUP(A98,'23-24 child count'!$C$4:$Y$317,23,0),0)</f>
        <v>0</v>
      </c>
      <c r="AJ98" s="602">
        <v>0</v>
      </c>
      <c r="AK98" s="602">
        <v>0</v>
      </c>
      <c r="AL98" s="572">
        <f t="shared" si="10"/>
        <v>0</v>
      </c>
      <c r="AM98" s="599"/>
    </row>
    <row r="99" spans="1:39" ht="15" hidden="1" x14ac:dyDescent="0.25">
      <c r="A99" s="375" t="s">
        <v>384</v>
      </c>
      <c r="B99" s="375" t="s">
        <v>210</v>
      </c>
      <c r="C99" s="448" t="s">
        <v>385</v>
      </c>
      <c r="D99" s="375" t="s">
        <v>819</v>
      </c>
      <c r="E99" s="461">
        <v>20</v>
      </c>
      <c r="F99" s="468">
        <f>IFERROR(VLOOKUP(A99,'2017-18'!$A$6:$F$315,6,0),0)</f>
        <v>0</v>
      </c>
      <c r="G99" s="468">
        <f>IFERROR(VLOOKUP(A99,'2017-18'!$A$6:$D$315,4,0),0)</f>
        <v>147916.10999999999</v>
      </c>
      <c r="H99" s="468">
        <f t="shared" si="9"/>
        <v>147916.10999999999</v>
      </c>
      <c r="I99" s="382"/>
      <c r="J99" s="462">
        <v>13</v>
      </c>
      <c r="K99" s="468">
        <f>IFERROR(VLOOKUP(A99,'2018-19'!$A$6:$F$318,6,0),0)</f>
        <v>0</v>
      </c>
      <c r="L99" s="468">
        <f>IFERROR(VLOOKUP(A99,'2018-19'!$A$6:$D$318,4,0),0)</f>
        <v>121049.47</v>
      </c>
      <c r="M99" s="468">
        <f t="shared" si="11"/>
        <v>121049.47</v>
      </c>
      <c r="N99" s="382"/>
      <c r="O99" s="452">
        <v>19</v>
      </c>
      <c r="P99" s="387">
        <v>0</v>
      </c>
      <c r="Q99" s="387">
        <v>183280.16</v>
      </c>
      <c r="R99" s="387">
        <v>183280.16</v>
      </c>
      <c r="S99" s="382"/>
      <c r="T99" s="375">
        <f>VLOOKUP(A99,'Nov 2020 cc'!$B$3:$D$317,3,0)</f>
        <v>17</v>
      </c>
      <c r="U99" s="387">
        <v>0</v>
      </c>
      <c r="V99" s="387">
        <v>189322.61</v>
      </c>
      <c r="W99" s="387">
        <v>189322.61</v>
      </c>
      <c r="X99" s="382"/>
      <c r="Y99" s="375">
        <v>20</v>
      </c>
      <c r="Z99" s="413">
        <f>VLOOKUP(A99,'2021-22'!$A$6:$D$317,4,0)</f>
        <v>0</v>
      </c>
      <c r="AA99" s="413">
        <f>VLOOKUP(A99,'2021-22'!$A$6:$E$317,5,0)</f>
        <v>194224.95</v>
      </c>
      <c r="AB99" s="387">
        <f t="shared" ref="AB99:AB131" si="14">Z99+AA99</f>
        <v>194224.95</v>
      </c>
      <c r="AC99" s="382"/>
      <c r="AD99" s="416">
        <v>20</v>
      </c>
      <c r="AE99" s="413">
        <v>0</v>
      </c>
      <c r="AF99" s="413">
        <v>212038.01</v>
      </c>
      <c r="AG99" s="387">
        <f t="shared" ref="AG99:AG131" si="15">AE99+AF99</f>
        <v>212038.01</v>
      </c>
      <c r="AH99" s="557"/>
      <c r="AI99" s="387">
        <f>IFERROR(VLOOKUP(A99,'23-24 child count'!$C$4:$Y$317,23,0),0)</f>
        <v>17</v>
      </c>
      <c r="AJ99" s="387">
        <f>VLOOKUP(A99,'23-24 state &amp; local'!$A$5:$D$316,4,0)</f>
        <v>0</v>
      </c>
      <c r="AK99" s="387">
        <f>VLOOKUP(A99,'23-24 state &amp; local'!$A$5:$E$316,5,0)</f>
        <v>219801.33</v>
      </c>
      <c r="AL99" s="387">
        <f t="shared" si="10"/>
        <v>219801.33</v>
      </c>
      <c r="AM99" s="382"/>
    </row>
    <row r="100" spans="1:39" ht="15" hidden="1" x14ac:dyDescent="0.25">
      <c r="A100" s="375" t="s">
        <v>386</v>
      </c>
      <c r="B100" s="375" t="s">
        <v>189</v>
      </c>
      <c r="C100" s="448" t="s">
        <v>387</v>
      </c>
      <c r="E100" s="461">
        <v>100</v>
      </c>
      <c r="F100" s="468">
        <f>IFERROR(VLOOKUP(A100,'2017-18'!$A$6:$F$315,6,0),0)</f>
        <v>3823.66</v>
      </c>
      <c r="G100" s="468">
        <f>IFERROR(VLOOKUP(A100,'2017-18'!$A$6:$D$315,4,0),0)</f>
        <v>893645.2</v>
      </c>
      <c r="H100" s="468">
        <f t="shared" si="9"/>
        <v>897468.86</v>
      </c>
      <c r="I100" s="382"/>
      <c r="J100" s="462">
        <v>106</v>
      </c>
      <c r="K100" s="468">
        <f>IFERROR(VLOOKUP(A100,'2018-19'!$A$6:$F$318,6,0),0)</f>
        <v>75946.320000000007</v>
      </c>
      <c r="L100" s="468">
        <f>IFERROR(VLOOKUP(A100,'2018-19'!$A$6:$D$318,4,0),0)</f>
        <v>807627.88</v>
      </c>
      <c r="M100" s="468">
        <f t="shared" si="11"/>
        <v>883574.2</v>
      </c>
      <c r="N100" s="382"/>
      <c r="O100" s="452">
        <v>94</v>
      </c>
      <c r="P100" s="387">
        <v>0</v>
      </c>
      <c r="Q100" s="387">
        <v>1075365.2</v>
      </c>
      <c r="R100" s="387">
        <v>1075365.2</v>
      </c>
      <c r="S100" s="382"/>
      <c r="T100" s="375">
        <f>VLOOKUP(A100,'Nov 2020 cc'!$B$3:$D$317,3,0)</f>
        <v>97</v>
      </c>
      <c r="U100" s="387">
        <v>0</v>
      </c>
      <c r="V100" s="387">
        <v>1003449.28</v>
      </c>
      <c r="W100" s="387">
        <v>1003449.28</v>
      </c>
      <c r="X100" s="382"/>
      <c r="Y100" s="375">
        <v>88</v>
      </c>
      <c r="Z100" s="413">
        <f>VLOOKUP(A100,'2021-22'!$A$6:$D$317,4,0)</f>
        <v>0</v>
      </c>
      <c r="AA100" s="413">
        <f>VLOOKUP(A100,'2021-22'!$A$6:$E$317,5,0)</f>
        <v>1071346.52</v>
      </c>
      <c r="AB100" s="387">
        <f t="shared" si="14"/>
        <v>1071346.52</v>
      </c>
      <c r="AC100" s="382"/>
      <c r="AD100" s="416">
        <v>89</v>
      </c>
      <c r="AE100" s="413">
        <v>0</v>
      </c>
      <c r="AF100" s="413">
        <v>1003093.81</v>
      </c>
      <c r="AG100" s="387">
        <f t="shared" si="15"/>
        <v>1003093.81</v>
      </c>
      <c r="AH100" s="557"/>
      <c r="AI100" s="387">
        <f>IFERROR(VLOOKUP(A100,'23-24 child count'!$C$4:$Y$317,23,0),0)</f>
        <v>89</v>
      </c>
      <c r="AJ100" s="387">
        <f>VLOOKUP(A100,'23-24 state &amp; local'!$A$5:$D$316,4,0)</f>
        <v>0</v>
      </c>
      <c r="AK100" s="387">
        <f>VLOOKUP(A100,'23-24 state &amp; local'!$A$5:$E$316,5,0)</f>
        <v>1459917.37</v>
      </c>
      <c r="AL100" s="387">
        <f t="shared" si="10"/>
        <v>1459917.37</v>
      </c>
      <c r="AM100" s="382"/>
    </row>
    <row r="101" spans="1:39" ht="15" hidden="1" x14ac:dyDescent="0.25">
      <c r="A101" s="375" t="s">
        <v>388</v>
      </c>
      <c r="B101" s="375" t="s">
        <v>194</v>
      </c>
      <c r="C101" s="448" t="s">
        <v>389</v>
      </c>
      <c r="E101" s="461">
        <v>18</v>
      </c>
      <c r="F101" s="468">
        <f>IFERROR(VLOOKUP(A101,'2017-18'!$A$6:$F$315,6,0),0)</f>
        <v>9694.75</v>
      </c>
      <c r="G101" s="468">
        <f>IFERROR(VLOOKUP(A101,'2017-18'!$A$6:$D$315,4,0),0)</f>
        <v>177531.93</v>
      </c>
      <c r="H101" s="468">
        <f t="shared" si="9"/>
        <v>187226.68</v>
      </c>
      <c r="I101" s="382"/>
      <c r="J101" s="462">
        <v>23</v>
      </c>
      <c r="K101" s="468">
        <f>IFERROR(VLOOKUP(A101,'2018-19'!$A$6:$F$318,6,0),0)</f>
        <v>0</v>
      </c>
      <c r="L101" s="468">
        <f>IFERROR(VLOOKUP(A101,'2018-19'!$A$6:$D$318,4,0),0)</f>
        <v>226276.21</v>
      </c>
      <c r="M101" s="468">
        <f t="shared" si="11"/>
        <v>226276.21</v>
      </c>
      <c r="N101" s="382"/>
      <c r="O101" s="452">
        <v>24</v>
      </c>
      <c r="P101" s="387">
        <v>5207.41</v>
      </c>
      <c r="Q101" s="387">
        <v>230236.57</v>
      </c>
      <c r="R101" s="387">
        <v>235443.98</v>
      </c>
      <c r="S101" s="382"/>
      <c r="T101" s="375">
        <f>VLOOKUP(A101,'Nov 2020 cc'!$B$3:$D$317,3,0)</f>
        <v>23</v>
      </c>
      <c r="U101" s="387">
        <v>5207.42</v>
      </c>
      <c r="V101" s="387">
        <v>218017.76</v>
      </c>
      <c r="W101" s="387">
        <v>223225.18000000002</v>
      </c>
      <c r="X101" s="382"/>
      <c r="Y101" s="375">
        <v>23</v>
      </c>
      <c r="Z101" s="413">
        <f>VLOOKUP(A101,'2021-22'!$A$6:$D$317,4,0)</f>
        <v>5300</v>
      </c>
      <c r="AA101" s="413">
        <f>VLOOKUP(A101,'2021-22'!$A$6:$E$317,5,0)</f>
        <v>208591.12</v>
      </c>
      <c r="AB101" s="387">
        <f t="shared" si="14"/>
        <v>213891.12</v>
      </c>
      <c r="AC101" s="382"/>
      <c r="AD101" s="416">
        <v>26</v>
      </c>
      <c r="AE101" s="413">
        <v>8254.77</v>
      </c>
      <c r="AF101" s="413">
        <v>220927.37</v>
      </c>
      <c r="AG101" s="387">
        <f t="shared" si="15"/>
        <v>229182.13999999998</v>
      </c>
      <c r="AH101" s="557"/>
      <c r="AI101" s="387">
        <f>IFERROR(VLOOKUP(A101,'23-24 child count'!$C$4:$Y$317,23,0),0)</f>
        <v>36</v>
      </c>
      <c r="AJ101" s="387">
        <f>VLOOKUP(A101,'23-24 state &amp; local'!$A$5:$D$316,4,0)</f>
        <v>8992.08</v>
      </c>
      <c r="AK101" s="387">
        <f>VLOOKUP(A101,'23-24 state &amp; local'!$A$5:$E$316,5,0)</f>
        <v>231326.23</v>
      </c>
      <c r="AL101" s="387">
        <f t="shared" si="10"/>
        <v>240318.31</v>
      </c>
      <c r="AM101" s="382"/>
    </row>
    <row r="102" spans="1:39" ht="15" hidden="1" x14ac:dyDescent="0.25">
      <c r="A102" s="375" t="s">
        <v>390</v>
      </c>
      <c r="B102" s="375" t="s">
        <v>221</v>
      </c>
      <c r="C102" s="448" t="s">
        <v>391</v>
      </c>
      <c r="E102" s="461">
        <v>146</v>
      </c>
      <c r="F102" s="468">
        <f>IFERROR(VLOOKUP(A102,'2017-18'!$A$6:$F$315,6,0),0)</f>
        <v>0</v>
      </c>
      <c r="G102" s="468">
        <f>IFERROR(VLOOKUP(A102,'2017-18'!$A$6:$D$315,4,0),0)</f>
        <v>1171507.3999999999</v>
      </c>
      <c r="H102" s="468">
        <f t="shared" si="9"/>
        <v>1171507.3999999999</v>
      </c>
      <c r="I102" s="382"/>
      <c r="J102" s="462">
        <v>138</v>
      </c>
      <c r="K102" s="468">
        <f>IFERROR(VLOOKUP(A102,'2018-19'!$A$6:$F$318,6,0),0)</f>
        <v>0</v>
      </c>
      <c r="L102" s="468">
        <f>IFERROR(VLOOKUP(A102,'2018-19'!$A$6:$D$318,4,0),0)</f>
        <v>1242461.5900000001</v>
      </c>
      <c r="M102" s="468">
        <f t="shared" si="11"/>
        <v>1242461.5900000001</v>
      </c>
      <c r="N102" s="382"/>
      <c r="O102" s="452">
        <v>139</v>
      </c>
      <c r="P102" s="387">
        <v>0</v>
      </c>
      <c r="Q102" s="387">
        <v>1327237.92</v>
      </c>
      <c r="R102" s="387">
        <v>1327237.92</v>
      </c>
      <c r="S102" s="382"/>
      <c r="T102" s="375">
        <f>VLOOKUP(A102,'Nov 2020 cc'!$B$3:$D$317,3,0)</f>
        <v>141</v>
      </c>
      <c r="U102" s="387">
        <v>0</v>
      </c>
      <c r="V102" s="387">
        <v>1356056.94</v>
      </c>
      <c r="W102" s="387">
        <v>1356056.94</v>
      </c>
      <c r="X102" s="382"/>
      <c r="Y102" s="375">
        <v>131</v>
      </c>
      <c r="Z102" s="413">
        <f>VLOOKUP(A102,'2021-22'!$A$6:$D$317,4,0)</f>
        <v>117184.58</v>
      </c>
      <c r="AA102" s="413">
        <f>VLOOKUP(A102,'2021-22'!$A$6:$E$317,5,0)</f>
        <v>1252669.99</v>
      </c>
      <c r="AB102" s="387">
        <f t="shared" si="14"/>
        <v>1369854.57</v>
      </c>
      <c r="AC102" s="382"/>
      <c r="AD102" s="416">
        <v>144</v>
      </c>
      <c r="AE102" s="413">
        <v>0</v>
      </c>
      <c r="AF102" s="413">
        <v>1558527.77</v>
      </c>
      <c r="AG102" s="387">
        <f t="shared" si="15"/>
        <v>1558527.77</v>
      </c>
      <c r="AH102" s="557"/>
      <c r="AI102" s="387">
        <f>IFERROR(VLOOKUP(A102,'23-24 child count'!$C$4:$Y$317,23,0),0)</f>
        <v>158</v>
      </c>
      <c r="AJ102" s="387">
        <f>VLOOKUP(A102,'23-24 state &amp; local'!$A$5:$D$316,4,0)</f>
        <v>0</v>
      </c>
      <c r="AK102" s="387">
        <f>VLOOKUP(A102,'23-24 state &amp; local'!$A$5:$E$316,5,0)</f>
        <v>1831959.3</v>
      </c>
      <c r="AL102" s="387">
        <f t="shared" si="10"/>
        <v>1831959.3</v>
      </c>
      <c r="AM102" s="382"/>
    </row>
    <row r="103" spans="1:39" ht="15" hidden="1" x14ac:dyDescent="0.25">
      <c r="A103" s="375" t="s">
        <v>392</v>
      </c>
      <c r="B103" s="375" t="s">
        <v>205</v>
      </c>
      <c r="C103" s="448" t="s">
        <v>393</v>
      </c>
      <c r="E103" s="461">
        <v>2804</v>
      </c>
      <c r="F103" s="468">
        <f>IFERROR(VLOOKUP(A103,'2017-18'!$A$6:$F$315,6,0),0)</f>
        <v>5470024.2300000004</v>
      </c>
      <c r="G103" s="468">
        <f>IFERROR(VLOOKUP(A103,'2017-18'!$A$6:$D$315,4,0),0)</f>
        <v>23032860.34</v>
      </c>
      <c r="H103" s="468">
        <f t="shared" si="9"/>
        <v>28502884.57</v>
      </c>
      <c r="I103" s="382"/>
      <c r="J103" s="462">
        <v>2745</v>
      </c>
      <c r="K103" s="468">
        <f>IFERROR(VLOOKUP(A103,'2018-19'!$A$6:$F$318,6,0),0)</f>
        <v>6159787.4699999997</v>
      </c>
      <c r="L103" s="468">
        <f>IFERROR(VLOOKUP(A103,'2018-19'!$A$6:$D$318,4,0),0)</f>
        <v>31365060.140000001</v>
      </c>
      <c r="M103" s="468">
        <f t="shared" si="11"/>
        <v>37524847.609999999</v>
      </c>
      <c r="N103" s="382"/>
      <c r="O103" s="452">
        <v>2800</v>
      </c>
      <c r="P103" s="387">
        <v>6299226.71</v>
      </c>
      <c r="Q103" s="387">
        <v>34614457.950000003</v>
      </c>
      <c r="R103" s="387">
        <v>40913684.660000004</v>
      </c>
      <c r="S103" s="382"/>
      <c r="T103" s="375">
        <f>VLOOKUP(A103,'Nov 2020 cc'!$B$3:$D$317,3,0)</f>
        <v>2782</v>
      </c>
      <c r="U103" s="387">
        <v>9601210.7400000002</v>
      </c>
      <c r="V103" s="387">
        <v>33874873.439999998</v>
      </c>
      <c r="W103" s="387">
        <v>43476084.18</v>
      </c>
      <c r="X103" s="382"/>
      <c r="Y103" s="375">
        <v>2674</v>
      </c>
      <c r="Z103" s="413">
        <f>VLOOKUP(A103,'2021-22'!$A$6:$D$317,4,0)</f>
        <v>10578962.119999999</v>
      </c>
      <c r="AA103" s="413">
        <f>VLOOKUP(A103,'2021-22'!$A$6:$E$317,5,0)</f>
        <v>33724666.939999998</v>
      </c>
      <c r="AB103" s="387">
        <f t="shared" si="14"/>
        <v>44303629.059999995</v>
      </c>
      <c r="AC103" s="382"/>
      <c r="AD103" s="416">
        <v>2676</v>
      </c>
      <c r="AE103" s="413">
        <v>13987299.470000001</v>
      </c>
      <c r="AF103" s="413">
        <v>36241516.140000001</v>
      </c>
      <c r="AG103" s="387">
        <f t="shared" si="15"/>
        <v>50228815.609999999</v>
      </c>
      <c r="AH103" s="557"/>
      <c r="AI103" s="387">
        <f>IFERROR(VLOOKUP(A103,'23-24 child count'!$C$4:$Y$317,23,0),0)</f>
        <v>2742</v>
      </c>
      <c r="AJ103" s="387">
        <f>VLOOKUP(A103,'23-24 state &amp; local'!$A$5:$D$316,4,0)</f>
        <v>10531247.42</v>
      </c>
      <c r="AK103" s="387">
        <f>VLOOKUP(A103,'23-24 state &amp; local'!$A$5:$E$316,5,0)</f>
        <v>43554309.210000001</v>
      </c>
      <c r="AL103" s="387">
        <f t="shared" si="10"/>
        <v>54085556.630000003</v>
      </c>
      <c r="AM103" s="382"/>
    </row>
    <row r="104" spans="1:39" ht="15" hidden="1" x14ac:dyDescent="0.25">
      <c r="A104" s="375" t="s">
        <v>394</v>
      </c>
      <c r="B104" s="375" t="s">
        <v>210</v>
      </c>
      <c r="C104" s="448" t="s">
        <v>395</v>
      </c>
      <c r="E104" s="461">
        <v>174</v>
      </c>
      <c r="F104" s="468">
        <f>IFERROR(VLOOKUP(A104,'2017-18'!$A$6:$F$315,6,0),0)</f>
        <v>611661.32999999996</v>
      </c>
      <c r="G104" s="468">
        <f>IFERROR(VLOOKUP(A104,'2017-18'!$A$6:$D$315,4,0),0)</f>
        <v>1603527.75</v>
      </c>
      <c r="H104" s="468">
        <f t="shared" si="9"/>
        <v>2215189.08</v>
      </c>
      <c r="I104" s="382"/>
      <c r="J104" s="462">
        <v>172</v>
      </c>
      <c r="K104" s="468">
        <f>IFERROR(VLOOKUP(A104,'2018-19'!$A$6:$F$318,6,0),0)</f>
        <v>605517.29</v>
      </c>
      <c r="L104" s="468">
        <f>IFERROR(VLOOKUP(A104,'2018-19'!$A$6:$D$318,4,0),0)</f>
        <v>1903579.13</v>
      </c>
      <c r="M104" s="468">
        <f t="shared" si="11"/>
        <v>2509096.42</v>
      </c>
      <c r="N104" s="382"/>
      <c r="O104" s="452">
        <v>178</v>
      </c>
      <c r="P104" s="387">
        <v>329156.21999999997</v>
      </c>
      <c r="Q104" s="387">
        <v>2260254.08</v>
      </c>
      <c r="R104" s="387">
        <v>2589410.2999999998</v>
      </c>
      <c r="S104" s="382"/>
      <c r="T104" s="375">
        <f>VLOOKUP(A104,'Nov 2020 cc'!$B$3:$D$317,3,0)</f>
        <v>161</v>
      </c>
      <c r="U104" s="387">
        <v>328751.65999999997</v>
      </c>
      <c r="V104" s="387">
        <v>2137671.23</v>
      </c>
      <c r="W104" s="387">
        <v>2466422.89</v>
      </c>
      <c r="X104" s="382"/>
      <c r="Y104" s="375">
        <v>188</v>
      </c>
      <c r="Z104" s="413">
        <f>VLOOKUP(A104,'2021-22'!$A$6:$D$317,4,0)</f>
        <v>558569.05000000005</v>
      </c>
      <c r="AA104" s="413">
        <f>VLOOKUP(A104,'2021-22'!$A$6:$E$317,5,0)</f>
        <v>2219944.15</v>
      </c>
      <c r="AB104" s="387">
        <f t="shared" si="14"/>
        <v>2778513.2</v>
      </c>
      <c r="AC104" s="382"/>
      <c r="AD104" s="416">
        <v>202</v>
      </c>
      <c r="AE104" s="413">
        <v>734573.74</v>
      </c>
      <c r="AF104" s="413">
        <v>2614538.87</v>
      </c>
      <c r="AG104" s="387">
        <f t="shared" si="15"/>
        <v>3349112.6100000003</v>
      </c>
      <c r="AH104" s="557"/>
      <c r="AI104" s="387">
        <f>IFERROR(VLOOKUP(A104,'23-24 child count'!$C$4:$Y$317,23,0),0)</f>
        <v>222</v>
      </c>
      <c r="AJ104" s="387">
        <f>VLOOKUP(A104,'23-24 state &amp; local'!$A$5:$D$316,4,0)</f>
        <v>839296.1</v>
      </c>
      <c r="AK104" s="387">
        <f>VLOOKUP(A104,'23-24 state &amp; local'!$A$5:$E$316,5,0)</f>
        <v>3292271.05</v>
      </c>
      <c r="AL104" s="387">
        <f t="shared" si="10"/>
        <v>4131567.15</v>
      </c>
      <c r="AM104" s="382"/>
    </row>
    <row r="105" spans="1:39" ht="15" hidden="1" x14ac:dyDescent="0.25">
      <c r="A105" s="375" t="s">
        <v>396</v>
      </c>
      <c r="B105" s="375" t="s">
        <v>189</v>
      </c>
      <c r="C105" s="448" t="s">
        <v>397</v>
      </c>
      <c r="E105" s="461">
        <v>51</v>
      </c>
      <c r="F105" s="468">
        <f>IFERROR(VLOOKUP(A105,'2017-18'!$A$6:$F$315,6,0),0)</f>
        <v>0</v>
      </c>
      <c r="G105" s="468">
        <f>IFERROR(VLOOKUP(A105,'2017-18'!$A$6:$D$315,4,0),0)</f>
        <v>723525.01</v>
      </c>
      <c r="H105" s="468">
        <f t="shared" si="9"/>
        <v>723525.01</v>
      </c>
      <c r="I105" s="382"/>
      <c r="J105" s="462">
        <v>43</v>
      </c>
      <c r="K105" s="468">
        <f>IFERROR(VLOOKUP(A105,'2018-19'!$A$6:$F$318,6,0),0)</f>
        <v>0</v>
      </c>
      <c r="L105" s="468">
        <f>IFERROR(VLOOKUP(A105,'2018-19'!$A$6:$D$318,4,0),0)</f>
        <v>398317.25</v>
      </c>
      <c r="M105" s="468">
        <f t="shared" si="11"/>
        <v>398317.25</v>
      </c>
      <c r="N105" s="382"/>
      <c r="O105" s="452">
        <v>49</v>
      </c>
      <c r="P105" s="387">
        <v>0</v>
      </c>
      <c r="Q105" s="387">
        <v>810584.2</v>
      </c>
      <c r="R105" s="387">
        <v>810584.2</v>
      </c>
      <c r="S105" s="382"/>
      <c r="T105" s="375">
        <f>VLOOKUP(A105,'Nov 2020 cc'!$B$3:$D$317,3,0)</f>
        <v>42</v>
      </c>
      <c r="U105" s="387">
        <v>0</v>
      </c>
      <c r="V105" s="387">
        <v>740819.86</v>
      </c>
      <c r="W105" s="387">
        <v>740819.86</v>
      </c>
      <c r="X105" s="382"/>
      <c r="Y105" s="375">
        <v>38</v>
      </c>
      <c r="Z105" s="413">
        <f>VLOOKUP(A105,'2021-22'!$A$6:$D$317,4,0)</f>
        <v>0</v>
      </c>
      <c r="AA105" s="413">
        <f>VLOOKUP(A105,'2021-22'!$A$6:$E$317,5,0)</f>
        <v>791057.47</v>
      </c>
      <c r="AB105" s="387">
        <f t="shared" si="14"/>
        <v>791057.47</v>
      </c>
      <c r="AC105" s="382"/>
      <c r="AD105" s="416">
        <v>43</v>
      </c>
      <c r="AE105" s="413">
        <v>0</v>
      </c>
      <c r="AF105" s="413">
        <v>828615.64</v>
      </c>
      <c r="AG105" s="387">
        <f t="shared" si="15"/>
        <v>828615.64</v>
      </c>
      <c r="AH105" s="557"/>
      <c r="AI105" s="387">
        <f>IFERROR(VLOOKUP(A105,'23-24 child count'!$C$4:$Y$317,23,0),0)</f>
        <v>56</v>
      </c>
      <c r="AJ105" s="387">
        <f>VLOOKUP(A105,'23-24 state &amp; local'!$A$5:$D$316,4,0)</f>
        <v>0</v>
      </c>
      <c r="AK105" s="387">
        <f>VLOOKUP(A105,'23-24 state &amp; local'!$A$5:$E$316,5,0)</f>
        <v>916390.49</v>
      </c>
      <c r="AL105" s="387">
        <f t="shared" si="10"/>
        <v>916390.49</v>
      </c>
      <c r="AM105" s="382"/>
    </row>
    <row r="106" spans="1:39" ht="15" hidden="1" x14ac:dyDescent="0.25">
      <c r="A106" s="375" t="s">
        <v>398</v>
      </c>
      <c r="B106" s="375" t="s">
        <v>189</v>
      </c>
      <c r="C106" s="448" t="s">
        <v>399</v>
      </c>
      <c r="E106" s="461">
        <v>286</v>
      </c>
      <c r="F106" s="468">
        <f>IFERROR(VLOOKUP(A106,'2017-18'!$A$6:$F$315,6,0),0)</f>
        <v>0</v>
      </c>
      <c r="G106" s="468">
        <f>IFERROR(VLOOKUP(A106,'2017-18'!$A$6:$D$315,4,0),0)</f>
        <v>1968792.64</v>
      </c>
      <c r="H106" s="468">
        <f t="shared" si="9"/>
        <v>1968792.64</v>
      </c>
      <c r="I106" s="382"/>
      <c r="J106" s="462">
        <v>269</v>
      </c>
      <c r="K106" s="468">
        <f>IFERROR(VLOOKUP(A106,'2018-19'!$A$6:$F$318,6,0),0)</f>
        <v>17562</v>
      </c>
      <c r="L106" s="468">
        <f>IFERROR(VLOOKUP(A106,'2018-19'!$A$6:$D$318,4,0),0)</f>
        <v>1888384.9</v>
      </c>
      <c r="M106" s="468">
        <f t="shared" si="11"/>
        <v>1905946.9</v>
      </c>
      <c r="N106" s="382"/>
      <c r="O106" s="452">
        <v>263</v>
      </c>
      <c r="P106" s="387">
        <v>0</v>
      </c>
      <c r="Q106" s="387">
        <v>2625485.61</v>
      </c>
      <c r="R106" s="387">
        <v>2625485.61</v>
      </c>
      <c r="S106" s="382"/>
      <c r="T106" s="375">
        <f>VLOOKUP(A106,'Nov 2020 cc'!$B$3:$D$317,3,0)</f>
        <v>274</v>
      </c>
      <c r="U106" s="387">
        <v>0</v>
      </c>
      <c r="V106" s="387">
        <v>2427327.34</v>
      </c>
      <c r="W106" s="387">
        <v>2427327.34</v>
      </c>
      <c r="X106" s="382"/>
      <c r="Y106" s="375">
        <v>235</v>
      </c>
      <c r="Z106" s="413">
        <f>VLOOKUP(A106,'2021-22'!$A$6:$D$317,4,0)</f>
        <v>0</v>
      </c>
      <c r="AA106" s="413">
        <f>VLOOKUP(A106,'2021-22'!$A$6:$E$317,5,0)</f>
        <v>2621035.7200000002</v>
      </c>
      <c r="AB106" s="387">
        <f t="shared" si="14"/>
        <v>2621035.7200000002</v>
      </c>
      <c r="AC106" s="382"/>
      <c r="AD106" s="416">
        <v>252</v>
      </c>
      <c r="AE106" s="413">
        <v>0</v>
      </c>
      <c r="AF106" s="413">
        <v>2900753.46</v>
      </c>
      <c r="AG106" s="387">
        <f t="shared" si="15"/>
        <v>2900753.46</v>
      </c>
      <c r="AH106" s="557"/>
      <c r="AI106" s="387">
        <f>IFERROR(VLOOKUP(A106,'23-24 child count'!$C$4:$Y$317,23,0),0)</f>
        <v>282</v>
      </c>
      <c r="AJ106" s="387">
        <f>VLOOKUP(A106,'23-24 state &amp; local'!$A$5:$D$316,4,0)</f>
        <v>0</v>
      </c>
      <c r="AK106" s="387">
        <f>VLOOKUP(A106,'23-24 state &amp; local'!$A$5:$E$316,5,0)</f>
        <v>2934545.17</v>
      </c>
      <c r="AL106" s="387">
        <f t="shared" si="10"/>
        <v>2934545.17</v>
      </c>
      <c r="AM106" s="382"/>
    </row>
    <row r="107" spans="1:39" ht="15" hidden="1" x14ac:dyDescent="0.25">
      <c r="A107" s="375" t="s">
        <v>1161</v>
      </c>
      <c r="C107" s="448" t="s">
        <v>1344</v>
      </c>
      <c r="D107" s="375" t="s">
        <v>1372</v>
      </c>
      <c r="E107" s="461"/>
      <c r="F107" s="468">
        <f>IFERROR(VLOOKUP(A107,'2017-18'!$A$6:$F$315,6,0),0)</f>
        <v>0</v>
      </c>
      <c r="G107" s="468">
        <f>IFERROR(VLOOKUP(A107,'2017-18'!$A$6:$D$315,4,0),0)</f>
        <v>0</v>
      </c>
      <c r="H107" s="468">
        <f t="shared" si="9"/>
        <v>0</v>
      </c>
      <c r="I107" s="382"/>
      <c r="J107" s="462"/>
      <c r="K107" s="468">
        <f>IFERROR(VLOOKUP(A107,'2018-19'!$A$6:$F$318,6,0),0)</f>
        <v>0</v>
      </c>
      <c r="L107" s="468">
        <f>IFERROR(VLOOKUP(A107,'2018-19'!$A$6:$D$318,4,0),0)</f>
        <v>0</v>
      </c>
      <c r="M107" s="468">
        <f t="shared" si="11"/>
        <v>0</v>
      </c>
      <c r="N107" s="382"/>
      <c r="O107" s="452">
        <v>0</v>
      </c>
      <c r="S107" s="382"/>
      <c r="T107" s="375">
        <v>0</v>
      </c>
      <c r="U107" s="387">
        <v>0</v>
      </c>
      <c r="V107" s="387">
        <v>0</v>
      </c>
      <c r="W107" s="387">
        <v>0</v>
      </c>
      <c r="X107" s="382"/>
      <c r="Y107" s="375">
        <v>9</v>
      </c>
      <c r="Z107" s="413">
        <f>VLOOKUP(A107,'2021-22'!$A$6:$D$317,4,0)</f>
        <v>0</v>
      </c>
      <c r="AA107" s="413">
        <f>VLOOKUP(A107,'2021-22'!$A$6:$E$317,5,0)</f>
        <v>160829.82</v>
      </c>
      <c r="AB107" s="387">
        <f t="shared" si="14"/>
        <v>160829.82</v>
      </c>
      <c r="AC107" s="382"/>
      <c r="AD107" s="416">
        <v>22</v>
      </c>
      <c r="AE107" s="413">
        <v>0</v>
      </c>
      <c r="AF107" s="413">
        <v>315886.37</v>
      </c>
      <c r="AG107" s="387">
        <f t="shared" si="15"/>
        <v>315886.37</v>
      </c>
      <c r="AH107" s="557"/>
      <c r="AI107" s="387">
        <f>IFERROR(VLOOKUP(A107,'23-24 child count'!$C$4:$Y$317,23,0),0)</f>
        <v>36</v>
      </c>
      <c r="AJ107" s="387">
        <f>VLOOKUP(A107,'23-24 state &amp; local'!$A$5:$D$316,4,0)</f>
        <v>0</v>
      </c>
      <c r="AK107" s="387">
        <f>VLOOKUP(A107,'23-24 state &amp; local'!$A$5:$E$316,5,0)</f>
        <v>683546.26</v>
      </c>
      <c r="AL107" s="387">
        <f t="shared" si="10"/>
        <v>683546.26</v>
      </c>
      <c r="AM107" s="382"/>
    </row>
    <row r="108" spans="1:39" ht="15" hidden="1" x14ac:dyDescent="0.25">
      <c r="A108" s="375" t="s">
        <v>400</v>
      </c>
      <c r="C108" s="448" t="s">
        <v>1193</v>
      </c>
      <c r="D108" s="375" t="s">
        <v>1372</v>
      </c>
      <c r="E108" s="461">
        <v>0</v>
      </c>
      <c r="F108" s="468">
        <f>IFERROR(VLOOKUP(A108,'2017-18'!$A$6:$F$315,6,0),0)</f>
        <v>0</v>
      </c>
      <c r="G108" s="468">
        <f>IFERROR(VLOOKUP(A108,'2017-18'!$A$6:$D$315,4,0),0)</f>
        <v>0</v>
      </c>
      <c r="H108" s="468">
        <f t="shared" si="9"/>
        <v>0</v>
      </c>
      <c r="I108" s="382"/>
      <c r="J108" s="462">
        <v>2</v>
      </c>
      <c r="K108" s="468">
        <f>IFERROR(VLOOKUP(A108,'2018-19'!$A$6:$F$318,6,0),0)</f>
        <v>0</v>
      </c>
      <c r="L108" s="468">
        <f>IFERROR(VLOOKUP(A108,'2018-19'!$A$6:$D$318,4,0),0)</f>
        <v>101526.62</v>
      </c>
      <c r="M108" s="468">
        <f t="shared" si="11"/>
        <v>101526.62</v>
      </c>
      <c r="N108" s="382"/>
      <c r="O108" s="452">
        <v>13</v>
      </c>
      <c r="P108" s="387">
        <v>0</v>
      </c>
      <c r="Q108" s="387">
        <v>204323.62</v>
      </c>
      <c r="R108" s="387">
        <v>204323.62</v>
      </c>
      <c r="S108" s="382"/>
      <c r="T108" s="375">
        <f>VLOOKUP(A108,'Nov 2020 cc'!$B$3:$D$317,3,0)</f>
        <v>17</v>
      </c>
      <c r="U108" s="387">
        <v>0</v>
      </c>
      <c r="V108" s="387">
        <v>208479.7</v>
      </c>
      <c r="W108" s="387">
        <v>208479.7</v>
      </c>
      <c r="X108" s="382"/>
      <c r="Y108" s="375">
        <v>21</v>
      </c>
      <c r="Z108" s="413">
        <f>VLOOKUP(A108,'2021-22'!$A$6:$D$317,4,0)</f>
        <v>0</v>
      </c>
      <c r="AA108" s="413">
        <f>VLOOKUP(A108,'2021-22'!$A$6:$E$317,5,0)</f>
        <v>278257.78999999998</v>
      </c>
      <c r="AB108" s="387">
        <f t="shared" si="14"/>
        <v>278257.78999999998</v>
      </c>
      <c r="AC108" s="382"/>
      <c r="AD108" s="416">
        <v>28</v>
      </c>
      <c r="AE108" s="413">
        <v>0</v>
      </c>
      <c r="AF108" s="413">
        <v>737312.9</v>
      </c>
      <c r="AG108" s="387">
        <f t="shared" si="15"/>
        <v>737312.9</v>
      </c>
      <c r="AH108" s="557"/>
      <c r="AI108" s="387">
        <f>IFERROR(VLOOKUP(A108,'23-24 child count'!$C$4:$Y$317,23,0),0)</f>
        <v>48</v>
      </c>
      <c r="AJ108" s="387">
        <f>VLOOKUP(A108,'23-24 state &amp; local'!$A$5:$D$316,4,0)</f>
        <v>0</v>
      </c>
      <c r="AK108" s="387">
        <f>VLOOKUP(A108,'23-24 state &amp; local'!$A$5:$E$316,5,0)</f>
        <v>1063197.67</v>
      </c>
      <c r="AL108" s="387">
        <f t="shared" si="10"/>
        <v>1063197.67</v>
      </c>
      <c r="AM108" s="382"/>
    </row>
    <row r="109" spans="1:39" ht="15" hidden="1" x14ac:dyDescent="0.25">
      <c r="A109" s="375" t="s">
        <v>401</v>
      </c>
      <c r="C109" s="448" t="s">
        <v>402</v>
      </c>
      <c r="D109" s="375" t="s">
        <v>1372</v>
      </c>
      <c r="E109" s="461">
        <v>0</v>
      </c>
      <c r="F109" s="468">
        <f>IFERROR(VLOOKUP(A109,'2017-18'!$A$6:$F$315,6,0),0)</f>
        <v>0</v>
      </c>
      <c r="G109" s="468">
        <f>IFERROR(VLOOKUP(A109,'2017-18'!$A$6:$D$315,4,0),0)</f>
        <v>0</v>
      </c>
      <c r="H109" s="468">
        <f t="shared" si="9"/>
        <v>0</v>
      </c>
      <c r="I109" s="382"/>
      <c r="J109" s="462">
        <v>0</v>
      </c>
      <c r="K109" s="468">
        <f>IFERROR(VLOOKUP(A109,'2018-19'!$A$6:$F$318,6,0),0)</f>
        <v>0</v>
      </c>
      <c r="L109" s="468">
        <f>IFERROR(VLOOKUP(A109,'2018-19'!$A$6:$D$318,4,0),0)</f>
        <v>0</v>
      </c>
      <c r="M109" s="468">
        <f t="shared" si="11"/>
        <v>0</v>
      </c>
      <c r="N109" s="382"/>
      <c r="O109" s="452">
        <v>0</v>
      </c>
      <c r="P109" s="387">
        <v>0</v>
      </c>
      <c r="Q109" s="387">
        <v>0</v>
      </c>
      <c r="R109" s="387">
        <v>0</v>
      </c>
      <c r="S109" s="382"/>
      <c r="T109" s="375">
        <f>VLOOKUP(A109,'Nov 2020 cc'!$B$3:$D$317,3,0)</f>
        <v>3</v>
      </c>
      <c r="U109" s="387">
        <v>975.01</v>
      </c>
      <c r="V109" s="387">
        <v>14305.84</v>
      </c>
      <c r="W109" s="387">
        <v>15280.85</v>
      </c>
      <c r="X109" s="382"/>
      <c r="Y109" s="375">
        <v>8</v>
      </c>
      <c r="Z109" s="413">
        <f>VLOOKUP(A109,'2021-22'!$A$6:$D$317,4,0)</f>
        <v>0</v>
      </c>
      <c r="AA109" s="413">
        <f>VLOOKUP(A109,'2021-22'!$A$6:$E$317,5,0)</f>
        <v>119056.03</v>
      </c>
      <c r="AB109" s="387">
        <f t="shared" si="14"/>
        <v>119056.03</v>
      </c>
      <c r="AC109" s="382"/>
      <c r="AD109" s="416">
        <v>14</v>
      </c>
      <c r="AE109" s="413">
        <v>0</v>
      </c>
      <c r="AF109" s="413">
        <v>428858.55</v>
      </c>
      <c r="AG109" s="387">
        <f t="shared" si="15"/>
        <v>428858.55</v>
      </c>
      <c r="AH109" s="557"/>
      <c r="AI109" s="387">
        <f>IFERROR(VLOOKUP(A109,'23-24 child count'!$C$4:$Y$317,23,0),0)</f>
        <v>14</v>
      </c>
      <c r="AJ109" s="387">
        <f>VLOOKUP(A109,'23-24 state &amp; local'!$A$5:$D$316,4,0)</f>
        <v>0</v>
      </c>
      <c r="AK109" s="387">
        <f>VLOOKUP(A109,'23-24 state &amp; local'!$A$5:$E$316,5,0)</f>
        <v>569676.59</v>
      </c>
      <c r="AL109" s="387">
        <f t="shared" si="10"/>
        <v>569676.59</v>
      </c>
      <c r="AM109" s="382"/>
    </row>
    <row r="110" spans="1:39" ht="15" hidden="1" x14ac:dyDescent="0.25">
      <c r="A110" s="573" t="s">
        <v>1465</v>
      </c>
      <c r="C110" s="448" t="s">
        <v>1490</v>
      </c>
      <c r="E110" s="461"/>
      <c r="F110" s="468"/>
      <c r="G110" s="468"/>
      <c r="H110" s="468"/>
      <c r="I110" s="382"/>
      <c r="J110" s="462"/>
      <c r="K110" s="468"/>
      <c r="L110" s="468"/>
      <c r="M110" s="468"/>
      <c r="N110" s="382"/>
      <c r="S110" s="382"/>
      <c r="X110" s="382"/>
      <c r="Z110" s="413"/>
      <c r="AA110" s="413"/>
      <c r="AC110" s="382"/>
      <c r="AD110" s="416"/>
      <c r="AE110" s="413"/>
      <c r="AF110" s="413"/>
      <c r="AH110" s="557"/>
      <c r="AI110" s="387">
        <f>IFERROR(VLOOKUP(A110,'23-24 child count'!$C$4:$Y$317,23,0),0)</f>
        <v>12</v>
      </c>
      <c r="AJ110" s="387">
        <f>VLOOKUP(A110,'23-24 state &amp; local'!$A$5:$D$316,4,0)</f>
        <v>0</v>
      </c>
      <c r="AK110" s="387">
        <f>VLOOKUP(A110,'23-24 state &amp; local'!$A$5:$E$316,5,0)</f>
        <v>261836.53</v>
      </c>
      <c r="AL110" s="387">
        <f t="shared" si="10"/>
        <v>261836.53</v>
      </c>
      <c r="AM110" s="382"/>
    </row>
    <row r="111" spans="1:39" ht="15" hidden="1" x14ac:dyDescent="0.25">
      <c r="A111" s="375" t="s">
        <v>403</v>
      </c>
      <c r="B111" s="375" t="s">
        <v>194</v>
      </c>
      <c r="C111" s="448" t="s">
        <v>404</v>
      </c>
      <c r="E111" s="461">
        <v>23</v>
      </c>
      <c r="F111" s="468">
        <f>IFERROR(VLOOKUP(A111,'2017-18'!$A$6:$F$315,6,0),0)</f>
        <v>0</v>
      </c>
      <c r="G111" s="468">
        <f>IFERROR(VLOOKUP(A111,'2017-18'!$A$6:$D$315,4,0),0)</f>
        <v>366668.98</v>
      </c>
      <c r="H111" s="468">
        <f t="shared" si="9"/>
        <v>366668.98</v>
      </c>
      <c r="I111" s="382"/>
      <c r="J111" s="462">
        <v>31</v>
      </c>
      <c r="K111" s="468">
        <f>IFERROR(VLOOKUP(A111,'2018-19'!$A$6:$F$318,6,0),0)</f>
        <v>0</v>
      </c>
      <c r="L111" s="468">
        <f>IFERROR(VLOOKUP(A111,'2018-19'!$A$6:$D$318,4,0),0)</f>
        <v>335797.5</v>
      </c>
      <c r="M111" s="468">
        <f t="shared" si="11"/>
        <v>335797.5</v>
      </c>
      <c r="N111" s="382"/>
      <c r="O111" s="452">
        <v>24</v>
      </c>
      <c r="P111" s="387">
        <v>0</v>
      </c>
      <c r="Q111" s="387">
        <v>338468.73</v>
      </c>
      <c r="R111" s="387">
        <v>338468.73</v>
      </c>
      <c r="S111" s="382"/>
      <c r="T111" s="375">
        <f>VLOOKUP(A111,'Nov 2020 cc'!$B$3:$D$317,3,0)</f>
        <v>24</v>
      </c>
      <c r="U111" s="387">
        <v>0</v>
      </c>
      <c r="V111" s="387">
        <v>341731.04</v>
      </c>
      <c r="W111" s="387">
        <v>341731.04</v>
      </c>
      <c r="X111" s="382"/>
      <c r="Y111" s="375">
        <v>25</v>
      </c>
      <c r="Z111" s="413">
        <f>VLOOKUP(A111,'2021-22'!$A$6:$D$317,4,0)</f>
        <v>0</v>
      </c>
      <c r="AA111" s="413">
        <f>VLOOKUP(A111,'2021-22'!$A$6:$E$317,5,0)</f>
        <v>368862.91</v>
      </c>
      <c r="AB111" s="387">
        <f t="shared" si="14"/>
        <v>368862.91</v>
      </c>
      <c r="AC111" s="382"/>
      <c r="AD111" s="416">
        <v>27</v>
      </c>
      <c r="AE111" s="413">
        <v>0</v>
      </c>
      <c r="AF111" s="413">
        <v>504789.57</v>
      </c>
      <c r="AG111" s="387">
        <f t="shared" si="15"/>
        <v>504789.57</v>
      </c>
      <c r="AH111" s="557"/>
      <c r="AI111" s="387">
        <f>IFERROR(VLOOKUP(A111,'23-24 child count'!$C$4:$Y$317,23,0),0)</f>
        <v>22</v>
      </c>
      <c r="AJ111" s="387">
        <f>VLOOKUP(A111,'23-24 state &amp; local'!$A$5:$D$316,4,0)</f>
        <v>500</v>
      </c>
      <c r="AK111" s="387">
        <f>VLOOKUP(A111,'23-24 state &amp; local'!$A$5:$E$316,5,0)</f>
        <v>497227.2</v>
      </c>
      <c r="AL111" s="387">
        <f t="shared" si="10"/>
        <v>497727.2</v>
      </c>
      <c r="AM111" s="382"/>
    </row>
    <row r="112" spans="1:39" ht="15" hidden="1" x14ac:dyDescent="0.25">
      <c r="A112" s="375" t="s">
        <v>405</v>
      </c>
      <c r="B112" s="375" t="s">
        <v>197</v>
      </c>
      <c r="C112" s="448" t="s">
        <v>406</v>
      </c>
      <c r="E112" s="461">
        <v>6</v>
      </c>
      <c r="F112" s="468">
        <f>IFERROR(VLOOKUP(A112,'2017-18'!$A$6:$F$315,6,0),0)</f>
        <v>0</v>
      </c>
      <c r="G112" s="468">
        <f>IFERROR(VLOOKUP(A112,'2017-18'!$A$6:$D$315,4,0),0)</f>
        <v>36314.15</v>
      </c>
      <c r="H112" s="468">
        <f t="shared" si="9"/>
        <v>36314.15</v>
      </c>
      <c r="I112" s="382"/>
      <c r="J112" s="462">
        <v>5</v>
      </c>
      <c r="K112" s="468">
        <f>IFERROR(VLOOKUP(A112,'2018-19'!$A$6:$F$318,6,0),0)</f>
        <v>0</v>
      </c>
      <c r="L112" s="468">
        <f>IFERROR(VLOOKUP(A112,'2018-19'!$A$6:$D$318,4,0),0)</f>
        <v>37302.980000000003</v>
      </c>
      <c r="M112" s="468">
        <f t="shared" si="11"/>
        <v>37302.980000000003</v>
      </c>
      <c r="N112" s="382"/>
      <c r="O112" s="452">
        <v>7</v>
      </c>
      <c r="P112" s="387">
        <v>0</v>
      </c>
      <c r="Q112" s="387">
        <v>53171.26</v>
      </c>
      <c r="R112" s="387">
        <v>53171.26</v>
      </c>
      <c r="S112" s="382"/>
      <c r="T112" s="375">
        <f>VLOOKUP(A112,'Nov 2020 cc'!$B$3:$D$317,3,0)</f>
        <v>5</v>
      </c>
      <c r="U112" s="387">
        <v>0</v>
      </c>
      <c r="V112" s="387">
        <v>32330.15</v>
      </c>
      <c r="W112" s="387">
        <v>32330.15</v>
      </c>
      <c r="X112" s="382"/>
      <c r="Y112" s="375">
        <v>4</v>
      </c>
      <c r="Z112" s="413">
        <f>VLOOKUP(A112,'2021-22'!$A$6:$D$317,4,0)</f>
        <v>0</v>
      </c>
      <c r="AA112" s="413">
        <f>VLOOKUP(A112,'2021-22'!$A$6:$E$317,5,0)</f>
        <v>37255.51</v>
      </c>
      <c r="AB112" s="387">
        <f t="shared" si="14"/>
        <v>37255.51</v>
      </c>
      <c r="AC112" s="382"/>
      <c r="AD112" s="416">
        <v>5</v>
      </c>
      <c r="AE112" s="413">
        <v>0</v>
      </c>
      <c r="AF112" s="413">
        <v>53944.11</v>
      </c>
      <c r="AG112" s="387">
        <f t="shared" si="15"/>
        <v>53944.11</v>
      </c>
      <c r="AH112" s="557"/>
      <c r="AI112" s="387">
        <f>IFERROR(VLOOKUP(A112,'23-24 child count'!$C$4:$Y$317,23,0),0)</f>
        <v>5</v>
      </c>
      <c r="AJ112" s="387">
        <f>VLOOKUP(A112,'23-24 state &amp; local'!$A$5:$D$316,4,0)</f>
        <v>0</v>
      </c>
      <c r="AK112" s="387">
        <f>VLOOKUP(A112,'23-24 state &amp; local'!$A$5:$E$316,5,0)</f>
        <v>34374</v>
      </c>
      <c r="AL112" s="387">
        <f t="shared" si="10"/>
        <v>34374</v>
      </c>
      <c r="AM112" s="382"/>
    </row>
    <row r="113" spans="1:39" ht="15" hidden="1" x14ac:dyDescent="0.25">
      <c r="A113" s="375" t="s">
        <v>407</v>
      </c>
      <c r="B113" s="375" t="s">
        <v>205</v>
      </c>
      <c r="C113" s="448" t="s">
        <v>408</v>
      </c>
      <c r="E113" s="461">
        <v>1636</v>
      </c>
      <c r="F113" s="468">
        <f>IFERROR(VLOOKUP(A113,'2017-18'!$A$6:$F$315,6,0),0)</f>
        <v>136455.70000000001</v>
      </c>
      <c r="G113" s="468">
        <f>IFERROR(VLOOKUP(A113,'2017-18'!$A$6:$D$315,4,0),0)</f>
        <v>19885094.02</v>
      </c>
      <c r="H113" s="468">
        <f t="shared" si="9"/>
        <v>20021549.719999999</v>
      </c>
      <c r="I113" s="382"/>
      <c r="J113" s="462">
        <v>1642</v>
      </c>
      <c r="K113" s="468">
        <f>IFERROR(VLOOKUP(A113,'2018-19'!$A$6:$F$318,6,0),0)</f>
        <v>146157.57999999999</v>
      </c>
      <c r="L113" s="468">
        <f>IFERROR(VLOOKUP(A113,'2018-19'!$A$6:$D$318,4,0),0)</f>
        <v>25589205.27</v>
      </c>
      <c r="M113" s="468">
        <f t="shared" si="11"/>
        <v>25735362.849999998</v>
      </c>
      <c r="N113" s="382"/>
      <c r="O113" s="452">
        <v>1707</v>
      </c>
      <c r="P113" s="387">
        <v>157310.82</v>
      </c>
      <c r="Q113" s="387">
        <v>29325482.84</v>
      </c>
      <c r="R113" s="387">
        <v>29482793.66</v>
      </c>
      <c r="S113" s="382"/>
      <c r="T113" s="375">
        <f>VLOOKUP(A113,'Nov 2020 cc'!$B$3:$D$317,3,0)</f>
        <v>1661</v>
      </c>
      <c r="U113" s="387">
        <v>172959.73</v>
      </c>
      <c r="V113" s="387">
        <v>31248956.539999999</v>
      </c>
      <c r="W113" s="387">
        <v>31421916.27</v>
      </c>
      <c r="X113" s="382"/>
      <c r="Y113" s="375">
        <v>1661</v>
      </c>
      <c r="Z113" s="413">
        <f>VLOOKUP(A113,'2021-22'!$A$6:$D$317,4,0)</f>
        <v>8175715.2400000002</v>
      </c>
      <c r="AA113" s="413">
        <f>VLOOKUP(A113,'2021-22'!$A$6:$E$317,5,0)</f>
        <v>24671388.850000001</v>
      </c>
      <c r="AB113" s="387">
        <f t="shared" si="14"/>
        <v>32847104.090000004</v>
      </c>
      <c r="AC113" s="382"/>
      <c r="AD113" s="416">
        <v>1767</v>
      </c>
      <c r="AE113" s="413">
        <v>7463219.6600000001</v>
      </c>
      <c r="AF113" s="413">
        <v>28466363.690000001</v>
      </c>
      <c r="AG113" s="387">
        <f t="shared" si="15"/>
        <v>35929583.350000001</v>
      </c>
      <c r="AH113" s="557"/>
      <c r="AI113" s="387">
        <f>IFERROR(VLOOKUP(A113,'23-24 child count'!$C$4:$Y$317,23,0),0)</f>
        <v>1956</v>
      </c>
      <c r="AJ113" s="387">
        <f>VLOOKUP(A113,'23-24 state &amp; local'!$A$5:$D$316,4,0)</f>
        <v>7452134.7599999998</v>
      </c>
      <c r="AK113" s="387">
        <f>VLOOKUP(A113,'23-24 state &amp; local'!$A$5:$E$316,5,0)</f>
        <v>33497025.66</v>
      </c>
      <c r="AL113" s="387">
        <f t="shared" si="10"/>
        <v>40949160.420000002</v>
      </c>
      <c r="AM113" s="382"/>
    </row>
    <row r="114" spans="1:39" ht="15" hidden="1" x14ac:dyDescent="0.25">
      <c r="A114" s="375" t="s">
        <v>409</v>
      </c>
      <c r="B114" s="375" t="s">
        <v>202</v>
      </c>
      <c r="C114" s="448" t="s">
        <v>410</v>
      </c>
      <c r="D114" s="375" t="s">
        <v>819</v>
      </c>
      <c r="E114" s="461">
        <v>6</v>
      </c>
      <c r="F114" s="468">
        <f>IFERROR(VLOOKUP(A114,'2017-18'!$A$6:$F$315,6,0),0)</f>
        <v>0</v>
      </c>
      <c r="G114" s="468">
        <f>IFERROR(VLOOKUP(A114,'2017-18'!$A$6:$D$315,4,0),0)</f>
        <v>45690.95</v>
      </c>
      <c r="H114" s="468">
        <f t="shared" si="9"/>
        <v>45690.95</v>
      </c>
      <c r="I114" s="382"/>
      <c r="J114" s="462">
        <v>6</v>
      </c>
      <c r="K114" s="468">
        <f>IFERROR(VLOOKUP(A114,'2018-19'!$A$6:$F$318,6,0),0)</f>
        <v>0</v>
      </c>
      <c r="L114" s="468">
        <f>IFERROR(VLOOKUP(A114,'2018-19'!$A$6:$D$318,4,0),0)</f>
        <v>46154.85</v>
      </c>
      <c r="M114" s="468">
        <f t="shared" si="11"/>
        <v>46154.85</v>
      </c>
      <c r="N114" s="382"/>
      <c r="O114" s="452">
        <v>4</v>
      </c>
      <c r="P114" s="387">
        <v>0</v>
      </c>
      <c r="Q114" s="387">
        <v>59369.09</v>
      </c>
      <c r="R114" s="387">
        <v>59369.09</v>
      </c>
      <c r="S114" s="382"/>
      <c r="T114" s="375">
        <f>VLOOKUP(A114,'Nov 2020 cc'!$B$3:$D$317,3,0)</f>
        <v>6</v>
      </c>
      <c r="U114" s="387">
        <v>0</v>
      </c>
      <c r="V114" s="387">
        <v>55051.61</v>
      </c>
      <c r="W114" s="387">
        <v>55051.61</v>
      </c>
      <c r="X114" s="382"/>
      <c r="Y114" s="375">
        <v>5</v>
      </c>
      <c r="Z114" s="413">
        <f>VLOOKUP(A114,'2021-22'!$A$6:$D$317,4,0)</f>
        <v>0</v>
      </c>
      <c r="AA114" s="413">
        <f>VLOOKUP(A114,'2021-22'!$A$6:$E$317,5,0)</f>
        <v>73202.64</v>
      </c>
      <c r="AB114" s="387">
        <f t="shared" si="14"/>
        <v>73202.64</v>
      </c>
      <c r="AC114" s="382"/>
      <c r="AD114" s="416">
        <v>8</v>
      </c>
      <c r="AE114" s="413">
        <v>0</v>
      </c>
      <c r="AF114" s="413">
        <v>116658.88</v>
      </c>
      <c r="AG114" s="387">
        <f t="shared" si="15"/>
        <v>116658.88</v>
      </c>
      <c r="AH114" s="557"/>
      <c r="AI114" s="387">
        <f>IFERROR(VLOOKUP(A114,'23-24 child count'!$C$4:$Y$317,23,0),0)</f>
        <v>13</v>
      </c>
      <c r="AJ114" s="387">
        <f>VLOOKUP(A114,'23-24 state &amp; local'!$A$5:$D$316,4,0)</f>
        <v>0</v>
      </c>
      <c r="AK114" s="387">
        <f>VLOOKUP(A114,'23-24 state &amp; local'!$A$5:$E$316,5,0)</f>
        <v>155955.57999999999</v>
      </c>
      <c r="AL114" s="387">
        <f t="shared" si="10"/>
        <v>155955.57999999999</v>
      </c>
      <c r="AM114" s="382"/>
    </row>
    <row r="115" spans="1:39" ht="15" hidden="1" x14ac:dyDescent="0.25">
      <c r="A115" s="375" t="s">
        <v>411</v>
      </c>
      <c r="B115" s="375" t="s">
        <v>210</v>
      </c>
      <c r="C115" s="448" t="s">
        <v>412</v>
      </c>
      <c r="D115" s="375" t="s">
        <v>819</v>
      </c>
      <c r="E115" s="461">
        <v>143</v>
      </c>
      <c r="F115" s="468">
        <f>IFERROR(VLOOKUP(A115,'2017-18'!$A$6:$F$315,6,0),0)</f>
        <v>0</v>
      </c>
      <c r="G115" s="468">
        <f>IFERROR(VLOOKUP(A115,'2017-18'!$A$6:$D$315,4,0),0)</f>
        <v>198272.14</v>
      </c>
      <c r="H115" s="468">
        <f t="shared" si="9"/>
        <v>198272.14</v>
      </c>
      <c r="I115" s="382"/>
      <c r="J115" s="462">
        <v>175</v>
      </c>
      <c r="K115" s="468">
        <f>IFERROR(VLOOKUP(A115,'2018-19'!$A$6:$F$318,6,0),0)</f>
        <v>0</v>
      </c>
      <c r="L115" s="468">
        <f>IFERROR(VLOOKUP(A115,'2018-19'!$A$6:$D$318,4,0),0)</f>
        <v>1633587.98</v>
      </c>
      <c r="M115" s="468">
        <f t="shared" si="11"/>
        <v>1633587.98</v>
      </c>
      <c r="N115" s="382"/>
      <c r="O115" s="452">
        <v>179</v>
      </c>
      <c r="P115" s="387">
        <v>0</v>
      </c>
      <c r="Q115" s="387">
        <v>274533.03000000003</v>
      </c>
      <c r="R115" s="387">
        <v>274533.03000000003</v>
      </c>
      <c r="S115" s="382"/>
      <c r="T115" s="375">
        <f>VLOOKUP(A115,'Nov 2020 cc'!$B$3:$D$317,3,0)</f>
        <v>189</v>
      </c>
      <c r="U115" s="387">
        <v>0</v>
      </c>
      <c r="V115" s="387">
        <v>1835839.1</v>
      </c>
      <c r="W115" s="387">
        <v>1835839.1</v>
      </c>
      <c r="X115" s="382"/>
      <c r="Y115" s="375">
        <v>193</v>
      </c>
      <c r="Z115" s="413">
        <f>VLOOKUP(A115,'2021-22'!$A$6:$D$317,4,0)</f>
        <v>0</v>
      </c>
      <c r="AA115" s="413">
        <f>VLOOKUP(A115,'2021-22'!$A$6:$E$317,5,0)</f>
        <v>1902289.02</v>
      </c>
      <c r="AB115" s="387">
        <f t="shared" si="14"/>
        <v>1902289.02</v>
      </c>
      <c r="AC115" s="382"/>
      <c r="AD115" s="416">
        <v>196</v>
      </c>
      <c r="AE115" s="413">
        <v>0</v>
      </c>
      <c r="AF115" s="413">
        <v>2024664.18</v>
      </c>
      <c r="AG115" s="387">
        <f t="shared" si="15"/>
        <v>2024664.18</v>
      </c>
      <c r="AH115" s="557"/>
      <c r="AI115" s="387">
        <f>IFERROR(VLOOKUP(A115,'23-24 child count'!$C$4:$Y$317,23,0),0)</f>
        <v>198</v>
      </c>
      <c r="AJ115" s="387">
        <f>VLOOKUP(A115,'23-24 state &amp; local'!$A$5:$D$316,4,0)</f>
        <v>0</v>
      </c>
      <c r="AK115" s="387">
        <f>VLOOKUP(A115,'23-24 state &amp; local'!$A$5:$E$316,5,0)</f>
        <v>2291959.8199999998</v>
      </c>
      <c r="AL115" s="387">
        <f t="shared" si="10"/>
        <v>2291959.8199999998</v>
      </c>
      <c r="AM115" s="382"/>
    </row>
    <row r="116" spans="1:39" ht="15" hidden="1" x14ac:dyDescent="0.25">
      <c r="A116" s="375" t="s">
        <v>413</v>
      </c>
      <c r="B116" s="375" t="s">
        <v>194</v>
      </c>
      <c r="C116" s="448" t="s">
        <v>414</v>
      </c>
      <c r="E116" s="461">
        <v>1</v>
      </c>
      <c r="F116" s="468">
        <f>IFERROR(VLOOKUP(A116,'2017-18'!$A$6:$F$315,6,0),0)</f>
        <v>0</v>
      </c>
      <c r="G116" s="468">
        <f>IFERROR(VLOOKUP(A116,'2017-18'!$A$6:$D$315,4,0),0)</f>
        <v>26396.54</v>
      </c>
      <c r="H116" s="468">
        <f t="shared" si="9"/>
        <v>26396.54</v>
      </c>
      <c r="I116" s="382"/>
      <c r="J116" s="462">
        <v>1</v>
      </c>
      <c r="K116" s="468">
        <f>IFERROR(VLOOKUP(A116,'2018-19'!$A$6:$F$318,6,0),0)</f>
        <v>0</v>
      </c>
      <c r="L116" s="468">
        <f>IFERROR(VLOOKUP(A116,'2018-19'!$A$6:$D$318,4,0),0)</f>
        <v>28159.09</v>
      </c>
      <c r="M116" s="468">
        <f t="shared" si="11"/>
        <v>28159.09</v>
      </c>
      <c r="N116" s="382"/>
      <c r="O116" s="452">
        <v>4</v>
      </c>
      <c r="P116" s="387">
        <v>0</v>
      </c>
      <c r="Q116" s="387">
        <v>31023.5</v>
      </c>
      <c r="R116" s="387">
        <v>31023.5</v>
      </c>
      <c r="S116" s="382"/>
      <c r="T116" s="375">
        <f>VLOOKUP(A116,'Nov 2020 cc'!$B$3:$D$317,3,0)</f>
        <v>3</v>
      </c>
      <c r="U116" s="387">
        <v>0</v>
      </c>
      <c r="V116" s="387">
        <v>38421</v>
      </c>
      <c r="W116" s="387">
        <v>38421</v>
      </c>
      <c r="X116" s="382"/>
      <c r="Y116" s="375">
        <v>4</v>
      </c>
      <c r="Z116" s="413">
        <f>VLOOKUP(A116,'2021-22'!$A$6:$D$317,4,0)</f>
        <v>0</v>
      </c>
      <c r="AA116" s="413">
        <f>VLOOKUP(A116,'2021-22'!$A$6:$E$317,5,0)</f>
        <v>27386.44</v>
      </c>
      <c r="AB116" s="387">
        <f t="shared" si="14"/>
        <v>27386.44</v>
      </c>
      <c r="AC116" s="382"/>
      <c r="AD116" s="416">
        <v>5</v>
      </c>
      <c r="AE116" s="413">
        <v>0</v>
      </c>
      <c r="AF116" s="413">
        <v>43804.67</v>
      </c>
      <c r="AG116" s="387">
        <f t="shared" si="15"/>
        <v>43804.67</v>
      </c>
      <c r="AH116" s="557"/>
      <c r="AI116" s="387">
        <f>IFERROR(VLOOKUP(A116,'23-24 child count'!$C$4:$Y$317,23,0),0)</f>
        <v>6</v>
      </c>
      <c r="AJ116" s="387">
        <f>VLOOKUP(A116,'23-24 state &amp; local'!$A$5:$D$316,4,0)</f>
        <v>0</v>
      </c>
      <c r="AK116" s="387">
        <f>VLOOKUP(A116,'23-24 state &amp; local'!$A$5:$E$316,5,0)</f>
        <v>51263.54</v>
      </c>
      <c r="AL116" s="387">
        <f t="shared" si="10"/>
        <v>51263.54</v>
      </c>
      <c r="AM116" s="382"/>
    </row>
    <row r="117" spans="1:39" ht="15" hidden="1" x14ac:dyDescent="0.25">
      <c r="A117" s="375" t="s">
        <v>415</v>
      </c>
      <c r="B117" s="375" t="s">
        <v>210</v>
      </c>
      <c r="C117" s="448" t="s">
        <v>416</v>
      </c>
      <c r="E117" s="461">
        <v>699</v>
      </c>
      <c r="F117" s="468">
        <f>IFERROR(VLOOKUP(A117,'2017-18'!$A$6:$F$315,6,0),0)</f>
        <v>865283.8</v>
      </c>
      <c r="G117" s="468">
        <f>IFERROR(VLOOKUP(A117,'2017-18'!$A$6:$D$315,4,0),0)</f>
        <v>6134609.0099999998</v>
      </c>
      <c r="H117" s="468">
        <f t="shared" si="9"/>
        <v>6999892.8099999996</v>
      </c>
      <c r="I117" s="382"/>
      <c r="J117" s="462">
        <v>711</v>
      </c>
      <c r="K117" s="468">
        <f>IFERROR(VLOOKUP(A117,'2018-19'!$A$6:$F$318,6,0),0)</f>
        <v>690152.54</v>
      </c>
      <c r="L117" s="468">
        <f>IFERROR(VLOOKUP(A117,'2018-19'!$A$6:$D$318,4,0),0)</f>
        <v>7422422.0099999998</v>
      </c>
      <c r="M117" s="468">
        <f t="shared" si="11"/>
        <v>8112574.5499999998</v>
      </c>
      <c r="N117" s="382"/>
      <c r="O117" s="452">
        <v>744</v>
      </c>
      <c r="P117" s="387">
        <v>196482.85</v>
      </c>
      <c r="Q117" s="387">
        <v>8339694.8399999999</v>
      </c>
      <c r="R117" s="387">
        <v>8536177.6899999995</v>
      </c>
      <c r="S117" s="382"/>
      <c r="T117" s="375">
        <f>VLOOKUP(A117,'Nov 2020 cc'!$B$3:$D$317,3,0)</f>
        <v>722</v>
      </c>
      <c r="U117" s="387">
        <v>432881.6</v>
      </c>
      <c r="V117" s="387">
        <v>8032247.8499999996</v>
      </c>
      <c r="W117" s="387">
        <v>8465129.4499999993</v>
      </c>
      <c r="X117" s="382"/>
      <c r="Y117" s="375">
        <v>720</v>
      </c>
      <c r="Z117" s="413">
        <f>VLOOKUP(A117,'2021-22'!$A$6:$D$317,4,0)</f>
        <v>301940.51</v>
      </c>
      <c r="AA117" s="413">
        <f>VLOOKUP(A117,'2021-22'!$A$6:$E$317,5,0)</f>
        <v>8315786.5899999999</v>
      </c>
      <c r="AB117" s="387">
        <f t="shared" si="14"/>
        <v>8617727.0999999996</v>
      </c>
      <c r="AC117" s="382"/>
      <c r="AD117" s="416">
        <v>806</v>
      </c>
      <c r="AE117" s="413">
        <v>1076187.8600000001</v>
      </c>
      <c r="AF117" s="413">
        <v>9488444.0199999996</v>
      </c>
      <c r="AG117" s="387">
        <f t="shared" si="15"/>
        <v>10564631.879999999</v>
      </c>
      <c r="AH117" s="557"/>
      <c r="AI117" s="387">
        <f>IFERROR(VLOOKUP(A117,'23-24 child count'!$C$4:$Y$317,23,0),0)</f>
        <v>837</v>
      </c>
      <c r="AJ117" s="387">
        <f>VLOOKUP(A117,'23-24 state &amp; local'!$A$5:$D$316,4,0)</f>
        <v>0</v>
      </c>
      <c r="AK117" s="387">
        <f>VLOOKUP(A117,'23-24 state &amp; local'!$A$5:$E$316,5,0)</f>
        <v>11202283.43</v>
      </c>
      <c r="AL117" s="387">
        <f t="shared" si="10"/>
        <v>11202283.43</v>
      </c>
      <c r="AM117" s="382"/>
    </row>
    <row r="118" spans="1:39" ht="15" hidden="1" x14ac:dyDescent="0.25">
      <c r="A118" s="375" t="s">
        <v>417</v>
      </c>
      <c r="B118" s="375" t="s">
        <v>202</v>
      </c>
      <c r="C118" s="448" t="s">
        <v>418</v>
      </c>
      <c r="E118" s="461">
        <v>2162</v>
      </c>
      <c r="F118" s="468">
        <f>IFERROR(VLOOKUP(A118,'2017-18'!$A$6:$F$315,6,0),0)</f>
        <v>1967409.26</v>
      </c>
      <c r="G118" s="468">
        <f>IFERROR(VLOOKUP(A118,'2017-18'!$A$6:$D$315,4,0),0)</f>
        <v>18641541.579999998</v>
      </c>
      <c r="H118" s="468">
        <f t="shared" si="9"/>
        <v>20608950.84</v>
      </c>
      <c r="I118" s="382"/>
      <c r="J118" s="462">
        <v>2233</v>
      </c>
      <c r="K118" s="468">
        <f>IFERROR(VLOOKUP(A118,'2018-19'!$A$6:$F$318,6,0),0)</f>
        <v>0</v>
      </c>
      <c r="L118" s="468">
        <f>IFERROR(VLOOKUP(A118,'2018-19'!$A$6:$D$318,4,0),0)</f>
        <v>23025180.440000001</v>
      </c>
      <c r="M118" s="468">
        <f t="shared" si="11"/>
        <v>23025180.440000001</v>
      </c>
      <c r="N118" s="382"/>
      <c r="O118" s="452">
        <v>2358</v>
      </c>
      <c r="P118" s="387">
        <v>2562038.54</v>
      </c>
      <c r="Q118" s="387">
        <v>22971506.530000001</v>
      </c>
      <c r="R118" s="387">
        <v>25533545.07</v>
      </c>
      <c r="S118" s="382"/>
      <c r="T118" s="375">
        <f>VLOOKUP(A118,'Nov 2020 cc'!$B$3:$D$317,3,0)</f>
        <v>2225</v>
      </c>
      <c r="U118" s="387">
        <v>2473460.41</v>
      </c>
      <c r="V118" s="387">
        <v>24329232.579999998</v>
      </c>
      <c r="W118" s="387">
        <v>26802692.989999998</v>
      </c>
      <c r="X118" s="382"/>
      <c r="Y118" s="375">
        <v>2329</v>
      </c>
      <c r="Z118" s="413">
        <f>VLOOKUP(A118,'2021-22'!$A$6:$D$317,4,0)</f>
        <v>3293872.64</v>
      </c>
      <c r="AA118" s="413">
        <f>VLOOKUP(A118,'2021-22'!$A$6:$E$317,5,0)</f>
        <v>23379721.66</v>
      </c>
      <c r="AB118" s="387">
        <f t="shared" si="14"/>
        <v>26673594.300000001</v>
      </c>
      <c r="AC118" s="382"/>
      <c r="AD118" s="416">
        <v>2579</v>
      </c>
      <c r="AE118" s="413">
        <v>3170664.87</v>
      </c>
      <c r="AF118" s="413">
        <v>27731876.010000002</v>
      </c>
      <c r="AG118" s="387">
        <f t="shared" si="15"/>
        <v>30902540.880000003</v>
      </c>
      <c r="AH118" s="557"/>
      <c r="AI118" s="387">
        <f>IFERROR(VLOOKUP(A118,'23-24 child count'!$C$4:$Y$317,23,0),0)</f>
        <v>2709</v>
      </c>
      <c r="AJ118" s="387">
        <f>VLOOKUP(A118,'23-24 state &amp; local'!$A$5:$D$316,4,0)</f>
        <v>1745640.61</v>
      </c>
      <c r="AK118" s="387">
        <f>VLOOKUP(A118,'23-24 state &amp; local'!$A$5:$E$316,5,0)</f>
        <v>31544780.329999998</v>
      </c>
      <c r="AL118" s="387">
        <f t="shared" si="10"/>
        <v>33290420.939999998</v>
      </c>
      <c r="AM118" s="382"/>
    </row>
    <row r="119" spans="1:39" ht="15" hidden="1" x14ac:dyDescent="0.25">
      <c r="A119" s="375" t="s">
        <v>419</v>
      </c>
      <c r="B119" s="375" t="s">
        <v>205</v>
      </c>
      <c r="C119" s="448" t="s">
        <v>420</v>
      </c>
      <c r="E119" s="461">
        <v>2775</v>
      </c>
      <c r="F119" s="468">
        <f>IFERROR(VLOOKUP(A119,'2017-18'!$A$6:$F$315,6,0),0)</f>
        <v>4813240.68</v>
      </c>
      <c r="G119" s="468">
        <f>IFERROR(VLOOKUP(A119,'2017-18'!$A$6:$D$315,4,0),0)</f>
        <v>35947672.039999999</v>
      </c>
      <c r="H119" s="468">
        <f t="shared" si="9"/>
        <v>40760912.719999999</v>
      </c>
      <c r="I119" s="382"/>
      <c r="J119" s="462">
        <v>2744</v>
      </c>
      <c r="K119" s="468">
        <f>IFERROR(VLOOKUP(A119,'2018-19'!$A$6:$F$318,6,0),0)</f>
        <v>9998141.4199999999</v>
      </c>
      <c r="L119" s="468">
        <f>IFERROR(VLOOKUP(A119,'2018-19'!$A$6:$D$318,4,0),0)</f>
        <v>35500965.659999996</v>
      </c>
      <c r="M119" s="468">
        <f t="shared" si="11"/>
        <v>45499107.079999998</v>
      </c>
      <c r="N119" s="382"/>
      <c r="O119" s="452">
        <v>3005</v>
      </c>
      <c r="P119" s="387">
        <v>13824192.48</v>
      </c>
      <c r="Q119" s="387">
        <v>35500965.659999996</v>
      </c>
      <c r="R119" s="387">
        <v>49325158.140000001</v>
      </c>
      <c r="S119" s="382"/>
      <c r="T119" s="375">
        <f>VLOOKUP(A119,'Nov 2020 cc'!$B$3:$D$317,3,0)</f>
        <v>2880</v>
      </c>
      <c r="U119" s="387">
        <v>15912635.1</v>
      </c>
      <c r="V119" s="387">
        <v>40823977.780000001</v>
      </c>
      <c r="W119" s="387">
        <v>56736612.880000003</v>
      </c>
      <c r="X119" s="382"/>
      <c r="Y119" s="375">
        <v>2869</v>
      </c>
      <c r="Z119" s="413">
        <f>VLOOKUP(A119,'2021-22'!$A$6:$D$317,4,0)</f>
        <v>17103903.690000001</v>
      </c>
      <c r="AA119" s="413">
        <f>VLOOKUP(A119,'2021-22'!$A$6:$E$317,5,0)</f>
        <v>40821000.700000003</v>
      </c>
      <c r="AB119" s="387">
        <f t="shared" si="14"/>
        <v>57924904.390000001</v>
      </c>
      <c r="AC119" s="382"/>
      <c r="AD119" s="416">
        <v>3114</v>
      </c>
      <c r="AE119" s="413">
        <v>19000996.949999999</v>
      </c>
      <c r="AF119" s="413">
        <v>48502139.829999998</v>
      </c>
      <c r="AG119" s="387">
        <f t="shared" si="15"/>
        <v>67503136.780000001</v>
      </c>
      <c r="AH119" s="557"/>
      <c r="AI119" s="387">
        <f>IFERROR(VLOOKUP(A119,'23-24 child count'!$C$4:$Y$317,23,0),0)</f>
        <v>3383</v>
      </c>
      <c r="AJ119" s="387">
        <f>VLOOKUP(A119,'23-24 state &amp; local'!$A$5:$D$316,4,0)</f>
        <v>23873444.32</v>
      </c>
      <c r="AK119" s="387">
        <f>VLOOKUP(A119,'23-24 state &amp; local'!$A$5:$E$316,5,0)</f>
        <v>58330872.259999998</v>
      </c>
      <c r="AL119" s="387">
        <f t="shared" si="10"/>
        <v>82204316.579999998</v>
      </c>
      <c r="AM119" s="382"/>
    </row>
    <row r="120" spans="1:39" ht="15" hidden="1" x14ac:dyDescent="0.25">
      <c r="A120" s="375" t="s">
        <v>421</v>
      </c>
      <c r="B120" s="375" t="s">
        <v>194</v>
      </c>
      <c r="C120" s="448" t="s">
        <v>422</v>
      </c>
      <c r="E120" s="461">
        <v>133</v>
      </c>
      <c r="F120" s="468">
        <f>IFERROR(VLOOKUP(A120,'2017-18'!$A$6:$F$315,6,0),0)</f>
        <v>0</v>
      </c>
      <c r="G120" s="468">
        <f>IFERROR(VLOOKUP(A120,'2017-18'!$A$6:$D$315,4,0),0)</f>
        <v>956818.65</v>
      </c>
      <c r="H120" s="468">
        <f t="shared" si="9"/>
        <v>956818.65</v>
      </c>
      <c r="I120" s="382"/>
      <c r="J120" s="462">
        <v>138</v>
      </c>
      <c r="K120" s="468">
        <f>IFERROR(VLOOKUP(A120,'2018-19'!$A$6:$F$318,6,0),0)</f>
        <v>0</v>
      </c>
      <c r="L120" s="468">
        <f>IFERROR(VLOOKUP(A120,'2018-19'!$A$6:$D$318,4,0),0)</f>
        <v>1191585.6599999999</v>
      </c>
      <c r="M120" s="468">
        <f t="shared" si="11"/>
        <v>1191585.6599999999</v>
      </c>
      <c r="N120" s="382"/>
      <c r="O120" s="452">
        <v>149</v>
      </c>
      <c r="P120" s="387">
        <v>0</v>
      </c>
      <c r="Q120" s="387">
        <v>1226364.78</v>
      </c>
      <c r="R120" s="387">
        <v>1226364.78</v>
      </c>
      <c r="S120" s="382"/>
      <c r="T120" s="375">
        <f>VLOOKUP(A120,'Nov 2020 cc'!$B$3:$D$317,3,0)</f>
        <v>153</v>
      </c>
      <c r="U120" s="387">
        <v>0</v>
      </c>
      <c r="V120" s="387">
        <v>1429631.72</v>
      </c>
      <c r="W120" s="387">
        <v>1429631.72</v>
      </c>
      <c r="X120" s="382"/>
      <c r="Y120" s="375">
        <v>149</v>
      </c>
      <c r="Z120" s="413">
        <f>VLOOKUP(A120,'2021-22'!$A$6:$D$317,4,0)</f>
        <v>0</v>
      </c>
      <c r="AA120" s="413">
        <f>VLOOKUP(A120,'2021-22'!$A$6:$E$317,5,0)</f>
        <v>1363041.61</v>
      </c>
      <c r="AB120" s="387">
        <f t="shared" si="14"/>
        <v>1363041.61</v>
      </c>
      <c r="AC120" s="382"/>
      <c r="AD120" s="416">
        <v>150</v>
      </c>
      <c r="AE120" s="413">
        <v>0</v>
      </c>
      <c r="AF120" s="413">
        <v>1478814.34</v>
      </c>
      <c r="AG120" s="387">
        <f t="shared" si="15"/>
        <v>1478814.34</v>
      </c>
      <c r="AH120" s="557"/>
      <c r="AI120" s="387">
        <f>IFERROR(VLOOKUP(A120,'23-24 child count'!$C$4:$Y$317,23,0),0)</f>
        <v>141</v>
      </c>
      <c r="AJ120" s="387">
        <f>VLOOKUP(A120,'23-24 state &amp; local'!$A$5:$D$316,4,0)</f>
        <v>0</v>
      </c>
      <c r="AK120" s="387">
        <f>VLOOKUP(A120,'23-24 state &amp; local'!$A$5:$E$316,5,0)</f>
        <v>1597249.57</v>
      </c>
      <c r="AL120" s="387">
        <f t="shared" si="10"/>
        <v>1597249.57</v>
      </c>
      <c r="AM120" s="382"/>
    </row>
    <row r="121" spans="1:39" ht="15" hidden="1" x14ac:dyDescent="0.25">
      <c r="A121" s="375" t="s">
        <v>423</v>
      </c>
      <c r="B121" s="375" t="s">
        <v>202</v>
      </c>
      <c r="C121" s="448" t="s">
        <v>1194</v>
      </c>
      <c r="E121" s="461">
        <v>178</v>
      </c>
      <c r="F121" s="468">
        <f>IFERROR(VLOOKUP(A121,'2017-18'!$A$6:$F$315,6,0),0)</f>
        <v>283562.84000000003</v>
      </c>
      <c r="G121" s="468">
        <f>IFERROR(VLOOKUP(A121,'2017-18'!$A$6:$D$315,4,0),0)</f>
        <v>1619144.15</v>
      </c>
      <c r="H121" s="468">
        <f t="shared" si="9"/>
        <v>1902706.99</v>
      </c>
      <c r="I121" s="382"/>
      <c r="J121" s="462">
        <v>190</v>
      </c>
      <c r="K121" s="468">
        <f>IFERROR(VLOOKUP(A121,'2018-19'!$A$6:$F$318,6,0),0)</f>
        <v>11529.36</v>
      </c>
      <c r="L121" s="468">
        <f>IFERROR(VLOOKUP(A121,'2018-19'!$A$6:$D$318,4,0),0)</f>
        <v>2021775.16</v>
      </c>
      <c r="M121" s="468">
        <f t="shared" si="11"/>
        <v>2033304.52</v>
      </c>
      <c r="N121" s="382"/>
      <c r="O121" s="452">
        <v>196</v>
      </c>
      <c r="P121" s="387">
        <v>0</v>
      </c>
      <c r="Q121" s="387">
        <v>2094399.88</v>
      </c>
      <c r="R121" s="387">
        <v>2094399.88</v>
      </c>
      <c r="S121" s="382"/>
      <c r="T121" s="375">
        <f>VLOOKUP(A121,'Nov 2020 cc'!$B$3:$D$317,3,0)</f>
        <v>183</v>
      </c>
      <c r="U121" s="387">
        <v>0</v>
      </c>
      <c r="V121" s="387">
        <v>2037964.32</v>
      </c>
      <c r="W121" s="387">
        <v>2037964.32</v>
      </c>
      <c r="X121" s="382"/>
      <c r="Y121" s="375">
        <v>184</v>
      </c>
      <c r="Z121" s="413">
        <f>VLOOKUP(A121,'2021-22'!$A$6:$D$317,4,0)</f>
        <v>0</v>
      </c>
      <c r="AA121" s="413">
        <f>VLOOKUP(A121,'2021-22'!$A$6:$E$317,5,0)</f>
        <v>1747505.62</v>
      </c>
      <c r="AB121" s="387">
        <f t="shared" si="14"/>
        <v>1747505.62</v>
      </c>
      <c r="AC121" s="382"/>
      <c r="AD121" s="416">
        <v>171</v>
      </c>
      <c r="AE121" s="413">
        <v>0</v>
      </c>
      <c r="AF121" s="413">
        <v>2068990.74</v>
      </c>
      <c r="AG121" s="387">
        <f t="shared" si="15"/>
        <v>2068990.74</v>
      </c>
      <c r="AH121" s="557"/>
      <c r="AI121" s="387">
        <f>IFERROR(VLOOKUP(A121,'23-24 child count'!$C$4:$Y$317,23,0),0)</f>
        <v>190</v>
      </c>
      <c r="AJ121" s="387">
        <f>VLOOKUP(A121,'23-24 state &amp; local'!$A$5:$D$316,4,0)</f>
        <v>0</v>
      </c>
      <c r="AK121" s="387">
        <f>VLOOKUP(A121,'23-24 state &amp; local'!$A$5:$E$316,5,0)</f>
        <v>2188627.11</v>
      </c>
      <c r="AL121" s="387">
        <f t="shared" si="10"/>
        <v>2188627.11</v>
      </c>
      <c r="AM121" s="382"/>
    </row>
    <row r="122" spans="1:39" ht="15" hidden="1" x14ac:dyDescent="0.25">
      <c r="A122" s="375" t="s">
        <v>425</v>
      </c>
      <c r="B122" s="375" t="s">
        <v>221</v>
      </c>
      <c r="C122" s="448" t="s">
        <v>426</v>
      </c>
      <c r="E122" s="461">
        <v>96</v>
      </c>
      <c r="F122" s="468">
        <f>IFERROR(VLOOKUP(A122,'2017-18'!$A$6:$F$315,6,0),0)</f>
        <v>0</v>
      </c>
      <c r="G122" s="468">
        <f>IFERROR(VLOOKUP(A122,'2017-18'!$A$6:$D$315,4,0),0)</f>
        <v>826052.98</v>
      </c>
      <c r="H122" s="468">
        <f t="shared" si="9"/>
        <v>826052.98</v>
      </c>
      <c r="I122" s="382"/>
      <c r="J122" s="462">
        <v>109</v>
      </c>
      <c r="K122" s="468">
        <f>IFERROR(VLOOKUP(A122,'2018-19'!$A$6:$F$318,6,0),0)</f>
        <v>0</v>
      </c>
      <c r="L122" s="468">
        <f>IFERROR(VLOOKUP(A122,'2018-19'!$A$6:$D$318,4,0),0)</f>
        <v>987888.49</v>
      </c>
      <c r="M122" s="468">
        <f t="shared" si="11"/>
        <v>987888.49</v>
      </c>
      <c r="N122" s="382"/>
      <c r="O122" s="452">
        <v>105</v>
      </c>
      <c r="P122" s="387">
        <v>0</v>
      </c>
      <c r="Q122" s="387">
        <v>1003300.09</v>
      </c>
      <c r="R122" s="387">
        <v>1003300.09</v>
      </c>
      <c r="S122" s="382"/>
      <c r="T122" s="375">
        <f>VLOOKUP(A122,'Nov 2020 cc'!$B$3:$D$317,3,0)</f>
        <v>95</v>
      </c>
      <c r="U122" s="387">
        <v>0</v>
      </c>
      <c r="V122" s="387">
        <v>1010854.24</v>
      </c>
      <c r="W122" s="387">
        <v>1010854.24</v>
      </c>
      <c r="X122" s="382"/>
      <c r="Y122" s="375">
        <v>86</v>
      </c>
      <c r="Z122" s="413">
        <f>VLOOKUP(A122,'2021-22'!$A$6:$D$317,4,0)</f>
        <v>0</v>
      </c>
      <c r="AA122" s="413">
        <f>VLOOKUP(A122,'2021-22'!$A$6:$E$317,5,0)</f>
        <v>1177933.48</v>
      </c>
      <c r="AB122" s="387">
        <f t="shared" si="14"/>
        <v>1177933.48</v>
      </c>
      <c r="AC122" s="382"/>
      <c r="AD122" s="416">
        <v>77</v>
      </c>
      <c r="AE122" s="413">
        <v>0</v>
      </c>
      <c r="AF122" s="413">
        <v>1038962.42</v>
      </c>
      <c r="AG122" s="387">
        <f t="shared" si="15"/>
        <v>1038962.42</v>
      </c>
      <c r="AH122" s="557"/>
      <c r="AI122" s="387">
        <f>IFERROR(VLOOKUP(A122,'23-24 child count'!$C$4:$Y$317,23,0),0)</f>
        <v>75</v>
      </c>
      <c r="AJ122" s="387">
        <f>VLOOKUP(A122,'23-24 state &amp; local'!$A$5:$D$316,4,0)</f>
        <v>0</v>
      </c>
      <c r="AK122" s="387">
        <f>VLOOKUP(A122,'23-24 state &amp; local'!$A$5:$E$316,5,0)</f>
        <v>1032011.6</v>
      </c>
      <c r="AL122" s="387">
        <f t="shared" si="10"/>
        <v>1032011.6</v>
      </c>
      <c r="AM122" s="382"/>
    </row>
    <row r="123" spans="1:39" ht="15" hidden="1" x14ac:dyDescent="0.25">
      <c r="A123" s="375" t="s">
        <v>427</v>
      </c>
      <c r="B123" s="375" t="s">
        <v>210</v>
      </c>
      <c r="C123" s="448" t="s">
        <v>428</v>
      </c>
      <c r="D123" s="375" t="s">
        <v>819</v>
      </c>
      <c r="E123" s="461">
        <v>8</v>
      </c>
      <c r="F123" s="468">
        <f>IFERROR(VLOOKUP(A123,'2017-18'!$A$6:$F$315,6,0),0)</f>
        <v>0</v>
      </c>
      <c r="G123" s="468">
        <f>IFERROR(VLOOKUP(A123,'2017-18'!$A$6:$D$315,4,0),0)</f>
        <v>75622.09</v>
      </c>
      <c r="H123" s="468">
        <f t="shared" si="9"/>
        <v>75622.09</v>
      </c>
      <c r="I123" s="382"/>
      <c r="J123" s="462">
        <v>8</v>
      </c>
      <c r="K123" s="468">
        <f>IFERROR(VLOOKUP(A123,'2018-19'!$A$6:$F$318,6,0),0)</f>
        <v>6887.4</v>
      </c>
      <c r="L123" s="468">
        <f>IFERROR(VLOOKUP(A123,'2018-19'!$A$6:$D$318,4,0),0)</f>
        <v>79062.44</v>
      </c>
      <c r="M123" s="468">
        <f t="shared" si="11"/>
        <v>85949.84</v>
      </c>
      <c r="N123" s="382"/>
      <c r="O123" s="452">
        <v>8</v>
      </c>
      <c r="P123" s="387">
        <v>0</v>
      </c>
      <c r="Q123" s="387">
        <v>65254.04</v>
      </c>
      <c r="R123" s="387">
        <v>65254.04</v>
      </c>
      <c r="S123" s="382"/>
      <c r="T123" s="375">
        <f>VLOOKUP(A123,'Nov 2020 cc'!$B$3:$D$317,3,0)</f>
        <v>5</v>
      </c>
      <c r="U123" s="387">
        <v>0</v>
      </c>
      <c r="V123" s="387">
        <v>77443.41</v>
      </c>
      <c r="W123" s="387">
        <v>77443.41</v>
      </c>
      <c r="X123" s="382"/>
      <c r="Y123" s="375">
        <v>12</v>
      </c>
      <c r="Z123" s="413">
        <f>VLOOKUP(A123,'2021-22'!$A$6:$D$317,4,0)</f>
        <v>0</v>
      </c>
      <c r="AA123" s="413">
        <f>VLOOKUP(A123,'2021-22'!$A$6:$E$317,5,0)</f>
        <v>124227.42</v>
      </c>
      <c r="AB123" s="387">
        <f t="shared" si="14"/>
        <v>124227.42</v>
      </c>
      <c r="AC123" s="382"/>
      <c r="AD123" s="416">
        <v>15</v>
      </c>
      <c r="AE123" s="413">
        <v>0</v>
      </c>
      <c r="AF123" s="413">
        <v>137146.62</v>
      </c>
      <c r="AG123" s="387">
        <f t="shared" si="15"/>
        <v>137146.62</v>
      </c>
      <c r="AH123" s="557"/>
      <c r="AI123" s="387">
        <f>IFERROR(VLOOKUP(A123,'23-24 child count'!$C$4:$Y$317,23,0),0)</f>
        <v>10</v>
      </c>
      <c r="AJ123" s="387">
        <f>VLOOKUP(A123,'23-24 state &amp; local'!$A$5:$D$316,4,0)</f>
        <v>0</v>
      </c>
      <c r="AK123" s="387">
        <f>VLOOKUP(A123,'23-24 state &amp; local'!$A$5:$E$316,5,0)</f>
        <v>130111.31</v>
      </c>
      <c r="AL123" s="387">
        <f t="shared" si="10"/>
        <v>130111.31</v>
      </c>
      <c r="AM123" s="382"/>
    </row>
    <row r="124" spans="1:39" ht="15" hidden="1" x14ac:dyDescent="0.25">
      <c r="A124" s="375" t="s">
        <v>429</v>
      </c>
      <c r="B124" s="375" t="s">
        <v>210</v>
      </c>
      <c r="C124" s="448" t="s">
        <v>430</v>
      </c>
      <c r="E124" s="461">
        <v>211</v>
      </c>
      <c r="F124" s="468">
        <f>IFERROR(VLOOKUP(A124,'2017-18'!$A$6:$F$315,6,0),0)</f>
        <v>522104.18</v>
      </c>
      <c r="G124" s="468">
        <f>IFERROR(VLOOKUP(A124,'2017-18'!$A$6:$D$315,4,0),0)</f>
        <v>1879547.91</v>
      </c>
      <c r="H124" s="468">
        <f t="shared" si="9"/>
        <v>2401652.09</v>
      </c>
      <c r="I124" s="382"/>
      <c r="J124" s="462">
        <v>215</v>
      </c>
      <c r="K124" s="468">
        <f>IFERROR(VLOOKUP(A124,'2018-19'!$A$6:$F$318,6,0),0)</f>
        <v>308669.92</v>
      </c>
      <c r="L124" s="468">
        <f>IFERROR(VLOOKUP(A124,'2018-19'!$A$6:$D$318,4,0),0)</f>
        <v>2188628.2799999998</v>
      </c>
      <c r="M124" s="468">
        <f t="shared" si="11"/>
        <v>2497298.1999999997</v>
      </c>
      <c r="N124" s="382"/>
      <c r="O124" s="452">
        <v>207</v>
      </c>
      <c r="P124" s="387">
        <v>198620.5</v>
      </c>
      <c r="Q124" s="387">
        <v>2506648.66</v>
      </c>
      <c r="R124" s="387">
        <v>2705269.16</v>
      </c>
      <c r="S124" s="382"/>
      <c r="T124" s="375">
        <f>VLOOKUP(A124,'Nov 2020 cc'!$B$3:$D$317,3,0)</f>
        <v>220</v>
      </c>
      <c r="U124" s="387">
        <v>0</v>
      </c>
      <c r="V124" s="387">
        <v>2692562.08</v>
      </c>
      <c r="W124" s="387">
        <v>2692562.08</v>
      </c>
      <c r="X124" s="382"/>
      <c r="Y124" s="375">
        <v>224</v>
      </c>
      <c r="Z124" s="413">
        <f>VLOOKUP(A124,'2021-22'!$A$6:$D$317,4,0)</f>
        <v>268730.81</v>
      </c>
      <c r="AA124" s="413">
        <f>VLOOKUP(A124,'2021-22'!$A$6:$E$317,5,0)</f>
        <v>2833742.04</v>
      </c>
      <c r="AB124" s="387">
        <f t="shared" si="14"/>
        <v>3102472.85</v>
      </c>
      <c r="AC124" s="382"/>
      <c r="AD124" s="416">
        <v>262</v>
      </c>
      <c r="AE124" s="413">
        <v>596008.34</v>
      </c>
      <c r="AF124" s="413">
        <v>3364878.32</v>
      </c>
      <c r="AG124" s="387">
        <f t="shared" si="15"/>
        <v>3960886.6599999997</v>
      </c>
      <c r="AH124" s="557"/>
      <c r="AI124" s="387">
        <f>IFERROR(VLOOKUP(A124,'23-24 child count'!$C$4:$Y$317,23,0),0)</f>
        <v>267</v>
      </c>
      <c r="AJ124" s="387">
        <f>VLOOKUP(A124,'23-24 state &amp; local'!$A$5:$D$316,4,0)</f>
        <v>0</v>
      </c>
      <c r="AK124" s="387">
        <f>VLOOKUP(A124,'23-24 state &amp; local'!$A$5:$E$316,5,0)</f>
        <v>3964469.33</v>
      </c>
      <c r="AL124" s="387">
        <f t="shared" si="10"/>
        <v>3964469.33</v>
      </c>
      <c r="AM124" s="382"/>
    </row>
    <row r="125" spans="1:39" ht="15" hidden="1" x14ac:dyDescent="0.25">
      <c r="A125" s="375" t="s">
        <v>431</v>
      </c>
      <c r="B125" s="375" t="s">
        <v>197</v>
      </c>
      <c r="C125" s="448" t="s">
        <v>432</v>
      </c>
      <c r="E125" s="461">
        <v>89</v>
      </c>
      <c r="F125" s="468">
        <f>IFERROR(VLOOKUP(A125,'2017-18'!$A$6:$F$315,6,0),0)</f>
        <v>341280.41</v>
      </c>
      <c r="G125" s="468">
        <f>IFERROR(VLOOKUP(A125,'2017-18'!$A$6:$D$315,4,0),0)</f>
        <v>721380.28</v>
      </c>
      <c r="H125" s="468">
        <f t="shared" si="9"/>
        <v>1062660.69</v>
      </c>
      <c r="I125" s="382"/>
      <c r="J125" s="462">
        <v>89</v>
      </c>
      <c r="K125" s="468">
        <f>IFERROR(VLOOKUP(A125,'2018-19'!$A$6:$F$318,6,0),0)</f>
        <v>25307.26</v>
      </c>
      <c r="L125" s="468">
        <f>IFERROR(VLOOKUP(A125,'2018-19'!$A$6:$D$318,4,0),0)</f>
        <v>926918.07</v>
      </c>
      <c r="M125" s="468">
        <f t="shared" si="11"/>
        <v>952225.33</v>
      </c>
      <c r="N125" s="382"/>
      <c r="O125" s="452">
        <v>107</v>
      </c>
      <c r="P125" s="387">
        <v>148346.5</v>
      </c>
      <c r="Q125" s="387">
        <v>1066802.1200000001</v>
      </c>
      <c r="R125" s="387">
        <v>1215148.6200000001</v>
      </c>
      <c r="S125" s="382"/>
      <c r="T125" s="375">
        <f>VLOOKUP(A125,'Nov 2020 cc'!$B$3:$D$317,3,0)</f>
        <v>92</v>
      </c>
      <c r="U125" s="387">
        <v>71427.87</v>
      </c>
      <c r="V125" s="387">
        <v>1016543.84</v>
      </c>
      <c r="W125" s="387">
        <v>1087971.71</v>
      </c>
      <c r="X125" s="382"/>
      <c r="Y125" s="375">
        <v>92</v>
      </c>
      <c r="Z125" s="413">
        <f>VLOOKUP(A125,'2021-22'!$A$6:$D$317,4,0)</f>
        <v>39521</v>
      </c>
      <c r="AA125" s="413">
        <f>VLOOKUP(A125,'2021-22'!$A$6:$E$317,5,0)</f>
        <v>1126819.3700000001</v>
      </c>
      <c r="AB125" s="387">
        <f t="shared" si="14"/>
        <v>1166340.3700000001</v>
      </c>
      <c r="AC125" s="382"/>
      <c r="AD125" s="416">
        <v>90</v>
      </c>
      <c r="AE125" s="413">
        <v>42185.13</v>
      </c>
      <c r="AF125" s="413">
        <v>1353168.82</v>
      </c>
      <c r="AG125" s="387">
        <f t="shared" si="15"/>
        <v>1395353.95</v>
      </c>
      <c r="AH125" s="557"/>
      <c r="AI125" s="387">
        <f>IFERROR(VLOOKUP(A125,'23-24 child count'!$C$4:$Y$317,23,0),0)</f>
        <v>92</v>
      </c>
      <c r="AJ125" s="387">
        <f>VLOOKUP(A125,'23-24 state &amp; local'!$A$5:$D$316,4,0)</f>
        <v>41782.959999999999</v>
      </c>
      <c r="AK125" s="387">
        <f>VLOOKUP(A125,'23-24 state &amp; local'!$A$5:$E$316,5,0)</f>
        <v>1382982.29</v>
      </c>
      <c r="AL125" s="387">
        <f t="shared" si="10"/>
        <v>1424765.25</v>
      </c>
      <c r="AM125" s="382"/>
    </row>
    <row r="126" spans="1:39" ht="15" hidden="1" x14ac:dyDescent="0.25">
      <c r="A126" s="375" t="s">
        <v>433</v>
      </c>
      <c r="B126" s="375" t="s">
        <v>194</v>
      </c>
      <c r="C126" s="448" t="s">
        <v>1195</v>
      </c>
      <c r="E126" s="461">
        <v>8</v>
      </c>
      <c r="F126" s="468">
        <f>IFERROR(VLOOKUP(A126,'2017-18'!$A$6:$F$315,6,0),0)</f>
        <v>29190.12</v>
      </c>
      <c r="G126" s="468">
        <f>IFERROR(VLOOKUP(A126,'2017-18'!$A$6:$D$315,4,0),0)</f>
        <v>55687.22</v>
      </c>
      <c r="H126" s="468">
        <f t="shared" si="9"/>
        <v>84877.34</v>
      </c>
      <c r="I126" s="382"/>
      <c r="J126" s="462">
        <v>6</v>
      </c>
      <c r="K126" s="468">
        <f>IFERROR(VLOOKUP(A126,'2018-19'!$A$6:$F$318,6,0),0)</f>
        <v>19098.080000000002</v>
      </c>
      <c r="L126" s="468">
        <f>IFERROR(VLOOKUP(A126,'2018-19'!$A$6:$D$318,4,0),0)</f>
        <v>70244.800000000003</v>
      </c>
      <c r="M126" s="468">
        <f t="shared" si="11"/>
        <v>89342.88</v>
      </c>
      <c r="N126" s="382"/>
      <c r="O126" s="452">
        <v>10</v>
      </c>
      <c r="P126" s="387">
        <v>0</v>
      </c>
      <c r="Q126" s="387">
        <v>140008.98000000001</v>
      </c>
      <c r="R126" s="387">
        <v>140008.98000000001</v>
      </c>
      <c r="S126" s="382"/>
      <c r="T126" s="375">
        <f>VLOOKUP(A126,'Nov 2020 cc'!$B$3:$D$317,3,0)</f>
        <v>10</v>
      </c>
      <c r="U126" s="387">
        <v>0</v>
      </c>
      <c r="V126" s="387">
        <v>171868.16</v>
      </c>
      <c r="W126" s="387">
        <v>171868.16</v>
      </c>
      <c r="X126" s="382"/>
      <c r="Y126" s="375">
        <v>12</v>
      </c>
      <c r="Z126" s="413">
        <f>VLOOKUP(A126,'2021-22'!$A$6:$D$317,4,0)</f>
        <v>0</v>
      </c>
      <c r="AA126" s="413">
        <f>VLOOKUP(A126,'2021-22'!$A$6:$E$317,5,0)</f>
        <v>133159.66</v>
      </c>
      <c r="AB126" s="387">
        <f t="shared" si="14"/>
        <v>133159.66</v>
      </c>
      <c r="AC126" s="382"/>
      <c r="AD126" s="416">
        <v>16</v>
      </c>
      <c r="AE126" s="413">
        <v>0</v>
      </c>
      <c r="AF126" s="413">
        <v>147758.25</v>
      </c>
      <c r="AG126" s="387">
        <f t="shared" si="15"/>
        <v>147758.25</v>
      </c>
      <c r="AH126" s="557"/>
      <c r="AI126" s="387">
        <f>IFERROR(VLOOKUP(A126,'23-24 child count'!$C$4:$Y$317,23,0),0)</f>
        <v>11</v>
      </c>
      <c r="AJ126" s="387">
        <f>VLOOKUP(A126,'23-24 state &amp; local'!$A$5:$D$316,4,0)</f>
        <v>46183.07</v>
      </c>
      <c r="AK126" s="387">
        <f>VLOOKUP(A126,'23-24 state &amp; local'!$A$5:$E$316,5,0)</f>
        <v>127960.35</v>
      </c>
      <c r="AL126" s="387">
        <f t="shared" si="10"/>
        <v>174143.42</v>
      </c>
      <c r="AM126" s="382"/>
    </row>
    <row r="127" spans="1:39" ht="15" hidden="1" x14ac:dyDescent="0.25">
      <c r="A127" s="375" t="s">
        <v>435</v>
      </c>
      <c r="B127" s="375" t="s">
        <v>231</v>
      </c>
      <c r="C127" s="448" t="s">
        <v>436</v>
      </c>
      <c r="E127" s="461">
        <v>140</v>
      </c>
      <c r="F127" s="468">
        <f>IFERROR(VLOOKUP(A127,'2017-18'!$A$6:$F$315,6,0),0)</f>
        <v>317769.83</v>
      </c>
      <c r="G127" s="468">
        <f>IFERROR(VLOOKUP(A127,'2017-18'!$A$6:$D$315,4,0),0)</f>
        <v>1044514.84</v>
      </c>
      <c r="H127" s="468">
        <f t="shared" si="9"/>
        <v>1362284.67</v>
      </c>
      <c r="I127" s="382"/>
      <c r="J127" s="462">
        <v>134</v>
      </c>
      <c r="K127" s="468">
        <f>IFERROR(VLOOKUP(A127,'2018-19'!$A$6:$F$318,6,0),0)</f>
        <v>386652.46</v>
      </c>
      <c r="L127" s="468">
        <f>IFERROR(VLOOKUP(A127,'2018-19'!$A$6:$D$318,4,0),0)</f>
        <v>1250320.6200000001</v>
      </c>
      <c r="M127" s="468">
        <f t="shared" si="11"/>
        <v>1636973.08</v>
      </c>
      <c r="N127" s="382"/>
      <c r="O127" s="452">
        <v>140</v>
      </c>
      <c r="P127" s="387">
        <v>422162.77</v>
      </c>
      <c r="Q127" s="387">
        <v>1334175.8899999999</v>
      </c>
      <c r="R127" s="387">
        <v>1756338.66</v>
      </c>
      <c r="S127" s="382"/>
      <c r="T127" s="375">
        <f>VLOOKUP(A127,'Nov 2020 cc'!$B$3:$D$317,3,0)</f>
        <v>131</v>
      </c>
      <c r="U127" s="387">
        <v>221633.47</v>
      </c>
      <c r="V127" s="387">
        <v>1353257.24</v>
      </c>
      <c r="W127" s="387">
        <v>1574890.71</v>
      </c>
      <c r="X127" s="382"/>
      <c r="Y127" s="375">
        <v>134</v>
      </c>
      <c r="Z127" s="413">
        <f>VLOOKUP(A127,'2021-22'!$A$6:$D$317,4,0)</f>
        <v>229758.88</v>
      </c>
      <c r="AA127" s="413">
        <f>VLOOKUP(A127,'2021-22'!$A$6:$E$317,5,0)</f>
        <v>1353118.29</v>
      </c>
      <c r="AB127" s="387">
        <f t="shared" si="14"/>
        <v>1582877.17</v>
      </c>
      <c r="AC127" s="382"/>
      <c r="AD127" s="416">
        <v>136</v>
      </c>
      <c r="AE127" s="413">
        <v>324764.90999999997</v>
      </c>
      <c r="AF127" s="413">
        <v>1384179</v>
      </c>
      <c r="AG127" s="387">
        <f t="shared" si="15"/>
        <v>1708943.91</v>
      </c>
      <c r="AH127" s="557"/>
      <c r="AI127" s="387">
        <f>IFERROR(VLOOKUP(A127,'23-24 child count'!$C$4:$Y$317,23,0),0)</f>
        <v>135</v>
      </c>
      <c r="AJ127" s="387">
        <f>VLOOKUP(A127,'23-24 state &amp; local'!$A$5:$D$316,4,0)</f>
        <v>261706.75</v>
      </c>
      <c r="AK127" s="387">
        <f>VLOOKUP(A127,'23-24 state &amp; local'!$A$5:$E$316,5,0)</f>
        <v>1745537.73</v>
      </c>
      <c r="AL127" s="387">
        <f t="shared" si="10"/>
        <v>2007244.48</v>
      </c>
      <c r="AM127" s="382"/>
    </row>
    <row r="128" spans="1:39" ht="15" hidden="1" x14ac:dyDescent="0.25">
      <c r="A128" s="375" t="s">
        <v>437</v>
      </c>
      <c r="B128" s="375" t="s">
        <v>189</v>
      </c>
      <c r="C128" s="448" t="s">
        <v>438</v>
      </c>
      <c r="D128" s="375" t="s">
        <v>819</v>
      </c>
      <c r="E128" s="461">
        <v>23</v>
      </c>
      <c r="F128" s="468">
        <f>IFERROR(VLOOKUP(A128,'2017-18'!$A$6:$F$315,6,0),0)</f>
        <v>65224.49</v>
      </c>
      <c r="G128" s="468">
        <f>IFERROR(VLOOKUP(A128,'2017-18'!$A$6:$D$315,4,0),0)</f>
        <v>203993.33</v>
      </c>
      <c r="H128" s="468">
        <f t="shared" si="9"/>
        <v>269217.82</v>
      </c>
      <c r="I128" s="382"/>
      <c r="J128" s="462">
        <v>40</v>
      </c>
      <c r="K128" s="468">
        <f>IFERROR(VLOOKUP(A128,'2018-19'!$A$6:$F$318,6,0),0)</f>
        <v>48090.23</v>
      </c>
      <c r="L128" s="468">
        <f>IFERROR(VLOOKUP(A128,'2018-19'!$A$6:$D$318,4,0),0)</f>
        <v>318403.78999999998</v>
      </c>
      <c r="M128" s="468">
        <f t="shared" si="11"/>
        <v>366494.01999999996</v>
      </c>
      <c r="N128" s="382"/>
      <c r="O128" s="452">
        <v>38</v>
      </c>
      <c r="P128" s="387">
        <v>0</v>
      </c>
      <c r="Q128" s="387">
        <v>343584.66</v>
      </c>
      <c r="R128" s="387">
        <v>343584.66</v>
      </c>
      <c r="S128" s="382"/>
      <c r="T128" s="375">
        <f>VLOOKUP(A128,'Nov 2020 cc'!$B$3:$D$317,3,0)</f>
        <v>29</v>
      </c>
      <c r="U128" s="387">
        <v>0</v>
      </c>
      <c r="V128" s="387">
        <v>293938.23</v>
      </c>
      <c r="W128" s="387">
        <v>293938.23</v>
      </c>
      <c r="X128" s="382"/>
      <c r="Y128" s="375">
        <v>32</v>
      </c>
      <c r="Z128" s="413">
        <f>VLOOKUP(A128,'2021-22'!$A$6:$D$317,4,0)</f>
        <v>0</v>
      </c>
      <c r="AA128" s="413">
        <f>VLOOKUP(A128,'2021-22'!$A$6:$E$317,5,0)</f>
        <v>318397.19</v>
      </c>
      <c r="AB128" s="387">
        <f t="shared" si="14"/>
        <v>318397.19</v>
      </c>
      <c r="AC128" s="382"/>
      <c r="AD128" s="416">
        <v>32</v>
      </c>
      <c r="AE128" s="413">
        <v>0</v>
      </c>
      <c r="AF128" s="413">
        <v>355505.91999999998</v>
      </c>
      <c r="AG128" s="387">
        <f t="shared" si="15"/>
        <v>355505.91999999998</v>
      </c>
      <c r="AH128" s="557"/>
      <c r="AI128" s="387">
        <f>IFERROR(VLOOKUP(A128,'23-24 child count'!$C$4:$Y$317,23,0),0)</f>
        <v>38</v>
      </c>
      <c r="AJ128" s="387">
        <f>VLOOKUP(A128,'23-24 state &amp; local'!$A$5:$D$316,4,0)</f>
        <v>0</v>
      </c>
      <c r="AK128" s="387">
        <f>VLOOKUP(A128,'23-24 state &amp; local'!$A$5:$E$316,5,0)</f>
        <v>459621.51</v>
      </c>
      <c r="AL128" s="387">
        <f t="shared" si="10"/>
        <v>459621.51</v>
      </c>
      <c r="AM128" s="382"/>
    </row>
    <row r="129" spans="1:39" ht="15" hidden="1" x14ac:dyDescent="0.25">
      <c r="A129" s="375" t="s">
        <v>439</v>
      </c>
      <c r="B129" s="375" t="s">
        <v>197</v>
      </c>
      <c r="C129" s="448" t="s">
        <v>440</v>
      </c>
      <c r="E129" s="461">
        <v>1393</v>
      </c>
      <c r="F129" s="468">
        <f>IFERROR(VLOOKUP(A129,'2017-18'!$A$6:$F$315,6,0),0)</f>
        <v>0</v>
      </c>
      <c r="G129" s="468">
        <f>IFERROR(VLOOKUP(A129,'2017-18'!$A$6:$D$315,4,0),0)</f>
        <v>13411541.869999999</v>
      </c>
      <c r="H129" s="468">
        <f t="shared" si="9"/>
        <v>13411541.869999999</v>
      </c>
      <c r="I129" s="382"/>
      <c r="J129" s="462">
        <v>1493</v>
      </c>
      <c r="K129" s="468">
        <f>IFERROR(VLOOKUP(A129,'2018-19'!$A$6:$F$318,6,0),0)</f>
        <v>0</v>
      </c>
      <c r="L129" s="468">
        <f>IFERROR(VLOOKUP(A129,'2018-19'!$A$6:$D$318,4,0),0)</f>
        <v>16489361.630000001</v>
      </c>
      <c r="M129" s="468">
        <f t="shared" si="11"/>
        <v>16489361.630000001</v>
      </c>
      <c r="N129" s="382"/>
      <c r="O129" s="452">
        <v>1498</v>
      </c>
      <c r="P129" s="387">
        <v>0</v>
      </c>
      <c r="Q129" s="387">
        <v>17511941.649999999</v>
      </c>
      <c r="R129" s="387">
        <v>17511941.649999999</v>
      </c>
      <c r="S129" s="382"/>
      <c r="T129" s="375">
        <f>VLOOKUP(A129,'Nov 2020 cc'!$B$3:$D$317,3,0)</f>
        <v>1368</v>
      </c>
      <c r="U129" s="387">
        <v>0</v>
      </c>
      <c r="V129" s="387">
        <v>18207624.390000001</v>
      </c>
      <c r="W129" s="387">
        <v>18207624.390000001</v>
      </c>
      <c r="X129" s="382"/>
      <c r="Y129" s="375">
        <v>1379</v>
      </c>
      <c r="Z129" s="413">
        <f>VLOOKUP(A129,'2021-22'!$A$6:$D$317,4,0)</f>
        <v>0</v>
      </c>
      <c r="AA129" s="413">
        <f>VLOOKUP(A129,'2021-22'!$A$6:$E$317,5,0)</f>
        <v>19564225.460000001</v>
      </c>
      <c r="AB129" s="387">
        <f t="shared" si="14"/>
        <v>19564225.460000001</v>
      </c>
      <c r="AC129" s="382"/>
      <c r="AD129" s="416">
        <v>1503</v>
      </c>
      <c r="AE129" s="413">
        <v>0</v>
      </c>
      <c r="AF129" s="413">
        <v>22996544.960000001</v>
      </c>
      <c r="AG129" s="387">
        <f t="shared" si="15"/>
        <v>22996544.960000001</v>
      </c>
      <c r="AH129" s="557"/>
      <c r="AI129" s="387">
        <f>IFERROR(VLOOKUP(A129,'23-24 child count'!$C$4:$Y$317,23,0),0)</f>
        <v>1601</v>
      </c>
      <c r="AJ129" s="387">
        <f>VLOOKUP(A129,'23-24 state &amp; local'!$A$5:$D$316,4,0)</f>
        <v>0</v>
      </c>
      <c r="AK129" s="387">
        <f>VLOOKUP(A129,'23-24 state &amp; local'!$A$5:$E$316,5,0)</f>
        <v>25284066.960000001</v>
      </c>
      <c r="AL129" s="387">
        <f t="shared" si="10"/>
        <v>25284066.960000001</v>
      </c>
      <c r="AM129" s="382"/>
    </row>
    <row r="130" spans="1:39" ht="15" hidden="1" x14ac:dyDescent="0.25">
      <c r="A130" s="375" t="s">
        <v>441</v>
      </c>
      <c r="B130" s="375" t="s">
        <v>205</v>
      </c>
      <c r="C130" s="448" t="s">
        <v>442</v>
      </c>
      <c r="E130" s="461">
        <v>3170</v>
      </c>
      <c r="F130" s="468">
        <f>IFERROR(VLOOKUP(A130,'2017-18'!$A$6:$F$315,6,0),0)</f>
        <v>14927275.01</v>
      </c>
      <c r="G130" s="468">
        <f>IFERROR(VLOOKUP(A130,'2017-18'!$A$6:$D$315,4,0),0)</f>
        <v>27465998.170000002</v>
      </c>
      <c r="H130" s="468">
        <f t="shared" si="9"/>
        <v>42393273.18</v>
      </c>
      <c r="I130" s="382"/>
      <c r="J130" s="462">
        <v>3214</v>
      </c>
      <c r="K130" s="468">
        <f>IFERROR(VLOOKUP(A130,'2018-19'!$A$6:$F$318,6,0),0)</f>
        <v>9901208.5</v>
      </c>
      <c r="L130" s="468">
        <f>IFERROR(VLOOKUP(A130,'2018-19'!$A$6:$D$318,4,0),0)</f>
        <v>38943922.420000002</v>
      </c>
      <c r="M130" s="468">
        <f t="shared" si="11"/>
        <v>48845130.920000002</v>
      </c>
      <c r="N130" s="382"/>
      <c r="O130" s="452">
        <v>3263</v>
      </c>
      <c r="P130" s="387">
        <v>11202590.439999999</v>
      </c>
      <c r="Q130" s="387">
        <v>44468271.469999999</v>
      </c>
      <c r="R130" s="387">
        <v>55670861.909999996</v>
      </c>
      <c r="S130" s="382"/>
      <c r="T130" s="375">
        <f>VLOOKUP(A130,'Nov 2020 cc'!$B$3:$D$317,3,0)</f>
        <v>3165</v>
      </c>
      <c r="U130" s="387">
        <v>16568439.699999999</v>
      </c>
      <c r="V130" s="387">
        <v>44276945.229999997</v>
      </c>
      <c r="W130" s="387">
        <v>60845384.929999992</v>
      </c>
      <c r="X130" s="382"/>
      <c r="Y130" s="375">
        <v>2950</v>
      </c>
      <c r="Z130" s="413">
        <f>VLOOKUP(A130,'2021-22'!$A$6:$D$317,4,0)</f>
        <v>18282455.539999999</v>
      </c>
      <c r="AA130" s="413">
        <f>VLOOKUP(A130,'2021-22'!$A$6:$E$317,5,0)</f>
        <v>43512472.299999997</v>
      </c>
      <c r="AB130" s="387">
        <f t="shared" si="14"/>
        <v>61794927.839999996</v>
      </c>
      <c r="AC130" s="382"/>
      <c r="AD130" s="416">
        <v>2867</v>
      </c>
      <c r="AE130" s="413">
        <v>20982205.399999999</v>
      </c>
      <c r="AF130" s="413">
        <v>46774380.630000003</v>
      </c>
      <c r="AG130" s="387">
        <f t="shared" si="15"/>
        <v>67756586.030000001</v>
      </c>
      <c r="AH130" s="557"/>
      <c r="AI130" s="387">
        <f>IFERROR(VLOOKUP(A130,'23-24 child count'!$C$4:$Y$317,23,0),0)</f>
        <v>2818</v>
      </c>
      <c r="AJ130" s="387">
        <f>VLOOKUP(A130,'23-24 state &amp; local'!$A$5:$D$316,4,0)</f>
        <v>18486487.039999999</v>
      </c>
      <c r="AK130" s="387">
        <f>VLOOKUP(A130,'23-24 state &amp; local'!$A$5:$E$316,5,0)</f>
        <v>53354920.740000002</v>
      </c>
      <c r="AL130" s="387">
        <f t="shared" si="10"/>
        <v>71841407.780000001</v>
      </c>
      <c r="AM130" s="382"/>
    </row>
    <row r="131" spans="1:39" ht="15" hidden="1" x14ac:dyDescent="0.25">
      <c r="A131" s="375" t="s">
        <v>443</v>
      </c>
      <c r="B131" s="375" t="s">
        <v>197</v>
      </c>
      <c r="C131" s="448" t="s">
        <v>444</v>
      </c>
      <c r="E131" s="461">
        <v>342</v>
      </c>
      <c r="F131" s="468">
        <f>IFERROR(VLOOKUP(A131,'2017-18'!$A$6:$F$315,6,0),0)</f>
        <v>293637.83</v>
      </c>
      <c r="G131" s="468">
        <f>IFERROR(VLOOKUP(A131,'2017-18'!$A$6:$D$315,4,0),0)</f>
        <v>3042079.35</v>
      </c>
      <c r="H131" s="468">
        <f t="shared" si="9"/>
        <v>3335717.18</v>
      </c>
      <c r="I131" s="382"/>
      <c r="J131" s="462">
        <v>366</v>
      </c>
      <c r="K131" s="468">
        <f>IFERROR(VLOOKUP(A131,'2018-19'!$A$6:$F$318,6,0),0)</f>
        <v>0</v>
      </c>
      <c r="L131" s="468">
        <f>IFERROR(VLOOKUP(A131,'2018-19'!$A$6:$D$318,4,0),0)</f>
        <v>3896660.23</v>
      </c>
      <c r="M131" s="468">
        <f t="shared" si="11"/>
        <v>3896660.23</v>
      </c>
      <c r="N131" s="382"/>
      <c r="O131" s="452">
        <v>407</v>
      </c>
      <c r="P131" s="387">
        <v>0</v>
      </c>
      <c r="Q131" s="387">
        <v>4777121.9000000004</v>
      </c>
      <c r="R131" s="387">
        <v>4777121.9000000004</v>
      </c>
      <c r="S131" s="382"/>
      <c r="T131" s="375">
        <f>VLOOKUP(A131,'Nov 2020 cc'!$B$3:$D$317,3,0)</f>
        <v>383</v>
      </c>
      <c r="U131" s="387">
        <v>0</v>
      </c>
      <c r="V131" s="387">
        <v>4869218.3099999996</v>
      </c>
      <c r="W131" s="387">
        <v>4869218.3099999996</v>
      </c>
      <c r="X131" s="382"/>
      <c r="Y131" s="375">
        <v>427</v>
      </c>
      <c r="Z131" s="413">
        <f>VLOOKUP(A131,'2021-22'!$A$6:$D$317,4,0)</f>
        <v>12420.97</v>
      </c>
      <c r="AA131" s="413">
        <f>VLOOKUP(A131,'2021-22'!$A$6:$E$317,5,0)</f>
        <v>5190605.59</v>
      </c>
      <c r="AB131" s="387">
        <f t="shared" si="14"/>
        <v>5203026.5599999996</v>
      </c>
      <c r="AC131" s="382"/>
      <c r="AD131" s="416">
        <v>461</v>
      </c>
      <c r="AE131" s="413">
        <v>200000</v>
      </c>
      <c r="AF131" s="413">
        <v>5312822.57</v>
      </c>
      <c r="AG131" s="387">
        <f t="shared" si="15"/>
        <v>5512822.5700000003</v>
      </c>
      <c r="AH131" s="557"/>
      <c r="AI131" s="387">
        <f>IFERROR(VLOOKUP(A131,'23-24 child count'!$C$4:$Y$317,23,0),0)</f>
        <v>495</v>
      </c>
      <c r="AJ131" s="387">
        <f>VLOOKUP(A131,'23-24 state &amp; local'!$A$5:$D$316,4,0)</f>
        <v>1113383.8</v>
      </c>
      <c r="AK131" s="387">
        <f>VLOOKUP(A131,'23-24 state &amp; local'!$A$5:$E$316,5,0)</f>
        <v>6766825.7000000002</v>
      </c>
      <c r="AL131" s="387">
        <f t="shared" si="10"/>
        <v>7880209.5</v>
      </c>
      <c r="AM131" s="382"/>
    </row>
    <row r="132" spans="1:39" ht="15" hidden="1" x14ac:dyDescent="0.25">
      <c r="A132" s="375" t="s">
        <v>445</v>
      </c>
      <c r="B132" s="375" t="s">
        <v>194</v>
      </c>
      <c r="C132" s="448" t="s">
        <v>446</v>
      </c>
      <c r="E132" s="461">
        <v>8</v>
      </c>
      <c r="F132" s="468">
        <f>IFERROR(VLOOKUP(A132,'2017-18'!$A$6:$F$315,6,0),0)</f>
        <v>0</v>
      </c>
      <c r="G132" s="468">
        <f>IFERROR(VLOOKUP(A132,'2017-18'!$A$6:$D$315,4,0),0)</f>
        <v>57832.25</v>
      </c>
      <c r="H132" s="468">
        <f t="shared" si="9"/>
        <v>57832.25</v>
      </c>
      <c r="I132" s="382"/>
      <c r="J132" s="462">
        <v>10</v>
      </c>
      <c r="K132" s="468">
        <f>IFERROR(VLOOKUP(A132,'2018-19'!$A$6:$F$318,6,0),0)</f>
        <v>0</v>
      </c>
      <c r="L132" s="468">
        <f>IFERROR(VLOOKUP(A132,'2018-19'!$A$6:$D$318,4,0),0)</f>
        <v>84840.38</v>
      </c>
      <c r="M132" s="468">
        <f t="shared" si="11"/>
        <v>84840.38</v>
      </c>
      <c r="N132" s="382"/>
      <c r="O132" s="452">
        <v>9</v>
      </c>
      <c r="P132" s="387">
        <v>0</v>
      </c>
      <c r="Q132" s="387">
        <v>75408.52</v>
      </c>
      <c r="R132" s="387">
        <v>75408.52</v>
      </c>
      <c r="S132" s="382"/>
      <c r="T132" s="375">
        <f>VLOOKUP(A132,'Nov 2020 cc'!$B$3:$D$317,3,0)</f>
        <v>8</v>
      </c>
      <c r="U132" s="387">
        <v>0</v>
      </c>
      <c r="V132" s="387">
        <v>107231.62</v>
      </c>
      <c r="W132" s="387">
        <v>107231.62</v>
      </c>
      <c r="X132" s="382"/>
      <c r="Y132" s="375">
        <v>8</v>
      </c>
      <c r="Z132" s="413">
        <f>VLOOKUP(A132,'2021-22'!$A$6:$D$317,4,0)</f>
        <v>0</v>
      </c>
      <c r="AA132" s="413">
        <f>VLOOKUP(A132,'2021-22'!$A$6:$E$317,5,0)</f>
        <v>107862.55</v>
      </c>
      <c r="AB132" s="387">
        <f t="shared" ref="AB132:AB163" si="16">Z132+AA132</f>
        <v>107862.55</v>
      </c>
      <c r="AC132" s="382"/>
      <c r="AD132" s="416">
        <v>7</v>
      </c>
      <c r="AE132" s="413">
        <v>0</v>
      </c>
      <c r="AF132" s="413">
        <v>101835.61</v>
      </c>
      <c r="AG132" s="387">
        <f t="shared" ref="AG132:AG163" si="17">AE132+AF132</f>
        <v>101835.61</v>
      </c>
      <c r="AH132" s="557"/>
      <c r="AI132" s="387">
        <f>IFERROR(VLOOKUP(A132,'23-24 child count'!$C$4:$Y$317,23,0),0)</f>
        <v>6</v>
      </c>
      <c r="AJ132" s="387">
        <f>VLOOKUP(A132,'23-24 state &amp; local'!$A$5:$D$316,4,0)</f>
        <v>0</v>
      </c>
      <c r="AK132" s="387">
        <f>VLOOKUP(A132,'23-24 state &amp; local'!$A$5:$E$316,5,0)</f>
        <v>102257.92</v>
      </c>
      <c r="AL132" s="387">
        <f t="shared" si="10"/>
        <v>102257.92</v>
      </c>
      <c r="AM132" s="382"/>
    </row>
    <row r="133" spans="1:39" ht="15" hidden="1" x14ac:dyDescent="0.25">
      <c r="A133" s="375" t="s">
        <v>447</v>
      </c>
      <c r="B133" s="375" t="s">
        <v>194</v>
      </c>
      <c r="C133" s="448" t="s">
        <v>448</v>
      </c>
      <c r="E133" s="461">
        <v>51</v>
      </c>
      <c r="F133" s="468">
        <f>IFERROR(VLOOKUP(A133,'2017-18'!$A$6:$F$315,6,0),0)</f>
        <v>90752.76</v>
      </c>
      <c r="G133" s="468">
        <f>IFERROR(VLOOKUP(A133,'2017-18'!$A$6:$D$315,4,0),0)</f>
        <v>397945.44</v>
      </c>
      <c r="H133" s="468">
        <f t="shared" si="9"/>
        <v>488698.2</v>
      </c>
      <c r="I133" s="382"/>
      <c r="J133" s="462">
        <v>54</v>
      </c>
      <c r="K133" s="468">
        <f>IFERROR(VLOOKUP(A133,'2018-19'!$A$6:$F$318,6,0),0)</f>
        <v>24514.28</v>
      </c>
      <c r="L133" s="468">
        <f>IFERROR(VLOOKUP(A133,'2018-19'!$A$6:$D$318,4,0),0)</f>
        <v>523730.78</v>
      </c>
      <c r="M133" s="468">
        <f t="shared" si="11"/>
        <v>548245.06000000006</v>
      </c>
      <c r="N133" s="382"/>
      <c r="O133" s="452">
        <v>71</v>
      </c>
      <c r="P133" s="387">
        <v>0</v>
      </c>
      <c r="Q133" s="387">
        <v>593652.18999999994</v>
      </c>
      <c r="R133" s="387">
        <v>593652.18999999994</v>
      </c>
      <c r="S133" s="382"/>
      <c r="T133" s="375">
        <f>VLOOKUP(A133,'Nov 2020 cc'!$B$3:$D$317,3,0)</f>
        <v>63</v>
      </c>
      <c r="U133" s="387">
        <v>0</v>
      </c>
      <c r="V133" s="387">
        <v>583885.38</v>
      </c>
      <c r="W133" s="387">
        <v>583885.38</v>
      </c>
      <c r="X133" s="382"/>
      <c r="Y133" s="375">
        <v>67</v>
      </c>
      <c r="Z133" s="413">
        <f>VLOOKUP(A133,'2021-22'!$A$6:$D$317,4,0)</f>
        <v>0</v>
      </c>
      <c r="AA133" s="413">
        <f>VLOOKUP(A133,'2021-22'!$A$6:$E$317,5,0)</f>
        <v>665758.9</v>
      </c>
      <c r="AB133" s="387">
        <f t="shared" si="16"/>
        <v>665758.9</v>
      </c>
      <c r="AC133" s="382"/>
      <c r="AD133" s="416">
        <v>66</v>
      </c>
      <c r="AE133" s="413">
        <v>0</v>
      </c>
      <c r="AF133" s="413">
        <v>705262.54</v>
      </c>
      <c r="AG133" s="387">
        <f t="shared" si="17"/>
        <v>705262.54</v>
      </c>
      <c r="AH133" s="557"/>
      <c r="AI133" s="387">
        <f>IFERROR(VLOOKUP(A133,'23-24 child count'!$C$4:$Y$317,23,0),0)</f>
        <v>61</v>
      </c>
      <c r="AJ133" s="387">
        <f>VLOOKUP(A133,'23-24 state &amp; local'!$A$5:$D$316,4,0)</f>
        <v>0</v>
      </c>
      <c r="AK133" s="387">
        <f>VLOOKUP(A133,'23-24 state &amp; local'!$A$5:$E$316,5,0)</f>
        <v>806370.81</v>
      </c>
      <c r="AL133" s="387">
        <f t="shared" ref="AL133:AL196" si="18">AJ133+AK133</f>
        <v>806370.81</v>
      </c>
      <c r="AM133" s="382"/>
    </row>
    <row r="134" spans="1:39" ht="15" hidden="1" x14ac:dyDescent="0.25">
      <c r="A134" s="375" t="s">
        <v>449</v>
      </c>
      <c r="B134" s="375" t="s">
        <v>194</v>
      </c>
      <c r="C134" s="448" t="s">
        <v>450</v>
      </c>
      <c r="E134" s="461">
        <v>25</v>
      </c>
      <c r="F134" s="468">
        <f>IFERROR(VLOOKUP(A134,'2017-18'!$A$6:$F$315,6,0),0)</f>
        <v>0</v>
      </c>
      <c r="G134" s="468">
        <f>IFERROR(VLOOKUP(A134,'2017-18'!$A$6:$D$315,4,0),0)</f>
        <v>160055.96</v>
      </c>
      <c r="H134" s="468">
        <f t="shared" ref="H134:H197" si="19">F134+G134</f>
        <v>160055.96</v>
      </c>
      <c r="I134" s="382"/>
      <c r="J134" s="462">
        <v>32</v>
      </c>
      <c r="K134" s="468">
        <f>IFERROR(VLOOKUP(A134,'2018-19'!$A$6:$F$318,6,0),0)</f>
        <v>0</v>
      </c>
      <c r="L134" s="468">
        <f>IFERROR(VLOOKUP(A134,'2018-19'!$A$6:$D$318,4,0),0)</f>
        <v>260097.55</v>
      </c>
      <c r="M134" s="468">
        <f t="shared" si="11"/>
        <v>260097.55</v>
      </c>
      <c r="N134" s="382"/>
      <c r="O134" s="452">
        <v>26</v>
      </c>
      <c r="P134" s="387">
        <v>0</v>
      </c>
      <c r="Q134" s="387">
        <v>274894.51</v>
      </c>
      <c r="R134" s="387">
        <v>274894.51</v>
      </c>
      <c r="S134" s="382"/>
      <c r="T134" s="375">
        <f>VLOOKUP(A134,'Nov 2020 cc'!$B$3:$D$317,3,0)</f>
        <v>21</v>
      </c>
      <c r="U134" s="387">
        <v>0</v>
      </c>
      <c r="V134" s="387">
        <v>218222.54</v>
      </c>
      <c r="W134" s="387">
        <v>218222.54</v>
      </c>
      <c r="X134" s="382"/>
      <c r="Y134" s="375">
        <v>19</v>
      </c>
      <c r="Z134" s="413">
        <f>VLOOKUP(A134,'2021-22'!$A$6:$D$317,4,0)</f>
        <v>0</v>
      </c>
      <c r="AA134" s="413">
        <f>VLOOKUP(A134,'2021-22'!$A$6:$E$317,5,0)</f>
        <v>245895.23</v>
      </c>
      <c r="AB134" s="387">
        <f t="shared" si="16"/>
        <v>245895.23</v>
      </c>
      <c r="AC134" s="382"/>
      <c r="AD134" s="416">
        <v>25</v>
      </c>
      <c r="AE134" s="413">
        <v>33453.199999999997</v>
      </c>
      <c r="AF134" s="413">
        <v>313229.13</v>
      </c>
      <c r="AG134" s="387">
        <f t="shared" si="17"/>
        <v>346682.33</v>
      </c>
      <c r="AH134" s="557"/>
      <c r="AI134" s="387">
        <f>IFERROR(VLOOKUP(A134,'23-24 child count'!$C$4:$Y$317,23,0),0)</f>
        <v>19</v>
      </c>
      <c r="AJ134" s="387">
        <f>VLOOKUP(A134,'23-24 state &amp; local'!$A$5:$D$316,4,0)</f>
        <v>63764.39</v>
      </c>
      <c r="AK134" s="387">
        <f>VLOOKUP(A134,'23-24 state &amp; local'!$A$5:$E$316,5,0)</f>
        <v>218897.56</v>
      </c>
      <c r="AL134" s="387">
        <f t="shared" si="18"/>
        <v>282661.95</v>
      </c>
      <c r="AM134" s="382"/>
    </row>
    <row r="135" spans="1:39" ht="15" hidden="1" x14ac:dyDescent="0.25">
      <c r="A135" s="375" t="s">
        <v>451</v>
      </c>
      <c r="B135" s="375" t="s">
        <v>210</v>
      </c>
      <c r="C135" s="448" t="s">
        <v>452</v>
      </c>
      <c r="E135" s="461">
        <v>1111</v>
      </c>
      <c r="F135" s="468">
        <f>IFERROR(VLOOKUP(A135,'2017-18'!$A$6:$F$315,6,0),0)</f>
        <v>2155095.0499999998</v>
      </c>
      <c r="G135" s="468">
        <f>IFERROR(VLOOKUP(A135,'2017-18'!$A$6:$D$315,4,0),0)</f>
        <v>8643623.4800000004</v>
      </c>
      <c r="H135" s="468">
        <f t="shared" si="19"/>
        <v>10798718.530000001</v>
      </c>
      <c r="I135" s="382"/>
      <c r="J135" s="462">
        <v>1147</v>
      </c>
      <c r="K135" s="468">
        <f>IFERROR(VLOOKUP(A135,'2018-19'!$A$6:$F$318,6,0),0)</f>
        <v>1162112.45</v>
      </c>
      <c r="L135" s="468">
        <f>IFERROR(VLOOKUP(A135,'2018-19'!$A$6:$D$318,4,0),0)</f>
        <v>10944586.359999999</v>
      </c>
      <c r="M135" s="468">
        <f t="shared" ref="M135:M198" si="20">K135+L135</f>
        <v>12106698.809999999</v>
      </c>
      <c r="N135" s="382"/>
      <c r="O135" s="452">
        <v>1155</v>
      </c>
      <c r="P135" s="387">
        <v>796109.94</v>
      </c>
      <c r="Q135" s="387">
        <v>12141753.859999999</v>
      </c>
      <c r="R135" s="387">
        <v>12937863.799999999</v>
      </c>
      <c r="S135" s="382"/>
      <c r="T135" s="375">
        <f>VLOOKUP(A135,'Nov 2020 cc'!$B$3:$D$317,3,0)</f>
        <v>1116</v>
      </c>
      <c r="U135" s="387">
        <v>797084.6</v>
      </c>
      <c r="V135" s="387">
        <v>11700477.48</v>
      </c>
      <c r="W135" s="387">
        <v>12497562.08</v>
      </c>
      <c r="X135" s="382"/>
      <c r="Y135" s="375">
        <v>1085</v>
      </c>
      <c r="Z135" s="413">
        <f>VLOOKUP(A135,'2021-22'!$A$6:$D$317,4,0)</f>
        <v>1383615.22</v>
      </c>
      <c r="AA135" s="413">
        <f>VLOOKUP(A135,'2021-22'!$A$6:$E$317,5,0)</f>
        <v>11486543.01</v>
      </c>
      <c r="AB135" s="387">
        <f t="shared" si="16"/>
        <v>12870158.23</v>
      </c>
      <c r="AC135" s="382"/>
      <c r="AD135" s="416">
        <v>1196</v>
      </c>
      <c r="AE135" s="413">
        <v>1418114.18</v>
      </c>
      <c r="AF135" s="413">
        <v>12907216.609999999</v>
      </c>
      <c r="AG135" s="387">
        <f t="shared" si="17"/>
        <v>14325330.789999999</v>
      </c>
      <c r="AH135" s="557"/>
      <c r="AI135" s="387">
        <f>IFERROR(VLOOKUP(A135,'23-24 child count'!$C$4:$Y$317,23,0),0)</f>
        <v>1203</v>
      </c>
      <c r="AJ135" s="387">
        <f>VLOOKUP(A135,'23-24 state &amp; local'!$A$5:$D$316,4,0)</f>
        <v>804735.03</v>
      </c>
      <c r="AK135" s="387">
        <f>VLOOKUP(A135,'23-24 state &amp; local'!$A$5:$E$316,5,0)</f>
        <v>14273274.01</v>
      </c>
      <c r="AL135" s="387">
        <f t="shared" si="18"/>
        <v>15078009.039999999</v>
      </c>
      <c r="AM135" s="382"/>
    </row>
    <row r="136" spans="1:39" ht="15" hidden="1" x14ac:dyDescent="0.25">
      <c r="A136" s="375" t="s">
        <v>453</v>
      </c>
      <c r="B136" s="375" t="s">
        <v>194</v>
      </c>
      <c r="C136" s="448" t="s">
        <v>454</v>
      </c>
      <c r="E136" s="461">
        <v>15</v>
      </c>
      <c r="F136" s="468">
        <f>IFERROR(VLOOKUP(A136,'2017-18'!$A$6:$F$315,6,0),0)</f>
        <v>0</v>
      </c>
      <c r="G136" s="468">
        <f>IFERROR(VLOOKUP(A136,'2017-18'!$A$6:$D$315,4,0),0)</f>
        <v>166141.98000000001</v>
      </c>
      <c r="H136" s="468">
        <f t="shared" si="19"/>
        <v>166141.98000000001</v>
      </c>
      <c r="I136" s="382"/>
      <c r="J136" s="462">
        <v>19</v>
      </c>
      <c r="K136" s="468">
        <f>IFERROR(VLOOKUP(A136,'2018-19'!$A$6:$F$318,6,0),0)</f>
        <v>42624.86</v>
      </c>
      <c r="L136" s="468">
        <f>IFERROR(VLOOKUP(A136,'2018-19'!$A$6:$D$318,4,0),0)</f>
        <v>133246.87</v>
      </c>
      <c r="M136" s="468">
        <f t="shared" si="20"/>
        <v>175871.72999999998</v>
      </c>
      <c r="N136" s="382"/>
      <c r="O136" s="452">
        <v>13</v>
      </c>
      <c r="P136" s="387">
        <v>63143.54</v>
      </c>
      <c r="Q136" s="387">
        <v>120283.9</v>
      </c>
      <c r="R136" s="387">
        <v>183427.44</v>
      </c>
      <c r="S136" s="382"/>
      <c r="T136" s="375">
        <f>VLOOKUP(A136,'Nov 2020 cc'!$B$3:$D$317,3,0)</f>
        <v>11</v>
      </c>
      <c r="U136" s="387">
        <v>0</v>
      </c>
      <c r="V136" s="387">
        <v>210160.43</v>
      </c>
      <c r="W136" s="387">
        <v>210160.43</v>
      </c>
      <c r="X136" s="382"/>
      <c r="Y136" s="375">
        <v>18</v>
      </c>
      <c r="Z136" s="413">
        <f>VLOOKUP(A136,'2021-22'!$A$6:$D$317,4,0)</f>
        <v>0</v>
      </c>
      <c r="AA136" s="413">
        <f>VLOOKUP(A136,'2021-22'!$A$6:$E$317,5,0)</f>
        <v>265588.53999999998</v>
      </c>
      <c r="AB136" s="387">
        <f t="shared" si="16"/>
        <v>265588.53999999998</v>
      </c>
      <c r="AC136" s="382"/>
      <c r="AD136" s="416">
        <v>15</v>
      </c>
      <c r="AE136" s="413">
        <v>0</v>
      </c>
      <c r="AF136" s="413">
        <v>302067.34000000003</v>
      </c>
      <c r="AG136" s="387">
        <f t="shared" si="17"/>
        <v>302067.34000000003</v>
      </c>
      <c r="AH136" s="557"/>
      <c r="AI136" s="387">
        <f>IFERROR(VLOOKUP(A136,'23-24 child count'!$C$4:$Y$317,23,0),0)</f>
        <v>16</v>
      </c>
      <c r="AJ136" s="387">
        <f>VLOOKUP(A136,'23-24 state &amp; local'!$A$5:$D$316,4,0)</f>
        <v>0</v>
      </c>
      <c r="AK136" s="387">
        <f>VLOOKUP(A136,'23-24 state &amp; local'!$A$5:$E$316,5,0)</f>
        <v>324872.23</v>
      </c>
      <c r="AL136" s="387">
        <f t="shared" si="18"/>
        <v>324872.23</v>
      </c>
      <c r="AM136" s="382"/>
    </row>
    <row r="137" spans="1:39" ht="15" hidden="1" x14ac:dyDescent="0.25">
      <c r="A137" s="375" t="s">
        <v>455</v>
      </c>
      <c r="B137" s="375" t="s">
        <v>197</v>
      </c>
      <c r="C137" s="448" t="s">
        <v>456</v>
      </c>
      <c r="E137" s="461">
        <v>48</v>
      </c>
      <c r="F137" s="468">
        <f>IFERROR(VLOOKUP(A137,'2017-18'!$A$6:$F$315,6,0),0)</f>
        <v>1500</v>
      </c>
      <c r="G137" s="468">
        <f>IFERROR(VLOOKUP(A137,'2017-18'!$A$6:$D$315,4,0),0)</f>
        <v>306198.01</v>
      </c>
      <c r="H137" s="468">
        <f t="shared" si="19"/>
        <v>307698.01</v>
      </c>
      <c r="I137" s="382"/>
      <c r="J137" s="462">
        <v>50</v>
      </c>
      <c r="K137" s="468">
        <f>IFERROR(VLOOKUP(A137,'2018-19'!$A$6:$F$318,6,0),0)</f>
        <v>150422.23000000001</v>
      </c>
      <c r="L137" s="468">
        <f>IFERROR(VLOOKUP(A137,'2018-19'!$A$6:$D$318,4,0),0)</f>
        <v>380526.69</v>
      </c>
      <c r="M137" s="468">
        <f t="shared" si="20"/>
        <v>530948.92000000004</v>
      </c>
      <c r="N137" s="382"/>
      <c r="O137" s="452">
        <v>46</v>
      </c>
      <c r="P137" s="387">
        <v>0</v>
      </c>
      <c r="Q137" s="387">
        <v>775130.16</v>
      </c>
      <c r="R137" s="387">
        <v>775130.16</v>
      </c>
      <c r="S137" s="382"/>
      <c r="T137" s="375">
        <f>VLOOKUP(A137,'Nov 2020 cc'!$B$3:$D$317,3,0)</f>
        <v>40</v>
      </c>
      <c r="U137" s="387">
        <v>0</v>
      </c>
      <c r="V137" s="387">
        <v>642169.52</v>
      </c>
      <c r="W137" s="387">
        <v>642169.52</v>
      </c>
      <c r="X137" s="382"/>
      <c r="Y137" s="375">
        <v>45</v>
      </c>
      <c r="Z137" s="413">
        <f>VLOOKUP(A137,'2021-22'!$A$6:$D$317,4,0)</f>
        <v>0</v>
      </c>
      <c r="AA137" s="413">
        <f>VLOOKUP(A137,'2021-22'!$A$6:$E$317,5,0)</f>
        <v>722190.53</v>
      </c>
      <c r="AB137" s="387">
        <f t="shared" si="16"/>
        <v>722190.53</v>
      </c>
      <c r="AC137" s="382"/>
      <c r="AD137" s="416">
        <v>52</v>
      </c>
      <c r="AE137" s="413">
        <v>0</v>
      </c>
      <c r="AF137" s="413">
        <v>831686.91</v>
      </c>
      <c r="AG137" s="387">
        <f t="shared" si="17"/>
        <v>831686.91</v>
      </c>
      <c r="AH137" s="557"/>
      <c r="AI137" s="387">
        <f>IFERROR(VLOOKUP(A137,'23-24 child count'!$C$4:$Y$317,23,0),0)</f>
        <v>51</v>
      </c>
      <c r="AJ137" s="387">
        <f>VLOOKUP(A137,'23-24 state &amp; local'!$A$5:$D$316,4,0)</f>
        <v>0</v>
      </c>
      <c r="AK137" s="387">
        <f>VLOOKUP(A137,'23-24 state &amp; local'!$A$5:$E$316,5,0)</f>
        <v>962138.77</v>
      </c>
      <c r="AL137" s="387">
        <f t="shared" si="18"/>
        <v>962138.77</v>
      </c>
      <c r="AM137" s="382"/>
    </row>
    <row r="138" spans="1:39" ht="15" hidden="1" x14ac:dyDescent="0.25">
      <c r="A138" s="375" t="s">
        <v>457</v>
      </c>
      <c r="C138" s="448" t="s">
        <v>1257</v>
      </c>
      <c r="D138" s="375" t="s">
        <v>1372</v>
      </c>
      <c r="E138" s="461">
        <v>0</v>
      </c>
      <c r="F138" s="468">
        <f>IFERROR(VLOOKUP(A138,'2017-18'!$A$6:$F$315,6,0),0)</f>
        <v>0</v>
      </c>
      <c r="G138" s="468">
        <f>IFERROR(VLOOKUP(A138,'2017-18'!$A$6:$D$315,4,0),0)</f>
        <v>0</v>
      </c>
      <c r="H138" s="468">
        <f t="shared" si="19"/>
        <v>0</v>
      </c>
      <c r="I138" s="382"/>
      <c r="J138" s="462">
        <v>0</v>
      </c>
      <c r="K138" s="468">
        <f>IFERROR(VLOOKUP(A138,'2018-19'!$A$6:$F$318,6,0),0)</f>
        <v>0</v>
      </c>
      <c r="L138" s="468">
        <f>IFERROR(VLOOKUP(A138,'2018-19'!$A$6:$D$318,4,0),0)</f>
        <v>0</v>
      </c>
      <c r="M138" s="468">
        <f t="shared" si="20"/>
        <v>0</v>
      </c>
      <c r="N138" s="382"/>
      <c r="O138" s="452">
        <v>0</v>
      </c>
      <c r="P138" s="387">
        <v>0</v>
      </c>
      <c r="Q138" s="387">
        <v>0</v>
      </c>
      <c r="R138" s="387">
        <v>0</v>
      </c>
      <c r="S138" s="382"/>
      <c r="T138" s="375">
        <f>VLOOKUP(A138,'Nov 2020 cc'!$B$3:$D$317,3,0)</f>
        <v>7</v>
      </c>
      <c r="U138" s="387">
        <v>0</v>
      </c>
      <c r="V138" s="387">
        <v>84705.29</v>
      </c>
      <c r="W138" s="387">
        <v>84705.29</v>
      </c>
      <c r="X138" s="382"/>
      <c r="Y138" s="375">
        <v>7</v>
      </c>
      <c r="Z138" s="413">
        <f>VLOOKUP(A138,'2021-22'!$A$6:$D$317,4,0)</f>
        <v>9600</v>
      </c>
      <c r="AA138" s="413">
        <f>VLOOKUP(A138,'2021-22'!$A$6:$E$317,5,0)</f>
        <v>75088.27</v>
      </c>
      <c r="AB138" s="387">
        <f t="shared" si="16"/>
        <v>84688.27</v>
      </c>
      <c r="AC138" s="382"/>
      <c r="AD138" s="416">
        <v>9</v>
      </c>
      <c r="AE138" s="413">
        <v>15300</v>
      </c>
      <c r="AF138" s="413">
        <v>72476.19</v>
      </c>
      <c r="AG138" s="387">
        <f t="shared" si="17"/>
        <v>87776.19</v>
      </c>
      <c r="AH138" s="557"/>
      <c r="AI138" s="387">
        <f>IFERROR(VLOOKUP(A138,'23-24 child count'!$C$4:$Y$317,23,0),0)</f>
        <v>4</v>
      </c>
      <c r="AJ138" s="387">
        <f>VLOOKUP(A138,'23-24 state &amp; local'!$A$5:$D$316,4,0)</f>
        <v>0</v>
      </c>
      <c r="AK138" s="387">
        <f>VLOOKUP(A138,'23-24 state &amp; local'!$A$5:$E$316,5,0)</f>
        <v>82357.789999999994</v>
      </c>
      <c r="AL138" s="387">
        <f t="shared" si="18"/>
        <v>82357.789999999994</v>
      </c>
      <c r="AM138" s="382"/>
    </row>
    <row r="139" spans="1:39" ht="15" hidden="1" x14ac:dyDescent="0.25">
      <c r="A139" s="375" t="s">
        <v>458</v>
      </c>
      <c r="B139" s="375" t="s">
        <v>210</v>
      </c>
      <c r="C139" s="448" t="s">
        <v>459</v>
      </c>
      <c r="D139" s="375" t="s">
        <v>819</v>
      </c>
      <c r="E139" s="461">
        <v>31</v>
      </c>
      <c r="F139" s="468">
        <f>IFERROR(VLOOKUP(A139,'2017-18'!$A$6:$F$315,6,0),0)</f>
        <v>0</v>
      </c>
      <c r="G139" s="468">
        <f>IFERROR(VLOOKUP(A139,'2017-18'!$A$6:$D$315,4,0),0)</f>
        <v>237955.77</v>
      </c>
      <c r="H139" s="468">
        <f t="shared" si="19"/>
        <v>237955.77</v>
      </c>
      <c r="I139" s="382"/>
      <c r="J139" s="462">
        <v>37</v>
      </c>
      <c r="K139" s="468">
        <f>IFERROR(VLOOKUP(A139,'2018-19'!$A$6:$F$318,6,0),0)</f>
        <v>0</v>
      </c>
      <c r="L139" s="468">
        <f>IFERROR(VLOOKUP(A139,'2018-19'!$A$6:$D$318,4,0),0)</f>
        <v>313985.71999999997</v>
      </c>
      <c r="M139" s="468">
        <f t="shared" si="20"/>
        <v>313985.71999999997</v>
      </c>
      <c r="N139" s="382"/>
      <c r="O139" s="452">
        <v>37</v>
      </c>
      <c r="P139" s="387">
        <v>0</v>
      </c>
      <c r="Q139" s="387">
        <v>322509.59000000003</v>
      </c>
      <c r="R139" s="387">
        <v>322509.59000000003</v>
      </c>
      <c r="S139" s="382"/>
      <c r="T139" s="375">
        <f>VLOOKUP(A139,'Nov 2020 cc'!$B$3:$D$317,3,0)</f>
        <v>39</v>
      </c>
      <c r="U139" s="387">
        <v>0</v>
      </c>
      <c r="V139" s="387">
        <v>0</v>
      </c>
      <c r="W139" s="387">
        <v>0</v>
      </c>
      <c r="X139" s="382"/>
      <c r="Y139" s="375">
        <v>43</v>
      </c>
      <c r="Z139" s="413">
        <f>VLOOKUP(A139,'2021-22'!$A$6:$D$317,4,0)</f>
        <v>0</v>
      </c>
      <c r="AA139" s="413">
        <f>VLOOKUP(A139,'2021-22'!$A$6:$E$317,5,0)</f>
        <v>394620.45</v>
      </c>
      <c r="AB139" s="387">
        <f t="shared" si="16"/>
        <v>394620.45</v>
      </c>
      <c r="AC139" s="382"/>
      <c r="AD139" s="416">
        <v>39</v>
      </c>
      <c r="AE139" s="413">
        <v>0</v>
      </c>
      <c r="AF139" s="413">
        <v>387242.04</v>
      </c>
      <c r="AG139" s="387">
        <f t="shared" si="17"/>
        <v>387242.04</v>
      </c>
      <c r="AH139" s="557"/>
      <c r="AI139" s="387">
        <f>IFERROR(VLOOKUP(A139,'23-24 child count'!$C$4:$Y$317,23,0),0)</f>
        <v>32</v>
      </c>
      <c r="AJ139" s="387">
        <f>VLOOKUP(A139,'23-24 state &amp; local'!$A$5:$D$316,4,0)</f>
        <v>0</v>
      </c>
      <c r="AK139" s="387">
        <f>VLOOKUP(A139,'23-24 state &amp; local'!$A$5:$E$316,5,0)</f>
        <v>389579.89</v>
      </c>
      <c r="AL139" s="387">
        <f t="shared" si="18"/>
        <v>389579.89</v>
      </c>
      <c r="AM139" s="382"/>
    </row>
    <row r="140" spans="1:39" ht="15" hidden="1" x14ac:dyDescent="0.25">
      <c r="A140" s="375" t="s">
        <v>460</v>
      </c>
      <c r="B140" s="375" t="s">
        <v>197</v>
      </c>
      <c r="C140" s="448" t="s">
        <v>461</v>
      </c>
      <c r="E140" s="461">
        <v>501</v>
      </c>
      <c r="F140" s="468">
        <f>IFERROR(VLOOKUP(A140,'2017-18'!$A$6:$F$315,6,0),0)</f>
        <v>24997.48</v>
      </c>
      <c r="G140" s="468">
        <f>IFERROR(VLOOKUP(A140,'2017-18'!$A$6:$D$315,4,0),0)</f>
        <v>5180533.1399999997</v>
      </c>
      <c r="H140" s="468">
        <f t="shared" si="19"/>
        <v>5205530.62</v>
      </c>
      <c r="I140" s="382"/>
      <c r="J140" s="462">
        <v>534</v>
      </c>
      <c r="K140" s="468">
        <f>IFERROR(VLOOKUP(A140,'2018-19'!$A$6:$F$318,6,0),0)</f>
        <v>546335.5</v>
      </c>
      <c r="L140" s="468">
        <f>IFERROR(VLOOKUP(A140,'2018-19'!$A$6:$D$318,4,0),0)</f>
        <v>5324745.46</v>
      </c>
      <c r="M140" s="468">
        <f t="shared" si="20"/>
        <v>5871080.96</v>
      </c>
      <c r="N140" s="382"/>
      <c r="O140" s="452">
        <v>558</v>
      </c>
      <c r="P140" s="387">
        <v>593697.55000000005</v>
      </c>
      <c r="Q140" s="387">
        <v>6259997.8499999996</v>
      </c>
      <c r="R140" s="387">
        <v>6853695.3999999994</v>
      </c>
      <c r="S140" s="382"/>
      <c r="T140" s="375">
        <f>VLOOKUP(A140,'Nov 2020 cc'!$B$3:$D$317,3,0)</f>
        <v>489</v>
      </c>
      <c r="U140" s="387">
        <v>420060</v>
      </c>
      <c r="V140" s="387">
        <v>6848145.7000000002</v>
      </c>
      <c r="W140" s="387">
        <v>7268205.7000000002</v>
      </c>
      <c r="X140" s="382"/>
      <c r="Y140" s="375">
        <v>500</v>
      </c>
      <c r="Z140" s="413">
        <f>VLOOKUP(A140,'2021-22'!$A$6:$D$317,4,0)</f>
        <v>500000</v>
      </c>
      <c r="AA140" s="413">
        <f>VLOOKUP(A140,'2021-22'!$A$6:$E$317,5,0)</f>
        <v>6696496.3499999996</v>
      </c>
      <c r="AB140" s="387">
        <f t="shared" si="16"/>
        <v>7196496.3499999996</v>
      </c>
      <c r="AC140" s="382"/>
      <c r="AD140" s="416">
        <v>521</v>
      </c>
      <c r="AE140" s="413">
        <v>508984.02</v>
      </c>
      <c r="AF140" s="413">
        <v>6838109.0099999998</v>
      </c>
      <c r="AG140" s="387">
        <f t="shared" si="17"/>
        <v>7347093.0299999993</v>
      </c>
      <c r="AH140" s="557"/>
      <c r="AI140" s="387">
        <f>IFERROR(VLOOKUP(A140,'23-24 child count'!$C$4:$Y$317,23,0),0)</f>
        <v>528</v>
      </c>
      <c r="AJ140" s="387">
        <f>VLOOKUP(A140,'23-24 state &amp; local'!$A$5:$D$316,4,0)</f>
        <v>577357.54</v>
      </c>
      <c r="AK140" s="387">
        <f>VLOOKUP(A140,'23-24 state &amp; local'!$A$5:$E$316,5,0)</f>
        <v>7269812.4699999997</v>
      </c>
      <c r="AL140" s="387">
        <f t="shared" si="18"/>
        <v>7847170.0099999998</v>
      </c>
      <c r="AM140" s="382"/>
    </row>
    <row r="141" spans="1:39" ht="15" hidden="1" x14ac:dyDescent="0.25">
      <c r="A141" s="375" t="s">
        <v>462</v>
      </c>
      <c r="B141" s="375" t="s">
        <v>221</v>
      </c>
      <c r="C141" s="448" t="s">
        <v>463</v>
      </c>
      <c r="E141" s="461">
        <v>94</v>
      </c>
      <c r="F141" s="468">
        <f>IFERROR(VLOOKUP(A141,'2017-18'!$A$6:$F$315,6,0),0)</f>
        <v>0</v>
      </c>
      <c r="G141" s="468">
        <f>IFERROR(VLOOKUP(A141,'2017-18'!$A$6:$D$315,4,0),0)</f>
        <v>901051.04</v>
      </c>
      <c r="H141" s="468">
        <f t="shared" si="19"/>
        <v>901051.04</v>
      </c>
      <c r="I141" s="382"/>
      <c r="J141" s="462">
        <v>84</v>
      </c>
      <c r="K141" s="468">
        <f>IFERROR(VLOOKUP(A141,'2018-19'!$A$6:$F$318,6,0),0)</f>
        <v>0</v>
      </c>
      <c r="L141" s="468">
        <f>IFERROR(VLOOKUP(A141,'2018-19'!$A$6:$D$318,4,0),0)</f>
        <v>919261.29</v>
      </c>
      <c r="M141" s="468">
        <f t="shared" si="20"/>
        <v>919261.29</v>
      </c>
      <c r="N141" s="382"/>
      <c r="O141" s="452">
        <v>99</v>
      </c>
      <c r="P141" s="387">
        <v>0</v>
      </c>
      <c r="Q141" s="387">
        <v>983612.71</v>
      </c>
      <c r="R141" s="387">
        <v>983612.71</v>
      </c>
      <c r="S141" s="382"/>
      <c r="T141" s="375">
        <f>VLOOKUP(A141,'Nov 2020 cc'!$B$3:$D$317,3,0)</f>
        <v>94</v>
      </c>
      <c r="U141" s="387">
        <v>0</v>
      </c>
      <c r="V141" s="387">
        <v>964019.18</v>
      </c>
      <c r="W141" s="387">
        <v>964019.18</v>
      </c>
      <c r="X141" s="382"/>
      <c r="Y141" s="375">
        <v>88</v>
      </c>
      <c r="Z141" s="413">
        <f>VLOOKUP(A141,'2021-22'!$A$6:$D$317,4,0)</f>
        <v>0</v>
      </c>
      <c r="AA141" s="413">
        <f>VLOOKUP(A141,'2021-22'!$A$6:$E$317,5,0)</f>
        <v>834437.66</v>
      </c>
      <c r="AB141" s="387">
        <f t="shared" si="16"/>
        <v>834437.66</v>
      </c>
      <c r="AC141" s="382"/>
      <c r="AD141" s="416">
        <v>82</v>
      </c>
      <c r="AE141" s="413">
        <v>0</v>
      </c>
      <c r="AF141" s="413">
        <v>1025727.43</v>
      </c>
      <c r="AG141" s="387">
        <f t="shared" si="17"/>
        <v>1025727.43</v>
      </c>
      <c r="AH141" s="557"/>
      <c r="AI141" s="387">
        <f>IFERROR(VLOOKUP(A141,'23-24 child count'!$C$4:$Y$317,23,0),0)</f>
        <v>85</v>
      </c>
      <c r="AJ141" s="387">
        <f>VLOOKUP(A141,'23-24 state &amp; local'!$A$5:$D$316,4,0)</f>
        <v>0</v>
      </c>
      <c r="AK141" s="387">
        <f>VLOOKUP(A141,'23-24 state &amp; local'!$A$5:$E$316,5,0)</f>
        <v>894608.58</v>
      </c>
      <c r="AL141" s="387">
        <f t="shared" si="18"/>
        <v>894608.58</v>
      </c>
      <c r="AM141" s="382"/>
    </row>
    <row r="142" spans="1:39" ht="15" hidden="1" x14ac:dyDescent="0.25">
      <c r="A142" s="375" t="s">
        <v>464</v>
      </c>
      <c r="B142" s="375" t="s">
        <v>231</v>
      </c>
      <c r="C142" s="448" t="s">
        <v>465</v>
      </c>
      <c r="E142" s="461">
        <v>15</v>
      </c>
      <c r="F142" s="468">
        <f>IFERROR(VLOOKUP(A142,'2017-18'!$A$6:$F$315,6,0),0)</f>
        <v>23208.49</v>
      </c>
      <c r="G142" s="468">
        <f>IFERROR(VLOOKUP(A142,'2017-18'!$A$6:$D$315,4,0),0)</f>
        <v>72267</v>
      </c>
      <c r="H142" s="468">
        <f t="shared" si="19"/>
        <v>95475.49</v>
      </c>
      <c r="I142" s="382"/>
      <c r="J142" s="462">
        <v>14</v>
      </c>
      <c r="K142" s="468">
        <f>IFERROR(VLOOKUP(A142,'2018-19'!$A$6:$F$318,6,0),0)</f>
        <v>3743.93</v>
      </c>
      <c r="L142" s="468">
        <f>IFERROR(VLOOKUP(A142,'2018-19'!$A$6:$D$318,4,0),0)</f>
        <v>105996.04</v>
      </c>
      <c r="M142" s="468">
        <f t="shared" si="20"/>
        <v>109739.96999999999</v>
      </c>
      <c r="N142" s="382"/>
      <c r="O142" s="452">
        <v>12</v>
      </c>
      <c r="P142" s="387">
        <v>17751.3</v>
      </c>
      <c r="Q142" s="387">
        <v>103778.7</v>
      </c>
      <c r="R142" s="387">
        <v>121530</v>
      </c>
      <c r="S142" s="382"/>
      <c r="T142" s="375">
        <f>VLOOKUP(A142,'Nov 2020 cc'!$B$3:$D$317,3,0)</f>
        <v>12</v>
      </c>
      <c r="U142" s="387">
        <v>0</v>
      </c>
      <c r="V142" s="387">
        <v>102490.89</v>
      </c>
      <c r="W142" s="387">
        <v>102490.89</v>
      </c>
      <c r="X142" s="382"/>
      <c r="Y142" s="375">
        <v>10</v>
      </c>
      <c r="Z142" s="413">
        <f>VLOOKUP(A142,'2021-22'!$A$6:$D$317,4,0)</f>
        <v>17498.89</v>
      </c>
      <c r="AA142" s="413">
        <f>VLOOKUP(A142,'2021-22'!$A$6:$E$317,5,0)</f>
        <v>93611.37</v>
      </c>
      <c r="AB142" s="387">
        <f t="shared" si="16"/>
        <v>111110.26</v>
      </c>
      <c r="AC142" s="382"/>
      <c r="AD142" s="416">
        <v>10</v>
      </c>
      <c r="AE142" s="413">
        <v>3441.29</v>
      </c>
      <c r="AF142" s="413">
        <v>115015.12</v>
      </c>
      <c r="AG142" s="387">
        <f t="shared" si="17"/>
        <v>118456.40999999999</v>
      </c>
      <c r="AH142" s="557"/>
      <c r="AI142" s="387">
        <f>IFERROR(VLOOKUP(A142,'23-24 child count'!$C$4:$Y$317,23,0),0)</f>
        <v>14</v>
      </c>
      <c r="AJ142" s="387">
        <f>VLOOKUP(A142,'23-24 state &amp; local'!$A$5:$D$316,4,0)</f>
        <v>1622.12</v>
      </c>
      <c r="AK142" s="387">
        <f>VLOOKUP(A142,'23-24 state &amp; local'!$A$5:$E$316,5,0)</f>
        <v>148564.38</v>
      </c>
      <c r="AL142" s="387">
        <f t="shared" si="18"/>
        <v>150186.5</v>
      </c>
      <c r="AM142" s="382"/>
    </row>
    <row r="143" spans="1:39" ht="15" hidden="1" x14ac:dyDescent="0.25">
      <c r="A143" s="375" t="s">
        <v>466</v>
      </c>
      <c r="B143" s="375" t="s">
        <v>231</v>
      </c>
      <c r="C143" s="448" t="s">
        <v>467</v>
      </c>
      <c r="E143" s="461">
        <v>81</v>
      </c>
      <c r="F143" s="468">
        <f>IFERROR(VLOOKUP(A143,'2017-18'!$A$6:$F$315,6,0),0)</f>
        <v>8345</v>
      </c>
      <c r="G143" s="468">
        <f>IFERROR(VLOOKUP(A143,'2017-18'!$A$6:$D$315,4,0),0)</f>
        <v>601689</v>
      </c>
      <c r="H143" s="468">
        <f t="shared" si="19"/>
        <v>610034</v>
      </c>
      <c r="I143" s="382"/>
      <c r="J143" s="462">
        <v>81</v>
      </c>
      <c r="K143" s="468">
        <f>IFERROR(VLOOKUP(A143,'2018-19'!$A$6:$F$318,6,0),0)</f>
        <v>11000</v>
      </c>
      <c r="L143" s="468">
        <f>IFERROR(VLOOKUP(A143,'2018-19'!$A$6:$D$318,4,0),0)</f>
        <v>675699.9</v>
      </c>
      <c r="M143" s="468">
        <f t="shared" si="20"/>
        <v>686699.9</v>
      </c>
      <c r="N143" s="382"/>
      <c r="O143" s="452">
        <v>82</v>
      </c>
      <c r="P143" s="387">
        <v>0</v>
      </c>
      <c r="Q143" s="387">
        <v>750822.66</v>
      </c>
      <c r="R143" s="387">
        <v>750822.66</v>
      </c>
      <c r="S143" s="382"/>
      <c r="T143" s="375">
        <f>VLOOKUP(A143,'Nov 2020 cc'!$B$3:$D$317,3,0)</f>
        <v>84</v>
      </c>
      <c r="U143" s="387">
        <v>14741.86</v>
      </c>
      <c r="V143" s="387">
        <v>801456.34</v>
      </c>
      <c r="W143" s="387">
        <v>816198.2</v>
      </c>
      <c r="X143" s="382"/>
      <c r="Y143" s="375">
        <v>76</v>
      </c>
      <c r="Z143" s="413">
        <f>VLOOKUP(A143,'2021-22'!$A$6:$D$317,4,0)</f>
        <v>59016.43</v>
      </c>
      <c r="AA143" s="413">
        <f>VLOOKUP(A143,'2021-22'!$A$6:$E$317,5,0)</f>
        <v>772722.92</v>
      </c>
      <c r="AB143" s="387">
        <f t="shared" si="16"/>
        <v>831739.35000000009</v>
      </c>
      <c r="AC143" s="382"/>
      <c r="AD143" s="416">
        <v>84</v>
      </c>
      <c r="AE143" s="413">
        <v>42563.75</v>
      </c>
      <c r="AF143" s="413">
        <v>896801.54</v>
      </c>
      <c r="AG143" s="387">
        <f t="shared" si="17"/>
        <v>939365.29</v>
      </c>
      <c r="AH143" s="557"/>
      <c r="AI143" s="387">
        <f>IFERROR(VLOOKUP(A143,'23-24 child count'!$C$4:$Y$317,23,0),0)</f>
        <v>84</v>
      </c>
      <c r="AJ143" s="387">
        <f>VLOOKUP(A143,'23-24 state &amp; local'!$A$5:$D$316,4,0)</f>
        <v>0</v>
      </c>
      <c r="AK143" s="387">
        <f>VLOOKUP(A143,'23-24 state &amp; local'!$A$5:$E$316,5,0)</f>
        <v>934345.42</v>
      </c>
      <c r="AL143" s="387">
        <f t="shared" si="18"/>
        <v>934345.42</v>
      </c>
      <c r="AM143" s="382"/>
    </row>
    <row r="144" spans="1:39" ht="15" hidden="1" x14ac:dyDescent="0.25">
      <c r="A144" s="375" t="s">
        <v>468</v>
      </c>
      <c r="B144" s="375" t="s">
        <v>189</v>
      </c>
      <c r="C144" s="448" t="s">
        <v>1196</v>
      </c>
      <c r="E144" s="461">
        <v>144</v>
      </c>
      <c r="F144" s="468">
        <f>IFERROR(VLOOKUP(A144,'2017-18'!$A$6:$F$315,6,0),0)</f>
        <v>64960.55</v>
      </c>
      <c r="G144" s="468">
        <f>IFERROR(VLOOKUP(A144,'2017-18'!$A$6:$D$315,4,0),0)</f>
        <v>1064969.06</v>
      </c>
      <c r="H144" s="468">
        <f t="shared" si="19"/>
        <v>1129929.6100000001</v>
      </c>
      <c r="I144" s="382"/>
      <c r="J144" s="462">
        <v>246</v>
      </c>
      <c r="K144" s="468">
        <f>IFERROR(VLOOKUP(A144,'2018-19'!$A$6:$F$318,6,0),0)</f>
        <v>0</v>
      </c>
      <c r="L144" s="468">
        <f>IFERROR(VLOOKUP(A144,'2018-19'!$A$6:$D$318,4,0),0)</f>
        <v>1989408.47</v>
      </c>
      <c r="M144" s="468">
        <f t="shared" si="20"/>
        <v>1989408.47</v>
      </c>
      <c r="N144" s="382"/>
      <c r="O144" s="452">
        <v>277</v>
      </c>
      <c r="P144" s="387">
        <v>0</v>
      </c>
      <c r="Q144" s="387">
        <v>2287396.6</v>
      </c>
      <c r="R144" s="387">
        <v>2287396.6</v>
      </c>
      <c r="S144" s="382"/>
      <c r="T144" s="375">
        <f>VLOOKUP(A144,'Nov 2020 cc'!$B$3:$D$317,3,0)</f>
        <v>310</v>
      </c>
      <c r="U144" s="387">
        <v>0</v>
      </c>
      <c r="V144" s="387">
        <v>2774889.7</v>
      </c>
      <c r="W144" s="387">
        <v>2774889.7</v>
      </c>
      <c r="X144" s="382"/>
      <c r="Y144" s="375">
        <v>245</v>
      </c>
      <c r="Z144" s="413">
        <f>VLOOKUP(A144,'2021-22'!$A$6:$D$317,4,0)</f>
        <v>0</v>
      </c>
      <c r="AA144" s="413">
        <f>VLOOKUP(A144,'2021-22'!$A$6:$E$317,5,0)</f>
        <v>1707691.13</v>
      </c>
      <c r="AB144" s="387">
        <f t="shared" si="16"/>
        <v>1707691.13</v>
      </c>
      <c r="AC144" s="382"/>
      <c r="AD144" s="416">
        <v>168</v>
      </c>
      <c r="AE144" s="413">
        <v>0</v>
      </c>
      <c r="AF144" s="413">
        <v>1432694.86</v>
      </c>
      <c r="AG144" s="387">
        <f t="shared" si="17"/>
        <v>1432694.86</v>
      </c>
      <c r="AH144" s="557"/>
      <c r="AI144" s="387">
        <f>IFERROR(VLOOKUP(A144,'23-24 child count'!$C$4:$Y$317,23,0),0)</f>
        <v>144</v>
      </c>
      <c r="AJ144" s="387">
        <f>VLOOKUP(A144,'23-24 state &amp; local'!$A$5:$D$316,4,0)</f>
        <v>0</v>
      </c>
      <c r="AK144" s="387">
        <f>VLOOKUP(A144,'23-24 state &amp; local'!$A$5:$E$316,5,0)</f>
        <v>1491887.55</v>
      </c>
      <c r="AL144" s="387">
        <f t="shared" si="18"/>
        <v>1491887.55</v>
      </c>
      <c r="AM144" s="382"/>
    </row>
    <row r="145" spans="1:39" ht="15" hidden="1" x14ac:dyDescent="0.25">
      <c r="A145" s="375" t="s">
        <v>470</v>
      </c>
      <c r="B145" s="375" t="s">
        <v>194</v>
      </c>
      <c r="C145" s="448" t="s">
        <v>471</v>
      </c>
      <c r="E145" s="461">
        <v>71</v>
      </c>
      <c r="F145" s="468">
        <f>IFERROR(VLOOKUP(A145,'2017-18'!$A$6:$F$315,6,0),0)</f>
        <v>9610.3799999999992</v>
      </c>
      <c r="G145" s="468">
        <f>IFERROR(VLOOKUP(A145,'2017-18'!$A$6:$D$315,4,0),0)</f>
        <v>466187.56</v>
      </c>
      <c r="H145" s="468">
        <f t="shared" si="19"/>
        <v>475797.94</v>
      </c>
      <c r="I145" s="382"/>
      <c r="J145" s="462">
        <v>67</v>
      </c>
      <c r="K145" s="468">
        <f>IFERROR(VLOOKUP(A145,'2018-19'!$A$6:$F$318,6,0),0)</f>
        <v>0</v>
      </c>
      <c r="L145" s="468">
        <f>IFERROR(VLOOKUP(A145,'2018-19'!$A$6:$D$318,4,0),0)</f>
        <v>449919.81</v>
      </c>
      <c r="M145" s="468">
        <f t="shared" si="20"/>
        <v>449919.81</v>
      </c>
      <c r="N145" s="382"/>
      <c r="O145" s="452">
        <v>77</v>
      </c>
      <c r="P145" s="387">
        <v>0</v>
      </c>
      <c r="Q145" s="387">
        <v>630322.47</v>
      </c>
      <c r="R145" s="387">
        <v>630322.47</v>
      </c>
      <c r="S145" s="382"/>
      <c r="T145" s="375">
        <f>VLOOKUP(A145,'Nov 2020 cc'!$B$3:$D$317,3,0)</f>
        <v>79</v>
      </c>
      <c r="U145" s="387">
        <v>700</v>
      </c>
      <c r="V145" s="387">
        <v>520563.03</v>
      </c>
      <c r="W145" s="387">
        <v>521263.03</v>
      </c>
      <c r="X145" s="382"/>
      <c r="Y145" s="375">
        <v>72</v>
      </c>
      <c r="Z145" s="413">
        <f>VLOOKUP(A145,'2021-22'!$A$6:$D$317,4,0)</f>
        <v>700</v>
      </c>
      <c r="AA145" s="413">
        <f>VLOOKUP(A145,'2021-22'!$A$6:$E$317,5,0)</f>
        <v>526084.93999999994</v>
      </c>
      <c r="AB145" s="387">
        <f t="shared" si="16"/>
        <v>526784.93999999994</v>
      </c>
      <c r="AC145" s="382"/>
      <c r="AD145" s="416">
        <v>80</v>
      </c>
      <c r="AE145" s="413">
        <v>0</v>
      </c>
      <c r="AF145" s="413">
        <v>590069.82999999996</v>
      </c>
      <c r="AG145" s="387">
        <f t="shared" si="17"/>
        <v>590069.82999999996</v>
      </c>
      <c r="AH145" s="557"/>
      <c r="AI145" s="387">
        <f>IFERROR(VLOOKUP(A145,'23-24 child count'!$C$4:$Y$317,23,0),0)</f>
        <v>50</v>
      </c>
      <c r="AJ145" s="387">
        <f>VLOOKUP(A145,'23-24 state &amp; local'!$A$5:$D$316,4,0)</f>
        <v>0</v>
      </c>
      <c r="AK145" s="387">
        <f>VLOOKUP(A145,'23-24 state &amp; local'!$A$5:$E$316,5,0)</f>
        <v>790546.73</v>
      </c>
      <c r="AL145" s="387">
        <f t="shared" si="18"/>
        <v>790546.73</v>
      </c>
      <c r="AM145" s="382"/>
    </row>
    <row r="146" spans="1:39" ht="15" hidden="1" x14ac:dyDescent="0.25">
      <c r="A146" s="375" t="s">
        <v>472</v>
      </c>
      <c r="B146" s="375" t="s">
        <v>197</v>
      </c>
      <c r="C146" s="448" t="s">
        <v>473</v>
      </c>
      <c r="E146" s="461">
        <v>1625</v>
      </c>
      <c r="F146" s="468">
        <f>IFERROR(VLOOKUP(A146,'2017-18'!$A$6:$F$315,6,0),0)</f>
        <v>0</v>
      </c>
      <c r="G146" s="468">
        <f>IFERROR(VLOOKUP(A146,'2017-18'!$A$6:$D$315,4,0),0)</f>
        <v>17249744.670000002</v>
      </c>
      <c r="H146" s="468">
        <f t="shared" si="19"/>
        <v>17249744.670000002</v>
      </c>
      <c r="I146" s="382"/>
      <c r="J146" s="462">
        <v>1705</v>
      </c>
      <c r="K146" s="468">
        <f>IFERROR(VLOOKUP(A146,'2018-19'!$A$6:$F$318,6,0),0)</f>
        <v>0</v>
      </c>
      <c r="L146" s="468">
        <f>IFERROR(VLOOKUP(A146,'2018-19'!$A$6:$D$318,4,0),0)</f>
        <v>19592536.539999999</v>
      </c>
      <c r="M146" s="468">
        <f t="shared" si="20"/>
        <v>19592536.539999999</v>
      </c>
      <c r="N146" s="382"/>
      <c r="O146" s="452">
        <v>1776</v>
      </c>
      <c r="P146" s="387">
        <v>0</v>
      </c>
      <c r="Q146" s="387">
        <v>22504973.34</v>
      </c>
      <c r="R146" s="387">
        <v>22504973.34</v>
      </c>
      <c r="S146" s="382"/>
      <c r="T146" s="375">
        <f>VLOOKUP(A146,'Nov 2020 cc'!$B$3:$D$317,3,0)</f>
        <v>1712</v>
      </c>
      <c r="U146" s="387">
        <v>0</v>
      </c>
      <c r="V146" s="387">
        <v>24185096.239999998</v>
      </c>
      <c r="W146" s="387">
        <v>24185096.239999998</v>
      </c>
      <c r="X146" s="382"/>
      <c r="Y146" s="375">
        <v>1640</v>
      </c>
      <c r="Z146" s="413">
        <f>VLOOKUP(A146,'2021-22'!$A$6:$D$317,4,0)</f>
        <v>0</v>
      </c>
      <c r="AA146" s="413">
        <f>VLOOKUP(A146,'2021-22'!$A$6:$E$317,5,0)</f>
        <v>25578647.300000001</v>
      </c>
      <c r="AB146" s="387">
        <f t="shared" si="16"/>
        <v>25578647.300000001</v>
      </c>
      <c r="AC146" s="382"/>
      <c r="AD146" s="416">
        <v>1674</v>
      </c>
      <c r="AE146" s="413">
        <v>0</v>
      </c>
      <c r="AF146" s="413">
        <v>27608337.300000001</v>
      </c>
      <c r="AG146" s="387">
        <f t="shared" si="17"/>
        <v>27608337.300000001</v>
      </c>
      <c r="AH146" s="557"/>
      <c r="AI146" s="387">
        <f>IFERROR(VLOOKUP(A146,'23-24 child count'!$C$4:$Y$317,23,0),0)</f>
        <v>1686</v>
      </c>
      <c r="AJ146" s="387">
        <f>VLOOKUP(A146,'23-24 state &amp; local'!$A$5:$D$316,4,0)</f>
        <v>0</v>
      </c>
      <c r="AK146" s="387">
        <f>VLOOKUP(A146,'23-24 state &amp; local'!$A$5:$E$316,5,0)</f>
        <v>30056351.68</v>
      </c>
      <c r="AL146" s="387">
        <f t="shared" si="18"/>
        <v>30056351.68</v>
      </c>
      <c r="AM146" s="382"/>
    </row>
    <row r="147" spans="1:39" ht="15" hidden="1" x14ac:dyDescent="0.25">
      <c r="A147" s="375" t="s">
        <v>474</v>
      </c>
      <c r="B147" s="375" t="s">
        <v>189</v>
      </c>
      <c r="C147" s="448" t="s">
        <v>1197</v>
      </c>
      <c r="E147" s="461">
        <v>47</v>
      </c>
      <c r="F147" s="468">
        <f>IFERROR(VLOOKUP(A147,'2017-18'!$A$6:$F$315,6,0),0)</f>
        <v>0</v>
      </c>
      <c r="G147" s="468">
        <f>IFERROR(VLOOKUP(A147,'2017-18'!$A$6:$D$315,4,0),0)</f>
        <v>602837.23</v>
      </c>
      <c r="H147" s="468">
        <f t="shared" si="19"/>
        <v>602837.23</v>
      </c>
      <c r="I147" s="382"/>
      <c r="J147" s="462">
        <v>45</v>
      </c>
      <c r="K147" s="468">
        <f>IFERROR(VLOOKUP(A147,'2018-19'!$A$6:$F$318,6,0),0)</f>
        <v>1221.31</v>
      </c>
      <c r="L147" s="468">
        <f>IFERROR(VLOOKUP(A147,'2018-19'!$A$6:$D$318,4,0),0)</f>
        <v>500082.35</v>
      </c>
      <c r="M147" s="468">
        <f t="shared" si="20"/>
        <v>501303.66</v>
      </c>
      <c r="N147" s="382"/>
      <c r="O147" s="452">
        <v>74</v>
      </c>
      <c r="P147" s="387">
        <v>0</v>
      </c>
      <c r="Q147" s="387">
        <v>675594.49</v>
      </c>
      <c r="R147" s="387">
        <v>675594.49</v>
      </c>
      <c r="S147" s="382"/>
      <c r="T147" s="375">
        <f>VLOOKUP(A147,'Nov 2020 cc'!$B$3:$D$317,3,0)</f>
        <v>71</v>
      </c>
      <c r="U147" s="387">
        <v>0</v>
      </c>
      <c r="V147" s="387">
        <v>654811.34</v>
      </c>
      <c r="W147" s="387">
        <v>654811.34</v>
      </c>
      <c r="X147" s="382"/>
      <c r="Y147" s="375">
        <v>66</v>
      </c>
      <c r="Z147" s="413">
        <f>VLOOKUP(A147,'2021-22'!$A$6:$D$317,4,0)</f>
        <v>0</v>
      </c>
      <c r="AA147" s="413">
        <f>VLOOKUP(A147,'2021-22'!$A$6:$E$317,5,0)</f>
        <v>737918.47</v>
      </c>
      <c r="AB147" s="387">
        <f t="shared" si="16"/>
        <v>737918.47</v>
      </c>
      <c r="AC147" s="382"/>
      <c r="AD147" s="416">
        <v>60</v>
      </c>
      <c r="AE147" s="413">
        <v>0</v>
      </c>
      <c r="AF147" s="413">
        <v>926746.27</v>
      </c>
      <c r="AG147" s="387">
        <f t="shared" si="17"/>
        <v>926746.27</v>
      </c>
      <c r="AH147" s="557"/>
      <c r="AI147" s="387">
        <f>IFERROR(VLOOKUP(A147,'23-24 child count'!$C$4:$Y$317,23,0),0)</f>
        <v>67</v>
      </c>
      <c r="AJ147" s="387">
        <f>VLOOKUP(A147,'23-24 state &amp; local'!$A$5:$D$316,4,0)</f>
        <v>0</v>
      </c>
      <c r="AK147" s="387">
        <f>VLOOKUP(A147,'23-24 state &amp; local'!$A$5:$E$316,5,0)</f>
        <v>889843.49</v>
      </c>
      <c r="AL147" s="387">
        <f t="shared" si="18"/>
        <v>889843.49</v>
      </c>
      <c r="AM147" s="382"/>
    </row>
    <row r="148" spans="1:39" ht="15" hidden="1" x14ac:dyDescent="0.25">
      <c r="A148" s="375" t="s">
        <v>476</v>
      </c>
      <c r="B148" s="375" t="s">
        <v>194</v>
      </c>
      <c r="C148" s="448" t="s">
        <v>477</v>
      </c>
      <c r="E148" s="461">
        <v>1315</v>
      </c>
      <c r="F148" s="468">
        <f>IFERROR(VLOOKUP(A148,'2017-18'!$A$6:$F$315,6,0),0)</f>
        <v>1770858.54</v>
      </c>
      <c r="G148" s="468">
        <f>IFERROR(VLOOKUP(A148,'2017-18'!$A$6:$D$315,4,0),0)</f>
        <v>11539887.68</v>
      </c>
      <c r="H148" s="468">
        <f t="shared" si="19"/>
        <v>13310746.219999999</v>
      </c>
      <c r="I148" s="382"/>
      <c r="J148" s="462">
        <v>1380</v>
      </c>
      <c r="K148" s="468">
        <f>IFERROR(VLOOKUP(A148,'2018-19'!$A$6:$F$318,6,0),0)</f>
        <v>1429672.13</v>
      </c>
      <c r="L148" s="468">
        <f>IFERROR(VLOOKUP(A148,'2018-19'!$A$6:$D$318,4,0),0)</f>
        <v>14547317.140000001</v>
      </c>
      <c r="M148" s="468">
        <f t="shared" si="20"/>
        <v>15976989.27</v>
      </c>
      <c r="N148" s="382"/>
      <c r="O148" s="452">
        <v>1426</v>
      </c>
      <c r="P148" s="387">
        <v>424386</v>
      </c>
      <c r="Q148" s="387">
        <v>15741357.15</v>
      </c>
      <c r="R148" s="387">
        <v>16165743.15</v>
      </c>
      <c r="S148" s="382"/>
      <c r="T148" s="375">
        <f>VLOOKUP(A148,'Nov 2020 cc'!$B$3:$D$317,3,0)</f>
        <v>1348</v>
      </c>
      <c r="U148" s="387">
        <v>510840.32000000001</v>
      </c>
      <c r="V148" s="387">
        <v>15752938.619999999</v>
      </c>
      <c r="W148" s="387">
        <v>16263778.939999999</v>
      </c>
      <c r="X148" s="382"/>
      <c r="Y148" s="375">
        <v>1433</v>
      </c>
      <c r="Z148" s="413">
        <f>VLOOKUP(A148,'2021-22'!$A$6:$D$317,4,0)</f>
        <v>306210.32</v>
      </c>
      <c r="AA148" s="413">
        <f>VLOOKUP(A148,'2021-22'!$A$6:$E$317,5,0)</f>
        <v>17747522.149999999</v>
      </c>
      <c r="AB148" s="387">
        <f t="shared" si="16"/>
        <v>18053732.469999999</v>
      </c>
      <c r="AC148" s="382"/>
      <c r="AD148" s="416">
        <v>1501</v>
      </c>
      <c r="AE148" s="413">
        <v>198207.6</v>
      </c>
      <c r="AF148" s="413">
        <v>19592011.02</v>
      </c>
      <c r="AG148" s="387">
        <f t="shared" si="17"/>
        <v>19790218.620000001</v>
      </c>
      <c r="AH148" s="557"/>
      <c r="AI148" s="387">
        <f>IFERROR(VLOOKUP(A148,'23-24 child count'!$C$4:$Y$317,23,0),0)</f>
        <v>1668</v>
      </c>
      <c r="AJ148" s="387">
        <f>VLOOKUP(A148,'23-24 state &amp; local'!$A$5:$D$316,4,0)</f>
        <v>267631.71999999997</v>
      </c>
      <c r="AK148" s="387">
        <f>VLOOKUP(A148,'23-24 state &amp; local'!$A$5:$E$316,5,0)</f>
        <v>22661986.75</v>
      </c>
      <c r="AL148" s="387">
        <f t="shared" si="18"/>
        <v>22929618.469999999</v>
      </c>
      <c r="AM148" s="382"/>
    </row>
    <row r="149" spans="1:39" ht="15" hidden="1" x14ac:dyDescent="0.25">
      <c r="A149" s="375" t="s">
        <v>478</v>
      </c>
      <c r="B149" s="375" t="s">
        <v>194</v>
      </c>
      <c r="C149" s="448" t="s">
        <v>479</v>
      </c>
      <c r="E149" s="461">
        <v>232</v>
      </c>
      <c r="F149" s="468">
        <f>IFERROR(VLOOKUP(A149,'2017-18'!$A$6:$F$315,6,0),0)</f>
        <v>0</v>
      </c>
      <c r="G149" s="468">
        <f>IFERROR(VLOOKUP(A149,'2017-18'!$A$6:$D$315,4,0),0)</f>
        <v>1888012.18</v>
      </c>
      <c r="H149" s="468">
        <f t="shared" si="19"/>
        <v>1888012.18</v>
      </c>
      <c r="I149" s="382"/>
      <c r="J149" s="462">
        <v>223</v>
      </c>
      <c r="K149" s="468">
        <f>IFERROR(VLOOKUP(A149,'2018-19'!$A$6:$F$318,6,0),0)</f>
        <v>188435.95</v>
      </c>
      <c r="L149" s="468">
        <f>IFERROR(VLOOKUP(A149,'2018-19'!$A$6:$D$318,4,0),0)</f>
        <v>2184184.85</v>
      </c>
      <c r="M149" s="468">
        <f t="shared" si="20"/>
        <v>2372620.8000000003</v>
      </c>
      <c r="N149" s="382"/>
      <c r="O149" s="452">
        <v>233</v>
      </c>
      <c r="P149" s="387">
        <v>0</v>
      </c>
      <c r="Q149" s="387">
        <v>2550131.86</v>
      </c>
      <c r="R149" s="387">
        <v>2550131.86</v>
      </c>
      <c r="S149" s="382"/>
      <c r="T149" s="375">
        <f>VLOOKUP(A149,'Nov 2020 cc'!$B$3:$D$317,3,0)</f>
        <v>218</v>
      </c>
      <c r="U149" s="387">
        <v>0</v>
      </c>
      <c r="V149" s="387">
        <v>2546085.09</v>
      </c>
      <c r="W149" s="387">
        <v>2546085.09</v>
      </c>
      <c r="X149" s="382"/>
      <c r="Y149" s="375">
        <v>255</v>
      </c>
      <c r="Z149" s="413">
        <f>VLOOKUP(A149,'2021-22'!$A$6:$D$317,4,0)</f>
        <v>0</v>
      </c>
      <c r="AA149" s="413">
        <f>VLOOKUP(A149,'2021-22'!$A$6:$E$317,5,0)</f>
        <v>2656672.02</v>
      </c>
      <c r="AB149" s="387">
        <f t="shared" si="16"/>
        <v>2656672.02</v>
      </c>
      <c r="AC149" s="382"/>
      <c r="AD149" s="416">
        <v>250</v>
      </c>
      <c r="AE149" s="413">
        <v>0</v>
      </c>
      <c r="AF149" s="413">
        <v>2780463.14</v>
      </c>
      <c r="AG149" s="387">
        <f t="shared" si="17"/>
        <v>2780463.14</v>
      </c>
      <c r="AH149" s="557"/>
      <c r="AI149" s="387">
        <f>IFERROR(VLOOKUP(A149,'23-24 child count'!$C$4:$Y$317,23,0),0)</f>
        <v>231</v>
      </c>
      <c r="AJ149" s="387">
        <f>VLOOKUP(A149,'23-24 state &amp; local'!$A$5:$D$316,4,0)</f>
        <v>224497.36</v>
      </c>
      <c r="AK149" s="387">
        <f>VLOOKUP(A149,'23-24 state &amp; local'!$A$5:$E$316,5,0)</f>
        <v>2810953.45</v>
      </c>
      <c r="AL149" s="387">
        <f t="shared" si="18"/>
        <v>3035450.81</v>
      </c>
      <c r="AM149" s="382"/>
    </row>
    <row r="150" spans="1:39" ht="15" hidden="1" x14ac:dyDescent="0.25">
      <c r="A150" s="375" t="s">
        <v>480</v>
      </c>
      <c r="B150" s="375" t="s">
        <v>205</v>
      </c>
      <c r="C150" s="448" t="s">
        <v>481</v>
      </c>
      <c r="E150" s="461">
        <v>406</v>
      </c>
      <c r="F150" s="468">
        <f>IFERROR(VLOOKUP(A150,'2017-18'!$A$6:$F$315,6,0),0)</f>
        <v>2694465.93</v>
      </c>
      <c r="G150" s="468">
        <f>IFERROR(VLOOKUP(A150,'2017-18'!$A$6:$D$315,4,0),0)</f>
        <v>4179346.95</v>
      </c>
      <c r="H150" s="468">
        <f t="shared" si="19"/>
        <v>6873812.8800000008</v>
      </c>
      <c r="I150" s="382"/>
      <c r="J150" s="462">
        <v>426</v>
      </c>
      <c r="K150" s="468">
        <f>IFERROR(VLOOKUP(A150,'2018-19'!$A$6:$F$318,6,0),0)</f>
        <v>2841888.95</v>
      </c>
      <c r="L150" s="468">
        <f>IFERROR(VLOOKUP(A150,'2018-19'!$A$6:$D$318,4,0),0)</f>
        <v>5166526.4800000004</v>
      </c>
      <c r="M150" s="468">
        <f t="shared" si="20"/>
        <v>8008415.4300000006</v>
      </c>
      <c r="N150" s="382"/>
      <c r="O150" s="452">
        <v>438</v>
      </c>
      <c r="P150" s="387">
        <v>3414061.92</v>
      </c>
      <c r="Q150" s="387">
        <v>5452778.5599999996</v>
      </c>
      <c r="R150" s="387">
        <v>8866840.4800000004</v>
      </c>
      <c r="S150" s="382"/>
      <c r="T150" s="375">
        <f>VLOOKUP(A150,'Nov 2020 cc'!$B$3:$D$317,3,0)</f>
        <v>420</v>
      </c>
      <c r="U150" s="387">
        <v>3070846.16</v>
      </c>
      <c r="V150" s="387">
        <v>6607648.9199999999</v>
      </c>
      <c r="W150" s="387">
        <v>9678495.0800000001</v>
      </c>
      <c r="X150" s="382"/>
      <c r="Y150" s="375">
        <v>408</v>
      </c>
      <c r="Z150" s="413">
        <f>VLOOKUP(A150,'2021-22'!$A$6:$D$317,4,0)</f>
        <v>4310769.83</v>
      </c>
      <c r="AA150" s="413">
        <f>VLOOKUP(A150,'2021-22'!$A$6:$E$317,5,0)</f>
        <v>6107688.2199999997</v>
      </c>
      <c r="AB150" s="387">
        <f t="shared" si="16"/>
        <v>10418458.050000001</v>
      </c>
      <c r="AC150" s="382"/>
      <c r="AD150" s="416">
        <v>437</v>
      </c>
      <c r="AE150" s="413">
        <v>2843528.76</v>
      </c>
      <c r="AF150" s="413">
        <v>7929272.8399999999</v>
      </c>
      <c r="AG150" s="387">
        <f t="shared" si="17"/>
        <v>10772801.6</v>
      </c>
      <c r="AH150" s="557"/>
      <c r="AI150" s="387">
        <f>IFERROR(VLOOKUP(A150,'23-24 child count'!$C$4:$Y$317,23,0),0)</f>
        <v>447</v>
      </c>
      <c r="AJ150" s="387">
        <f>VLOOKUP(A150,'23-24 state &amp; local'!$A$5:$D$316,4,0)</f>
        <v>1407552.53</v>
      </c>
      <c r="AK150" s="387">
        <f>VLOOKUP(A150,'23-24 state &amp; local'!$A$5:$E$316,5,0)</f>
        <v>11663669.439999999</v>
      </c>
      <c r="AL150" s="387">
        <f t="shared" si="18"/>
        <v>13071221.969999999</v>
      </c>
      <c r="AM150" s="382"/>
    </row>
    <row r="151" spans="1:39" ht="15" hidden="1" x14ac:dyDescent="0.25">
      <c r="A151" s="375" t="s">
        <v>482</v>
      </c>
      <c r="B151" s="375" t="s">
        <v>197</v>
      </c>
      <c r="C151" s="448" t="s">
        <v>483</v>
      </c>
      <c r="E151" s="461">
        <v>201</v>
      </c>
      <c r="F151" s="468">
        <f>IFERROR(VLOOKUP(A151,'2017-18'!$A$6:$F$315,6,0),0)</f>
        <v>0</v>
      </c>
      <c r="G151" s="468">
        <f>IFERROR(VLOOKUP(A151,'2017-18'!$A$6:$D$315,4,0),0)</f>
        <v>1985798.96</v>
      </c>
      <c r="H151" s="468">
        <f t="shared" si="19"/>
        <v>1985798.96</v>
      </c>
      <c r="I151" s="382"/>
      <c r="J151" s="462">
        <v>198</v>
      </c>
      <c r="K151" s="468">
        <f>IFERROR(VLOOKUP(A151,'2018-19'!$A$6:$F$318,6,0),0)</f>
        <v>0</v>
      </c>
      <c r="L151" s="468">
        <f>IFERROR(VLOOKUP(A151,'2018-19'!$A$6:$D$318,4,0),0)</f>
        <v>2234976.9500000002</v>
      </c>
      <c r="M151" s="468">
        <f t="shared" si="20"/>
        <v>2234976.9500000002</v>
      </c>
      <c r="N151" s="382"/>
      <c r="O151" s="452">
        <v>202</v>
      </c>
      <c r="P151" s="387">
        <v>0</v>
      </c>
      <c r="Q151" s="387">
        <v>2520018.25</v>
      </c>
      <c r="R151" s="387">
        <v>2520018.25</v>
      </c>
      <c r="S151" s="382"/>
      <c r="T151" s="375">
        <f>VLOOKUP(A151,'Nov 2020 cc'!$B$3:$D$317,3,0)</f>
        <v>207</v>
      </c>
      <c r="U151" s="387">
        <v>0</v>
      </c>
      <c r="V151" s="387">
        <v>2729302.84</v>
      </c>
      <c r="W151" s="387">
        <v>2729302.84</v>
      </c>
      <c r="X151" s="382"/>
      <c r="Y151" s="375">
        <v>206</v>
      </c>
      <c r="Z151" s="413">
        <f>VLOOKUP(A151,'2021-22'!$A$6:$D$317,4,0)</f>
        <v>0</v>
      </c>
      <c r="AA151" s="413">
        <f>VLOOKUP(A151,'2021-22'!$A$6:$E$317,5,0)</f>
        <v>3120520.56</v>
      </c>
      <c r="AB151" s="387">
        <f t="shared" si="16"/>
        <v>3120520.56</v>
      </c>
      <c r="AC151" s="382"/>
      <c r="AD151" s="416">
        <v>215</v>
      </c>
      <c r="AE151" s="413">
        <v>0</v>
      </c>
      <c r="AF151" s="413">
        <v>3435325.78</v>
      </c>
      <c r="AG151" s="387">
        <f t="shared" si="17"/>
        <v>3435325.78</v>
      </c>
      <c r="AH151" s="557"/>
      <c r="AI151" s="387">
        <f>IFERROR(VLOOKUP(A151,'23-24 child count'!$C$4:$Y$317,23,0),0)</f>
        <v>231</v>
      </c>
      <c r="AJ151" s="387">
        <f>VLOOKUP(A151,'23-24 state &amp; local'!$A$5:$D$316,4,0)</f>
        <v>0</v>
      </c>
      <c r="AK151" s="387">
        <f>VLOOKUP(A151,'23-24 state &amp; local'!$A$5:$E$316,5,0)</f>
        <v>3959247.49</v>
      </c>
      <c r="AL151" s="387">
        <f t="shared" si="18"/>
        <v>3959247.49</v>
      </c>
      <c r="AM151" s="382"/>
    </row>
    <row r="152" spans="1:39" ht="15" hidden="1" x14ac:dyDescent="0.25">
      <c r="A152" s="375" t="s">
        <v>484</v>
      </c>
      <c r="B152" s="375" t="s">
        <v>231</v>
      </c>
      <c r="C152" s="448" t="s">
        <v>485</v>
      </c>
      <c r="D152" s="375" t="s">
        <v>819</v>
      </c>
      <c r="E152" s="461">
        <v>81</v>
      </c>
      <c r="F152" s="468">
        <f>IFERROR(VLOOKUP(A152,'2017-18'!$A$6:$F$315,6,0),0)</f>
        <v>0</v>
      </c>
      <c r="G152" s="468">
        <f>IFERROR(VLOOKUP(A152,'2017-18'!$A$6:$D$315,4,0),0)</f>
        <v>629708.82999999996</v>
      </c>
      <c r="H152" s="468">
        <f t="shared" si="19"/>
        <v>629708.82999999996</v>
      </c>
      <c r="I152" s="382"/>
      <c r="J152" s="462">
        <v>79</v>
      </c>
      <c r="K152" s="468">
        <f>IFERROR(VLOOKUP(A152,'2018-19'!$A$6:$F$318,6,0),0)</f>
        <v>0</v>
      </c>
      <c r="L152" s="468">
        <f>IFERROR(VLOOKUP(A152,'2018-19'!$A$6:$D$318,4,0),0)</f>
        <v>694361.02</v>
      </c>
      <c r="M152" s="468">
        <f t="shared" si="20"/>
        <v>694361.02</v>
      </c>
      <c r="N152" s="382"/>
      <c r="O152" s="452">
        <v>81</v>
      </c>
      <c r="P152" s="387">
        <v>0</v>
      </c>
      <c r="Q152" s="387">
        <v>747286.38</v>
      </c>
      <c r="R152" s="387">
        <v>747286.38</v>
      </c>
      <c r="S152" s="382"/>
      <c r="T152" s="375">
        <f>VLOOKUP(A152,'Nov 2020 cc'!$B$3:$D$317,3,0)</f>
        <v>84</v>
      </c>
      <c r="U152" s="387">
        <v>0</v>
      </c>
      <c r="V152" s="387">
        <v>810324.99</v>
      </c>
      <c r="W152" s="387">
        <v>810324.99</v>
      </c>
      <c r="X152" s="382"/>
      <c r="Y152" s="375">
        <v>84</v>
      </c>
      <c r="Z152" s="413">
        <f>VLOOKUP(A152,'2021-22'!$A$6:$D$317,4,0)</f>
        <v>0</v>
      </c>
      <c r="AA152" s="413">
        <f>VLOOKUP(A152,'2021-22'!$A$6:$E$317,5,0)</f>
        <v>790090.73</v>
      </c>
      <c r="AB152" s="387">
        <f t="shared" si="16"/>
        <v>790090.73</v>
      </c>
      <c r="AC152" s="382"/>
      <c r="AD152" s="416">
        <v>70</v>
      </c>
      <c r="AE152" s="413">
        <v>0</v>
      </c>
      <c r="AF152" s="413">
        <v>752709.09</v>
      </c>
      <c r="AG152" s="387">
        <f t="shared" si="17"/>
        <v>752709.09</v>
      </c>
      <c r="AH152" s="557"/>
      <c r="AI152" s="387">
        <f>IFERROR(VLOOKUP(A152,'23-24 child count'!$C$4:$Y$317,23,0),0)</f>
        <v>92</v>
      </c>
      <c r="AJ152" s="387">
        <f>VLOOKUP(A152,'23-24 state &amp; local'!$A$5:$D$316,4,0)</f>
        <v>0</v>
      </c>
      <c r="AK152" s="387">
        <f>VLOOKUP(A152,'23-24 state &amp; local'!$A$5:$E$316,5,0)</f>
        <v>1076260.6100000001</v>
      </c>
      <c r="AL152" s="387">
        <f t="shared" si="18"/>
        <v>1076260.6100000001</v>
      </c>
      <c r="AM152" s="382"/>
    </row>
    <row r="153" spans="1:39" ht="15" hidden="1" x14ac:dyDescent="0.25">
      <c r="A153" s="375" t="s">
        <v>486</v>
      </c>
      <c r="B153" s="375" t="s">
        <v>210</v>
      </c>
      <c r="C153" s="448" t="s">
        <v>487</v>
      </c>
      <c r="D153" s="375" t="s">
        <v>819</v>
      </c>
      <c r="E153" s="461">
        <v>7</v>
      </c>
      <c r="F153" s="468">
        <f>IFERROR(VLOOKUP(A153,'2017-18'!$A$6:$F$315,6,0),0)</f>
        <v>0</v>
      </c>
      <c r="G153" s="468">
        <f>IFERROR(VLOOKUP(A153,'2017-18'!$A$6:$D$315,4,0),0)</f>
        <v>48940.42</v>
      </c>
      <c r="H153" s="468">
        <f t="shared" si="19"/>
        <v>48940.42</v>
      </c>
      <c r="I153" s="382"/>
      <c r="J153" s="462">
        <v>10</v>
      </c>
      <c r="K153" s="468">
        <f>IFERROR(VLOOKUP(A153,'2018-19'!$A$6:$F$318,6,0),0)</f>
        <v>0</v>
      </c>
      <c r="L153" s="468">
        <f>IFERROR(VLOOKUP(A153,'2018-19'!$A$6:$D$318,4,0),0)</f>
        <v>78275.95</v>
      </c>
      <c r="M153" s="468">
        <f t="shared" si="20"/>
        <v>78275.95</v>
      </c>
      <c r="N153" s="382"/>
      <c r="O153" s="452">
        <v>7</v>
      </c>
      <c r="P153" s="387">
        <v>0</v>
      </c>
      <c r="Q153" s="387">
        <v>54677.5</v>
      </c>
      <c r="R153" s="387">
        <v>54677.5</v>
      </c>
      <c r="S153" s="382"/>
      <c r="T153" s="375">
        <f>VLOOKUP(A153,'Nov 2020 cc'!$B$3:$D$317,3,0)</f>
        <v>8</v>
      </c>
      <c r="U153" s="387">
        <v>0</v>
      </c>
      <c r="V153" s="387">
        <v>71452.929999999993</v>
      </c>
      <c r="W153" s="387">
        <v>71452.929999999993</v>
      </c>
      <c r="X153" s="382"/>
      <c r="Y153" s="375">
        <v>5</v>
      </c>
      <c r="Z153" s="413">
        <f>VLOOKUP(A153,'2021-22'!$A$6:$D$317,4,0)</f>
        <v>0</v>
      </c>
      <c r="AA153" s="413">
        <f>VLOOKUP(A153,'2021-22'!$A$6:$E$317,5,0)</f>
        <v>49519.17</v>
      </c>
      <c r="AB153" s="387">
        <f t="shared" si="16"/>
        <v>49519.17</v>
      </c>
      <c r="AC153" s="382"/>
      <c r="AD153" s="416">
        <v>5</v>
      </c>
      <c r="AE153" s="413">
        <v>0</v>
      </c>
      <c r="AF153" s="413">
        <v>49047.6</v>
      </c>
      <c r="AG153" s="387">
        <f t="shared" si="17"/>
        <v>49047.6</v>
      </c>
      <c r="AH153" s="557"/>
      <c r="AI153" s="387">
        <f>IFERROR(VLOOKUP(A153,'23-24 child count'!$C$4:$Y$317,23,0),0)</f>
        <v>6</v>
      </c>
      <c r="AJ153" s="387">
        <f>VLOOKUP(A153,'23-24 state &amp; local'!$A$5:$D$316,4,0)</f>
        <v>0</v>
      </c>
      <c r="AK153" s="387">
        <f>VLOOKUP(A153,'23-24 state &amp; local'!$A$5:$E$316,5,0)</f>
        <v>61703.29</v>
      </c>
      <c r="AL153" s="387">
        <f t="shared" si="18"/>
        <v>61703.29</v>
      </c>
      <c r="AM153" s="382"/>
    </row>
    <row r="154" spans="1:39" ht="15" hidden="1" x14ac:dyDescent="0.25">
      <c r="A154" s="375" t="s">
        <v>488</v>
      </c>
      <c r="B154" s="375" t="s">
        <v>197</v>
      </c>
      <c r="C154" s="448" t="s">
        <v>489</v>
      </c>
      <c r="E154" s="461">
        <v>784</v>
      </c>
      <c r="F154" s="468">
        <f>IFERROR(VLOOKUP(A154,'2017-18'!$A$6:$F$315,6,0),0)</f>
        <v>531033.44999999995</v>
      </c>
      <c r="G154" s="468">
        <f>IFERROR(VLOOKUP(A154,'2017-18'!$A$6:$D$315,4,0),0)</f>
        <v>7444892.8600000003</v>
      </c>
      <c r="H154" s="468">
        <f t="shared" si="19"/>
        <v>7975926.3100000005</v>
      </c>
      <c r="I154" s="382"/>
      <c r="J154" s="462">
        <v>777</v>
      </c>
      <c r="K154" s="468">
        <f>IFERROR(VLOOKUP(A154,'2018-19'!$A$6:$F$318,6,0),0)</f>
        <v>977673.61</v>
      </c>
      <c r="L154" s="468">
        <f>IFERROR(VLOOKUP(A154,'2018-19'!$A$6:$D$318,4,0),0)</f>
        <v>8807665.9399999995</v>
      </c>
      <c r="M154" s="468">
        <f t="shared" si="20"/>
        <v>9785339.5499999989</v>
      </c>
      <c r="N154" s="382"/>
      <c r="O154" s="452">
        <v>827</v>
      </c>
      <c r="P154" s="387">
        <v>387760.62</v>
      </c>
      <c r="Q154" s="387">
        <v>10120055.08</v>
      </c>
      <c r="R154" s="387">
        <v>10507815.699999999</v>
      </c>
      <c r="S154" s="382"/>
      <c r="T154" s="375">
        <f>VLOOKUP(A154,'Nov 2020 cc'!$B$3:$D$317,3,0)</f>
        <v>743</v>
      </c>
      <c r="U154" s="387">
        <v>387890.37</v>
      </c>
      <c r="V154" s="387">
        <v>9879690.1600000001</v>
      </c>
      <c r="W154" s="387">
        <v>10267580.529999999</v>
      </c>
      <c r="X154" s="382"/>
      <c r="Y154" s="375">
        <v>764</v>
      </c>
      <c r="Z154" s="413">
        <f>VLOOKUP(A154,'2021-22'!$A$6:$D$317,4,0)</f>
        <v>390410.91</v>
      </c>
      <c r="AA154" s="413">
        <f>VLOOKUP(A154,'2021-22'!$A$6:$E$317,5,0)</f>
        <v>12104034.609999999</v>
      </c>
      <c r="AB154" s="387">
        <f t="shared" si="16"/>
        <v>12494445.52</v>
      </c>
      <c r="AC154" s="382"/>
      <c r="AD154" s="416">
        <v>788</v>
      </c>
      <c r="AE154" s="413">
        <v>432163.92</v>
      </c>
      <c r="AF154" s="413">
        <v>13103257.24</v>
      </c>
      <c r="AG154" s="387">
        <f t="shared" si="17"/>
        <v>13535421.16</v>
      </c>
      <c r="AH154" s="557"/>
      <c r="AI154" s="387">
        <f>IFERROR(VLOOKUP(A154,'23-24 child count'!$C$4:$Y$317,23,0),0)</f>
        <v>807</v>
      </c>
      <c r="AJ154" s="387">
        <f>VLOOKUP(A154,'23-24 state &amp; local'!$A$5:$D$316,4,0)</f>
        <v>870943.83</v>
      </c>
      <c r="AK154" s="387">
        <f>VLOOKUP(A154,'23-24 state &amp; local'!$A$5:$E$316,5,0)</f>
        <v>14501097.52</v>
      </c>
      <c r="AL154" s="387">
        <f t="shared" si="18"/>
        <v>15372041.35</v>
      </c>
      <c r="AM154" s="382"/>
    </row>
    <row r="155" spans="1:39" ht="15" hidden="1" x14ac:dyDescent="0.25">
      <c r="A155" s="375" t="s">
        <v>490</v>
      </c>
      <c r="B155" s="375" t="s">
        <v>189</v>
      </c>
      <c r="C155" s="448" t="s">
        <v>491</v>
      </c>
      <c r="E155" s="461">
        <v>187</v>
      </c>
      <c r="F155" s="468">
        <f>IFERROR(VLOOKUP(A155,'2017-18'!$A$6:$F$315,6,0),0)</f>
        <v>96896.69</v>
      </c>
      <c r="G155" s="468">
        <f>IFERROR(VLOOKUP(A155,'2017-18'!$A$6:$D$315,4,0),0)</f>
        <v>1512281.39</v>
      </c>
      <c r="H155" s="468">
        <f t="shared" si="19"/>
        <v>1609178.0799999998</v>
      </c>
      <c r="I155" s="382"/>
      <c r="J155" s="462">
        <v>205</v>
      </c>
      <c r="K155" s="468">
        <f>IFERROR(VLOOKUP(A155,'2018-19'!$A$6:$F$318,6,0),0)</f>
        <v>91356.94</v>
      </c>
      <c r="L155" s="468">
        <f>IFERROR(VLOOKUP(A155,'2018-19'!$A$6:$D$318,4,0),0)</f>
        <v>1955577.19</v>
      </c>
      <c r="M155" s="468">
        <f t="shared" si="20"/>
        <v>2046934.13</v>
      </c>
      <c r="N155" s="382"/>
      <c r="O155" s="452">
        <v>225</v>
      </c>
      <c r="P155" s="387">
        <v>0</v>
      </c>
      <c r="Q155" s="387">
        <v>2368312.31</v>
      </c>
      <c r="R155" s="387">
        <v>2368312.31</v>
      </c>
      <c r="S155" s="382"/>
      <c r="T155" s="375">
        <f>VLOOKUP(A155,'Nov 2020 cc'!$B$3:$D$317,3,0)</f>
        <v>211</v>
      </c>
      <c r="U155" s="387">
        <v>0</v>
      </c>
      <c r="V155" s="387">
        <v>2214285.75</v>
      </c>
      <c r="W155" s="387">
        <v>2214285.75</v>
      </c>
      <c r="X155" s="382"/>
      <c r="Y155" s="375">
        <v>219</v>
      </c>
      <c r="Z155" s="413">
        <f>VLOOKUP(A155,'2021-22'!$A$6:$D$317,4,0)</f>
        <v>0</v>
      </c>
      <c r="AA155" s="413">
        <f>VLOOKUP(A155,'2021-22'!$A$6:$E$317,5,0)</f>
        <v>2629408.61</v>
      </c>
      <c r="AB155" s="387">
        <f t="shared" si="16"/>
        <v>2629408.61</v>
      </c>
      <c r="AC155" s="382"/>
      <c r="AD155" s="416">
        <v>233</v>
      </c>
      <c r="AE155" s="413">
        <v>186519.47</v>
      </c>
      <c r="AF155" s="413">
        <v>2744950.54</v>
      </c>
      <c r="AG155" s="387">
        <f t="shared" si="17"/>
        <v>2931470.0100000002</v>
      </c>
      <c r="AH155" s="557"/>
      <c r="AI155" s="387">
        <f>IFERROR(VLOOKUP(A155,'23-24 child count'!$C$4:$Y$317,23,0),0)</f>
        <v>244</v>
      </c>
      <c r="AJ155" s="387">
        <f>VLOOKUP(A155,'23-24 state &amp; local'!$A$5:$D$316,4,0)</f>
        <v>0</v>
      </c>
      <c r="AK155" s="387">
        <f>VLOOKUP(A155,'23-24 state &amp; local'!$A$5:$E$316,5,0)</f>
        <v>2938817.53</v>
      </c>
      <c r="AL155" s="387">
        <f t="shared" si="18"/>
        <v>2938817.53</v>
      </c>
      <c r="AM155" s="382"/>
    </row>
    <row r="156" spans="1:39" ht="15" hidden="1" x14ac:dyDescent="0.25">
      <c r="A156" s="375" t="s">
        <v>492</v>
      </c>
      <c r="B156" s="375" t="s">
        <v>189</v>
      </c>
      <c r="C156" s="448" t="s">
        <v>493</v>
      </c>
      <c r="E156" s="461">
        <v>44</v>
      </c>
      <c r="F156" s="468">
        <f>IFERROR(VLOOKUP(A156,'2017-18'!$A$6:$F$315,6,0),0)</f>
        <v>68649.149999999994</v>
      </c>
      <c r="G156" s="468">
        <f>IFERROR(VLOOKUP(A156,'2017-18'!$A$6:$D$315,4,0),0)</f>
        <v>358065.94</v>
      </c>
      <c r="H156" s="468">
        <f t="shared" si="19"/>
        <v>426715.08999999997</v>
      </c>
      <c r="I156" s="382"/>
      <c r="J156" s="462">
        <v>56</v>
      </c>
      <c r="K156" s="468">
        <f>IFERROR(VLOOKUP(A156,'2018-19'!$A$6:$F$318,6,0),0)</f>
        <v>106333.22</v>
      </c>
      <c r="L156" s="468">
        <f>IFERROR(VLOOKUP(A156,'2018-19'!$A$6:$D$318,4,0),0)</f>
        <v>467339.49</v>
      </c>
      <c r="M156" s="468">
        <f t="shared" si="20"/>
        <v>573672.71</v>
      </c>
      <c r="N156" s="382"/>
      <c r="O156" s="452">
        <v>59</v>
      </c>
      <c r="P156" s="387">
        <v>107013.43</v>
      </c>
      <c r="Q156" s="387">
        <v>594709.82999999996</v>
      </c>
      <c r="R156" s="387">
        <v>701723.26</v>
      </c>
      <c r="S156" s="382"/>
      <c r="T156" s="375">
        <f>VLOOKUP(A156,'Nov 2020 cc'!$B$3:$D$317,3,0)</f>
        <v>52</v>
      </c>
      <c r="U156" s="387">
        <v>133088.54999999999</v>
      </c>
      <c r="V156" s="387">
        <v>664050.68999999994</v>
      </c>
      <c r="W156" s="387">
        <v>797139.24</v>
      </c>
      <c r="X156" s="382"/>
      <c r="Y156" s="375">
        <v>50</v>
      </c>
      <c r="Z156" s="413">
        <f>VLOOKUP(A156,'2021-22'!$A$6:$D$317,4,0)</f>
        <v>134152.26</v>
      </c>
      <c r="AA156" s="413">
        <f>VLOOKUP(A156,'2021-22'!$A$6:$E$317,5,0)</f>
        <v>725674.5</v>
      </c>
      <c r="AB156" s="387">
        <f t="shared" si="16"/>
        <v>859826.76</v>
      </c>
      <c r="AC156" s="382"/>
      <c r="AD156" s="416">
        <v>47</v>
      </c>
      <c r="AE156" s="413">
        <v>197082.25</v>
      </c>
      <c r="AF156" s="413">
        <v>682056.14</v>
      </c>
      <c r="AG156" s="387">
        <f t="shared" si="17"/>
        <v>879138.39</v>
      </c>
      <c r="AH156" s="557"/>
      <c r="AI156" s="387">
        <f>IFERROR(VLOOKUP(A156,'23-24 child count'!$C$4:$Y$317,23,0),0)</f>
        <v>59</v>
      </c>
      <c r="AJ156" s="387">
        <f>VLOOKUP(A156,'23-24 state &amp; local'!$A$5:$D$316,4,0)</f>
        <v>351586.52</v>
      </c>
      <c r="AK156" s="387">
        <f>VLOOKUP(A156,'23-24 state &amp; local'!$A$5:$E$316,5,0)</f>
        <v>1112365.45</v>
      </c>
      <c r="AL156" s="387">
        <f t="shared" si="18"/>
        <v>1463951.97</v>
      </c>
      <c r="AM156" s="382"/>
    </row>
    <row r="157" spans="1:39" ht="15" hidden="1" x14ac:dyDescent="0.25">
      <c r="A157" s="375" t="s">
        <v>494</v>
      </c>
      <c r="B157" s="375" t="s">
        <v>231</v>
      </c>
      <c r="C157" s="448" t="s">
        <v>495</v>
      </c>
      <c r="E157" s="461">
        <v>1100</v>
      </c>
      <c r="F157" s="468">
        <f>IFERROR(VLOOKUP(A157,'2017-18'!$A$6:$F$315,6,0),0)</f>
        <v>1831120.03</v>
      </c>
      <c r="G157" s="468">
        <f>IFERROR(VLOOKUP(A157,'2017-18'!$A$6:$D$315,4,0),0)</f>
        <v>7518197.7800000003</v>
      </c>
      <c r="H157" s="468">
        <f t="shared" si="19"/>
        <v>9349317.8100000005</v>
      </c>
      <c r="I157" s="382"/>
      <c r="J157" s="462">
        <v>1129</v>
      </c>
      <c r="K157" s="468">
        <f>IFERROR(VLOOKUP(A157,'2018-19'!$A$6:$F$318,6,0),0)</f>
        <v>0</v>
      </c>
      <c r="L157" s="468">
        <f>IFERROR(VLOOKUP(A157,'2018-19'!$A$6:$D$318,4,0),0)</f>
        <v>10349016.210000001</v>
      </c>
      <c r="M157" s="468">
        <f t="shared" si="20"/>
        <v>10349016.210000001</v>
      </c>
      <c r="N157" s="382"/>
      <c r="O157" s="452">
        <v>1182</v>
      </c>
      <c r="P157" s="387">
        <v>1640640.25</v>
      </c>
      <c r="Q157" s="387">
        <v>10390103.470000001</v>
      </c>
      <c r="R157" s="387">
        <v>12030743.720000001</v>
      </c>
      <c r="S157" s="382"/>
      <c r="T157" s="375">
        <f>VLOOKUP(A157,'Nov 2020 cc'!$B$3:$D$317,3,0)</f>
        <v>1144</v>
      </c>
      <c r="U157" s="387">
        <v>190292.56</v>
      </c>
      <c r="V157" s="387">
        <v>12646807.029999999</v>
      </c>
      <c r="W157" s="387">
        <v>12837099.59</v>
      </c>
      <c r="X157" s="382"/>
      <c r="Y157" s="375">
        <v>1215</v>
      </c>
      <c r="Z157" s="413">
        <f>VLOOKUP(A157,'2021-22'!$A$6:$D$317,4,0)</f>
        <v>1338203.05</v>
      </c>
      <c r="AA157" s="413">
        <f>VLOOKUP(A157,'2021-22'!$A$6:$E$317,5,0)</f>
        <v>13386450.529999999</v>
      </c>
      <c r="AB157" s="387">
        <f t="shared" si="16"/>
        <v>14724653.58</v>
      </c>
      <c r="AC157" s="382"/>
      <c r="AD157" s="416">
        <v>1247</v>
      </c>
      <c r="AE157" s="413">
        <v>4298284.51</v>
      </c>
      <c r="AF157" s="413">
        <v>12398748.26</v>
      </c>
      <c r="AG157" s="387">
        <f t="shared" si="17"/>
        <v>16697032.77</v>
      </c>
      <c r="AH157" s="557"/>
      <c r="AI157" s="387">
        <f>IFERROR(VLOOKUP(A157,'23-24 child count'!$C$4:$Y$317,23,0),0)</f>
        <v>1405</v>
      </c>
      <c r="AJ157" s="387">
        <f>VLOOKUP(A157,'23-24 state &amp; local'!$A$5:$D$316,4,0)</f>
        <v>2077255.57</v>
      </c>
      <c r="AK157" s="387">
        <f>VLOOKUP(A157,'23-24 state &amp; local'!$A$5:$E$316,5,0)</f>
        <v>18149379.940000001</v>
      </c>
      <c r="AL157" s="387">
        <f t="shared" si="18"/>
        <v>20226635.510000002</v>
      </c>
      <c r="AM157" s="382"/>
    </row>
    <row r="158" spans="1:39" ht="15" hidden="1" x14ac:dyDescent="0.25">
      <c r="A158" s="375" t="s">
        <v>496</v>
      </c>
      <c r="B158" s="375" t="s">
        <v>189</v>
      </c>
      <c r="C158" s="448" t="s">
        <v>497</v>
      </c>
      <c r="E158" s="461">
        <v>105</v>
      </c>
      <c r="F158" s="468">
        <f>IFERROR(VLOOKUP(A158,'2017-18'!$A$6:$F$315,6,0),0)</f>
        <v>0</v>
      </c>
      <c r="G158" s="468">
        <f>IFERROR(VLOOKUP(A158,'2017-18'!$A$6:$D$315,4,0),0)</f>
        <v>556247.73</v>
      </c>
      <c r="H158" s="468">
        <f t="shared" si="19"/>
        <v>556247.73</v>
      </c>
      <c r="I158" s="382"/>
      <c r="J158" s="462">
        <v>98</v>
      </c>
      <c r="K158" s="468">
        <f>IFERROR(VLOOKUP(A158,'2018-19'!$A$6:$F$318,6,0),0)</f>
        <v>1221.31</v>
      </c>
      <c r="L158" s="468">
        <f>IFERROR(VLOOKUP(A158,'2018-19'!$A$6:$D$318,4,0),0)</f>
        <v>828809.9</v>
      </c>
      <c r="M158" s="468">
        <f t="shared" si="20"/>
        <v>830031.21000000008</v>
      </c>
      <c r="N158" s="382"/>
      <c r="O158" s="452">
        <v>99</v>
      </c>
      <c r="P158" s="387">
        <v>1248</v>
      </c>
      <c r="Q158" s="387">
        <v>963998.15</v>
      </c>
      <c r="R158" s="387">
        <v>965246.15</v>
      </c>
      <c r="S158" s="382"/>
      <c r="T158" s="375">
        <f>VLOOKUP(A158,'Nov 2020 cc'!$B$3:$D$317,3,0)</f>
        <v>100</v>
      </c>
      <c r="U158" s="387">
        <v>1300</v>
      </c>
      <c r="V158" s="387">
        <v>917146.2</v>
      </c>
      <c r="W158" s="387">
        <v>918446.2</v>
      </c>
      <c r="X158" s="382"/>
      <c r="Y158" s="375">
        <v>94</v>
      </c>
      <c r="Z158" s="413">
        <f>VLOOKUP(A158,'2021-22'!$A$6:$D$317,4,0)</f>
        <v>67922.23</v>
      </c>
      <c r="AA158" s="413">
        <f>VLOOKUP(A158,'2021-22'!$A$6:$E$317,5,0)-3807</f>
        <v>1055989.1499999999</v>
      </c>
      <c r="AB158" s="387">
        <f t="shared" si="16"/>
        <v>1123911.3799999999</v>
      </c>
      <c r="AC158" s="382"/>
      <c r="AD158" s="416">
        <v>103</v>
      </c>
      <c r="AE158" s="413">
        <v>38303.14</v>
      </c>
      <c r="AF158" s="413">
        <v>1010915.84</v>
      </c>
      <c r="AG158" s="387">
        <f t="shared" si="17"/>
        <v>1049218.98</v>
      </c>
      <c r="AH158" s="557"/>
      <c r="AI158" s="387">
        <f>IFERROR(VLOOKUP(A158,'23-24 child count'!$C$4:$Y$317,23,0),0)</f>
        <v>119</v>
      </c>
      <c r="AJ158" s="387">
        <f>VLOOKUP(A158,'23-24 state &amp; local'!$A$5:$D$316,4,0)</f>
        <v>67922.23</v>
      </c>
      <c r="AK158" s="387">
        <f>VLOOKUP(A158,'23-24 state &amp; local'!$A$5:$E$316,5,0)</f>
        <v>1714117.66</v>
      </c>
      <c r="AL158" s="387">
        <f t="shared" si="18"/>
        <v>1782039.89</v>
      </c>
      <c r="AM158" s="382"/>
    </row>
    <row r="159" spans="1:39" ht="15" hidden="1" x14ac:dyDescent="0.25">
      <c r="A159" s="375" t="s">
        <v>498</v>
      </c>
      <c r="B159" s="375" t="s">
        <v>221</v>
      </c>
      <c r="C159" s="448" t="s">
        <v>499</v>
      </c>
      <c r="E159" s="472">
        <v>145</v>
      </c>
      <c r="F159" s="468">
        <f>IFERROR(VLOOKUP(A159,'2017-18'!$A$6:$F$315,6,0),0)</f>
        <v>0</v>
      </c>
      <c r="G159" s="468">
        <f>IFERROR(VLOOKUP(A159,'2017-18'!$A$6:$D$315,4,0),0)</f>
        <v>1183898.32</v>
      </c>
      <c r="H159" s="468">
        <f t="shared" si="19"/>
        <v>1183898.32</v>
      </c>
      <c r="I159" s="382"/>
      <c r="J159" s="462">
        <v>138</v>
      </c>
      <c r="K159" s="468">
        <f>IFERROR(VLOOKUP(A159,'2018-19'!$A$6:$F$318,6,0),0)</f>
        <v>0</v>
      </c>
      <c r="L159" s="468">
        <f>IFERROR(VLOOKUP(A159,'2018-19'!$A$6:$D$318,4,0),0)</f>
        <v>1332640.7</v>
      </c>
      <c r="M159" s="468">
        <f t="shared" si="20"/>
        <v>1332640.7</v>
      </c>
      <c r="N159" s="382"/>
      <c r="O159" s="473">
        <v>127</v>
      </c>
      <c r="P159" s="474">
        <v>57376.58</v>
      </c>
      <c r="Q159" s="474">
        <v>1368476.32</v>
      </c>
      <c r="R159" s="474">
        <v>1425852.9000000001</v>
      </c>
      <c r="S159" s="382"/>
      <c r="T159" s="375">
        <f>VLOOKUP(A159,'Nov 2020 cc'!$B$3:$D$317,3,0)</f>
        <v>117</v>
      </c>
      <c r="U159" s="474">
        <v>140260</v>
      </c>
      <c r="V159" s="474">
        <v>980435.96</v>
      </c>
      <c r="W159" s="474">
        <v>1120695.96</v>
      </c>
      <c r="X159" s="382"/>
      <c r="Y159" s="375">
        <v>128</v>
      </c>
      <c r="Z159" s="413">
        <f>VLOOKUP(A159,'2021-22'!$A$6:$D$317,4,0)</f>
        <v>0</v>
      </c>
      <c r="AA159" s="413">
        <f>VLOOKUP(A159,'2021-22'!$A$6:$E$317,5,0)</f>
        <v>1344889.6</v>
      </c>
      <c r="AB159" s="474">
        <f t="shared" si="16"/>
        <v>1344889.6</v>
      </c>
      <c r="AC159" s="382"/>
      <c r="AD159" s="416">
        <v>124</v>
      </c>
      <c r="AE159" s="475">
        <v>98765.99</v>
      </c>
      <c r="AF159" s="475">
        <v>1366797.99</v>
      </c>
      <c r="AG159" s="474">
        <f t="shared" si="17"/>
        <v>1465563.98</v>
      </c>
      <c r="AH159" s="557"/>
      <c r="AI159" s="387">
        <f>IFERROR(VLOOKUP(A159,'23-24 child count'!$C$4:$Y$317,23,0),0)</f>
        <v>124</v>
      </c>
      <c r="AJ159" s="387">
        <f>VLOOKUP(A159,'23-24 state &amp; local'!$A$5:$D$316,4,0)</f>
        <v>28020.47</v>
      </c>
      <c r="AK159" s="387">
        <f>VLOOKUP(A159,'23-24 state &amp; local'!$A$5:$E$316,5,0)</f>
        <v>1527054.13</v>
      </c>
      <c r="AL159" s="387">
        <f t="shared" si="18"/>
        <v>1555074.5999999999</v>
      </c>
      <c r="AM159" s="382"/>
    </row>
    <row r="160" spans="1:39" ht="15" hidden="1" x14ac:dyDescent="0.25">
      <c r="A160" s="383" t="s">
        <v>500</v>
      </c>
      <c r="B160" s="375" t="s">
        <v>197</v>
      </c>
      <c r="C160" s="448" t="s">
        <v>501</v>
      </c>
      <c r="E160" s="461">
        <v>334</v>
      </c>
      <c r="F160" s="468">
        <f>IFERROR(VLOOKUP(A160,'2017-18'!$A$6:$F$315,6,0),0)</f>
        <v>0</v>
      </c>
      <c r="G160" s="468">
        <f>IFERROR(VLOOKUP(A160,'2017-18'!$A$6:$D$315,4,0),0)</f>
        <v>3370002.91</v>
      </c>
      <c r="H160" s="468">
        <f t="shared" si="19"/>
        <v>3370002.91</v>
      </c>
      <c r="I160" s="382"/>
      <c r="J160" s="462">
        <v>351</v>
      </c>
      <c r="K160" s="468">
        <f>IFERROR(VLOOKUP(A160,'2018-19'!$A$6:$F$318,6,0),0)</f>
        <v>649235.86</v>
      </c>
      <c r="L160" s="468">
        <f>IFERROR(VLOOKUP(A160,'2018-19'!$A$6:$D$318,4,0),0)</f>
        <v>3106232.69</v>
      </c>
      <c r="M160" s="468">
        <f t="shared" si="20"/>
        <v>3755468.55</v>
      </c>
      <c r="N160" s="382"/>
      <c r="O160" s="452">
        <v>351</v>
      </c>
      <c r="P160" s="387">
        <v>768150.26</v>
      </c>
      <c r="Q160" s="387">
        <v>3339236.2</v>
      </c>
      <c r="R160" s="387">
        <v>4107386.46</v>
      </c>
      <c r="S160" s="382"/>
      <c r="T160" s="375">
        <f>VLOOKUP(A160,'Nov 2020 cc'!$B$3:$D$317,3,0)</f>
        <v>325</v>
      </c>
      <c r="U160" s="387">
        <v>1018169.02</v>
      </c>
      <c r="V160" s="387">
        <v>3134788.27</v>
      </c>
      <c r="W160" s="387">
        <v>4152957.29</v>
      </c>
      <c r="X160" s="382"/>
      <c r="Y160" s="375">
        <v>309</v>
      </c>
      <c r="Z160" s="413">
        <f>VLOOKUP(A160,'2021-22'!$A$6:$D$317,4,0)</f>
        <v>0</v>
      </c>
      <c r="AA160" s="413">
        <f>VLOOKUP(A160,'2021-22'!$A$6:$E$317,5,0)</f>
        <v>4063540.77</v>
      </c>
      <c r="AB160" s="387">
        <f t="shared" si="16"/>
        <v>4063540.77</v>
      </c>
      <c r="AC160" s="382"/>
      <c r="AD160" s="416">
        <v>326</v>
      </c>
      <c r="AE160" s="413">
        <v>0</v>
      </c>
      <c r="AF160" s="413">
        <v>4933325.3</v>
      </c>
      <c r="AG160" s="387">
        <f t="shared" si="17"/>
        <v>4933325.3</v>
      </c>
      <c r="AH160" s="557"/>
      <c r="AI160" s="387">
        <f>IFERROR(VLOOKUP(A160,'23-24 child count'!$C$4:$Y$317,23,0),0)</f>
        <v>326</v>
      </c>
      <c r="AJ160" s="387">
        <f>VLOOKUP(A160,'23-24 state &amp; local'!$A$5:$D$316,4,0)</f>
        <v>0</v>
      </c>
      <c r="AK160" s="387">
        <f>VLOOKUP(A160,'23-24 state &amp; local'!$A$5:$E$316,5,0)</f>
        <v>5382156.2000000002</v>
      </c>
      <c r="AL160" s="387">
        <f t="shared" si="18"/>
        <v>5382156.2000000002</v>
      </c>
      <c r="AM160" s="382"/>
    </row>
    <row r="161" spans="1:39" ht="15" hidden="1" x14ac:dyDescent="0.25">
      <c r="A161" s="375" t="s">
        <v>502</v>
      </c>
      <c r="B161" s="375" t="s">
        <v>210</v>
      </c>
      <c r="C161" s="448" t="s">
        <v>503</v>
      </c>
      <c r="D161" s="375" t="s">
        <v>819</v>
      </c>
      <c r="E161" s="461">
        <v>6</v>
      </c>
      <c r="F161" s="468">
        <f>IFERROR(VLOOKUP(A161,'2017-18'!$A$6:$F$315,6,0),0)</f>
        <v>0</v>
      </c>
      <c r="G161" s="468">
        <f>IFERROR(VLOOKUP(A161,'2017-18'!$A$6:$D$315,4,0),0)</f>
        <v>51706.36</v>
      </c>
      <c r="H161" s="468">
        <f t="shared" si="19"/>
        <v>51706.36</v>
      </c>
      <c r="I161" s="382"/>
      <c r="J161" s="462">
        <v>10</v>
      </c>
      <c r="K161" s="468">
        <f>IFERROR(VLOOKUP(A161,'2018-19'!$A$6:$F$318,6,0),0)</f>
        <v>0</v>
      </c>
      <c r="L161" s="468">
        <f>IFERROR(VLOOKUP(A161,'2018-19'!$A$6:$D$318,4,0),0)</f>
        <v>74249.87</v>
      </c>
      <c r="M161" s="468">
        <f t="shared" si="20"/>
        <v>74249.87</v>
      </c>
      <c r="N161" s="382"/>
      <c r="O161" s="452">
        <v>8</v>
      </c>
      <c r="P161" s="387">
        <v>0</v>
      </c>
      <c r="Q161" s="387">
        <v>76712.08</v>
      </c>
      <c r="R161" s="387">
        <v>76712.08</v>
      </c>
      <c r="S161" s="382"/>
      <c r="T161" s="375">
        <f>VLOOKUP(A161,'Nov 2020 cc'!$B$3:$D$317,3,0)</f>
        <v>7</v>
      </c>
      <c r="U161" s="387">
        <v>0</v>
      </c>
      <c r="V161" s="387">
        <v>69221.289999999994</v>
      </c>
      <c r="W161" s="387">
        <v>69221.289999999994</v>
      </c>
      <c r="X161" s="382"/>
      <c r="Y161" s="375">
        <v>5</v>
      </c>
      <c r="Z161" s="413">
        <f>VLOOKUP(A161,'2021-22'!$A$6:$D$317,4,0)</f>
        <v>0</v>
      </c>
      <c r="AA161" s="413">
        <f>VLOOKUP(A161,'2021-22'!$A$6:$E$317,5,0)</f>
        <v>43449.8</v>
      </c>
      <c r="AB161" s="387">
        <f t="shared" si="16"/>
        <v>43449.8</v>
      </c>
      <c r="AC161" s="382"/>
      <c r="AD161" s="416">
        <v>6</v>
      </c>
      <c r="AE161" s="413">
        <v>0</v>
      </c>
      <c r="AF161" s="413">
        <v>63155.82</v>
      </c>
      <c r="AG161" s="387">
        <f t="shared" si="17"/>
        <v>63155.82</v>
      </c>
      <c r="AH161" s="557"/>
      <c r="AI161" s="387">
        <f>IFERROR(VLOOKUP(A161,'23-24 child count'!$C$4:$Y$317,23,0),0)</f>
        <v>8</v>
      </c>
      <c r="AJ161" s="387">
        <f>VLOOKUP(A161,'23-24 state &amp; local'!$A$5:$D$316,4,0)</f>
        <v>0</v>
      </c>
      <c r="AK161" s="387">
        <f>VLOOKUP(A161,'23-24 state &amp; local'!$A$5:$E$316,5,0)</f>
        <v>90246.04</v>
      </c>
      <c r="AL161" s="387">
        <f t="shared" si="18"/>
        <v>90246.04</v>
      </c>
      <c r="AM161" s="382"/>
    </row>
    <row r="162" spans="1:39" ht="15" hidden="1" x14ac:dyDescent="0.25">
      <c r="A162" s="375" t="s">
        <v>504</v>
      </c>
      <c r="B162" s="375" t="s">
        <v>197</v>
      </c>
      <c r="C162" s="448" t="s">
        <v>1198</v>
      </c>
      <c r="E162" s="461">
        <v>918</v>
      </c>
      <c r="F162" s="468">
        <f>IFERROR(VLOOKUP(A162,'2017-18'!$A$6:$F$315,6,0),0)</f>
        <v>0</v>
      </c>
      <c r="G162" s="468">
        <f>IFERROR(VLOOKUP(A162,'2017-18'!$A$6:$D$315,4,0),0)</f>
        <v>12499664.52</v>
      </c>
      <c r="H162" s="468">
        <f t="shared" si="19"/>
        <v>12499664.52</v>
      </c>
      <c r="I162" s="382"/>
      <c r="J162" s="462">
        <v>943</v>
      </c>
      <c r="K162" s="468">
        <f>IFERROR(VLOOKUP(A162,'2018-19'!$A$6:$F$318,6,0),0)</f>
        <v>2548535.0699999998</v>
      </c>
      <c r="L162" s="468">
        <f>IFERROR(VLOOKUP(A162,'2018-19'!$A$6:$D$318,4,0),0)</f>
        <v>10826207.1</v>
      </c>
      <c r="M162" s="468">
        <f t="shared" si="20"/>
        <v>13374742.17</v>
      </c>
      <c r="N162" s="382"/>
      <c r="O162" s="452">
        <v>993</v>
      </c>
      <c r="P162" s="387">
        <v>2413869.7599999998</v>
      </c>
      <c r="Q162" s="387">
        <v>12188003.539999999</v>
      </c>
      <c r="R162" s="387">
        <v>14601873.299999999</v>
      </c>
      <c r="S162" s="382"/>
      <c r="T162" s="375">
        <f>VLOOKUP(A162,'Nov 2020 cc'!$B$3:$D$317,3,0)</f>
        <v>957</v>
      </c>
      <c r="U162" s="387">
        <v>3217002.26</v>
      </c>
      <c r="V162" s="387">
        <v>11382429.710000001</v>
      </c>
      <c r="W162" s="387">
        <v>14599431.970000001</v>
      </c>
      <c r="X162" s="382"/>
      <c r="Y162" s="375">
        <v>939</v>
      </c>
      <c r="Z162" s="413">
        <f>VLOOKUP(A162,'2021-22'!$A$6:$D$317,4,0)</f>
        <v>4162483.84</v>
      </c>
      <c r="AA162" s="413">
        <f>VLOOKUP(A162,'2021-22'!$A$6:$E$317,5,0)</f>
        <v>11889294.210000001</v>
      </c>
      <c r="AB162" s="387">
        <f t="shared" si="16"/>
        <v>16051778.050000001</v>
      </c>
      <c r="AC162" s="382"/>
      <c r="AD162" s="416">
        <v>958</v>
      </c>
      <c r="AE162" s="413">
        <v>4329402.57</v>
      </c>
      <c r="AF162" s="413">
        <v>13396969.66</v>
      </c>
      <c r="AG162" s="387">
        <f t="shared" si="17"/>
        <v>17726372.23</v>
      </c>
      <c r="AH162" s="557"/>
      <c r="AI162" s="387">
        <f>IFERROR(VLOOKUP(A162,'23-24 child count'!$C$4:$Y$317,23,0),0)</f>
        <v>1045</v>
      </c>
      <c r="AJ162" s="387">
        <f>VLOOKUP(A162,'23-24 state &amp; local'!$A$5:$D$316,4,0)</f>
        <v>2706880.4</v>
      </c>
      <c r="AK162" s="387">
        <f>VLOOKUP(A162,'23-24 state &amp; local'!$A$5:$E$316,5,0)</f>
        <v>16208187.039999999</v>
      </c>
      <c r="AL162" s="387">
        <f t="shared" si="18"/>
        <v>18915067.439999998</v>
      </c>
      <c r="AM162" s="382"/>
    </row>
    <row r="163" spans="1:39" ht="15" hidden="1" x14ac:dyDescent="0.25">
      <c r="A163" s="375" t="s">
        <v>506</v>
      </c>
      <c r="B163" s="375" t="s">
        <v>197</v>
      </c>
      <c r="C163" s="448" t="s">
        <v>507</v>
      </c>
      <c r="E163" s="461">
        <v>2099</v>
      </c>
      <c r="F163" s="468">
        <f>IFERROR(VLOOKUP(A163,'2017-18'!$A$6:$F$315,6,0),0)</f>
        <v>5954562.9000000004</v>
      </c>
      <c r="G163" s="468">
        <f>IFERROR(VLOOKUP(A163,'2017-18'!$A$6:$D$315,4,0),0)</f>
        <v>18976261</v>
      </c>
      <c r="H163" s="468">
        <f t="shared" si="19"/>
        <v>24930823.899999999</v>
      </c>
      <c r="I163" s="382"/>
      <c r="J163" s="462">
        <v>2123</v>
      </c>
      <c r="K163" s="468">
        <f>IFERROR(VLOOKUP(A163,'2018-19'!$A$6:$F$318,6,0),0)</f>
        <v>2553920.66</v>
      </c>
      <c r="L163" s="468">
        <f>IFERROR(VLOOKUP(A163,'2018-19'!$A$6:$D$318,4,0),0)</f>
        <v>25884322.23</v>
      </c>
      <c r="M163" s="468">
        <f t="shared" si="20"/>
        <v>28438242.890000001</v>
      </c>
      <c r="N163" s="382"/>
      <c r="O163" s="452">
        <v>2213</v>
      </c>
      <c r="P163" s="387">
        <v>4539126.32</v>
      </c>
      <c r="Q163" s="387">
        <v>29494030.27</v>
      </c>
      <c r="R163" s="387">
        <v>34033156.590000004</v>
      </c>
      <c r="S163" s="382"/>
      <c r="T163" s="375">
        <f>VLOOKUP(A163,'Nov 2020 cc'!$B$3:$D$317,3,0)</f>
        <v>2081</v>
      </c>
      <c r="U163" s="387">
        <v>6887577.9199999999</v>
      </c>
      <c r="V163" s="387">
        <v>27029305.760000002</v>
      </c>
      <c r="W163" s="387">
        <v>33916883.68</v>
      </c>
      <c r="X163" s="382"/>
      <c r="Y163" s="375">
        <v>2139</v>
      </c>
      <c r="Z163" s="413">
        <f>VLOOKUP(A163,'2021-22'!$A$6:$D$317,4,0)</f>
        <v>9472483.5199999996</v>
      </c>
      <c r="AA163" s="413">
        <f>VLOOKUP(A163,'2021-22'!$A$6:$E$317,5,0)</f>
        <v>28103257.890000001</v>
      </c>
      <c r="AB163" s="387">
        <f t="shared" si="16"/>
        <v>37575741.409999996</v>
      </c>
      <c r="AC163" s="382"/>
      <c r="AD163" s="416">
        <v>2170</v>
      </c>
      <c r="AE163" s="413">
        <v>12442712.09</v>
      </c>
      <c r="AF163" s="413">
        <v>31252203.23</v>
      </c>
      <c r="AG163" s="387">
        <f t="shared" si="17"/>
        <v>43694915.32</v>
      </c>
      <c r="AH163" s="557"/>
      <c r="AI163" s="387">
        <f>IFERROR(VLOOKUP(A163,'23-24 child count'!$C$4:$Y$317,23,0),0)</f>
        <v>2284</v>
      </c>
      <c r="AJ163" s="387">
        <f>VLOOKUP(A163,'23-24 state &amp; local'!$A$5:$D$316,4,0)</f>
        <v>12223402.779999999</v>
      </c>
      <c r="AK163" s="387">
        <f>VLOOKUP(A163,'23-24 state &amp; local'!$A$5:$E$316,5,0)</f>
        <v>36715689.590000004</v>
      </c>
      <c r="AL163" s="387">
        <f t="shared" si="18"/>
        <v>48939092.370000005</v>
      </c>
      <c r="AM163" s="382"/>
    </row>
    <row r="164" spans="1:39" ht="15" hidden="1" x14ac:dyDescent="0.25">
      <c r="A164" s="375" t="s">
        <v>508</v>
      </c>
      <c r="B164" s="375" t="s">
        <v>221</v>
      </c>
      <c r="C164" s="448" t="s">
        <v>509</v>
      </c>
      <c r="E164" s="461">
        <v>149</v>
      </c>
      <c r="F164" s="468">
        <f>IFERROR(VLOOKUP(A164,'2017-18'!$A$6:$F$315,6,0),0)</f>
        <v>0</v>
      </c>
      <c r="G164" s="468">
        <f>IFERROR(VLOOKUP(A164,'2017-18'!$A$6:$D$315,4,0),0)</f>
        <v>1151442.28</v>
      </c>
      <c r="H164" s="468">
        <f t="shared" si="19"/>
        <v>1151442.28</v>
      </c>
      <c r="I164" s="382"/>
      <c r="J164" s="462">
        <v>169</v>
      </c>
      <c r="K164" s="468">
        <f>IFERROR(VLOOKUP(A164,'2018-19'!$A$6:$F$318,6,0),0)</f>
        <v>0</v>
      </c>
      <c r="L164" s="468">
        <f>IFERROR(VLOOKUP(A164,'2018-19'!$A$6:$D$318,4,0),0)</f>
        <v>1443870.19</v>
      </c>
      <c r="M164" s="468">
        <f t="shared" si="20"/>
        <v>1443870.19</v>
      </c>
      <c r="N164" s="382"/>
      <c r="O164" s="452">
        <v>177</v>
      </c>
      <c r="P164" s="387">
        <v>0</v>
      </c>
      <c r="Q164" s="387">
        <v>1530275.47</v>
      </c>
      <c r="R164" s="387">
        <v>1530275.47</v>
      </c>
      <c r="S164" s="382"/>
      <c r="T164" s="375">
        <f>VLOOKUP(A164,'Nov 2020 cc'!$B$3:$D$317,3,0)</f>
        <v>163</v>
      </c>
      <c r="U164" s="387">
        <v>0</v>
      </c>
      <c r="V164" s="387">
        <v>1550306.81</v>
      </c>
      <c r="W164" s="387">
        <v>1550306.81</v>
      </c>
      <c r="X164" s="382"/>
      <c r="Y164" s="375">
        <v>168</v>
      </c>
      <c r="Z164" s="413">
        <f>VLOOKUP(A164,'2021-22'!$A$6:$D$317,4,0)</f>
        <v>0</v>
      </c>
      <c r="AA164" s="413">
        <f>VLOOKUP(A164,'2021-22'!$A$6:$E$317,5,0)</f>
        <v>1576504.45</v>
      </c>
      <c r="AB164" s="387">
        <f t="shared" ref="AB164:AB195" si="21">Z164+AA164</f>
        <v>1576504.45</v>
      </c>
      <c r="AC164" s="382"/>
      <c r="AD164" s="416">
        <v>184</v>
      </c>
      <c r="AE164" s="413">
        <v>0</v>
      </c>
      <c r="AF164" s="413">
        <v>1692799.14</v>
      </c>
      <c r="AG164" s="387">
        <f t="shared" ref="AG164:AG195" si="22">AE164+AF164</f>
        <v>1692799.14</v>
      </c>
      <c r="AH164" s="557"/>
      <c r="AI164" s="387">
        <f>IFERROR(VLOOKUP(A164,'23-24 child count'!$C$4:$Y$317,23,0),0)</f>
        <v>201</v>
      </c>
      <c r="AJ164" s="387">
        <f>VLOOKUP(A164,'23-24 state &amp; local'!$A$5:$D$316,4,0)</f>
        <v>0</v>
      </c>
      <c r="AK164" s="387">
        <f>VLOOKUP(A164,'23-24 state &amp; local'!$A$5:$E$316,5,0)</f>
        <v>2063809.25</v>
      </c>
      <c r="AL164" s="387">
        <f t="shared" si="18"/>
        <v>2063809.25</v>
      </c>
      <c r="AM164" s="382"/>
    </row>
    <row r="165" spans="1:39" ht="15" hidden="1" x14ac:dyDescent="0.25">
      <c r="A165" s="383" t="s">
        <v>510</v>
      </c>
      <c r="B165" s="375" t="s">
        <v>189</v>
      </c>
      <c r="C165" s="448" t="s">
        <v>511</v>
      </c>
      <c r="E165" s="461">
        <v>113</v>
      </c>
      <c r="F165" s="468">
        <f>IFERROR(VLOOKUP(A165,'2017-18'!$A$6:$F$315,6,0),0)</f>
        <v>0</v>
      </c>
      <c r="G165" s="468">
        <f>IFERROR(VLOOKUP(A165,'2017-18'!$A$6:$D$315,4,0),0)</f>
        <v>1250091.68</v>
      </c>
      <c r="H165" s="468">
        <f t="shared" si="19"/>
        <v>1250091.68</v>
      </c>
      <c r="I165" s="382"/>
      <c r="J165" s="462">
        <v>108</v>
      </c>
      <c r="K165" s="468">
        <f>IFERROR(VLOOKUP(A165,'2018-19'!$A$6:$F$318,6,0),0)</f>
        <v>0</v>
      </c>
      <c r="L165" s="468">
        <f>IFERROR(VLOOKUP(A165,'2018-19'!$A$6:$D$318,4,0),0)</f>
        <v>1332683.79</v>
      </c>
      <c r="M165" s="468">
        <f t="shared" si="20"/>
        <v>1332683.79</v>
      </c>
      <c r="N165" s="382"/>
      <c r="O165" s="452">
        <v>100</v>
      </c>
      <c r="P165" s="387">
        <v>0</v>
      </c>
      <c r="Q165" s="387">
        <v>1251895.53</v>
      </c>
      <c r="R165" s="387">
        <v>1251895.53</v>
      </c>
      <c r="S165" s="382"/>
      <c r="T165" s="375">
        <f>VLOOKUP(A165,'Nov 2020 cc'!$B$3:$D$317,3,0)</f>
        <v>88</v>
      </c>
      <c r="U165" s="387">
        <v>0</v>
      </c>
      <c r="V165" s="387">
        <v>1281510.48</v>
      </c>
      <c r="W165" s="387">
        <v>1281510.48</v>
      </c>
      <c r="X165" s="382"/>
      <c r="Y165" s="375">
        <v>78</v>
      </c>
      <c r="Z165" s="413">
        <f>VLOOKUP(A165,'2021-22'!$A$6:$D$317,4,0)</f>
        <v>0</v>
      </c>
      <c r="AA165" s="413">
        <f>VLOOKUP(A165,'2021-22'!$A$6:$E$317,5,0)</f>
        <v>1344097.65</v>
      </c>
      <c r="AB165" s="387">
        <f t="shared" si="21"/>
        <v>1344097.65</v>
      </c>
      <c r="AC165" s="382"/>
      <c r="AD165" s="416">
        <v>83</v>
      </c>
      <c r="AE165" s="413">
        <v>0</v>
      </c>
      <c r="AF165" s="413">
        <v>1488650.15</v>
      </c>
      <c r="AG165" s="387">
        <f t="shared" si="22"/>
        <v>1488650.15</v>
      </c>
      <c r="AH165" s="557"/>
      <c r="AI165" s="387">
        <f>IFERROR(VLOOKUP(A165,'23-24 child count'!$C$4:$Y$317,23,0),0)</f>
        <v>93</v>
      </c>
      <c r="AJ165" s="387">
        <f>VLOOKUP(A165,'23-24 state &amp; local'!$A$5:$D$316,4,0)</f>
        <v>0</v>
      </c>
      <c r="AK165" s="387">
        <f>VLOOKUP(A165,'23-24 state &amp; local'!$A$5:$E$316,5,0)</f>
        <v>1503123.98</v>
      </c>
      <c r="AL165" s="387">
        <f t="shared" si="18"/>
        <v>1503123.98</v>
      </c>
      <c r="AM165" s="382"/>
    </row>
    <row r="166" spans="1:39" ht="15" hidden="1" x14ac:dyDescent="0.25">
      <c r="A166" s="375" t="s">
        <v>512</v>
      </c>
      <c r="B166" s="375" t="s">
        <v>210</v>
      </c>
      <c r="C166" s="448" t="s">
        <v>1199</v>
      </c>
      <c r="D166" s="375" t="s">
        <v>819</v>
      </c>
      <c r="E166" s="461">
        <v>72</v>
      </c>
      <c r="F166" s="468">
        <f>IFERROR(VLOOKUP(A166,'2017-18'!$A$6:$F$315,6,0),0)</f>
        <v>0</v>
      </c>
      <c r="G166" s="468">
        <f>IFERROR(VLOOKUP(A166,'2017-18'!$A$6:$D$315,4,0),0)</f>
        <v>357242.62</v>
      </c>
      <c r="H166" s="468">
        <f t="shared" si="19"/>
        <v>357242.62</v>
      </c>
      <c r="I166" s="382"/>
      <c r="J166" s="462">
        <v>46</v>
      </c>
      <c r="K166" s="468">
        <f>IFERROR(VLOOKUP(A166,'2018-19'!$A$6:$F$318,6,0),0)</f>
        <v>0</v>
      </c>
      <c r="L166" s="468">
        <f>IFERROR(VLOOKUP(A166,'2018-19'!$A$6:$D$318,4,0),0)</f>
        <v>410725.24</v>
      </c>
      <c r="M166" s="468">
        <f t="shared" si="20"/>
        <v>410725.24</v>
      </c>
      <c r="N166" s="382"/>
      <c r="O166" s="452">
        <v>76</v>
      </c>
      <c r="P166" s="387">
        <v>0</v>
      </c>
      <c r="Q166" s="387">
        <v>472440.6</v>
      </c>
      <c r="R166" s="387">
        <v>472440.6</v>
      </c>
      <c r="S166" s="382"/>
      <c r="T166" s="375">
        <f>VLOOKUP(A166,'Nov 2020 cc'!$B$3:$D$317,3,0)</f>
        <v>51</v>
      </c>
      <c r="U166" s="387">
        <v>0</v>
      </c>
      <c r="V166" s="387">
        <v>461393.21</v>
      </c>
      <c r="W166" s="387">
        <v>461393.21</v>
      </c>
      <c r="X166" s="382"/>
      <c r="Y166" s="375">
        <v>44</v>
      </c>
      <c r="Z166" s="413">
        <f>VLOOKUP(A166,'2021-22'!$A$6:$D$317,4,0)</f>
        <v>0</v>
      </c>
      <c r="AA166" s="413">
        <f>VLOOKUP(A166,'2021-22'!$A$6:$E$317,5,0)</f>
        <v>397271.53</v>
      </c>
      <c r="AB166" s="387">
        <f t="shared" si="21"/>
        <v>397271.53</v>
      </c>
      <c r="AC166" s="382"/>
      <c r="AD166" s="416">
        <v>45</v>
      </c>
      <c r="AE166" s="413">
        <v>0</v>
      </c>
      <c r="AF166" s="413">
        <v>460515.01</v>
      </c>
      <c r="AG166" s="387">
        <f t="shared" si="22"/>
        <v>460515.01</v>
      </c>
      <c r="AH166" s="557"/>
      <c r="AI166" s="387">
        <f>IFERROR(VLOOKUP(A166,'23-24 child count'!$C$4:$Y$317,23,0),0)</f>
        <v>45</v>
      </c>
      <c r="AJ166" s="387">
        <f>VLOOKUP(A166,'23-24 state &amp; local'!$A$5:$D$316,4,0)</f>
        <v>0</v>
      </c>
      <c r="AK166" s="387">
        <f>VLOOKUP(A166,'23-24 state &amp; local'!$A$5:$E$316,5,0)</f>
        <v>502293.13</v>
      </c>
      <c r="AL166" s="387">
        <f t="shared" si="18"/>
        <v>502293.13</v>
      </c>
      <c r="AM166" s="382"/>
    </row>
    <row r="167" spans="1:39" ht="15" hidden="1" x14ac:dyDescent="0.25">
      <c r="A167" s="375" t="s">
        <v>514</v>
      </c>
      <c r="B167" s="375" t="s">
        <v>231</v>
      </c>
      <c r="C167" s="448" t="s">
        <v>515</v>
      </c>
      <c r="E167" s="461">
        <v>37</v>
      </c>
      <c r="F167" s="468">
        <f>IFERROR(VLOOKUP(A167,'2017-18'!$A$6:$F$315,6,0),0)</f>
        <v>0</v>
      </c>
      <c r="G167" s="468">
        <f>IFERROR(VLOOKUP(A167,'2017-18'!$A$6:$D$315,4,0),0)</f>
        <v>130758.96</v>
      </c>
      <c r="H167" s="468">
        <f t="shared" si="19"/>
        <v>130758.96</v>
      </c>
      <c r="I167" s="382"/>
      <c r="J167" s="462">
        <v>30</v>
      </c>
      <c r="K167" s="468">
        <f>IFERROR(VLOOKUP(A167,'2018-19'!$A$6:$F$318,6,0),0)</f>
        <v>0</v>
      </c>
      <c r="L167" s="468">
        <f>IFERROR(VLOOKUP(A167,'2018-19'!$A$6:$D$318,4,0),0)</f>
        <v>163153.06</v>
      </c>
      <c r="M167" s="468">
        <f t="shared" si="20"/>
        <v>163153.06</v>
      </c>
      <c r="N167" s="382"/>
      <c r="O167" s="452">
        <v>31</v>
      </c>
      <c r="P167" s="387">
        <v>0</v>
      </c>
      <c r="Q167" s="387">
        <v>200104.79</v>
      </c>
      <c r="R167" s="387">
        <v>200104.79</v>
      </c>
      <c r="S167" s="382"/>
      <c r="T167" s="375">
        <f>VLOOKUP(A167,'Nov 2020 cc'!$B$3:$D$317,3,0)</f>
        <v>30</v>
      </c>
      <c r="U167" s="387">
        <v>0</v>
      </c>
      <c r="V167" s="387">
        <v>204565.61</v>
      </c>
      <c r="W167" s="387">
        <v>204565.61</v>
      </c>
      <c r="X167" s="382"/>
      <c r="Y167" s="375">
        <v>28</v>
      </c>
      <c r="Z167" s="413">
        <f>VLOOKUP(A167,'2021-22'!$A$6:$D$317,4,0)</f>
        <v>0</v>
      </c>
      <c r="AA167" s="413">
        <f>VLOOKUP(A167,'2021-22'!$A$6:$E$317,5,0)</f>
        <v>157280.07999999999</v>
      </c>
      <c r="AB167" s="387">
        <f t="shared" si="21"/>
        <v>157280.07999999999</v>
      </c>
      <c r="AC167" s="382"/>
      <c r="AD167" s="416">
        <v>19</v>
      </c>
      <c r="AE167" s="413">
        <v>0</v>
      </c>
      <c r="AF167" s="413">
        <v>205316.63</v>
      </c>
      <c r="AG167" s="387">
        <f t="shared" si="22"/>
        <v>205316.63</v>
      </c>
      <c r="AH167" s="557"/>
      <c r="AI167" s="387">
        <f>IFERROR(VLOOKUP(A167,'23-24 child count'!$C$4:$Y$317,23,0),0)</f>
        <v>24</v>
      </c>
      <c r="AJ167" s="387">
        <f>VLOOKUP(A167,'23-24 state &amp; local'!$A$5:$D$316,4,0)</f>
        <v>40651.22</v>
      </c>
      <c r="AK167" s="387">
        <f>VLOOKUP(A167,'23-24 state &amp; local'!$A$5:$E$316,5,0)</f>
        <v>319769.26</v>
      </c>
      <c r="AL167" s="387">
        <f t="shared" si="18"/>
        <v>360420.48</v>
      </c>
      <c r="AM167" s="382"/>
    </row>
    <row r="168" spans="1:39" ht="15" hidden="1" x14ac:dyDescent="0.25">
      <c r="A168" s="375" t="s">
        <v>516</v>
      </c>
      <c r="B168" s="375" t="s">
        <v>194</v>
      </c>
      <c r="C168" s="448" t="s">
        <v>517</v>
      </c>
      <c r="E168" s="461">
        <v>165</v>
      </c>
      <c r="F168" s="468">
        <f>IFERROR(VLOOKUP(A168,'2017-18'!$A$6:$F$315,6,0),0)</f>
        <v>8954.39</v>
      </c>
      <c r="G168" s="468">
        <f>IFERROR(VLOOKUP(A168,'2017-18'!$A$6:$D$315,4,0),0)</f>
        <v>1333514.6000000001</v>
      </c>
      <c r="H168" s="468">
        <f t="shared" si="19"/>
        <v>1342468.99</v>
      </c>
      <c r="I168" s="382"/>
      <c r="J168" s="462">
        <v>177</v>
      </c>
      <c r="K168" s="468">
        <f>IFERROR(VLOOKUP(A168,'2018-19'!$A$6:$F$318,6,0),0)</f>
        <v>23276.91</v>
      </c>
      <c r="L168" s="468">
        <f>IFERROR(VLOOKUP(A168,'2018-19'!$A$6:$D$318,4,0),0)</f>
        <v>1568002.93</v>
      </c>
      <c r="M168" s="468">
        <f t="shared" si="20"/>
        <v>1591279.8399999999</v>
      </c>
      <c r="N168" s="382"/>
      <c r="O168" s="452">
        <v>183</v>
      </c>
      <c r="P168" s="387">
        <v>0</v>
      </c>
      <c r="Q168" s="387">
        <v>1457831.63</v>
      </c>
      <c r="R168" s="387">
        <v>1457831.63</v>
      </c>
      <c r="S168" s="382"/>
      <c r="T168" s="375">
        <f>VLOOKUP(A168,'Nov 2020 cc'!$B$3:$D$317,3,0)</f>
        <v>168</v>
      </c>
      <c r="U168" s="387">
        <v>0</v>
      </c>
      <c r="V168" s="387">
        <v>1657098.57</v>
      </c>
      <c r="W168" s="387">
        <v>1657098.57</v>
      </c>
      <c r="X168" s="382"/>
      <c r="Y168" s="375">
        <v>174</v>
      </c>
      <c r="Z168" s="413">
        <f>VLOOKUP(A168,'2021-22'!$A$6:$D$317,4,0)</f>
        <v>0</v>
      </c>
      <c r="AA168" s="413">
        <f>VLOOKUP(A168,'2021-22'!$A$6:$E$317,5,0)</f>
        <v>1998513.78</v>
      </c>
      <c r="AB168" s="387">
        <f t="shared" si="21"/>
        <v>1998513.78</v>
      </c>
      <c r="AC168" s="382"/>
      <c r="AD168" s="416">
        <v>176</v>
      </c>
      <c r="AE168" s="413">
        <v>0</v>
      </c>
      <c r="AF168" s="413">
        <v>1760535.5</v>
      </c>
      <c r="AG168" s="387">
        <f t="shared" si="22"/>
        <v>1760535.5</v>
      </c>
      <c r="AH168" s="557"/>
      <c r="AI168" s="387">
        <f>IFERROR(VLOOKUP(A168,'23-24 child count'!$C$4:$Y$317,23,0),0)</f>
        <v>188</v>
      </c>
      <c r="AJ168" s="387">
        <f>VLOOKUP(A168,'23-24 state &amp; local'!$A$5:$D$316,4,0)</f>
        <v>0</v>
      </c>
      <c r="AK168" s="387">
        <f>VLOOKUP(A168,'23-24 state &amp; local'!$A$5:$E$316,5,0)</f>
        <v>2054458.39</v>
      </c>
      <c r="AL168" s="387">
        <f t="shared" si="18"/>
        <v>2054458.39</v>
      </c>
      <c r="AM168" s="382"/>
    </row>
    <row r="169" spans="1:39" ht="15" hidden="1" x14ac:dyDescent="0.25">
      <c r="A169" s="375" t="s">
        <v>518</v>
      </c>
      <c r="B169" s="375" t="s">
        <v>194</v>
      </c>
      <c r="C169" s="448" t="s">
        <v>519</v>
      </c>
      <c r="E169" s="461">
        <v>214</v>
      </c>
      <c r="F169" s="468">
        <f>IFERROR(VLOOKUP(A169,'2017-18'!$A$6:$F$315,6,0),0)</f>
        <v>0</v>
      </c>
      <c r="G169" s="468">
        <f>IFERROR(VLOOKUP(A169,'2017-18'!$A$6:$D$315,4,0),0)</f>
        <v>1608365.35</v>
      </c>
      <c r="H169" s="468">
        <f t="shared" si="19"/>
        <v>1608365.35</v>
      </c>
      <c r="I169" s="382"/>
      <c r="J169" s="462">
        <v>192</v>
      </c>
      <c r="K169" s="468">
        <f>IFERROR(VLOOKUP(A169,'2018-19'!$A$6:$F$318,6,0),0)</f>
        <v>0</v>
      </c>
      <c r="L169" s="468">
        <f>IFERROR(VLOOKUP(A169,'2018-19'!$A$6:$D$318,4,0),0)</f>
        <v>1736374.07</v>
      </c>
      <c r="M169" s="468">
        <f t="shared" si="20"/>
        <v>1736374.07</v>
      </c>
      <c r="N169" s="382"/>
      <c r="O169" s="452">
        <v>194</v>
      </c>
      <c r="P169" s="387">
        <v>0</v>
      </c>
      <c r="Q169" s="387">
        <v>1850592.78</v>
      </c>
      <c r="R169" s="387">
        <v>1850592.78</v>
      </c>
      <c r="S169" s="382"/>
      <c r="T169" s="375">
        <f>VLOOKUP(A169,'Nov 2020 cc'!$B$3:$D$317,3,0)</f>
        <v>196</v>
      </c>
      <c r="U169" s="387">
        <v>0</v>
      </c>
      <c r="V169" s="387">
        <v>1942455.87</v>
      </c>
      <c r="W169" s="387">
        <v>1942455.87</v>
      </c>
      <c r="X169" s="382"/>
      <c r="Y169" s="375">
        <v>194</v>
      </c>
      <c r="Z169" s="413">
        <f>VLOOKUP(A169,'2021-22'!$A$6:$D$317,4,0)</f>
        <v>0</v>
      </c>
      <c r="AA169" s="413">
        <f>VLOOKUP(A169,'2021-22'!$A$6:$E$317,5,0)</f>
        <v>1878549.21</v>
      </c>
      <c r="AB169" s="387">
        <f t="shared" si="21"/>
        <v>1878549.21</v>
      </c>
      <c r="AC169" s="382"/>
      <c r="AD169" s="416">
        <v>190</v>
      </c>
      <c r="AE169" s="413">
        <v>0</v>
      </c>
      <c r="AF169" s="413">
        <v>2223354.5299999998</v>
      </c>
      <c r="AG169" s="387">
        <f t="shared" si="22"/>
        <v>2223354.5299999998</v>
      </c>
      <c r="AH169" s="557"/>
      <c r="AI169" s="387">
        <f>IFERROR(VLOOKUP(A169,'23-24 child count'!$C$4:$Y$317,23,0),0)</f>
        <v>197</v>
      </c>
      <c r="AJ169" s="387">
        <f>VLOOKUP(A169,'23-24 state &amp; local'!$A$5:$D$316,4,0)</f>
        <v>0</v>
      </c>
      <c r="AK169" s="387">
        <f>VLOOKUP(A169,'23-24 state &amp; local'!$A$5:$E$316,5,0)</f>
        <v>2382060.17</v>
      </c>
      <c r="AL169" s="387">
        <f t="shared" si="18"/>
        <v>2382060.17</v>
      </c>
      <c r="AM169" s="382"/>
    </row>
    <row r="170" spans="1:39" ht="15" hidden="1" x14ac:dyDescent="0.25">
      <c r="A170" s="375" t="s">
        <v>520</v>
      </c>
      <c r="B170" s="375" t="s">
        <v>197</v>
      </c>
      <c r="C170" s="448" t="s">
        <v>521</v>
      </c>
      <c r="E170" s="461">
        <v>302</v>
      </c>
      <c r="F170" s="468">
        <f>IFERROR(VLOOKUP(A170,'2017-18'!$A$6:$F$315,6,0),0)</f>
        <v>0</v>
      </c>
      <c r="G170" s="468">
        <f>IFERROR(VLOOKUP(A170,'2017-18'!$A$6:$D$315,4,0),0)</f>
        <v>2565466.2000000002</v>
      </c>
      <c r="H170" s="468">
        <f t="shared" si="19"/>
        <v>2565466.2000000002</v>
      </c>
      <c r="I170" s="382"/>
      <c r="J170" s="462">
        <v>328</v>
      </c>
      <c r="K170" s="468">
        <f>IFERROR(VLOOKUP(A170,'2018-19'!$A$6:$F$318,6,0),0)</f>
        <v>0</v>
      </c>
      <c r="L170" s="468">
        <f>IFERROR(VLOOKUP(A170,'2018-19'!$A$6:$D$318,4,0),0)</f>
        <v>2776318.95</v>
      </c>
      <c r="M170" s="468">
        <f t="shared" si="20"/>
        <v>2776318.95</v>
      </c>
      <c r="N170" s="382"/>
      <c r="O170" s="452">
        <v>344</v>
      </c>
      <c r="P170" s="387">
        <v>0</v>
      </c>
      <c r="Q170" s="387">
        <v>3131181.12</v>
      </c>
      <c r="R170" s="387">
        <v>3131181.12</v>
      </c>
      <c r="S170" s="382"/>
      <c r="T170" s="375">
        <f>VLOOKUP(A170,'Nov 2020 cc'!$B$3:$D$317,3,0)</f>
        <v>347</v>
      </c>
      <c r="U170" s="387">
        <v>0</v>
      </c>
      <c r="V170" s="387">
        <v>3125034.88</v>
      </c>
      <c r="W170" s="387">
        <v>3125034.88</v>
      </c>
      <c r="X170" s="382"/>
      <c r="Y170" s="375">
        <v>311</v>
      </c>
      <c r="Z170" s="413">
        <f>VLOOKUP(A170,'2021-22'!$A$6:$D$317,4,0)</f>
        <v>0</v>
      </c>
      <c r="AA170" s="413">
        <f>VLOOKUP(A170,'2021-22'!$A$6:$E$317,5,0)</f>
        <v>3337088.94</v>
      </c>
      <c r="AB170" s="387">
        <f t="shared" si="21"/>
        <v>3337088.94</v>
      </c>
      <c r="AC170" s="382"/>
      <c r="AD170" s="416">
        <v>302</v>
      </c>
      <c r="AE170" s="413">
        <v>0</v>
      </c>
      <c r="AF170" s="413">
        <v>3892274.26</v>
      </c>
      <c r="AG170" s="387">
        <f t="shared" si="22"/>
        <v>3892274.26</v>
      </c>
      <c r="AH170" s="557"/>
      <c r="AI170" s="387">
        <f>IFERROR(VLOOKUP(A170,'23-24 child count'!$C$4:$Y$317,23,0),0)</f>
        <v>321</v>
      </c>
      <c r="AJ170" s="387">
        <f>VLOOKUP(A170,'23-24 state &amp; local'!$A$5:$D$316,4,0)</f>
        <v>0</v>
      </c>
      <c r="AK170" s="387">
        <f>VLOOKUP(A170,'23-24 state &amp; local'!$A$5:$E$316,5,0)</f>
        <v>4707460.6399999997</v>
      </c>
      <c r="AL170" s="387">
        <f t="shared" si="18"/>
        <v>4707460.6399999997</v>
      </c>
      <c r="AM170" s="382"/>
    </row>
    <row r="171" spans="1:39" ht="15" hidden="1" x14ac:dyDescent="0.25">
      <c r="A171" s="375" t="s">
        <v>522</v>
      </c>
      <c r="B171" s="375" t="s">
        <v>189</v>
      </c>
      <c r="C171" s="448" t="s">
        <v>523</v>
      </c>
      <c r="E171" s="461">
        <v>137</v>
      </c>
      <c r="F171" s="468">
        <f>IFERROR(VLOOKUP(A171,'2017-18'!$A$6:$F$315,6,0),0)</f>
        <v>0</v>
      </c>
      <c r="G171" s="468">
        <f>IFERROR(VLOOKUP(A171,'2017-18'!$A$6:$D$315,4,0),0)</f>
        <v>796628.42</v>
      </c>
      <c r="H171" s="468">
        <f t="shared" si="19"/>
        <v>796628.42</v>
      </c>
      <c r="I171" s="382"/>
      <c r="J171" s="462">
        <v>131</v>
      </c>
      <c r="K171" s="468">
        <f>IFERROR(VLOOKUP(A171,'2018-19'!$A$6:$F$318,6,0),0)</f>
        <v>195592.74</v>
      </c>
      <c r="L171" s="468">
        <f>IFERROR(VLOOKUP(A171,'2018-19'!$A$6:$D$318,4,0),0)</f>
        <v>1011122.73</v>
      </c>
      <c r="M171" s="468">
        <f t="shared" si="20"/>
        <v>1206715.47</v>
      </c>
      <c r="N171" s="382"/>
      <c r="O171" s="452">
        <v>125</v>
      </c>
      <c r="P171" s="387">
        <v>136430.5</v>
      </c>
      <c r="Q171" s="387">
        <v>1236105.45</v>
      </c>
      <c r="R171" s="387">
        <v>1372535.95</v>
      </c>
      <c r="S171" s="382"/>
      <c r="T171" s="375">
        <f>VLOOKUP(A171,'Nov 2020 cc'!$B$3:$D$317,3,0)</f>
        <v>127</v>
      </c>
      <c r="U171" s="387">
        <v>379308.32</v>
      </c>
      <c r="V171" s="387">
        <v>1185585.97</v>
      </c>
      <c r="W171" s="387">
        <v>1564894.29</v>
      </c>
      <c r="X171" s="382"/>
      <c r="Y171" s="375">
        <v>128</v>
      </c>
      <c r="Z171" s="413">
        <f>VLOOKUP(A171,'2021-22'!$A$6:$D$317,4,0)</f>
        <v>225376.51</v>
      </c>
      <c r="AA171" s="413">
        <f>VLOOKUP(A171,'2021-22'!$A$6:$E$317,5,0)</f>
        <v>1512646.66</v>
      </c>
      <c r="AB171" s="387">
        <f t="shared" si="21"/>
        <v>1738023.17</v>
      </c>
      <c r="AC171" s="382"/>
      <c r="AD171" s="416">
        <v>96</v>
      </c>
      <c r="AE171" s="413">
        <v>232393.44</v>
      </c>
      <c r="AF171" s="413">
        <v>1406917.65</v>
      </c>
      <c r="AG171" s="387">
        <f t="shared" si="22"/>
        <v>1639311.0899999999</v>
      </c>
      <c r="AH171" s="557"/>
      <c r="AI171" s="387">
        <f>IFERROR(VLOOKUP(A171,'23-24 child count'!$C$4:$Y$317,23,0),0)</f>
        <v>109</v>
      </c>
      <c r="AJ171" s="387">
        <f>VLOOKUP(A171,'23-24 state &amp; local'!$A$5:$D$316,4,0)</f>
        <v>319953</v>
      </c>
      <c r="AK171" s="387">
        <f>VLOOKUP(A171,'23-24 state &amp; local'!$A$5:$E$316,5,0)</f>
        <v>1337287.79</v>
      </c>
      <c r="AL171" s="387">
        <f t="shared" si="18"/>
        <v>1657240.79</v>
      </c>
      <c r="AM171" s="382"/>
    </row>
    <row r="172" spans="1:39" ht="15" hidden="1" x14ac:dyDescent="0.25">
      <c r="A172" s="375" t="s">
        <v>524</v>
      </c>
      <c r="B172" s="375" t="s">
        <v>202</v>
      </c>
      <c r="C172" s="448" t="s">
        <v>525</v>
      </c>
      <c r="E172" s="461">
        <v>306</v>
      </c>
      <c r="F172" s="468">
        <f>IFERROR(VLOOKUP(A172,'2017-18'!$A$6:$F$315,6,0),0)</f>
        <v>0</v>
      </c>
      <c r="G172" s="468">
        <f>IFERROR(VLOOKUP(A172,'2017-18'!$A$6:$D$315,4,0),0)</f>
        <v>2236700.87</v>
      </c>
      <c r="H172" s="468">
        <f t="shared" si="19"/>
        <v>2236700.87</v>
      </c>
      <c r="I172" s="382"/>
      <c r="J172" s="462">
        <v>303</v>
      </c>
      <c r="K172" s="468">
        <f>IFERROR(VLOOKUP(A172,'2018-19'!$A$6:$F$318,6,0),0)</f>
        <v>0</v>
      </c>
      <c r="L172" s="468">
        <f>IFERROR(VLOOKUP(A172,'2018-19'!$A$6:$D$318,4,0),0)</f>
        <v>2621432.66</v>
      </c>
      <c r="M172" s="468">
        <f t="shared" si="20"/>
        <v>2621432.66</v>
      </c>
      <c r="N172" s="382"/>
      <c r="O172" s="452">
        <v>303</v>
      </c>
      <c r="P172" s="387">
        <v>0</v>
      </c>
      <c r="Q172" s="387">
        <v>2832049.74</v>
      </c>
      <c r="R172" s="387">
        <v>2832049.74</v>
      </c>
      <c r="S172" s="382"/>
      <c r="T172" s="375">
        <f>VLOOKUP(A172,'Nov 2020 cc'!$B$3:$D$317,3,0)</f>
        <v>296</v>
      </c>
      <c r="U172" s="387">
        <v>0</v>
      </c>
      <c r="V172" s="387">
        <v>3024631.78</v>
      </c>
      <c r="W172" s="387">
        <v>3024631.78</v>
      </c>
      <c r="X172" s="382"/>
      <c r="Y172" s="375">
        <v>319</v>
      </c>
      <c r="Z172" s="413">
        <f>VLOOKUP(A172,'2021-22'!$A$6:$D$317,4,0)</f>
        <v>0</v>
      </c>
      <c r="AA172" s="413">
        <f>VLOOKUP(A172,'2021-22'!$A$6:$E$317,5,0)</f>
        <v>3074610.04</v>
      </c>
      <c r="AB172" s="387">
        <f t="shared" si="21"/>
        <v>3074610.04</v>
      </c>
      <c r="AC172" s="382"/>
      <c r="AD172" s="416">
        <v>322</v>
      </c>
      <c r="AE172" s="413">
        <v>0</v>
      </c>
      <c r="AF172" s="413">
        <v>3356460.97</v>
      </c>
      <c r="AG172" s="387">
        <f t="shared" si="22"/>
        <v>3356460.97</v>
      </c>
      <c r="AH172" s="557"/>
      <c r="AI172" s="387">
        <f>IFERROR(VLOOKUP(A172,'23-24 child count'!$C$4:$Y$317,23,0),0)</f>
        <v>314</v>
      </c>
      <c r="AJ172" s="387">
        <f>VLOOKUP(A172,'23-24 state &amp; local'!$A$5:$D$316,4,0)</f>
        <v>0</v>
      </c>
      <c r="AK172" s="387">
        <f>VLOOKUP(A172,'23-24 state &amp; local'!$A$5:$E$316,5,0)</f>
        <v>3563668.66</v>
      </c>
      <c r="AL172" s="387">
        <f t="shared" si="18"/>
        <v>3563668.66</v>
      </c>
      <c r="AM172" s="382"/>
    </row>
    <row r="173" spans="1:39" ht="15" hidden="1" x14ac:dyDescent="0.25">
      <c r="A173" s="375" t="s">
        <v>526</v>
      </c>
      <c r="B173" s="375" t="s">
        <v>228</v>
      </c>
      <c r="C173" s="448" t="s">
        <v>527</v>
      </c>
      <c r="E173" s="461">
        <v>792</v>
      </c>
      <c r="F173" s="468">
        <f>IFERROR(VLOOKUP(A173,'2017-18'!$A$6:$F$315,6,0),0)</f>
        <v>2317854.2599999998</v>
      </c>
      <c r="G173" s="468">
        <f>IFERROR(VLOOKUP(A173,'2017-18'!$A$6:$D$315,4,0),0)</f>
        <v>6910555.6299999999</v>
      </c>
      <c r="H173" s="468">
        <f t="shared" si="19"/>
        <v>9228409.8900000006</v>
      </c>
      <c r="I173" s="382"/>
      <c r="J173" s="462">
        <v>788</v>
      </c>
      <c r="K173" s="468">
        <f>IFERROR(VLOOKUP(A173,'2018-19'!$A$6:$F$318,6,0),0)</f>
        <v>1283815.54</v>
      </c>
      <c r="L173" s="468">
        <f>IFERROR(VLOOKUP(A173,'2018-19'!$A$6:$D$318,4,0),0)</f>
        <v>9452020.0899999999</v>
      </c>
      <c r="M173" s="468">
        <f t="shared" si="20"/>
        <v>10735835.629999999</v>
      </c>
      <c r="N173" s="382"/>
      <c r="O173" s="452">
        <v>829</v>
      </c>
      <c r="P173" s="387">
        <v>280701.33</v>
      </c>
      <c r="Q173" s="387">
        <v>10533813.65</v>
      </c>
      <c r="R173" s="387">
        <v>10814514.98</v>
      </c>
      <c r="S173" s="382"/>
      <c r="T173" s="375">
        <f>VLOOKUP(A173,'Nov 2020 cc'!$B$3:$D$317,3,0)</f>
        <v>801</v>
      </c>
      <c r="U173" s="387">
        <v>2015940.97</v>
      </c>
      <c r="V173" s="387">
        <v>9604541.4299999997</v>
      </c>
      <c r="W173" s="387">
        <v>11620482.4</v>
      </c>
      <c r="X173" s="382"/>
      <c r="Y173" s="375">
        <v>767</v>
      </c>
      <c r="Z173" s="413">
        <f>VLOOKUP(A173,'2021-22'!$A$6:$D$317,4,0)</f>
        <v>2766051.09</v>
      </c>
      <c r="AA173" s="413">
        <f>VLOOKUP(A173,'2021-22'!$A$6:$E$317,5,0)</f>
        <v>9918762.1400000006</v>
      </c>
      <c r="AB173" s="387">
        <f t="shared" si="21"/>
        <v>12684813.23</v>
      </c>
      <c r="AC173" s="382"/>
      <c r="AD173" s="416">
        <v>733</v>
      </c>
      <c r="AE173" s="413">
        <v>3132368.49</v>
      </c>
      <c r="AF173" s="413">
        <v>10049648.15</v>
      </c>
      <c r="AG173" s="387">
        <f t="shared" si="22"/>
        <v>13182016.640000001</v>
      </c>
      <c r="AH173" s="557"/>
      <c r="AI173" s="387">
        <f>IFERROR(VLOOKUP(A173,'23-24 child count'!$C$4:$Y$317,23,0),0)</f>
        <v>730</v>
      </c>
      <c r="AJ173" s="387">
        <f>VLOOKUP(A173,'23-24 state &amp; local'!$A$5:$D$316,4,0)</f>
        <v>3055080.52</v>
      </c>
      <c r="AK173" s="387">
        <f>VLOOKUP(A173,'23-24 state &amp; local'!$A$5:$E$316,5,0)</f>
        <v>11560648.029999999</v>
      </c>
      <c r="AL173" s="387">
        <f t="shared" si="18"/>
        <v>14615728.549999999</v>
      </c>
      <c r="AM173" s="382"/>
    </row>
    <row r="174" spans="1:39" ht="15" hidden="1" x14ac:dyDescent="0.25">
      <c r="A174" s="375" t="s">
        <v>528</v>
      </c>
      <c r="B174" s="375" t="s">
        <v>228</v>
      </c>
      <c r="C174" s="448" t="s">
        <v>529</v>
      </c>
      <c r="E174" s="461">
        <v>296</v>
      </c>
      <c r="F174" s="468">
        <f>IFERROR(VLOOKUP(A174,'2017-18'!$A$6:$F$315,6,0),0)</f>
        <v>77802.7</v>
      </c>
      <c r="G174" s="468">
        <f>IFERROR(VLOOKUP(A174,'2017-18'!$A$6:$D$315,4,0),0)</f>
        <v>2584272.4900000002</v>
      </c>
      <c r="H174" s="468">
        <f t="shared" si="19"/>
        <v>2662075.1900000004</v>
      </c>
      <c r="I174" s="382"/>
      <c r="J174" s="462">
        <v>341</v>
      </c>
      <c r="K174" s="468">
        <f>IFERROR(VLOOKUP(A174,'2018-19'!$A$6:$F$318,6,0),0)</f>
        <v>0</v>
      </c>
      <c r="L174" s="468">
        <f>IFERROR(VLOOKUP(A174,'2018-19'!$A$6:$D$318,4,0),0)</f>
        <v>3440797.12</v>
      </c>
      <c r="M174" s="468">
        <f t="shared" si="20"/>
        <v>3440797.12</v>
      </c>
      <c r="N174" s="382"/>
      <c r="O174" s="452">
        <v>360</v>
      </c>
      <c r="P174" s="387">
        <v>119328.49</v>
      </c>
      <c r="Q174" s="387">
        <v>3767631.03</v>
      </c>
      <c r="R174" s="387">
        <v>3886959.52</v>
      </c>
      <c r="S174" s="382"/>
      <c r="T174" s="375">
        <f>VLOOKUP(A174,'Nov 2020 cc'!$B$3:$D$317,3,0)</f>
        <v>378</v>
      </c>
      <c r="U174" s="387">
        <v>0</v>
      </c>
      <c r="V174" s="387">
        <v>3235330.34</v>
      </c>
      <c r="W174" s="387">
        <v>3235330.34</v>
      </c>
      <c r="X174" s="382"/>
      <c r="Y174" s="375">
        <v>367</v>
      </c>
      <c r="Z174" s="413">
        <f>VLOOKUP(A174,'2021-22'!$A$6:$D$317,4,0)</f>
        <v>182810.25</v>
      </c>
      <c r="AA174" s="413">
        <f>VLOOKUP(A174,'2021-22'!$A$6:$E$317,5,0)</f>
        <v>3683471.24</v>
      </c>
      <c r="AB174" s="387">
        <f t="shared" si="21"/>
        <v>3866281.49</v>
      </c>
      <c r="AC174" s="382"/>
      <c r="AD174" s="416">
        <v>356</v>
      </c>
      <c r="AE174" s="413">
        <v>628736.22</v>
      </c>
      <c r="AF174" s="413">
        <v>3893416.14</v>
      </c>
      <c r="AG174" s="387">
        <f t="shared" si="22"/>
        <v>4522152.3600000003</v>
      </c>
      <c r="AH174" s="557"/>
      <c r="AI174" s="387">
        <f>IFERROR(VLOOKUP(A174,'23-24 child count'!$C$4:$Y$317,23,0),0)</f>
        <v>367</v>
      </c>
      <c r="AJ174" s="387">
        <f>VLOOKUP(A174,'23-24 state &amp; local'!$A$5:$D$316,4,0)</f>
        <v>57533.05</v>
      </c>
      <c r="AK174" s="387">
        <f>VLOOKUP(A174,'23-24 state &amp; local'!$A$5:$E$316,5,0)</f>
        <v>4900092.42</v>
      </c>
      <c r="AL174" s="387">
        <f t="shared" si="18"/>
        <v>4957625.47</v>
      </c>
      <c r="AM174" s="382"/>
    </row>
    <row r="175" spans="1:39" ht="15" hidden="1" x14ac:dyDescent="0.25">
      <c r="A175" s="375" t="s">
        <v>530</v>
      </c>
      <c r="B175" s="375" t="s">
        <v>189</v>
      </c>
      <c r="C175" s="448" t="s">
        <v>531</v>
      </c>
      <c r="E175" s="461">
        <v>7</v>
      </c>
      <c r="F175" s="468">
        <f>IFERROR(VLOOKUP(A175,'2017-18'!$A$6:$F$315,6,0),0)</f>
        <v>0</v>
      </c>
      <c r="G175" s="468">
        <f>IFERROR(VLOOKUP(A175,'2017-18'!$A$6:$D$315,4,0),0)</f>
        <v>45647.98</v>
      </c>
      <c r="H175" s="468">
        <f t="shared" si="19"/>
        <v>45647.98</v>
      </c>
      <c r="I175" s="382"/>
      <c r="J175" s="462">
        <v>9</v>
      </c>
      <c r="K175" s="468">
        <f>IFERROR(VLOOKUP(A175,'2018-19'!$A$6:$F$318,6,0),0)</f>
        <v>0</v>
      </c>
      <c r="L175" s="468">
        <f>IFERROR(VLOOKUP(A175,'2018-19'!$A$6:$D$318,4,0),0)</f>
        <v>90793.72</v>
      </c>
      <c r="M175" s="468">
        <f t="shared" si="20"/>
        <v>90793.72</v>
      </c>
      <c r="N175" s="382"/>
      <c r="O175" s="452">
        <v>9</v>
      </c>
      <c r="P175" s="387">
        <v>0</v>
      </c>
      <c r="Q175" s="387">
        <v>102663.14</v>
      </c>
      <c r="R175" s="387">
        <v>102663.14</v>
      </c>
      <c r="S175" s="382"/>
      <c r="T175" s="375">
        <f>VLOOKUP(A175,'Nov 2020 cc'!$B$3:$D$317,3,0)</f>
        <v>9</v>
      </c>
      <c r="U175" s="387">
        <v>0</v>
      </c>
      <c r="V175" s="387">
        <v>144878.89000000001</v>
      </c>
      <c r="W175" s="387">
        <v>144878.89000000001</v>
      </c>
      <c r="X175" s="382"/>
      <c r="Y175" s="375">
        <v>8</v>
      </c>
      <c r="Z175" s="413">
        <f>VLOOKUP(A175,'2021-22'!$A$6:$D$317,4,0)</f>
        <v>0</v>
      </c>
      <c r="AA175" s="413">
        <f>VLOOKUP(A175,'2021-22'!$A$6:$E$317,5,0)</f>
        <v>123529.58</v>
      </c>
      <c r="AB175" s="387">
        <f t="shared" si="21"/>
        <v>123529.58</v>
      </c>
      <c r="AC175" s="382"/>
      <c r="AD175" s="416">
        <v>8</v>
      </c>
      <c r="AE175" s="413">
        <v>0</v>
      </c>
      <c r="AF175" s="413">
        <v>186675.22</v>
      </c>
      <c r="AG175" s="387">
        <f t="shared" si="22"/>
        <v>186675.22</v>
      </c>
      <c r="AH175" s="557"/>
      <c r="AI175" s="387">
        <f>IFERROR(VLOOKUP(A175,'23-24 child count'!$C$4:$Y$317,23,0),0)</f>
        <v>6</v>
      </c>
      <c r="AJ175" s="387">
        <f>VLOOKUP(A175,'23-24 state &amp; local'!$A$5:$D$316,4,0)</f>
        <v>0</v>
      </c>
      <c r="AK175" s="387">
        <f>VLOOKUP(A175,'23-24 state &amp; local'!$A$5:$E$316,5,0)</f>
        <v>94312.34</v>
      </c>
      <c r="AL175" s="387">
        <f t="shared" si="18"/>
        <v>94312.34</v>
      </c>
      <c r="AM175" s="382"/>
    </row>
    <row r="176" spans="1:39" ht="15" hidden="1" x14ac:dyDescent="0.25">
      <c r="A176" s="383" t="s">
        <v>532</v>
      </c>
      <c r="B176" s="375" t="s">
        <v>189</v>
      </c>
      <c r="C176" s="448" t="s">
        <v>533</v>
      </c>
      <c r="E176" s="461">
        <v>1920</v>
      </c>
      <c r="F176" s="468">
        <f>IFERROR(VLOOKUP(A176,'2017-18'!$A$6:$F$315,6,0),0)</f>
        <v>4323635.59</v>
      </c>
      <c r="G176" s="468">
        <f>IFERROR(VLOOKUP(A176,'2017-18'!$A$6:$D$315,4,0),0)</f>
        <v>21038648.559999999</v>
      </c>
      <c r="H176" s="468">
        <f t="shared" si="19"/>
        <v>25362284.149999999</v>
      </c>
      <c r="I176" s="382"/>
      <c r="J176" s="462">
        <v>2073</v>
      </c>
      <c r="K176" s="468">
        <f>IFERROR(VLOOKUP(A176,'2018-19'!$A$6:$F$318,6,0),0)</f>
        <v>6936992.79</v>
      </c>
      <c r="L176" s="468">
        <f>IFERROR(VLOOKUP(A176,'2018-19'!$A$6:$D$318,4,0),0)</f>
        <v>22169122.670000002</v>
      </c>
      <c r="M176" s="468">
        <f t="shared" si="20"/>
        <v>29106115.460000001</v>
      </c>
      <c r="N176" s="382"/>
      <c r="O176" s="452">
        <v>2324</v>
      </c>
      <c r="P176" s="387">
        <v>5343990.67</v>
      </c>
      <c r="Q176" s="387">
        <v>26933390.890000001</v>
      </c>
      <c r="R176" s="387">
        <v>32277381.560000002</v>
      </c>
      <c r="S176" s="382"/>
      <c r="T176" s="375">
        <f>VLOOKUP(A176,'Nov 2020 cc'!$B$3:$D$317,3,0)</f>
        <v>2223</v>
      </c>
      <c r="U176" s="387">
        <v>7883302.9500000002</v>
      </c>
      <c r="V176" s="387">
        <v>25770932.120000001</v>
      </c>
      <c r="W176" s="387">
        <v>33654235.07</v>
      </c>
      <c r="X176" s="382"/>
      <c r="Y176" s="375">
        <v>2291</v>
      </c>
      <c r="Z176" s="413">
        <f>VLOOKUP(A176,'2021-22'!$A$6:$D$317,4,0)</f>
        <v>8701352.5800000001</v>
      </c>
      <c r="AA176" s="413">
        <f>VLOOKUP(A176,'2021-22'!$A$6:$E$317,5,0)</f>
        <v>27522027.41</v>
      </c>
      <c r="AB176" s="387">
        <f t="shared" si="21"/>
        <v>36223379.990000002</v>
      </c>
      <c r="AC176" s="382"/>
      <c r="AD176" s="416">
        <v>2530</v>
      </c>
      <c r="AE176" s="413">
        <v>8139338.7699999996</v>
      </c>
      <c r="AF176" s="413">
        <v>32677901.66</v>
      </c>
      <c r="AG176" s="387">
        <f t="shared" si="22"/>
        <v>40817240.43</v>
      </c>
      <c r="AH176" s="557"/>
      <c r="AI176" s="387">
        <f>IFERROR(VLOOKUP(A176,'23-24 child count'!$C$4:$Y$317,23,0),0)</f>
        <v>2726</v>
      </c>
      <c r="AJ176" s="387">
        <f>VLOOKUP(A176,'23-24 state &amp; local'!$A$5:$D$316,4,0)</f>
        <v>6803023.54</v>
      </c>
      <c r="AK176" s="387">
        <f>VLOOKUP(A176,'23-24 state &amp; local'!$A$5:$E$316,5,0)</f>
        <v>39555827.259999998</v>
      </c>
      <c r="AL176" s="387">
        <f t="shared" si="18"/>
        <v>46358850.799999997</v>
      </c>
      <c r="AM176" s="382"/>
    </row>
    <row r="177" spans="1:39" ht="15" hidden="1" x14ac:dyDescent="0.25">
      <c r="A177" s="375" t="s">
        <v>534</v>
      </c>
      <c r="B177" s="375" t="s">
        <v>194</v>
      </c>
      <c r="C177" s="448" t="s">
        <v>535</v>
      </c>
      <c r="E177" s="461">
        <v>27</v>
      </c>
      <c r="F177" s="468">
        <f>IFERROR(VLOOKUP(A177,'2017-18'!$A$6:$F$315,6,0),0)</f>
        <v>0</v>
      </c>
      <c r="G177" s="468">
        <f>IFERROR(VLOOKUP(A177,'2017-18'!$A$6:$D$315,4,0),0)</f>
        <v>291252.84000000003</v>
      </c>
      <c r="H177" s="468">
        <f t="shared" si="19"/>
        <v>291252.84000000003</v>
      </c>
      <c r="I177" s="382"/>
      <c r="J177" s="462">
        <v>24</v>
      </c>
      <c r="K177" s="468">
        <f>IFERROR(VLOOKUP(A177,'2018-19'!$A$6:$F$318,6,0),0)</f>
        <v>83527.929999999993</v>
      </c>
      <c r="L177" s="468">
        <f>IFERROR(VLOOKUP(A177,'2018-19'!$A$6:$D$318,4,0),0)</f>
        <v>251611.34</v>
      </c>
      <c r="M177" s="468">
        <f t="shared" si="20"/>
        <v>335139.27</v>
      </c>
      <c r="N177" s="382"/>
      <c r="O177" s="452">
        <v>25</v>
      </c>
      <c r="P177" s="387">
        <v>81890.12</v>
      </c>
      <c r="Q177" s="387">
        <v>245670.38</v>
      </c>
      <c r="R177" s="387">
        <v>327560.5</v>
      </c>
      <c r="S177" s="382"/>
      <c r="T177" s="375">
        <f>VLOOKUP(A177,'Nov 2020 cc'!$B$3:$D$317,3,0)</f>
        <v>25</v>
      </c>
      <c r="U177" s="387">
        <v>0</v>
      </c>
      <c r="V177" s="387">
        <v>364263.52</v>
      </c>
      <c r="W177" s="387">
        <v>364263.52</v>
      </c>
      <c r="X177" s="382"/>
      <c r="Y177" s="375">
        <v>24</v>
      </c>
      <c r="Z177" s="413">
        <f>VLOOKUP(A177,'2021-22'!$A$6:$D$317,4,0)</f>
        <v>82000</v>
      </c>
      <c r="AA177" s="413">
        <f>VLOOKUP(A177,'2021-22'!$A$6:$E$317,5,0)</f>
        <v>235405.31</v>
      </c>
      <c r="AB177" s="387">
        <f t="shared" si="21"/>
        <v>317405.31</v>
      </c>
      <c r="AC177" s="382"/>
      <c r="AD177" s="416">
        <v>23</v>
      </c>
      <c r="AE177" s="413">
        <v>0</v>
      </c>
      <c r="AF177" s="413">
        <v>329553.38</v>
      </c>
      <c r="AG177" s="387">
        <f t="shared" si="22"/>
        <v>329553.38</v>
      </c>
      <c r="AH177" s="557"/>
      <c r="AI177" s="387">
        <f>IFERROR(VLOOKUP(A177,'23-24 child count'!$C$4:$Y$317,23,0),0)</f>
        <v>33</v>
      </c>
      <c r="AJ177" s="387">
        <f>VLOOKUP(A177,'23-24 state &amp; local'!$A$5:$D$316,4,0)</f>
        <v>0</v>
      </c>
      <c r="AK177" s="387">
        <f>VLOOKUP(A177,'23-24 state &amp; local'!$A$5:$E$316,5,0)</f>
        <v>411677.03</v>
      </c>
      <c r="AL177" s="387">
        <f t="shared" si="18"/>
        <v>411677.03</v>
      </c>
      <c r="AM177" s="382"/>
    </row>
    <row r="178" spans="1:39" ht="15" hidden="1" x14ac:dyDescent="0.25">
      <c r="A178" s="375" t="s">
        <v>536</v>
      </c>
      <c r="B178" s="375" t="s">
        <v>205</v>
      </c>
      <c r="C178" s="448" t="s">
        <v>537</v>
      </c>
      <c r="E178" s="461">
        <v>2708</v>
      </c>
      <c r="F178" s="468">
        <f>IFERROR(VLOOKUP(A178,'2017-18'!$A$6:$F$315,6,0),0)</f>
        <v>15039706.369999999</v>
      </c>
      <c r="G178" s="468">
        <f>IFERROR(VLOOKUP(A178,'2017-18'!$A$6:$D$315,4,0),0)</f>
        <v>24735452.59</v>
      </c>
      <c r="H178" s="468">
        <f t="shared" si="19"/>
        <v>39775158.960000001</v>
      </c>
      <c r="I178" s="382"/>
      <c r="J178" s="462">
        <v>2825</v>
      </c>
      <c r="K178" s="468">
        <f>IFERROR(VLOOKUP(A178,'2018-19'!$A$6:$F$318,6,0),0)</f>
        <v>15228448.33</v>
      </c>
      <c r="L178" s="468">
        <f>IFERROR(VLOOKUP(A178,'2018-19'!$A$6:$D$318,4,0),0)</f>
        <v>35231916.869999997</v>
      </c>
      <c r="M178" s="468">
        <f t="shared" si="20"/>
        <v>50460365.199999996</v>
      </c>
      <c r="N178" s="382"/>
      <c r="O178" s="452">
        <v>2922</v>
      </c>
      <c r="P178" s="387">
        <v>17704588.07</v>
      </c>
      <c r="Q178" s="387">
        <v>39490362.770000003</v>
      </c>
      <c r="R178" s="387">
        <v>57194950.840000004</v>
      </c>
      <c r="S178" s="382"/>
      <c r="T178" s="375">
        <f>VLOOKUP(A178,'Nov 2020 cc'!$B$3:$D$317,3,0)</f>
        <v>2846</v>
      </c>
      <c r="U178" s="387">
        <v>23176242.920000002</v>
      </c>
      <c r="V178" s="387">
        <v>38902120.350000001</v>
      </c>
      <c r="W178" s="387">
        <v>62078363.270000003</v>
      </c>
      <c r="X178" s="382"/>
      <c r="Y178" s="375">
        <v>2784</v>
      </c>
      <c r="Z178" s="413">
        <f>VLOOKUP(A178,'2021-22'!$A$6:$D$317,4,0)</f>
        <v>23642796.629999999</v>
      </c>
      <c r="AA178" s="413">
        <f>VLOOKUP(A178,'2021-22'!$A$6:$E$317,5,0)</f>
        <v>39675925.57</v>
      </c>
      <c r="AB178" s="387">
        <f t="shared" si="21"/>
        <v>63318722.200000003</v>
      </c>
      <c r="AC178" s="382"/>
      <c r="AD178" s="416">
        <v>2861</v>
      </c>
      <c r="AE178" s="413">
        <v>25558647.039999999</v>
      </c>
      <c r="AF178" s="413">
        <v>45119063.579999998</v>
      </c>
      <c r="AG178" s="387">
        <f t="shared" si="22"/>
        <v>70677710.620000005</v>
      </c>
      <c r="AH178" s="557"/>
      <c r="AI178" s="387">
        <f>IFERROR(VLOOKUP(A178,'23-24 child count'!$C$4:$Y$317,23,0),0)</f>
        <v>3032</v>
      </c>
      <c r="AJ178" s="387">
        <f>VLOOKUP(A178,'23-24 state &amp; local'!$A$5:$D$316,4,0)</f>
        <v>22183770.120000001</v>
      </c>
      <c r="AK178" s="387">
        <f>VLOOKUP(A178,'23-24 state &amp; local'!$A$5:$E$316,5,0)</f>
        <v>52993672.189999998</v>
      </c>
      <c r="AL178" s="387">
        <f t="shared" si="18"/>
        <v>75177442.310000002</v>
      </c>
      <c r="AM178" s="382"/>
    </row>
    <row r="179" spans="1:39" ht="15" hidden="1" x14ac:dyDescent="0.25">
      <c r="A179" s="375" t="s">
        <v>538</v>
      </c>
      <c r="B179" s="375" t="s">
        <v>197</v>
      </c>
      <c r="C179" s="448" t="s">
        <v>539</v>
      </c>
      <c r="E179" s="461">
        <v>908</v>
      </c>
      <c r="F179" s="468">
        <f>IFERROR(VLOOKUP(A179,'2017-18'!$A$6:$F$315,6,0),0)</f>
        <v>600000</v>
      </c>
      <c r="G179" s="468">
        <f>IFERROR(VLOOKUP(A179,'2017-18'!$A$6:$D$315,4,0),0)</f>
        <v>7943826.1399999997</v>
      </c>
      <c r="H179" s="468">
        <f t="shared" si="19"/>
        <v>8543826.1400000006</v>
      </c>
      <c r="I179" s="382"/>
      <c r="J179" s="462">
        <v>979</v>
      </c>
      <c r="K179" s="468">
        <f>IFERROR(VLOOKUP(A179,'2018-19'!$A$6:$F$318,6,0),0)</f>
        <v>600000</v>
      </c>
      <c r="L179" s="468">
        <f>IFERROR(VLOOKUP(A179,'2018-19'!$A$6:$D$318,4,0),0)</f>
        <v>10902629.560000001</v>
      </c>
      <c r="M179" s="468">
        <f t="shared" si="20"/>
        <v>11502629.560000001</v>
      </c>
      <c r="N179" s="382"/>
      <c r="O179" s="452">
        <v>1017</v>
      </c>
      <c r="P179" s="387">
        <v>600000</v>
      </c>
      <c r="Q179" s="387">
        <v>11923241.51</v>
      </c>
      <c r="R179" s="387">
        <v>12523241.51</v>
      </c>
      <c r="S179" s="382"/>
      <c r="T179" s="375">
        <f>VLOOKUP(A179,'Nov 2020 cc'!$B$3:$D$317,3,0)</f>
        <v>1005</v>
      </c>
      <c r="U179" s="387">
        <v>587970.02</v>
      </c>
      <c r="V179" s="387">
        <v>12020285.369999999</v>
      </c>
      <c r="W179" s="387">
        <v>12608255.389999999</v>
      </c>
      <c r="X179" s="382"/>
      <c r="Y179" s="375">
        <v>1010</v>
      </c>
      <c r="Z179" s="413">
        <f>VLOOKUP(A179,'2021-22'!$A$6:$D$317,4,0)</f>
        <v>641894.31000000006</v>
      </c>
      <c r="AA179" s="413">
        <f>VLOOKUP(A179,'2021-22'!$A$6:$E$317,5,0)-20616</f>
        <v>12503943.49</v>
      </c>
      <c r="AB179" s="387">
        <f t="shared" si="21"/>
        <v>13145837.800000001</v>
      </c>
      <c r="AC179" s="382"/>
      <c r="AD179" s="416">
        <v>1103</v>
      </c>
      <c r="AE179" s="413">
        <v>639327.39</v>
      </c>
      <c r="AF179" s="413">
        <v>11820129.24</v>
      </c>
      <c r="AG179" s="387">
        <f t="shared" si="22"/>
        <v>12459456.630000001</v>
      </c>
      <c r="AH179" s="557"/>
      <c r="AI179" s="387">
        <f>IFERROR(VLOOKUP(A179,'23-24 child count'!$C$4:$Y$317,23,0),0)</f>
        <v>1216</v>
      </c>
      <c r="AJ179" s="387">
        <f>VLOOKUP(A179,'23-24 state &amp; local'!$A$5:$D$316,4,0)</f>
        <v>639328.39</v>
      </c>
      <c r="AK179" s="387">
        <f>VLOOKUP(A179,'23-24 state &amp; local'!$A$5:$E$316,5,0)</f>
        <v>16699535.720000001</v>
      </c>
      <c r="AL179" s="387">
        <f t="shared" si="18"/>
        <v>17338864.109999999</v>
      </c>
      <c r="AM179" s="382"/>
    </row>
    <row r="180" spans="1:39" ht="15" hidden="1" x14ac:dyDescent="0.25">
      <c r="A180" s="375" t="s">
        <v>540</v>
      </c>
      <c r="B180" s="375" t="s">
        <v>194</v>
      </c>
      <c r="C180" s="448" t="s">
        <v>541</v>
      </c>
      <c r="E180" s="461">
        <v>16</v>
      </c>
      <c r="F180" s="468">
        <f>IFERROR(VLOOKUP(A180,'2017-18'!$A$6:$F$315,6,0),0)</f>
        <v>0</v>
      </c>
      <c r="G180" s="468">
        <f>IFERROR(VLOOKUP(A180,'2017-18'!$A$6:$D$315,4,0),0)</f>
        <v>103401.86</v>
      </c>
      <c r="H180" s="468">
        <f t="shared" si="19"/>
        <v>103401.86</v>
      </c>
      <c r="I180" s="382"/>
      <c r="J180" s="462">
        <v>14</v>
      </c>
      <c r="K180" s="468">
        <f>IFERROR(VLOOKUP(A180,'2018-19'!$A$6:$F$318,6,0),0)</f>
        <v>0</v>
      </c>
      <c r="L180" s="468">
        <f>IFERROR(VLOOKUP(A180,'2018-19'!$A$6:$D$318,4,0),0)</f>
        <v>126432.9</v>
      </c>
      <c r="M180" s="468">
        <f t="shared" si="20"/>
        <v>126432.9</v>
      </c>
      <c r="N180" s="382"/>
      <c r="O180" s="452">
        <v>12</v>
      </c>
      <c r="P180" s="387">
        <v>0</v>
      </c>
      <c r="Q180" s="387">
        <v>129020.12</v>
      </c>
      <c r="R180" s="387">
        <v>129020.12</v>
      </c>
      <c r="S180" s="382"/>
      <c r="T180" s="375">
        <f>VLOOKUP(A180,'Nov 2020 cc'!$B$3:$D$317,3,0)</f>
        <v>20</v>
      </c>
      <c r="U180" s="387">
        <v>0</v>
      </c>
      <c r="V180" s="387">
        <v>171737.39</v>
      </c>
      <c r="W180" s="387">
        <v>171737.39</v>
      </c>
      <c r="X180" s="382"/>
      <c r="Y180" s="375">
        <v>19</v>
      </c>
      <c r="Z180" s="413">
        <f>VLOOKUP(A180,'2021-22'!$A$6:$D$317,4,0)</f>
        <v>0</v>
      </c>
      <c r="AA180" s="413">
        <f>VLOOKUP(A180,'2021-22'!$A$6:$E$317,5,0)</f>
        <v>190408.99</v>
      </c>
      <c r="AB180" s="387">
        <f t="shared" si="21"/>
        <v>190408.99</v>
      </c>
      <c r="AC180" s="382"/>
      <c r="AD180" s="416">
        <v>16</v>
      </c>
      <c r="AE180" s="413">
        <v>0</v>
      </c>
      <c r="AF180" s="413">
        <v>261736.17</v>
      </c>
      <c r="AG180" s="387">
        <f t="shared" si="22"/>
        <v>261736.17</v>
      </c>
      <c r="AH180" s="557"/>
      <c r="AI180" s="387">
        <f>IFERROR(VLOOKUP(A180,'23-24 child count'!$C$4:$Y$317,23,0),0)</f>
        <v>28</v>
      </c>
      <c r="AJ180" s="387">
        <f>VLOOKUP(A180,'23-24 state &amp; local'!$A$5:$D$316,4,0)</f>
        <v>0</v>
      </c>
      <c r="AK180" s="387">
        <f>VLOOKUP(A180,'23-24 state &amp; local'!$A$5:$E$316,5,0)</f>
        <v>259213.76</v>
      </c>
      <c r="AL180" s="387">
        <f t="shared" si="18"/>
        <v>259213.76</v>
      </c>
      <c r="AM180" s="382"/>
    </row>
    <row r="181" spans="1:39" ht="15" hidden="1" x14ac:dyDescent="0.25">
      <c r="A181" s="375" t="s">
        <v>542</v>
      </c>
      <c r="B181" s="375" t="s">
        <v>189</v>
      </c>
      <c r="C181" s="448" t="s">
        <v>543</v>
      </c>
      <c r="E181" s="461">
        <v>47</v>
      </c>
      <c r="F181" s="468">
        <f>IFERROR(VLOOKUP(A181,'2017-18'!$A$6:$F$315,6,0),0)</f>
        <v>21678.11</v>
      </c>
      <c r="G181" s="468">
        <f>IFERROR(VLOOKUP(A181,'2017-18'!$A$6:$D$315,4,0),0)</f>
        <v>332737.90000000002</v>
      </c>
      <c r="H181" s="468">
        <f t="shared" si="19"/>
        <v>354416.01</v>
      </c>
      <c r="I181" s="382"/>
      <c r="J181" s="462">
        <v>49</v>
      </c>
      <c r="K181" s="468">
        <f>IFERROR(VLOOKUP(A181,'2018-19'!$A$6:$F$318,6,0),0)</f>
        <v>0</v>
      </c>
      <c r="L181" s="468">
        <f>IFERROR(VLOOKUP(A181,'2018-19'!$A$6:$D$318,4,0),0)</f>
        <v>376383.18</v>
      </c>
      <c r="M181" s="468">
        <f t="shared" si="20"/>
        <v>376383.18</v>
      </c>
      <c r="N181" s="382"/>
      <c r="O181" s="452">
        <v>54</v>
      </c>
      <c r="P181" s="387">
        <v>0</v>
      </c>
      <c r="Q181" s="387">
        <v>389240.13</v>
      </c>
      <c r="R181" s="387">
        <v>389240.13</v>
      </c>
      <c r="S181" s="382"/>
      <c r="T181" s="375">
        <f>VLOOKUP(A181,'Nov 2020 cc'!$B$3:$D$317,3,0)</f>
        <v>62</v>
      </c>
      <c r="U181" s="387">
        <v>0</v>
      </c>
      <c r="V181" s="387">
        <v>461854.73</v>
      </c>
      <c r="W181" s="387">
        <v>461854.73</v>
      </c>
      <c r="X181" s="382"/>
      <c r="Y181" s="375">
        <v>63</v>
      </c>
      <c r="Z181" s="413">
        <f>VLOOKUP(A181,'2021-22'!$A$6:$D$317,4,0)</f>
        <v>0</v>
      </c>
      <c r="AA181" s="413">
        <f>VLOOKUP(A181,'2021-22'!$A$6:$E$317,5,0)</f>
        <v>565543.75</v>
      </c>
      <c r="AB181" s="387">
        <f t="shared" si="21"/>
        <v>565543.75</v>
      </c>
      <c r="AC181" s="382"/>
      <c r="AD181" s="416">
        <v>65</v>
      </c>
      <c r="AE181" s="413">
        <v>0</v>
      </c>
      <c r="AF181" s="413">
        <v>624655.19999999995</v>
      </c>
      <c r="AG181" s="387">
        <f t="shared" si="22"/>
        <v>624655.19999999995</v>
      </c>
      <c r="AH181" s="557"/>
      <c r="AI181" s="387">
        <f>IFERROR(VLOOKUP(A181,'23-24 child count'!$C$4:$Y$317,23,0),0)</f>
        <v>63</v>
      </c>
      <c r="AJ181" s="387">
        <f>VLOOKUP(A181,'23-24 state &amp; local'!$A$5:$D$316,4,0)</f>
        <v>0</v>
      </c>
      <c r="AK181" s="387">
        <f>VLOOKUP(A181,'23-24 state &amp; local'!$A$5:$E$316,5,0)</f>
        <v>647957.30000000005</v>
      </c>
      <c r="AL181" s="387">
        <f t="shared" si="18"/>
        <v>647957.30000000005</v>
      </c>
      <c r="AM181" s="382"/>
    </row>
    <row r="182" spans="1:39" ht="15" hidden="1" x14ac:dyDescent="0.25">
      <c r="A182" s="375" t="s">
        <v>544</v>
      </c>
      <c r="B182" s="375" t="s">
        <v>210</v>
      </c>
      <c r="C182" s="448" t="s">
        <v>545</v>
      </c>
      <c r="D182" s="375" t="s">
        <v>819</v>
      </c>
      <c r="E182" s="461">
        <v>205</v>
      </c>
      <c r="F182" s="468">
        <f>IFERROR(VLOOKUP(A182,'2017-18'!$A$6:$F$315,6,0),0)</f>
        <v>0</v>
      </c>
      <c r="G182" s="468">
        <f>IFERROR(VLOOKUP(A182,'2017-18'!$A$6:$D$315,4,0),0)</f>
        <v>1683436.52</v>
      </c>
      <c r="H182" s="468">
        <f t="shared" si="19"/>
        <v>1683436.52</v>
      </c>
      <c r="I182" s="382"/>
      <c r="J182" s="462">
        <v>228</v>
      </c>
      <c r="K182" s="468">
        <f>IFERROR(VLOOKUP(A182,'2018-19'!$A$6:$F$318,6,0),0)</f>
        <v>0</v>
      </c>
      <c r="L182" s="468">
        <f>IFERROR(VLOOKUP(A182,'2018-19'!$A$6:$D$318,4,0),0)</f>
        <v>2063444.06</v>
      </c>
      <c r="M182" s="468">
        <f t="shared" si="20"/>
        <v>2063444.06</v>
      </c>
      <c r="N182" s="382"/>
      <c r="O182" s="452">
        <v>260</v>
      </c>
      <c r="P182" s="387">
        <v>0</v>
      </c>
      <c r="Q182" s="387">
        <v>2496203.4700000002</v>
      </c>
      <c r="R182" s="387">
        <v>2496203.4700000002</v>
      </c>
      <c r="S182" s="382"/>
      <c r="T182" s="375">
        <f>VLOOKUP(A182,'Nov 2020 cc'!$B$3:$D$317,3,0)</f>
        <v>240</v>
      </c>
      <c r="U182" s="387">
        <v>0</v>
      </c>
      <c r="V182" s="387">
        <v>2360942.59</v>
      </c>
      <c r="W182" s="387">
        <v>2360942.59</v>
      </c>
      <c r="X182" s="382"/>
      <c r="Y182" s="375">
        <v>237</v>
      </c>
      <c r="Z182" s="413">
        <f>VLOOKUP(A182,'2021-22'!$A$6:$D$317,4,0)</f>
        <v>0</v>
      </c>
      <c r="AA182" s="413">
        <f>VLOOKUP(A182,'2021-22'!$A$6:$E$317,5,0)</f>
        <v>2211216.94</v>
      </c>
      <c r="AB182" s="387">
        <f t="shared" si="21"/>
        <v>2211216.94</v>
      </c>
      <c r="AC182" s="382"/>
      <c r="AD182" s="416">
        <v>223</v>
      </c>
      <c r="AE182" s="413">
        <v>0</v>
      </c>
      <c r="AF182" s="413">
        <v>2312108.75</v>
      </c>
      <c r="AG182" s="387">
        <f t="shared" si="22"/>
        <v>2312108.75</v>
      </c>
      <c r="AH182" s="557"/>
      <c r="AI182" s="387">
        <f>IFERROR(VLOOKUP(A182,'23-24 child count'!$C$4:$Y$317,23,0),0)</f>
        <v>229</v>
      </c>
      <c r="AJ182" s="387">
        <f>VLOOKUP(A182,'23-24 state &amp; local'!$A$5:$D$316,4,0)</f>
        <v>0</v>
      </c>
      <c r="AK182" s="387">
        <f>VLOOKUP(A182,'23-24 state &amp; local'!$A$5:$E$316,5,0)</f>
        <v>2845603.1</v>
      </c>
      <c r="AL182" s="387">
        <f t="shared" si="18"/>
        <v>2845603.1</v>
      </c>
      <c r="AM182" s="382"/>
    </row>
    <row r="183" spans="1:39" ht="15" hidden="1" x14ac:dyDescent="0.25">
      <c r="A183" s="375" t="s">
        <v>546</v>
      </c>
      <c r="B183" s="375" t="s">
        <v>189</v>
      </c>
      <c r="C183" s="448" t="s">
        <v>547</v>
      </c>
      <c r="E183" s="461">
        <v>103</v>
      </c>
      <c r="F183" s="468">
        <f>IFERROR(VLOOKUP(A183,'2017-18'!$A$6:$F$315,6,0),0)</f>
        <v>0</v>
      </c>
      <c r="G183" s="468">
        <f>IFERROR(VLOOKUP(A183,'2017-18'!$A$6:$D$315,4,0),0)</f>
        <v>673723.96</v>
      </c>
      <c r="H183" s="468">
        <f t="shared" si="19"/>
        <v>673723.96</v>
      </c>
      <c r="I183" s="382"/>
      <c r="J183" s="462">
        <v>105</v>
      </c>
      <c r="K183" s="468">
        <f>IFERROR(VLOOKUP(A183,'2018-19'!$A$6:$F$318,6,0),0)</f>
        <v>3413.45</v>
      </c>
      <c r="L183" s="468">
        <f>IFERROR(VLOOKUP(A183,'2018-19'!$A$6:$D$318,4,0),0)</f>
        <v>895314.31</v>
      </c>
      <c r="M183" s="468">
        <f t="shared" si="20"/>
        <v>898727.76</v>
      </c>
      <c r="N183" s="382"/>
      <c r="O183" s="452">
        <v>95</v>
      </c>
      <c r="P183" s="387">
        <v>63936.9</v>
      </c>
      <c r="Q183" s="387">
        <v>992416.76</v>
      </c>
      <c r="R183" s="387">
        <v>1056353.6599999999</v>
      </c>
      <c r="S183" s="382"/>
      <c r="T183" s="375">
        <f>VLOOKUP(A183,'Nov 2020 cc'!$B$3:$D$317,3,0)</f>
        <v>75</v>
      </c>
      <c r="U183" s="387">
        <v>0</v>
      </c>
      <c r="V183" s="387">
        <v>842610.79</v>
      </c>
      <c r="W183" s="387">
        <v>842610.79</v>
      </c>
      <c r="X183" s="382"/>
      <c r="Y183" s="375">
        <v>73</v>
      </c>
      <c r="Z183" s="413">
        <f>VLOOKUP(A183,'2021-22'!$A$6:$D$317,4,0)</f>
        <v>0</v>
      </c>
      <c r="AA183" s="413">
        <f>VLOOKUP(A183,'2021-22'!$A$6:$E$317,5,0)</f>
        <v>804001</v>
      </c>
      <c r="AB183" s="387">
        <f t="shared" si="21"/>
        <v>804001</v>
      </c>
      <c r="AC183" s="382"/>
      <c r="AD183" s="416">
        <v>77</v>
      </c>
      <c r="AE183" s="413">
        <v>0</v>
      </c>
      <c r="AF183" s="413">
        <v>891508.53</v>
      </c>
      <c r="AG183" s="387">
        <f t="shared" si="22"/>
        <v>891508.53</v>
      </c>
      <c r="AH183" s="557"/>
      <c r="AI183" s="387">
        <f>IFERROR(VLOOKUP(A183,'23-24 child count'!$C$4:$Y$317,23,0),0)</f>
        <v>73</v>
      </c>
      <c r="AJ183" s="387">
        <f>VLOOKUP(A183,'23-24 state &amp; local'!$A$5:$D$316,4,0)</f>
        <v>128294.3</v>
      </c>
      <c r="AK183" s="387">
        <f>VLOOKUP(A183,'23-24 state &amp; local'!$A$5:$E$316,5,0)</f>
        <v>812341.93</v>
      </c>
      <c r="AL183" s="387">
        <f t="shared" si="18"/>
        <v>940636.2300000001</v>
      </c>
      <c r="AM183" s="382"/>
    </row>
    <row r="184" spans="1:39" ht="15" hidden="1" x14ac:dyDescent="0.25">
      <c r="A184" s="375" t="s">
        <v>548</v>
      </c>
      <c r="B184" s="375" t="s">
        <v>194</v>
      </c>
      <c r="C184" s="448" t="s">
        <v>549</v>
      </c>
      <c r="E184" s="461">
        <v>28</v>
      </c>
      <c r="F184" s="468">
        <f>IFERROR(VLOOKUP(A184,'2017-18'!$A$6:$F$315,6,0),0)</f>
        <v>0</v>
      </c>
      <c r="G184" s="468">
        <f>IFERROR(VLOOKUP(A184,'2017-18'!$A$6:$D$315,4,0),0)</f>
        <v>215373.31</v>
      </c>
      <c r="H184" s="468">
        <f t="shared" si="19"/>
        <v>215373.31</v>
      </c>
      <c r="I184" s="382"/>
      <c r="J184" s="462">
        <v>34</v>
      </c>
      <c r="K184" s="468">
        <f>IFERROR(VLOOKUP(A184,'2018-19'!$A$6:$F$318,6,0),0)</f>
        <v>0</v>
      </c>
      <c r="L184" s="468">
        <f>IFERROR(VLOOKUP(A184,'2018-19'!$A$6:$D$318,4,0),0)</f>
        <v>254290.99</v>
      </c>
      <c r="M184" s="468">
        <f t="shared" si="20"/>
        <v>254290.99</v>
      </c>
      <c r="N184" s="382"/>
      <c r="O184" s="452">
        <v>27</v>
      </c>
      <c r="P184" s="387">
        <v>0</v>
      </c>
      <c r="Q184" s="387">
        <v>281207.83</v>
      </c>
      <c r="R184" s="387">
        <v>281207.83</v>
      </c>
      <c r="S184" s="382"/>
      <c r="T184" s="375">
        <f>VLOOKUP(A184,'Nov 2020 cc'!$B$3:$D$317,3,0)</f>
        <v>24</v>
      </c>
      <c r="U184" s="387">
        <v>0</v>
      </c>
      <c r="V184" s="387">
        <v>260539.32</v>
      </c>
      <c r="W184" s="387">
        <v>260539.32</v>
      </c>
      <c r="X184" s="382"/>
      <c r="Y184" s="375">
        <v>26</v>
      </c>
      <c r="Z184" s="413">
        <f>VLOOKUP(A184,'2021-22'!$A$6:$D$317,4,0)</f>
        <v>0</v>
      </c>
      <c r="AA184" s="413">
        <f>VLOOKUP(A184,'2021-22'!$A$6:$E$317,5,0)</f>
        <v>314601.73</v>
      </c>
      <c r="AB184" s="387">
        <f t="shared" si="21"/>
        <v>314601.73</v>
      </c>
      <c r="AC184" s="382"/>
      <c r="AD184" s="416">
        <v>32</v>
      </c>
      <c r="AE184" s="413">
        <v>0</v>
      </c>
      <c r="AF184" s="413">
        <v>348821.14</v>
      </c>
      <c r="AG184" s="387">
        <f t="shared" si="22"/>
        <v>348821.14</v>
      </c>
      <c r="AH184" s="557"/>
      <c r="AI184" s="387">
        <f>IFERROR(VLOOKUP(A184,'23-24 child count'!$C$4:$Y$317,23,0),0)</f>
        <v>32</v>
      </c>
      <c r="AJ184" s="387">
        <f>VLOOKUP(A184,'23-24 state &amp; local'!$A$5:$D$316,4,0)</f>
        <v>0</v>
      </c>
      <c r="AK184" s="387">
        <f>VLOOKUP(A184,'23-24 state &amp; local'!$A$5:$E$316,5,0)</f>
        <v>390097.34</v>
      </c>
      <c r="AL184" s="387">
        <f t="shared" si="18"/>
        <v>390097.34</v>
      </c>
      <c r="AM184" s="382"/>
    </row>
    <row r="185" spans="1:39" ht="15" hidden="1" x14ac:dyDescent="0.25">
      <c r="A185" s="375" t="s">
        <v>550</v>
      </c>
      <c r="B185" s="375" t="s">
        <v>231</v>
      </c>
      <c r="C185" s="448" t="s">
        <v>551</v>
      </c>
      <c r="E185" s="461">
        <v>127</v>
      </c>
      <c r="F185" s="468">
        <f>IFERROR(VLOOKUP(A185,'2017-18'!$A$6:$F$315,6,0),0)</f>
        <v>0</v>
      </c>
      <c r="G185" s="468">
        <f>IFERROR(VLOOKUP(A185,'2017-18'!$A$6:$D$315,4,0),0)</f>
        <v>1021561.83</v>
      </c>
      <c r="H185" s="468">
        <f t="shared" si="19"/>
        <v>1021561.83</v>
      </c>
      <c r="I185" s="382"/>
      <c r="J185" s="462">
        <v>155</v>
      </c>
      <c r="K185" s="468">
        <f>IFERROR(VLOOKUP(A185,'2018-19'!$A$6:$F$318,6,0),0)</f>
        <v>0</v>
      </c>
      <c r="L185" s="468">
        <f>IFERROR(VLOOKUP(A185,'2018-19'!$A$6:$D$318,4,0),0)</f>
        <v>1346875.58</v>
      </c>
      <c r="M185" s="468">
        <f t="shared" si="20"/>
        <v>1346875.58</v>
      </c>
      <c r="N185" s="382"/>
      <c r="O185" s="452">
        <v>173</v>
      </c>
      <c r="P185" s="387">
        <v>0</v>
      </c>
      <c r="Q185" s="387">
        <v>1634107.65</v>
      </c>
      <c r="R185" s="387">
        <v>1634107.65</v>
      </c>
      <c r="S185" s="382"/>
      <c r="T185" s="375">
        <f>VLOOKUP(A185,'Nov 2020 cc'!$B$3:$D$317,3,0)</f>
        <v>172</v>
      </c>
      <c r="U185" s="387">
        <v>0</v>
      </c>
      <c r="V185" s="387">
        <v>1560675.25</v>
      </c>
      <c r="W185" s="387">
        <v>1560675.25</v>
      </c>
      <c r="X185" s="382"/>
      <c r="Y185" s="375">
        <v>165</v>
      </c>
      <c r="Z185" s="413">
        <f>VLOOKUP(A185,'2021-22'!$A$6:$D$317,4,0)</f>
        <v>0</v>
      </c>
      <c r="AA185" s="413">
        <f>VLOOKUP(A185,'2021-22'!$A$6:$E$317,5,0)</f>
        <v>1827388.1</v>
      </c>
      <c r="AB185" s="387">
        <f t="shared" si="21"/>
        <v>1827388.1</v>
      </c>
      <c r="AC185" s="382"/>
      <c r="AD185" s="416">
        <v>151</v>
      </c>
      <c r="AE185" s="413">
        <v>309060.12</v>
      </c>
      <c r="AF185" s="413">
        <v>1647850.66</v>
      </c>
      <c r="AG185" s="387">
        <f t="shared" si="22"/>
        <v>1956910.7799999998</v>
      </c>
      <c r="AH185" s="557"/>
      <c r="AI185" s="387">
        <f>IFERROR(VLOOKUP(A185,'23-24 child count'!$C$4:$Y$317,23,0),0)</f>
        <v>164</v>
      </c>
      <c r="AJ185" s="387">
        <f>VLOOKUP(A185,'23-24 state &amp; local'!$A$5:$D$316,4,0)</f>
        <v>68273.55</v>
      </c>
      <c r="AK185" s="387">
        <f>VLOOKUP(A185,'23-24 state &amp; local'!$A$5:$E$316,5,0)</f>
        <v>2006873.98</v>
      </c>
      <c r="AL185" s="387">
        <f t="shared" si="18"/>
        <v>2075147.53</v>
      </c>
      <c r="AM185" s="382"/>
    </row>
    <row r="186" spans="1:39" ht="15" hidden="1" x14ac:dyDescent="0.25">
      <c r="A186" s="383" t="s">
        <v>552</v>
      </c>
      <c r="B186" s="375" t="s">
        <v>189</v>
      </c>
      <c r="C186" s="448" t="s">
        <v>553</v>
      </c>
      <c r="E186" s="461">
        <v>1421</v>
      </c>
      <c r="F186" s="468">
        <f>IFERROR(VLOOKUP(A186,'2017-18'!$A$6:$F$315,6,0),0)</f>
        <v>0</v>
      </c>
      <c r="G186" s="468">
        <f>IFERROR(VLOOKUP(A186,'2017-18'!$A$6:$D$315,4,0),0)</f>
        <v>18661393.670000002</v>
      </c>
      <c r="H186" s="468">
        <f t="shared" si="19"/>
        <v>18661393.670000002</v>
      </c>
      <c r="I186" s="382"/>
      <c r="J186" s="462">
        <v>1440</v>
      </c>
      <c r="K186" s="468">
        <f>IFERROR(VLOOKUP(A186,'2018-19'!$A$6:$F$318,6,0),0)</f>
        <v>0</v>
      </c>
      <c r="L186" s="468">
        <f>IFERROR(VLOOKUP(A186,'2018-19'!$A$6:$D$318,4,0),0)</f>
        <v>20705469.449999999</v>
      </c>
      <c r="M186" s="468">
        <f t="shared" si="20"/>
        <v>20705469.449999999</v>
      </c>
      <c r="N186" s="382"/>
      <c r="O186" s="452">
        <v>1506</v>
      </c>
      <c r="P186" s="387">
        <v>5230377.7699999996</v>
      </c>
      <c r="Q186" s="387">
        <v>16985006.34</v>
      </c>
      <c r="R186" s="387">
        <v>22215384.109999999</v>
      </c>
      <c r="S186" s="382"/>
      <c r="T186" s="375">
        <f>VLOOKUP(A186,'Nov 2020 cc'!$B$3:$D$317,3,0)</f>
        <v>1438</v>
      </c>
      <c r="U186" s="387">
        <v>5230377.7699999996</v>
      </c>
      <c r="V186" s="387">
        <v>18106016.940000001</v>
      </c>
      <c r="W186" s="387">
        <v>23336394.710000001</v>
      </c>
      <c r="X186" s="382"/>
      <c r="Y186" s="375">
        <v>1575</v>
      </c>
      <c r="Z186" s="413">
        <f>VLOOKUP(A186,'2021-22'!$A$6:$D$317,4,0)</f>
        <v>7495716.3600000003</v>
      </c>
      <c r="AA186" s="413">
        <f>VLOOKUP(A186,'2021-22'!$A$6:$E$317,5,0)</f>
        <v>16723694.609999999</v>
      </c>
      <c r="AB186" s="387">
        <f t="shared" si="21"/>
        <v>24219410.969999999</v>
      </c>
      <c r="AC186" s="382"/>
      <c r="AD186" s="416">
        <v>1684</v>
      </c>
      <c r="AE186" s="413">
        <v>7568621.8399999999</v>
      </c>
      <c r="AF186" s="413">
        <v>18788538.399999999</v>
      </c>
      <c r="AG186" s="387">
        <f t="shared" si="22"/>
        <v>26357160.239999998</v>
      </c>
      <c r="AH186" s="557"/>
      <c r="AI186" s="387">
        <f>IFERROR(VLOOKUP(A186,'23-24 child count'!$C$4:$Y$317,23,0),0)</f>
        <v>1662</v>
      </c>
      <c r="AJ186" s="387">
        <f>VLOOKUP(A186,'23-24 state &amp; local'!$A$5:$D$316,4,0)</f>
        <v>6107494.2199999997</v>
      </c>
      <c r="AK186" s="387">
        <f>VLOOKUP(A186,'23-24 state &amp; local'!$A$5:$E$316,5,0)</f>
        <v>22071701.449999999</v>
      </c>
      <c r="AL186" s="387">
        <f t="shared" si="18"/>
        <v>28179195.669999998</v>
      </c>
      <c r="AM186" s="382"/>
    </row>
    <row r="187" spans="1:39" ht="15" hidden="1" x14ac:dyDescent="0.25">
      <c r="A187" s="375" t="s">
        <v>554</v>
      </c>
      <c r="B187" s="375" t="s">
        <v>231</v>
      </c>
      <c r="C187" s="448" t="s">
        <v>555</v>
      </c>
      <c r="E187" s="461">
        <v>805</v>
      </c>
      <c r="F187" s="468">
        <f>IFERROR(VLOOKUP(A187,'2017-18'!$A$6:$F$315,6,0),0)</f>
        <v>40000</v>
      </c>
      <c r="G187" s="468">
        <f>IFERROR(VLOOKUP(A187,'2017-18'!$A$6:$D$315,4,0),0)</f>
        <v>5062547.76</v>
      </c>
      <c r="H187" s="468">
        <f t="shared" si="19"/>
        <v>5102547.76</v>
      </c>
      <c r="I187" s="382"/>
      <c r="J187" s="462">
        <v>865</v>
      </c>
      <c r="K187" s="468">
        <f>IFERROR(VLOOKUP(A187,'2018-19'!$A$6:$F$318,6,0),0)</f>
        <v>40000</v>
      </c>
      <c r="L187" s="468">
        <f>IFERROR(VLOOKUP(A187,'2018-19'!$A$6:$D$318,4,0),0)</f>
        <v>6615879.8099999996</v>
      </c>
      <c r="M187" s="468">
        <f t="shared" si="20"/>
        <v>6655879.8099999996</v>
      </c>
      <c r="N187" s="382"/>
      <c r="O187" s="452">
        <v>881</v>
      </c>
      <c r="P187" s="387">
        <v>40000</v>
      </c>
      <c r="Q187" s="387">
        <v>7453045.0300000003</v>
      </c>
      <c r="R187" s="387">
        <v>7493045.0300000003</v>
      </c>
      <c r="S187" s="382"/>
      <c r="T187" s="375">
        <f>VLOOKUP(A187,'Nov 2020 cc'!$B$3:$D$317,3,0)</f>
        <v>1081</v>
      </c>
      <c r="U187" s="387">
        <v>40000</v>
      </c>
      <c r="V187" s="387">
        <v>9756912.8399999999</v>
      </c>
      <c r="W187" s="387">
        <v>9796912.8399999999</v>
      </c>
      <c r="X187" s="382"/>
      <c r="Y187" s="375">
        <v>928</v>
      </c>
      <c r="Z187" s="413">
        <f>VLOOKUP(A187,'2021-22'!$A$6:$D$317,4,0)</f>
        <v>40000</v>
      </c>
      <c r="AA187" s="413">
        <f>VLOOKUP(A187,'2021-22'!$A$6:$E$317,5,0)</f>
        <v>8675628.3200000003</v>
      </c>
      <c r="AB187" s="387">
        <f t="shared" si="21"/>
        <v>8715628.3200000003</v>
      </c>
      <c r="AC187" s="382"/>
      <c r="AD187" s="416">
        <v>888</v>
      </c>
      <c r="AE187" s="413">
        <v>40000</v>
      </c>
      <c r="AF187" s="413">
        <v>8551473.6999999993</v>
      </c>
      <c r="AG187" s="387">
        <f t="shared" si="22"/>
        <v>8591473.6999999993</v>
      </c>
      <c r="AH187" s="557"/>
      <c r="AI187" s="387">
        <f>IFERROR(VLOOKUP(A187,'23-24 child count'!$C$4:$Y$317,23,0),0)</f>
        <v>904</v>
      </c>
      <c r="AJ187" s="387">
        <f>VLOOKUP(A187,'23-24 state &amp; local'!$A$5:$D$316,4,0)</f>
        <v>60000</v>
      </c>
      <c r="AK187" s="387">
        <f>VLOOKUP(A187,'23-24 state &amp; local'!$A$5:$E$316,5,0)</f>
        <v>9967422.4499999993</v>
      </c>
      <c r="AL187" s="387">
        <f t="shared" si="18"/>
        <v>10027422.449999999</v>
      </c>
      <c r="AM187" s="382"/>
    </row>
    <row r="188" spans="1:39" ht="15" hidden="1" x14ac:dyDescent="0.25">
      <c r="A188" s="375" t="s">
        <v>556</v>
      </c>
      <c r="B188" s="375" t="s">
        <v>189</v>
      </c>
      <c r="C188" s="448" t="s">
        <v>557</v>
      </c>
      <c r="E188" s="461">
        <v>111</v>
      </c>
      <c r="F188" s="468">
        <f>IFERROR(VLOOKUP(A188,'2017-18'!$A$6:$F$315,6,0),0)</f>
        <v>103746.14</v>
      </c>
      <c r="G188" s="468">
        <f>IFERROR(VLOOKUP(A188,'2017-18'!$A$6:$D$315,4,0),0)</f>
        <v>872331.86</v>
      </c>
      <c r="H188" s="468">
        <f t="shared" si="19"/>
        <v>976078</v>
      </c>
      <c r="I188" s="382"/>
      <c r="J188" s="462">
        <v>118</v>
      </c>
      <c r="K188" s="468">
        <f>IFERROR(VLOOKUP(A188,'2018-19'!$A$6:$F$318,6,0),0)</f>
        <v>0</v>
      </c>
      <c r="L188" s="468">
        <f>IFERROR(VLOOKUP(A188,'2018-19'!$A$6:$D$318,4,0),0)</f>
        <v>983327.79</v>
      </c>
      <c r="M188" s="468">
        <f t="shared" si="20"/>
        <v>983327.79</v>
      </c>
      <c r="N188" s="382"/>
      <c r="O188" s="452">
        <v>125</v>
      </c>
      <c r="P188" s="387">
        <v>28287.13</v>
      </c>
      <c r="Q188" s="387">
        <v>1208113.74</v>
      </c>
      <c r="R188" s="387">
        <v>1236400.8699999999</v>
      </c>
      <c r="S188" s="382"/>
      <c r="T188" s="375">
        <f>VLOOKUP(A188,'Nov 2020 cc'!$B$3:$D$317,3,0)</f>
        <v>130</v>
      </c>
      <c r="U188" s="387">
        <v>79682.45</v>
      </c>
      <c r="V188" s="387">
        <v>1348908.5</v>
      </c>
      <c r="W188" s="387">
        <v>1428590.95</v>
      </c>
      <c r="X188" s="382"/>
      <c r="Y188" s="375">
        <v>146</v>
      </c>
      <c r="Z188" s="413">
        <f>VLOOKUP(A188,'2021-22'!$A$6:$D$317,4,0)</f>
        <v>203786.21</v>
      </c>
      <c r="AA188" s="413">
        <f>VLOOKUP(A188,'2021-22'!$A$6:$E$317,5,0)</f>
        <v>1267975.3999999999</v>
      </c>
      <c r="AB188" s="387">
        <f t="shared" si="21"/>
        <v>1471761.6099999999</v>
      </c>
      <c r="AC188" s="382"/>
      <c r="AD188" s="416">
        <v>156</v>
      </c>
      <c r="AE188" s="413">
        <v>88270.54</v>
      </c>
      <c r="AF188" s="413">
        <v>1464166.14</v>
      </c>
      <c r="AG188" s="387">
        <f t="shared" si="22"/>
        <v>1552436.68</v>
      </c>
      <c r="AH188" s="557"/>
      <c r="AI188" s="387">
        <f>IFERROR(VLOOKUP(A188,'23-24 child count'!$C$4:$Y$317,23,0),0)</f>
        <v>158</v>
      </c>
      <c r="AJ188" s="387">
        <f>VLOOKUP(A188,'23-24 state &amp; local'!$A$5:$D$316,4,0)</f>
        <v>0</v>
      </c>
      <c r="AK188" s="387">
        <f>VLOOKUP(A188,'23-24 state &amp; local'!$A$5:$E$316,5,0)</f>
        <v>2193807.5699999998</v>
      </c>
      <c r="AL188" s="387">
        <f t="shared" si="18"/>
        <v>2193807.5699999998</v>
      </c>
      <c r="AM188" s="382"/>
    </row>
    <row r="189" spans="1:39" ht="15" hidden="1" x14ac:dyDescent="0.25">
      <c r="A189" s="375" t="s">
        <v>558</v>
      </c>
      <c r="B189" s="375" t="s">
        <v>194</v>
      </c>
      <c r="C189" s="448" t="s">
        <v>559</v>
      </c>
      <c r="E189" s="461">
        <v>5</v>
      </c>
      <c r="F189" s="468">
        <f>IFERROR(VLOOKUP(A189,'2017-18'!$A$6:$F$315,6,0),0)</f>
        <v>5980</v>
      </c>
      <c r="G189" s="468">
        <f>IFERROR(VLOOKUP(A189,'2017-18'!$A$6:$D$315,4,0),0)</f>
        <v>43573.04</v>
      </c>
      <c r="H189" s="468">
        <f t="shared" si="19"/>
        <v>49553.04</v>
      </c>
      <c r="I189" s="382"/>
      <c r="J189" s="462">
        <v>4</v>
      </c>
      <c r="K189" s="468">
        <f>IFERROR(VLOOKUP(A189,'2018-19'!$A$6:$F$318,6,0),0)</f>
        <v>10135.94</v>
      </c>
      <c r="L189" s="468">
        <f>IFERROR(VLOOKUP(A189,'2018-19'!$A$6:$D$318,4,0),0)</f>
        <v>41066.730000000003</v>
      </c>
      <c r="M189" s="468">
        <f t="shared" si="20"/>
        <v>51202.670000000006</v>
      </c>
      <c r="N189" s="382"/>
      <c r="O189" s="452">
        <v>3</v>
      </c>
      <c r="P189" s="387">
        <v>0</v>
      </c>
      <c r="Q189" s="387">
        <v>33214.44</v>
      </c>
      <c r="R189" s="387">
        <v>33214.44</v>
      </c>
      <c r="S189" s="382"/>
      <c r="T189" s="375">
        <f>VLOOKUP(A189,'Nov 2020 cc'!$B$3:$D$317,3,0)</f>
        <v>3</v>
      </c>
      <c r="U189" s="387">
        <v>0</v>
      </c>
      <c r="V189" s="387">
        <v>33395.51</v>
      </c>
      <c r="W189" s="387">
        <v>33395.51</v>
      </c>
      <c r="X189" s="382"/>
      <c r="Y189" s="375">
        <v>7</v>
      </c>
      <c r="Z189" s="413">
        <f>VLOOKUP(A189,'2021-22'!$A$6:$D$317,4,0)</f>
        <v>0</v>
      </c>
      <c r="AA189" s="413">
        <f>VLOOKUP(A189,'2021-22'!$A$6:$E$317,5,0)</f>
        <v>42825.15</v>
      </c>
      <c r="AB189" s="387">
        <f t="shared" si="21"/>
        <v>42825.15</v>
      </c>
      <c r="AC189" s="382"/>
      <c r="AD189" s="416">
        <v>8</v>
      </c>
      <c r="AE189" s="413">
        <v>0</v>
      </c>
      <c r="AF189" s="413">
        <v>66732.33</v>
      </c>
      <c r="AG189" s="387">
        <f t="shared" si="22"/>
        <v>66732.33</v>
      </c>
      <c r="AH189" s="557"/>
      <c r="AI189" s="387">
        <f>IFERROR(VLOOKUP(A189,'23-24 child count'!$C$4:$Y$317,23,0),0)</f>
        <v>6</v>
      </c>
      <c r="AJ189" s="387">
        <f>VLOOKUP(A189,'23-24 state &amp; local'!$A$5:$D$316,4,0)</f>
        <v>0</v>
      </c>
      <c r="AK189" s="387">
        <f>VLOOKUP(A189,'23-24 state &amp; local'!$A$5:$E$316,5,0)</f>
        <v>74417.789999999994</v>
      </c>
      <c r="AL189" s="387">
        <f t="shared" si="18"/>
        <v>74417.789999999994</v>
      </c>
      <c r="AM189" s="382"/>
    </row>
    <row r="190" spans="1:39" ht="15" hidden="1" x14ac:dyDescent="0.25">
      <c r="A190" s="375" t="s">
        <v>560</v>
      </c>
      <c r="B190" s="375" t="s">
        <v>197</v>
      </c>
      <c r="C190" s="448" t="s">
        <v>1200</v>
      </c>
      <c r="E190" s="461">
        <v>78</v>
      </c>
      <c r="F190" s="468">
        <f>IFERROR(VLOOKUP(A190,'2017-18'!$A$6:$F$315,6,0),0)</f>
        <v>357884.03</v>
      </c>
      <c r="G190" s="468">
        <f>IFERROR(VLOOKUP(A190,'2017-18'!$A$6:$D$315,4,0),0)</f>
        <v>699587.25</v>
      </c>
      <c r="H190" s="468">
        <f t="shared" si="19"/>
        <v>1057471.28</v>
      </c>
      <c r="I190" s="382"/>
      <c r="J190" s="462">
        <v>89</v>
      </c>
      <c r="K190" s="468">
        <f>IFERROR(VLOOKUP(A190,'2018-19'!$A$6:$F$318,6,0),0)</f>
        <v>0</v>
      </c>
      <c r="L190" s="468">
        <f>IFERROR(VLOOKUP(A190,'2018-19'!$A$6:$D$318,4,0),0)</f>
        <v>1265198.8700000001</v>
      </c>
      <c r="M190" s="468">
        <f t="shared" si="20"/>
        <v>1265198.8700000001</v>
      </c>
      <c r="N190" s="382"/>
      <c r="O190" s="452">
        <v>87</v>
      </c>
      <c r="P190" s="387">
        <v>64633.72</v>
      </c>
      <c r="Q190" s="387">
        <v>1283739.78</v>
      </c>
      <c r="R190" s="387">
        <v>1348373.5</v>
      </c>
      <c r="S190" s="382"/>
      <c r="T190" s="375">
        <f>VLOOKUP(A190,'Nov 2020 cc'!$B$3:$D$317,3,0)</f>
        <v>100</v>
      </c>
      <c r="U190" s="387">
        <v>67488.070000000007</v>
      </c>
      <c r="V190" s="387">
        <v>1174754.02</v>
      </c>
      <c r="W190" s="387">
        <v>1242242.0900000001</v>
      </c>
      <c r="X190" s="382"/>
      <c r="Y190" s="375">
        <v>84</v>
      </c>
      <c r="Z190" s="413">
        <f>VLOOKUP(A190,'2021-22'!$A$6:$D$317,4,0)</f>
        <v>0</v>
      </c>
      <c r="AA190" s="413">
        <f>VLOOKUP(A190,'2021-22'!$A$6:$E$317,5,0)</f>
        <v>1269884.75</v>
      </c>
      <c r="AB190" s="387">
        <f t="shared" si="21"/>
        <v>1269884.75</v>
      </c>
      <c r="AC190" s="382"/>
      <c r="AD190" s="416">
        <v>98</v>
      </c>
      <c r="AE190" s="413">
        <v>78609.149999999994</v>
      </c>
      <c r="AF190" s="413">
        <v>1464969.84</v>
      </c>
      <c r="AG190" s="387">
        <f t="shared" si="22"/>
        <v>1543578.99</v>
      </c>
      <c r="AH190" s="557"/>
      <c r="AI190" s="387">
        <f>IFERROR(VLOOKUP(A190,'23-24 child count'!$C$4:$Y$317,23,0),0)</f>
        <v>117</v>
      </c>
      <c r="AJ190" s="387">
        <f>VLOOKUP(A190,'23-24 state &amp; local'!$A$5:$D$316,4,0)</f>
        <v>65132.09</v>
      </c>
      <c r="AK190" s="387">
        <f>VLOOKUP(A190,'23-24 state &amp; local'!$A$5:$E$316,5,0)</f>
        <v>1520300.54</v>
      </c>
      <c r="AL190" s="387">
        <f t="shared" si="18"/>
        <v>1585432.6300000001</v>
      </c>
      <c r="AM190" s="382"/>
    </row>
    <row r="191" spans="1:39" ht="15" hidden="1" x14ac:dyDescent="0.25">
      <c r="A191" s="375" t="s">
        <v>562</v>
      </c>
      <c r="B191" s="375" t="s">
        <v>194</v>
      </c>
      <c r="C191" s="448" t="s">
        <v>563</v>
      </c>
      <c r="E191" s="461">
        <v>9</v>
      </c>
      <c r="F191" s="468">
        <f>IFERROR(VLOOKUP(A191,'2017-18'!$A$6:$F$315,6,0),0)</f>
        <v>0</v>
      </c>
      <c r="G191" s="468">
        <f>IFERROR(VLOOKUP(A191,'2017-18'!$A$6:$D$315,4,0),0)</f>
        <v>92775.91</v>
      </c>
      <c r="H191" s="468">
        <f t="shared" si="19"/>
        <v>92775.91</v>
      </c>
      <c r="I191" s="382"/>
      <c r="J191" s="462">
        <v>6</v>
      </c>
      <c r="K191" s="468">
        <f>IFERROR(VLOOKUP(A191,'2018-19'!$A$6:$F$318,6,0),0)</f>
        <v>26511.03</v>
      </c>
      <c r="L191" s="468">
        <f>IFERROR(VLOOKUP(A191,'2018-19'!$A$6:$D$318,4,0),0)</f>
        <v>54249.08</v>
      </c>
      <c r="M191" s="468">
        <f t="shared" si="20"/>
        <v>80760.11</v>
      </c>
      <c r="N191" s="382"/>
      <c r="O191" s="452">
        <v>6</v>
      </c>
      <c r="P191" s="387">
        <v>0</v>
      </c>
      <c r="Q191" s="387">
        <v>89541</v>
      </c>
      <c r="R191" s="387">
        <v>89541</v>
      </c>
      <c r="S191" s="382"/>
      <c r="T191" s="375">
        <f>VLOOKUP(A191,'Nov 2020 cc'!$B$3:$D$317,3,0)</f>
        <v>3</v>
      </c>
      <c r="U191" s="387">
        <v>0</v>
      </c>
      <c r="V191" s="387">
        <v>67825.67</v>
      </c>
      <c r="W191" s="387">
        <v>67825.67</v>
      </c>
      <c r="X191" s="382"/>
      <c r="Y191" s="375">
        <v>5</v>
      </c>
      <c r="Z191" s="413">
        <f>VLOOKUP(A191,'2021-22'!$A$6:$D$317,4,0)</f>
        <v>0</v>
      </c>
      <c r="AA191" s="413">
        <f>VLOOKUP(A191,'2021-22'!$A$6:$E$317,5,0)</f>
        <v>91110.69</v>
      </c>
      <c r="AB191" s="387">
        <f t="shared" si="21"/>
        <v>91110.69</v>
      </c>
      <c r="AC191" s="382"/>
      <c r="AD191" s="416">
        <v>4</v>
      </c>
      <c r="AE191" s="413">
        <v>0</v>
      </c>
      <c r="AF191" s="413">
        <v>89865.15</v>
      </c>
      <c r="AG191" s="387">
        <f t="shared" si="22"/>
        <v>89865.15</v>
      </c>
      <c r="AH191" s="557"/>
      <c r="AI191" s="387">
        <f>IFERROR(VLOOKUP(A191,'23-24 child count'!$C$4:$Y$317,23,0),0)</f>
        <v>8</v>
      </c>
      <c r="AJ191" s="387">
        <f>VLOOKUP(A191,'23-24 state &amp; local'!$A$5:$D$316,4,0)</f>
        <v>0</v>
      </c>
      <c r="AK191" s="387">
        <f>VLOOKUP(A191,'23-24 state &amp; local'!$A$5:$E$316,5,0)</f>
        <v>88106.94</v>
      </c>
      <c r="AL191" s="387">
        <f t="shared" si="18"/>
        <v>88106.94</v>
      </c>
      <c r="AM191" s="382"/>
    </row>
    <row r="192" spans="1:39" ht="15" hidden="1" x14ac:dyDescent="0.25">
      <c r="A192" s="375" t="s">
        <v>564</v>
      </c>
      <c r="B192" s="375" t="s">
        <v>194</v>
      </c>
      <c r="C192" s="448" t="s">
        <v>565</v>
      </c>
      <c r="E192" s="461">
        <v>9</v>
      </c>
      <c r="F192" s="468">
        <f>IFERROR(VLOOKUP(A192,'2017-18'!$A$6:$F$315,6,0),0)</f>
        <v>0</v>
      </c>
      <c r="G192" s="468">
        <f>IFERROR(VLOOKUP(A192,'2017-18'!$A$6:$D$315,4,0),0)</f>
        <v>57302.76</v>
      </c>
      <c r="H192" s="468">
        <f t="shared" si="19"/>
        <v>57302.76</v>
      </c>
      <c r="I192" s="382"/>
      <c r="J192" s="462">
        <v>12</v>
      </c>
      <c r="K192" s="468">
        <f>IFERROR(VLOOKUP(A192,'2018-19'!$A$6:$F$318,6,0),0)</f>
        <v>16284.49</v>
      </c>
      <c r="L192" s="468">
        <f>IFERROR(VLOOKUP(A192,'2018-19'!$A$6:$D$318,4,0),0)</f>
        <v>58312.57</v>
      </c>
      <c r="M192" s="468">
        <f t="shared" si="20"/>
        <v>74597.06</v>
      </c>
      <c r="N192" s="382"/>
      <c r="O192" s="452">
        <v>14</v>
      </c>
      <c r="P192" s="387">
        <v>0</v>
      </c>
      <c r="Q192" s="387">
        <v>108475.34</v>
      </c>
      <c r="R192" s="387">
        <v>108475.34</v>
      </c>
      <c r="S192" s="382"/>
      <c r="T192" s="375">
        <f>VLOOKUP(A192,'Nov 2020 cc'!$B$3:$D$317,3,0)</f>
        <v>9</v>
      </c>
      <c r="U192" s="387">
        <v>0</v>
      </c>
      <c r="V192" s="387">
        <v>107572.82</v>
      </c>
      <c r="W192" s="387">
        <v>107572.82</v>
      </c>
      <c r="X192" s="382"/>
      <c r="Y192" s="375">
        <v>6</v>
      </c>
      <c r="Z192" s="413">
        <f>VLOOKUP(A192,'2021-22'!$A$6:$D$317,4,0)</f>
        <v>0</v>
      </c>
      <c r="AA192" s="413">
        <f>VLOOKUP(A192,'2021-22'!$A$6:$E$317,5,0)</f>
        <v>91784.54</v>
      </c>
      <c r="AB192" s="387">
        <f t="shared" si="21"/>
        <v>91784.54</v>
      </c>
      <c r="AC192" s="382"/>
      <c r="AD192" s="416">
        <v>7</v>
      </c>
      <c r="AE192" s="413">
        <v>0</v>
      </c>
      <c r="AF192" s="413">
        <v>70907.16</v>
      </c>
      <c r="AG192" s="387">
        <f t="shared" si="22"/>
        <v>70907.16</v>
      </c>
      <c r="AH192" s="557"/>
      <c r="AI192" s="387">
        <f>IFERROR(VLOOKUP(A192,'23-24 child count'!$C$4:$Y$317,23,0),0)</f>
        <v>6</v>
      </c>
      <c r="AJ192" s="387">
        <f>VLOOKUP(A192,'23-24 state &amp; local'!$A$5:$D$316,4,0)</f>
        <v>0</v>
      </c>
      <c r="AK192" s="387">
        <f>VLOOKUP(A192,'23-24 state &amp; local'!$A$5:$E$316,5,0)</f>
        <v>67631.61</v>
      </c>
      <c r="AL192" s="387">
        <f t="shared" si="18"/>
        <v>67631.61</v>
      </c>
      <c r="AM192" s="382"/>
    </row>
    <row r="193" spans="1:39" ht="15" hidden="1" x14ac:dyDescent="0.25">
      <c r="A193" s="375" t="s">
        <v>566</v>
      </c>
      <c r="B193" s="375" t="s">
        <v>231</v>
      </c>
      <c r="C193" s="448" t="s">
        <v>567</v>
      </c>
      <c r="D193" s="375" t="s">
        <v>819</v>
      </c>
      <c r="E193" s="461">
        <v>26</v>
      </c>
      <c r="F193" s="468">
        <f>IFERROR(VLOOKUP(A193,'2017-18'!$A$6:$F$315,6,0),0)</f>
        <v>0</v>
      </c>
      <c r="G193" s="468">
        <f>IFERROR(VLOOKUP(A193,'2017-18'!$A$6:$D$315,4,0),0)</f>
        <v>193401.78</v>
      </c>
      <c r="H193" s="468">
        <f t="shared" si="19"/>
        <v>193401.78</v>
      </c>
      <c r="I193" s="382"/>
      <c r="J193" s="462">
        <v>20</v>
      </c>
      <c r="K193" s="468">
        <f>IFERROR(VLOOKUP(A193,'2018-19'!$A$6:$F$318,6,0),0)</f>
        <v>416.68</v>
      </c>
      <c r="L193" s="468">
        <f>IFERROR(VLOOKUP(A193,'2018-19'!$A$6:$D$318,4,0),0)</f>
        <v>188333.32</v>
      </c>
      <c r="M193" s="468">
        <f t="shared" si="20"/>
        <v>188750</v>
      </c>
      <c r="N193" s="382"/>
      <c r="O193" s="452">
        <v>26</v>
      </c>
      <c r="P193" s="387">
        <v>0</v>
      </c>
      <c r="Q193" s="387">
        <v>207623.56</v>
      </c>
      <c r="R193" s="387">
        <v>207623.56</v>
      </c>
      <c r="S193" s="382"/>
      <c r="T193" s="375">
        <f>VLOOKUP(A193,'Nov 2020 cc'!$B$3:$D$317,3,0)</f>
        <v>18</v>
      </c>
      <c r="U193" s="387">
        <v>0</v>
      </c>
      <c r="V193" s="387">
        <v>165855.29999999999</v>
      </c>
      <c r="W193" s="387">
        <v>165855.29999999999</v>
      </c>
      <c r="X193" s="382"/>
      <c r="Y193" s="375">
        <v>18</v>
      </c>
      <c r="Z193" s="413">
        <f>VLOOKUP(A193,'2021-22'!$A$6:$D$317,4,0)</f>
        <v>0</v>
      </c>
      <c r="AA193" s="413">
        <f>VLOOKUP(A193,'2021-22'!$A$6:$E$317,5,0)</f>
        <v>153288.82999999999</v>
      </c>
      <c r="AB193" s="387">
        <f t="shared" si="21"/>
        <v>153288.82999999999</v>
      </c>
      <c r="AC193" s="382"/>
      <c r="AD193" s="416">
        <v>18</v>
      </c>
      <c r="AE193" s="413">
        <v>0</v>
      </c>
      <c r="AF193" s="413">
        <v>189424.73</v>
      </c>
      <c r="AG193" s="387">
        <f t="shared" si="22"/>
        <v>189424.73</v>
      </c>
      <c r="AH193" s="557"/>
      <c r="AI193" s="387">
        <f>IFERROR(VLOOKUP(A193,'23-24 child count'!$C$4:$Y$317,23,0),0)</f>
        <v>19</v>
      </c>
      <c r="AJ193" s="387">
        <f>VLOOKUP(A193,'23-24 state &amp; local'!$A$5:$D$316,4,0)</f>
        <v>0</v>
      </c>
      <c r="AK193" s="387">
        <f>VLOOKUP(A193,'23-24 state &amp; local'!$A$5:$E$316,5,0)</f>
        <v>214713.55</v>
      </c>
      <c r="AL193" s="387">
        <f t="shared" si="18"/>
        <v>214713.55</v>
      </c>
      <c r="AM193" s="382"/>
    </row>
    <row r="194" spans="1:39" ht="15" hidden="1" x14ac:dyDescent="0.25">
      <c r="A194" s="375" t="s">
        <v>568</v>
      </c>
      <c r="B194" s="375" t="s">
        <v>231</v>
      </c>
      <c r="C194" s="448" t="s">
        <v>569</v>
      </c>
      <c r="E194" s="461">
        <v>74</v>
      </c>
      <c r="F194" s="468">
        <f>IFERROR(VLOOKUP(A194,'2017-18'!$A$6:$F$315,6,0),0)</f>
        <v>10593.25</v>
      </c>
      <c r="G194" s="468">
        <f>IFERROR(VLOOKUP(A194,'2017-18'!$A$6:$D$315,4,0),0)</f>
        <v>573002.41</v>
      </c>
      <c r="H194" s="468">
        <f t="shared" si="19"/>
        <v>583595.66</v>
      </c>
      <c r="I194" s="382"/>
      <c r="J194" s="462">
        <v>80</v>
      </c>
      <c r="K194" s="468">
        <f>IFERROR(VLOOKUP(A194,'2018-19'!$A$6:$F$318,6,0),0)</f>
        <v>0</v>
      </c>
      <c r="L194" s="468">
        <f>IFERROR(VLOOKUP(A194,'2018-19'!$A$6:$D$318,4,0),0)</f>
        <v>675032.35</v>
      </c>
      <c r="M194" s="468">
        <f t="shared" si="20"/>
        <v>675032.35</v>
      </c>
      <c r="N194" s="382"/>
      <c r="O194" s="452">
        <v>79</v>
      </c>
      <c r="P194" s="387">
        <v>18022.169999999998</v>
      </c>
      <c r="Q194" s="387">
        <v>695521.2</v>
      </c>
      <c r="R194" s="387">
        <v>713543.37</v>
      </c>
      <c r="S194" s="382"/>
      <c r="T194" s="375">
        <f>VLOOKUP(A194,'Nov 2020 cc'!$B$3:$D$317,3,0)</f>
        <v>79</v>
      </c>
      <c r="U194" s="387">
        <v>0</v>
      </c>
      <c r="V194" s="387">
        <v>746856.44</v>
      </c>
      <c r="W194" s="387">
        <v>746856.44</v>
      </c>
      <c r="X194" s="382"/>
      <c r="Y194" s="375">
        <v>67</v>
      </c>
      <c r="Z194" s="413">
        <f>VLOOKUP(A194,'2021-22'!$A$6:$D$317,4,0)</f>
        <v>3862.25</v>
      </c>
      <c r="AA194" s="413">
        <f>VLOOKUP(A194,'2021-22'!$A$6:$E$317,5,0)</f>
        <v>684746.78</v>
      </c>
      <c r="AB194" s="387">
        <f t="shared" si="21"/>
        <v>688609.03</v>
      </c>
      <c r="AC194" s="382"/>
      <c r="AD194" s="416">
        <v>55</v>
      </c>
      <c r="AE194" s="413">
        <v>109058.97</v>
      </c>
      <c r="AF194" s="413">
        <v>662933.22</v>
      </c>
      <c r="AG194" s="387">
        <f t="shared" si="22"/>
        <v>771992.19</v>
      </c>
      <c r="AH194" s="557"/>
      <c r="AI194" s="387">
        <f>IFERROR(VLOOKUP(A194,'23-24 child count'!$C$4:$Y$317,23,0),0)</f>
        <v>71</v>
      </c>
      <c r="AJ194" s="387">
        <f>VLOOKUP(A194,'23-24 state &amp; local'!$A$5:$D$316,4,0)</f>
        <v>53077.04</v>
      </c>
      <c r="AK194" s="387">
        <f>VLOOKUP(A194,'23-24 state &amp; local'!$A$5:$E$316,5,0)</f>
        <v>841083.84</v>
      </c>
      <c r="AL194" s="387">
        <f t="shared" si="18"/>
        <v>894160.88</v>
      </c>
      <c r="AM194" s="382"/>
    </row>
    <row r="195" spans="1:39" ht="15" hidden="1" x14ac:dyDescent="0.25">
      <c r="A195" s="375" t="s">
        <v>570</v>
      </c>
      <c r="B195" s="375" t="s">
        <v>205</v>
      </c>
      <c r="C195" s="448" t="s">
        <v>571</v>
      </c>
      <c r="E195" s="461">
        <v>383</v>
      </c>
      <c r="F195" s="468">
        <f>IFERROR(VLOOKUP(A195,'2017-18'!$A$6:$F$315,6,0),0)</f>
        <v>0</v>
      </c>
      <c r="G195" s="468">
        <f>IFERROR(VLOOKUP(A195,'2017-18'!$A$6:$D$315,4,0),0)</f>
        <v>3544505.94</v>
      </c>
      <c r="H195" s="468">
        <f t="shared" si="19"/>
        <v>3544505.94</v>
      </c>
      <c r="I195" s="382"/>
      <c r="J195" s="462">
        <v>399</v>
      </c>
      <c r="K195" s="468">
        <f>IFERROR(VLOOKUP(A195,'2018-19'!$A$6:$F$318,6,0),0)</f>
        <v>0</v>
      </c>
      <c r="L195" s="468">
        <f>IFERROR(VLOOKUP(A195,'2018-19'!$A$6:$D$318,4,0),0)</f>
        <v>4368061.88</v>
      </c>
      <c r="M195" s="468">
        <f t="shared" si="20"/>
        <v>4368061.88</v>
      </c>
      <c r="N195" s="382"/>
      <c r="O195" s="452">
        <v>421</v>
      </c>
      <c r="P195" s="387">
        <v>0</v>
      </c>
      <c r="Q195" s="387">
        <v>5366521.12</v>
      </c>
      <c r="R195" s="387">
        <v>5366521.12</v>
      </c>
      <c r="S195" s="382"/>
      <c r="T195" s="375">
        <f>VLOOKUP(A195,'Nov 2020 cc'!$B$3:$D$317,3,0)</f>
        <v>402</v>
      </c>
      <c r="U195" s="387">
        <v>0</v>
      </c>
      <c r="V195" s="387">
        <v>5523853.3799999999</v>
      </c>
      <c r="W195" s="387">
        <v>5523853.3799999999</v>
      </c>
      <c r="X195" s="382"/>
      <c r="Y195" s="375">
        <v>419</v>
      </c>
      <c r="Z195" s="413">
        <f>VLOOKUP(A195,'2021-22'!$A$6:$D$317,4,0)</f>
        <v>445454.98</v>
      </c>
      <c r="AA195" s="413">
        <f>VLOOKUP(A195,'2021-22'!$A$6:$E$317,5,0)</f>
        <v>6272429.7800000003</v>
      </c>
      <c r="AB195" s="387">
        <f t="shared" si="21"/>
        <v>6717884.7599999998</v>
      </c>
      <c r="AC195" s="382"/>
      <c r="AD195" s="416">
        <v>402</v>
      </c>
      <c r="AE195" s="413">
        <v>399203.96</v>
      </c>
      <c r="AF195" s="413">
        <v>6729121.0300000003</v>
      </c>
      <c r="AG195" s="387">
        <f t="shared" si="22"/>
        <v>7128324.9900000002</v>
      </c>
      <c r="AH195" s="557"/>
      <c r="AI195" s="387">
        <f>IFERROR(VLOOKUP(A195,'23-24 child count'!$C$4:$Y$317,23,0),0)</f>
        <v>455</v>
      </c>
      <c r="AJ195" s="387">
        <f>VLOOKUP(A195,'23-24 state &amp; local'!$A$5:$D$316,4,0)</f>
        <v>0</v>
      </c>
      <c r="AK195" s="387">
        <f>VLOOKUP(A195,'23-24 state &amp; local'!$A$5:$E$316,5,0)</f>
        <v>7554695.6600000001</v>
      </c>
      <c r="AL195" s="387">
        <f t="shared" si="18"/>
        <v>7554695.6600000001</v>
      </c>
      <c r="AM195" s="382"/>
    </row>
    <row r="196" spans="1:39" ht="15" hidden="1" x14ac:dyDescent="0.25">
      <c r="A196" s="375" t="s">
        <v>572</v>
      </c>
      <c r="B196" s="375" t="s">
        <v>202</v>
      </c>
      <c r="C196" s="448" t="s">
        <v>573</v>
      </c>
      <c r="E196" s="461">
        <v>570</v>
      </c>
      <c r="F196" s="468">
        <f>IFERROR(VLOOKUP(A196,'2017-18'!$A$6:$F$315,6,0),0)</f>
        <v>0</v>
      </c>
      <c r="G196" s="468">
        <f>IFERROR(VLOOKUP(A196,'2017-18'!$A$6:$D$315,4,0),0)</f>
        <v>4150266.48</v>
      </c>
      <c r="H196" s="468">
        <f t="shared" si="19"/>
        <v>4150266.48</v>
      </c>
      <c r="I196" s="382"/>
      <c r="J196" s="462">
        <v>607</v>
      </c>
      <c r="K196" s="468">
        <f>IFERROR(VLOOKUP(A196,'2018-19'!$A$6:$F$318,6,0),0)</f>
        <v>0</v>
      </c>
      <c r="L196" s="468">
        <f>IFERROR(VLOOKUP(A196,'2018-19'!$A$6:$D$318,4,0),0)</f>
        <v>5430532.3899999997</v>
      </c>
      <c r="M196" s="468">
        <f t="shared" si="20"/>
        <v>5430532.3899999997</v>
      </c>
      <c r="N196" s="382"/>
      <c r="O196" s="452">
        <v>617</v>
      </c>
      <c r="P196" s="387">
        <v>0</v>
      </c>
      <c r="Q196" s="387">
        <v>5774199.9900000002</v>
      </c>
      <c r="R196" s="387">
        <v>5774199.9900000002</v>
      </c>
      <c r="S196" s="382"/>
      <c r="T196" s="375">
        <f>VLOOKUP(A196,'Nov 2020 cc'!$B$3:$D$317,3,0)</f>
        <v>628</v>
      </c>
      <c r="U196" s="387">
        <v>0</v>
      </c>
      <c r="V196" s="387">
        <v>6212611.4100000001</v>
      </c>
      <c r="W196" s="387">
        <v>6212611.4100000001</v>
      </c>
      <c r="X196" s="382"/>
      <c r="Y196" s="375">
        <v>614</v>
      </c>
      <c r="Z196" s="413">
        <f>VLOOKUP(A196,'2021-22'!$A$6:$D$317,4,0)</f>
        <v>0</v>
      </c>
      <c r="AA196" s="413">
        <f>VLOOKUP(A196,'2021-22'!$A$6:$E$317,5,0)</f>
        <v>5500283.8899999997</v>
      </c>
      <c r="AB196" s="387">
        <f t="shared" ref="AB196:AB227" si="23">Z196+AA196</f>
        <v>5500283.8899999997</v>
      </c>
      <c r="AC196" s="382"/>
      <c r="AD196" s="416">
        <v>620</v>
      </c>
      <c r="AE196" s="413">
        <v>0</v>
      </c>
      <c r="AF196" s="413">
        <v>6273503.8600000003</v>
      </c>
      <c r="AG196" s="387">
        <f t="shared" ref="AG196:AG227" si="24">AE196+AF196</f>
        <v>6273503.8600000003</v>
      </c>
      <c r="AH196" s="557"/>
      <c r="AI196" s="387">
        <f>IFERROR(VLOOKUP(A196,'23-24 child count'!$C$4:$Y$317,23,0),0)</f>
        <v>572</v>
      </c>
      <c r="AJ196" s="387">
        <f>VLOOKUP(A196,'23-24 state &amp; local'!$A$5:$D$316,4,0)</f>
        <v>0</v>
      </c>
      <c r="AK196" s="387">
        <f>VLOOKUP(A196,'23-24 state &amp; local'!$A$5:$E$316,5,0)</f>
        <v>6423586.5199999996</v>
      </c>
      <c r="AL196" s="387">
        <f t="shared" si="18"/>
        <v>6423586.5199999996</v>
      </c>
      <c r="AM196" s="382"/>
    </row>
    <row r="197" spans="1:39" ht="15" hidden="1" x14ac:dyDescent="0.25">
      <c r="A197" s="375" t="s">
        <v>574</v>
      </c>
      <c r="B197" s="375" t="s">
        <v>231</v>
      </c>
      <c r="C197" s="448" t="s">
        <v>575</v>
      </c>
      <c r="E197" s="461">
        <v>3</v>
      </c>
      <c r="F197" s="468">
        <f>IFERROR(VLOOKUP(A197,'2017-18'!$A$6:$F$315,6,0),0)</f>
        <v>0</v>
      </c>
      <c r="G197" s="468">
        <f>IFERROR(VLOOKUP(A197,'2017-18'!$A$6:$D$315,4,0),0)</f>
        <v>16583.990000000002</v>
      </c>
      <c r="H197" s="468">
        <f t="shared" si="19"/>
        <v>16583.990000000002</v>
      </c>
      <c r="I197" s="382"/>
      <c r="J197" s="462">
        <v>4</v>
      </c>
      <c r="K197" s="468">
        <f>IFERROR(VLOOKUP(A197,'2018-19'!$A$6:$F$318,6,0),0)</f>
        <v>0</v>
      </c>
      <c r="L197" s="468">
        <f>IFERROR(VLOOKUP(A197,'2018-19'!$A$6:$D$318,4,0),0)</f>
        <v>23842.18</v>
      </c>
      <c r="M197" s="468">
        <f t="shared" si="20"/>
        <v>23842.18</v>
      </c>
      <c r="N197" s="382"/>
      <c r="O197" s="452">
        <v>4</v>
      </c>
      <c r="P197" s="387">
        <v>0</v>
      </c>
      <c r="Q197" s="387">
        <v>27307.83</v>
      </c>
      <c r="R197" s="387">
        <v>27307.83</v>
      </c>
      <c r="S197" s="382"/>
      <c r="T197" s="375">
        <f>VLOOKUP(A197,'Nov 2020 cc'!$B$3:$D$317,3,0)</f>
        <v>5</v>
      </c>
      <c r="U197" s="387">
        <v>0</v>
      </c>
      <c r="V197" s="387">
        <v>24840.58</v>
      </c>
      <c r="W197" s="387">
        <v>24840.58</v>
      </c>
      <c r="X197" s="382"/>
      <c r="Y197" s="375">
        <v>6</v>
      </c>
      <c r="Z197" s="413">
        <f>VLOOKUP(A197,'2021-22'!$A$6:$D$317,4,0)</f>
        <v>0</v>
      </c>
      <c r="AA197" s="413">
        <f>VLOOKUP(A197,'2021-22'!$A$6:$E$317,5,0)</f>
        <v>32783.64</v>
      </c>
      <c r="AB197" s="387">
        <f t="shared" si="23"/>
        <v>32783.64</v>
      </c>
      <c r="AC197" s="382"/>
      <c r="AD197" s="416">
        <v>4</v>
      </c>
      <c r="AE197" s="413">
        <v>0</v>
      </c>
      <c r="AF197" s="413">
        <v>19768.45</v>
      </c>
      <c r="AG197" s="387">
        <f t="shared" si="24"/>
        <v>19768.45</v>
      </c>
      <c r="AH197" s="557"/>
      <c r="AI197" s="387">
        <f>IFERROR(VLOOKUP(A197,'23-24 child count'!$C$4:$Y$317,23,0),0)</f>
        <v>4</v>
      </c>
      <c r="AJ197" s="387">
        <f>VLOOKUP(A197,'23-24 state &amp; local'!$A$5:$D$316,4,0)</f>
        <v>0</v>
      </c>
      <c r="AK197" s="387">
        <f>VLOOKUP(A197,'23-24 state &amp; local'!$A$5:$E$316,5,0)</f>
        <v>44808.77</v>
      </c>
      <c r="AL197" s="387">
        <f t="shared" ref="AL197:AL260" si="25">AJ197+AK197</f>
        <v>44808.77</v>
      </c>
      <c r="AM197" s="382"/>
    </row>
    <row r="198" spans="1:39" ht="15" hidden="1" x14ac:dyDescent="0.25">
      <c r="A198" s="375" t="s">
        <v>576</v>
      </c>
      <c r="B198" s="375" t="s">
        <v>194</v>
      </c>
      <c r="C198" s="448" t="s">
        <v>577</v>
      </c>
      <c r="E198" s="461">
        <v>28</v>
      </c>
      <c r="F198" s="468">
        <f>IFERROR(VLOOKUP(A198,'2017-18'!$A$6:$F$315,6,0),0)</f>
        <v>0</v>
      </c>
      <c r="G198" s="468">
        <f>IFERROR(VLOOKUP(A198,'2017-18'!$A$6:$D$315,4,0),0)</f>
        <v>210564.75</v>
      </c>
      <c r="H198" s="468">
        <f t="shared" ref="H198:H262" si="26">F198+G198</f>
        <v>210564.75</v>
      </c>
      <c r="I198" s="382"/>
      <c r="J198" s="462">
        <v>17</v>
      </c>
      <c r="K198" s="468">
        <f>IFERROR(VLOOKUP(A198,'2018-19'!$A$6:$F$318,6,0),0)</f>
        <v>0</v>
      </c>
      <c r="L198" s="468">
        <f>IFERROR(VLOOKUP(A198,'2018-19'!$A$6:$D$318,4,0),0)</f>
        <v>227885.94</v>
      </c>
      <c r="M198" s="468">
        <f t="shared" si="20"/>
        <v>227885.94</v>
      </c>
      <c r="N198" s="382"/>
      <c r="O198" s="452">
        <v>20</v>
      </c>
      <c r="P198" s="387">
        <v>0</v>
      </c>
      <c r="Q198" s="387">
        <v>248395.06</v>
      </c>
      <c r="R198" s="387">
        <v>248395.06</v>
      </c>
      <c r="S198" s="382"/>
      <c r="T198" s="375">
        <f>VLOOKUP(A198,'Nov 2020 cc'!$B$3:$D$317,3,0)</f>
        <v>20</v>
      </c>
      <c r="U198" s="387">
        <v>2500</v>
      </c>
      <c r="V198" s="387">
        <v>237739.7</v>
      </c>
      <c r="W198" s="387">
        <v>240239.7</v>
      </c>
      <c r="X198" s="382"/>
      <c r="Y198" s="375">
        <v>20</v>
      </c>
      <c r="Z198" s="413">
        <f>VLOOKUP(A198,'2021-22'!$A$6:$D$317,4,0)</f>
        <v>384.92</v>
      </c>
      <c r="AA198" s="413">
        <f>VLOOKUP(A198,'2021-22'!$A$6:$E$317,5,0)</f>
        <v>222294.54</v>
      </c>
      <c r="AB198" s="387">
        <f t="shared" si="23"/>
        <v>222679.46000000002</v>
      </c>
      <c r="AC198" s="382"/>
      <c r="AD198" s="416">
        <v>22</v>
      </c>
      <c r="AE198" s="413">
        <v>3200.31</v>
      </c>
      <c r="AF198" s="413">
        <v>228746.15</v>
      </c>
      <c r="AG198" s="387">
        <f t="shared" si="24"/>
        <v>231946.46</v>
      </c>
      <c r="AH198" s="557"/>
      <c r="AI198" s="387">
        <f>IFERROR(VLOOKUP(A198,'23-24 child count'!$C$4:$Y$317,23,0),0)</f>
        <v>23</v>
      </c>
      <c r="AJ198" s="387">
        <f>VLOOKUP(A198,'23-24 state &amp; local'!$A$5:$D$316,4,0)</f>
        <v>0</v>
      </c>
      <c r="AK198" s="387">
        <f>VLOOKUP(A198,'23-24 state &amp; local'!$A$5:$E$316,5,0)</f>
        <v>276579.21999999997</v>
      </c>
      <c r="AL198" s="387">
        <f t="shared" si="25"/>
        <v>276579.21999999997</v>
      </c>
      <c r="AM198" s="382"/>
    </row>
    <row r="199" spans="1:39" ht="15" hidden="1" x14ac:dyDescent="0.25">
      <c r="A199" s="375" t="s">
        <v>578</v>
      </c>
      <c r="B199" s="375" t="s">
        <v>202</v>
      </c>
      <c r="C199" s="448" t="s">
        <v>579</v>
      </c>
      <c r="E199" s="461">
        <v>2382</v>
      </c>
      <c r="F199" s="468">
        <f>IFERROR(VLOOKUP(A199,'2017-18'!$A$6:$F$315,6,0),0)</f>
        <v>1930216.98</v>
      </c>
      <c r="G199" s="468">
        <f>IFERROR(VLOOKUP(A199,'2017-18'!$A$6:$D$315,4,0),0)</f>
        <v>19415431.629999999</v>
      </c>
      <c r="H199" s="468">
        <f t="shared" si="26"/>
        <v>21345648.609999999</v>
      </c>
      <c r="I199" s="382"/>
      <c r="J199" s="462">
        <v>2421</v>
      </c>
      <c r="K199" s="468">
        <f>IFERROR(VLOOKUP(A199,'2018-19'!$A$6:$F$318,6,0),0)</f>
        <v>865495.33</v>
      </c>
      <c r="L199" s="468">
        <f>IFERROR(VLOOKUP(A199,'2018-19'!$A$6:$D$318,4,0),0)</f>
        <v>24056163.329999998</v>
      </c>
      <c r="M199" s="468">
        <f t="shared" ref="M199:M263" si="27">K199+L199</f>
        <v>24921658.659999996</v>
      </c>
      <c r="N199" s="382"/>
      <c r="O199" s="452">
        <v>2490</v>
      </c>
      <c r="P199" s="387">
        <v>789342.58</v>
      </c>
      <c r="Q199" s="387">
        <v>25615718.969999999</v>
      </c>
      <c r="R199" s="387">
        <v>26405061.549999997</v>
      </c>
      <c r="S199" s="382"/>
      <c r="T199" s="375">
        <f>VLOOKUP(A199,'Nov 2020 cc'!$B$3:$D$317,3,0)</f>
        <v>2354</v>
      </c>
      <c r="U199" s="387">
        <v>1111533.25</v>
      </c>
      <c r="V199" s="387">
        <v>26164256.489999998</v>
      </c>
      <c r="W199" s="387">
        <v>27275789.739999998</v>
      </c>
      <c r="X199" s="382"/>
      <c r="Y199" s="375">
        <v>2387</v>
      </c>
      <c r="Z199" s="413">
        <f>VLOOKUP(A199,'2021-22'!$A$6:$D$317,4,0)</f>
        <v>1181721.48</v>
      </c>
      <c r="AA199" s="413">
        <f>VLOOKUP(A199,'2021-22'!$A$6:$E$317,5,0)</f>
        <v>26286705.84</v>
      </c>
      <c r="AB199" s="387">
        <f t="shared" si="23"/>
        <v>27468427.32</v>
      </c>
      <c r="AC199" s="382"/>
      <c r="AD199" s="416">
        <v>2453</v>
      </c>
      <c r="AE199" s="413">
        <v>466191.46</v>
      </c>
      <c r="AF199" s="413">
        <v>29303988.850000001</v>
      </c>
      <c r="AG199" s="387">
        <f t="shared" si="24"/>
        <v>29770180.310000002</v>
      </c>
      <c r="AH199" s="557"/>
      <c r="AI199" s="387">
        <f>IFERROR(VLOOKUP(A199,'23-24 child count'!$C$4:$Y$317,23,0),0)</f>
        <v>2565</v>
      </c>
      <c r="AJ199" s="387">
        <f>VLOOKUP(A199,'23-24 state &amp; local'!$A$5:$D$316,4,0)</f>
        <v>573104.07999999996</v>
      </c>
      <c r="AK199" s="387">
        <f>VLOOKUP(A199,'23-24 state &amp; local'!$A$5:$E$316,5,0)</f>
        <v>33381598.140000001</v>
      </c>
      <c r="AL199" s="387">
        <f t="shared" si="25"/>
        <v>33954702.219999999</v>
      </c>
      <c r="AM199" s="382"/>
    </row>
    <row r="200" spans="1:39" ht="15" hidden="1" x14ac:dyDescent="0.25">
      <c r="A200" s="375" t="s">
        <v>580</v>
      </c>
      <c r="B200" s="375" t="s">
        <v>231</v>
      </c>
      <c r="C200" s="448" t="s">
        <v>581</v>
      </c>
      <c r="E200" s="461">
        <v>49</v>
      </c>
      <c r="F200" s="468">
        <f>IFERROR(VLOOKUP(A200,'2017-18'!$A$6:$F$315,6,0),0)</f>
        <v>0</v>
      </c>
      <c r="G200" s="468">
        <f>IFERROR(VLOOKUP(A200,'2017-18'!$A$6:$D$315,4,0),0)</f>
        <v>306838.76</v>
      </c>
      <c r="H200" s="468">
        <f t="shared" si="26"/>
        <v>306838.76</v>
      </c>
      <c r="I200" s="382"/>
      <c r="J200" s="462">
        <v>53</v>
      </c>
      <c r="K200" s="468">
        <f>IFERROR(VLOOKUP(A200,'2018-19'!$A$6:$F$318,6,0),0)</f>
        <v>0</v>
      </c>
      <c r="L200" s="468">
        <f>IFERROR(VLOOKUP(A200,'2018-19'!$A$6:$D$318,4,0),0)</f>
        <v>351073.85</v>
      </c>
      <c r="M200" s="468">
        <f t="shared" si="27"/>
        <v>351073.85</v>
      </c>
      <c r="N200" s="382"/>
      <c r="O200" s="452">
        <v>55</v>
      </c>
      <c r="P200" s="387">
        <v>0</v>
      </c>
      <c r="Q200" s="387">
        <v>449330.52</v>
      </c>
      <c r="R200" s="387">
        <v>449330.52</v>
      </c>
      <c r="S200" s="382"/>
      <c r="T200" s="375">
        <f>VLOOKUP(A200,'Nov 2020 cc'!$B$3:$D$317,3,0)</f>
        <v>46</v>
      </c>
      <c r="U200" s="387">
        <v>0</v>
      </c>
      <c r="V200" s="387">
        <v>391225.98</v>
      </c>
      <c r="W200" s="387">
        <v>391225.98</v>
      </c>
      <c r="X200" s="382"/>
      <c r="Y200" s="375">
        <v>41</v>
      </c>
      <c r="Z200" s="413">
        <f>VLOOKUP(A200,'2021-22'!$A$6:$D$317,4,0)</f>
        <v>20807.2</v>
      </c>
      <c r="AA200" s="413">
        <f>VLOOKUP(A200,'2021-22'!$A$6:$E$317,5,0)</f>
        <v>429920.72</v>
      </c>
      <c r="AB200" s="387">
        <f t="shared" si="23"/>
        <v>450727.92</v>
      </c>
      <c r="AC200" s="382"/>
      <c r="AD200" s="416">
        <v>33</v>
      </c>
      <c r="AE200" s="413">
        <v>7688.03</v>
      </c>
      <c r="AF200" s="413">
        <v>398504.36</v>
      </c>
      <c r="AG200" s="387">
        <f t="shared" si="24"/>
        <v>406192.39</v>
      </c>
      <c r="AH200" s="557"/>
      <c r="AI200" s="387">
        <f>IFERROR(VLOOKUP(A200,'23-24 child count'!$C$4:$Y$317,23,0),0)</f>
        <v>38</v>
      </c>
      <c r="AJ200" s="387">
        <f>VLOOKUP(A200,'23-24 state &amp; local'!$A$5:$D$316,4,0)</f>
        <v>0</v>
      </c>
      <c r="AK200" s="387">
        <f>VLOOKUP(A200,'23-24 state &amp; local'!$A$5:$E$316,5,0)</f>
        <v>435421.33</v>
      </c>
      <c r="AL200" s="387">
        <f t="shared" si="25"/>
        <v>435421.33</v>
      </c>
      <c r="AM200" s="382"/>
    </row>
    <row r="201" spans="1:39" ht="15" hidden="1" x14ac:dyDescent="0.25">
      <c r="A201" s="375" t="s">
        <v>582</v>
      </c>
      <c r="B201" s="375" t="s">
        <v>202</v>
      </c>
      <c r="C201" s="448" t="s">
        <v>583</v>
      </c>
      <c r="E201" s="461">
        <v>15</v>
      </c>
      <c r="F201" s="468">
        <f>IFERROR(VLOOKUP(A201,'2017-18'!$A$6:$F$315,6,0),0)</f>
        <v>23535.91</v>
      </c>
      <c r="G201" s="468">
        <f>IFERROR(VLOOKUP(A201,'2017-18'!$A$6:$D$315,4,0),0)</f>
        <v>107728.2</v>
      </c>
      <c r="H201" s="468">
        <f t="shared" si="26"/>
        <v>131264.10999999999</v>
      </c>
      <c r="I201" s="382"/>
      <c r="J201" s="462">
        <v>18</v>
      </c>
      <c r="K201" s="468">
        <f>IFERROR(VLOOKUP(A201,'2018-19'!$A$6:$F$318,6,0),0)</f>
        <v>0</v>
      </c>
      <c r="L201" s="468">
        <f>IFERROR(VLOOKUP(A201,'2018-19'!$A$6:$D$318,4,0),0)</f>
        <v>132267.32999999999</v>
      </c>
      <c r="M201" s="468">
        <f t="shared" si="27"/>
        <v>132267.32999999999</v>
      </c>
      <c r="N201" s="382"/>
      <c r="O201" s="452">
        <v>21</v>
      </c>
      <c r="P201" s="387">
        <v>0</v>
      </c>
      <c r="Q201" s="387">
        <v>125389.81</v>
      </c>
      <c r="R201" s="387">
        <v>125389.81</v>
      </c>
      <c r="S201" s="382"/>
      <c r="T201" s="375">
        <f>VLOOKUP(A201,'Nov 2020 cc'!$B$3:$D$317,3,0)</f>
        <v>20</v>
      </c>
      <c r="U201" s="387">
        <v>0</v>
      </c>
      <c r="V201" s="387">
        <v>157980.21</v>
      </c>
      <c r="W201" s="387">
        <v>157980.21</v>
      </c>
      <c r="X201" s="382"/>
      <c r="Y201" s="375">
        <v>20</v>
      </c>
      <c r="Z201" s="413">
        <f>VLOOKUP(A201,'2021-22'!$A$6:$D$317,4,0)</f>
        <v>0</v>
      </c>
      <c r="AA201" s="413">
        <f>VLOOKUP(A201,'2021-22'!$A$6:$E$317,5,0)</f>
        <v>157706.95000000001</v>
      </c>
      <c r="AB201" s="387">
        <f t="shared" si="23"/>
        <v>157706.95000000001</v>
      </c>
      <c r="AC201" s="382"/>
      <c r="AD201" s="416">
        <v>34</v>
      </c>
      <c r="AE201" s="413">
        <v>0</v>
      </c>
      <c r="AF201" s="413">
        <v>211502.47</v>
      </c>
      <c r="AG201" s="387">
        <f t="shared" si="24"/>
        <v>211502.47</v>
      </c>
      <c r="AH201" s="557"/>
      <c r="AI201" s="387">
        <f>IFERROR(VLOOKUP(A201,'23-24 child count'!$C$4:$Y$317,23,0),0)</f>
        <v>24</v>
      </c>
      <c r="AJ201" s="387">
        <f>VLOOKUP(A201,'23-24 state &amp; local'!$A$5:$D$316,4,0)</f>
        <v>0</v>
      </c>
      <c r="AK201" s="387">
        <f>VLOOKUP(A201,'23-24 state &amp; local'!$A$5:$E$316,5,0)</f>
        <v>215620.83</v>
      </c>
      <c r="AL201" s="387">
        <f t="shared" si="25"/>
        <v>215620.83</v>
      </c>
      <c r="AM201" s="382"/>
    </row>
    <row r="202" spans="1:39" ht="15" hidden="1" x14ac:dyDescent="0.25">
      <c r="A202" s="375" t="s">
        <v>584</v>
      </c>
      <c r="B202" s="375" t="s">
        <v>189</v>
      </c>
      <c r="C202" s="448" t="s">
        <v>585</v>
      </c>
      <c r="E202" s="461">
        <v>43</v>
      </c>
      <c r="F202" s="468">
        <f>IFERROR(VLOOKUP(A202,'2017-18'!$A$6:$F$315,6,0),0)</f>
        <v>0</v>
      </c>
      <c r="G202" s="468">
        <f>IFERROR(VLOOKUP(A202,'2017-18'!$A$6:$D$315,4,0),0)</f>
        <v>426555.87</v>
      </c>
      <c r="H202" s="468">
        <f t="shared" si="26"/>
        <v>426555.87</v>
      </c>
      <c r="I202" s="382"/>
      <c r="J202" s="462">
        <v>54</v>
      </c>
      <c r="K202" s="468">
        <f>IFERROR(VLOOKUP(A202,'2018-19'!$A$6:$F$318,6,0),0)</f>
        <v>0</v>
      </c>
      <c r="L202" s="468">
        <f>IFERROR(VLOOKUP(A202,'2018-19'!$A$6:$D$318,4,0),0)</f>
        <v>447684.41</v>
      </c>
      <c r="M202" s="468">
        <f t="shared" si="27"/>
        <v>447684.41</v>
      </c>
      <c r="N202" s="382"/>
      <c r="O202" s="452">
        <v>49</v>
      </c>
      <c r="P202" s="387">
        <v>0</v>
      </c>
      <c r="Q202" s="387">
        <v>520505.38</v>
      </c>
      <c r="R202" s="387">
        <v>520505.38</v>
      </c>
      <c r="S202" s="382"/>
      <c r="T202" s="375">
        <f>VLOOKUP(A202,'Nov 2020 cc'!$B$3:$D$317,3,0)</f>
        <v>47</v>
      </c>
      <c r="U202" s="387">
        <v>0</v>
      </c>
      <c r="V202" s="387">
        <v>448831.43</v>
      </c>
      <c r="W202" s="387">
        <v>448831.43</v>
      </c>
      <c r="X202" s="382"/>
      <c r="Y202" s="375">
        <v>52</v>
      </c>
      <c r="Z202" s="413">
        <f>VLOOKUP(A202,'2021-22'!$A$6:$D$317,4,0)</f>
        <v>0</v>
      </c>
      <c r="AA202" s="413">
        <f>VLOOKUP(A202,'2021-22'!$A$6:$E$317,5,0)</f>
        <v>471210.14</v>
      </c>
      <c r="AB202" s="387">
        <f t="shared" si="23"/>
        <v>471210.14</v>
      </c>
      <c r="AC202" s="382"/>
      <c r="AD202" s="416">
        <v>57</v>
      </c>
      <c r="AE202" s="413">
        <v>0</v>
      </c>
      <c r="AF202" s="413">
        <v>640909.13</v>
      </c>
      <c r="AG202" s="387">
        <f t="shared" si="24"/>
        <v>640909.13</v>
      </c>
      <c r="AH202" s="557"/>
      <c r="AI202" s="387">
        <f>IFERROR(VLOOKUP(A202,'23-24 child count'!$C$4:$Y$317,23,0),0)</f>
        <v>61</v>
      </c>
      <c r="AJ202" s="387">
        <f>VLOOKUP(A202,'23-24 state &amp; local'!$A$5:$D$316,4,0)</f>
        <v>0</v>
      </c>
      <c r="AK202" s="387">
        <f>VLOOKUP(A202,'23-24 state &amp; local'!$A$5:$E$316,5,0)</f>
        <v>821542.26</v>
      </c>
      <c r="AL202" s="387">
        <f t="shared" si="25"/>
        <v>821542.26</v>
      </c>
      <c r="AM202" s="382"/>
    </row>
    <row r="203" spans="1:39" ht="15" hidden="1" x14ac:dyDescent="0.25">
      <c r="A203" s="375" t="s">
        <v>586</v>
      </c>
      <c r="B203" s="375" t="s">
        <v>205</v>
      </c>
      <c r="C203" s="448" t="s">
        <v>587</v>
      </c>
      <c r="E203" s="461">
        <v>1217</v>
      </c>
      <c r="F203" s="468">
        <f>IFERROR(VLOOKUP(A203,'2017-18'!$A$6:$F$315,6,0),0)</f>
        <v>50858</v>
      </c>
      <c r="G203" s="468">
        <f>IFERROR(VLOOKUP(A203,'2017-18'!$A$6:$D$315,4,0),0)</f>
        <v>13323441.09</v>
      </c>
      <c r="H203" s="468">
        <f t="shared" si="26"/>
        <v>13374299.09</v>
      </c>
      <c r="I203" s="382"/>
      <c r="J203" s="462">
        <v>1279</v>
      </c>
      <c r="K203" s="468">
        <f>IFERROR(VLOOKUP(A203,'2018-19'!$A$6:$F$318,6,0),0)</f>
        <v>17177</v>
      </c>
      <c r="L203" s="468">
        <f>IFERROR(VLOOKUP(A203,'2018-19'!$A$6:$D$318,4,0),0)</f>
        <v>16393914.970000001</v>
      </c>
      <c r="M203" s="468">
        <f t="shared" si="27"/>
        <v>16411091.970000001</v>
      </c>
      <c r="N203" s="382"/>
      <c r="O203" s="452">
        <v>1312</v>
      </c>
      <c r="P203" s="387">
        <v>0</v>
      </c>
      <c r="Q203" s="387">
        <v>19312190.690000001</v>
      </c>
      <c r="R203" s="387">
        <v>19312190.690000001</v>
      </c>
      <c r="S203" s="382"/>
      <c r="T203" s="375">
        <f>VLOOKUP(A203,'Nov 2020 cc'!$B$3:$D$317,3,0)</f>
        <v>1153</v>
      </c>
      <c r="U203" s="387">
        <v>0</v>
      </c>
      <c r="V203" s="387">
        <v>19522035.260000002</v>
      </c>
      <c r="W203" s="387">
        <v>19522035.260000002</v>
      </c>
      <c r="X203" s="382"/>
      <c r="Y203" s="375">
        <v>1174</v>
      </c>
      <c r="Z203" s="413">
        <f>VLOOKUP(A203,'2021-22'!$A$6:$D$317,4,0)</f>
        <v>0</v>
      </c>
      <c r="AA203" s="413">
        <f>VLOOKUP(A203,'2021-22'!$A$6:$E$317,5,0)</f>
        <v>18787994.59</v>
      </c>
      <c r="AB203" s="387">
        <f t="shared" si="23"/>
        <v>18787994.59</v>
      </c>
      <c r="AC203" s="382"/>
      <c r="AD203" s="416">
        <v>1232</v>
      </c>
      <c r="AE203" s="413">
        <v>0</v>
      </c>
      <c r="AF203" s="413">
        <v>21435304.640000001</v>
      </c>
      <c r="AG203" s="387">
        <f t="shared" si="24"/>
        <v>21435304.640000001</v>
      </c>
      <c r="AH203" s="557"/>
      <c r="AI203" s="387">
        <f>IFERROR(VLOOKUP(A203,'23-24 child count'!$C$4:$Y$317,23,0),0)</f>
        <v>1301</v>
      </c>
      <c r="AJ203" s="387">
        <f>VLOOKUP(A203,'23-24 state &amp; local'!$A$5:$D$316,4,0)</f>
        <v>0</v>
      </c>
      <c r="AK203" s="387">
        <f>VLOOKUP(A203,'23-24 state &amp; local'!$A$5:$E$316,5,0)</f>
        <v>21944053.760000002</v>
      </c>
      <c r="AL203" s="387">
        <f t="shared" si="25"/>
        <v>21944053.760000002</v>
      </c>
      <c r="AM203" s="382"/>
    </row>
    <row r="204" spans="1:39" ht="15" hidden="1" x14ac:dyDescent="0.25">
      <c r="A204" s="383" t="s">
        <v>1165</v>
      </c>
      <c r="C204" s="448" t="s">
        <v>1166</v>
      </c>
      <c r="D204" s="375" t="s">
        <v>1372</v>
      </c>
      <c r="E204" s="461"/>
      <c r="F204" s="468">
        <f>IFERROR(VLOOKUP(A204,'2017-18'!$A$6:$F$315,6,0),0)</f>
        <v>0</v>
      </c>
      <c r="G204" s="468">
        <f>IFERROR(VLOOKUP(A204,'2017-18'!$A$6:$D$315,4,0),0)</f>
        <v>0</v>
      </c>
      <c r="H204" s="468">
        <f t="shared" si="26"/>
        <v>0</v>
      </c>
      <c r="I204" s="382"/>
      <c r="J204" s="462"/>
      <c r="K204" s="468">
        <f>IFERROR(VLOOKUP(A204,'2018-19'!$A$6:$F$318,6,0),0)</f>
        <v>0</v>
      </c>
      <c r="L204" s="468">
        <f>IFERROR(VLOOKUP(A204,'2018-19'!$A$6:$D$318,4,0),0)</f>
        <v>0</v>
      </c>
      <c r="M204" s="468">
        <f t="shared" si="27"/>
        <v>0</v>
      </c>
      <c r="N204" s="382"/>
      <c r="O204" s="452">
        <v>0</v>
      </c>
      <c r="S204" s="382"/>
      <c r="T204" s="375">
        <v>0</v>
      </c>
      <c r="U204" s="387">
        <v>0</v>
      </c>
      <c r="V204" s="387">
        <v>0</v>
      </c>
      <c r="W204" s="387">
        <v>0</v>
      </c>
      <c r="X204" s="382"/>
      <c r="Y204" s="375">
        <v>11</v>
      </c>
      <c r="Z204" s="413">
        <f>VLOOKUP(A204,'2021-22'!$A$6:$D$317,4,0)</f>
        <v>0</v>
      </c>
      <c r="AA204" s="413">
        <f>VLOOKUP(A204,'2021-22'!$A$6:$E$317,5,0)</f>
        <v>133832.04999999999</v>
      </c>
      <c r="AB204" s="387">
        <f t="shared" si="23"/>
        <v>133832.04999999999</v>
      </c>
      <c r="AC204" s="382"/>
      <c r="AD204" s="416">
        <v>26</v>
      </c>
      <c r="AE204" s="413">
        <v>0</v>
      </c>
      <c r="AF204" s="413">
        <v>351666.22</v>
      </c>
      <c r="AG204" s="387">
        <f t="shared" si="24"/>
        <v>351666.22</v>
      </c>
      <c r="AH204" s="557"/>
      <c r="AI204" s="387">
        <f>IFERROR(VLOOKUP(A204,'23-24 child count'!$C$4:$Y$317,23,0),0)</f>
        <v>46</v>
      </c>
      <c r="AJ204" s="387">
        <f>VLOOKUP(A204,'23-24 state &amp; local'!$A$5:$D$316,4,0)</f>
        <v>0</v>
      </c>
      <c r="AK204" s="387">
        <f>VLOOKUP(A204,'23-24 state &amp; local'!$A$5:$E$316,5,0)</f>
        <v>350033.24</v>
      </c>
      <c r="AL204" s="387">
        <f t="shared" si="25"/>
        <v>350033.24</v>
      </c>
      <c r="AM204" s="382"/>
    </row>
    <row r="205" spans="1:39" ht="15" hidden="1" x14ac:dyDescent="0.25">
      <c r="A205" s="375" t="s">
        <v>588</v>
      </c>
      <c r="B205" s="375" t="s">
        <v>189</v>
      </c>
      <c r="C205" s="448" t="s">
        <v>589</v>
      </c>
      <c r="E205" s="461">
        <v>97</v>
      </c>
      <c r="F205" s="468">
        <f>IFERROR(VLOOKUP(A205,'2017-18'!$A$6:$F$315,6,0),0)</f>
        <v>0</v>
      </c>
      <c r="G205" s="468">
        <f>IFERROR(VLOOKUP(A205,'2017-18'!$A$6:$D$315,4,0),0)</f>
        <v>883840.06</v>
      </c>
      <c r="H205" s="468">
        <f t="shared" si="26"/>
        <v>883840.06</v>
      </c>
      <c r="I205" s="382"/>
      <c r="J205" s="462">
        <v>110</v>
      </c>
      <c r="K205" s="468">
        <f>IFERROR(VLOOKUP(A205,'2018-19'!$A$6:$F$318,6,0),0)</f>
        <v>32871.760000000002</v>
      </c>
      <c r="L205" s="468">
        <f>IFERROR(VLOOKUP(A205,'2018-19'!$A$6:$D$318,4,0),0)</f>
        <v>1098309.9099999999</v>
      </c>
      <c r="M205" s="468">
        <f t="shared" si="27"/>
        <v>1131181.67</v>
      </c>
      <c r="N205" s="382"/>
      <c r="O205" s="452">
        <v>124</v>
      </c>
      <c r="P205" s="387">
        <v>421645.18</v>
      </c>
      <c r="Q205" s="387">
        <v>1227858.3400000001</v>
      </c>
      <c r="R205" s="387">
        <v>1649503.52</v>
      </c>
      <c r="S205" s="382"/>
      <c r="T205" s="375">
        <f>VLOOKUP(A205,'Nov 2020 cc'!$B$3:$D$317,3,0)</f>
        <v>112</v>
      </c>
      <c r="U205" s="387">
        <v>0</v>
      </c>
      <c r="V205" s="387">
        <v>1718274.19</v>
      </c>
      <c r="W205" s="387">
        <v>1718274.19</v>
      </c>
      <c r="X205" s="382"/>
      <c r="Y205" s="375">
        <v>122</v>
      </c>
      <c r="Z205" s="413">
        <f>VLOOKUP(A205,'2021-22'!$A$6:$D$317,4,0)</f>
        <v>421646</v>
      </c>
      <c r="AA205" s="413">
        <f>VLOOKUP(A205,'2021-22'!$A$6:$E$317,5,0)</f>
        <v>1182012.93</v>
      </c>
      <c r="AB205" s="387">
        <f t="shared" si="23"/>
        <v>1603658.93</v>
      </c>
      <c r="AC205" s="382"/>
      <c r="AD205" s="416">
        <v>144</v>
      </c>
      <c r="AE205" s="413">
        <v>389591.64</v>
      </c>
      <c r="AF205" s="413">
        <v>1766028.83</v>
      </c>
      <c r="AG205" s="387">
        <f t="shared" si="24"/>
        <v>2155620.4700000002</v>
      </c>
      <c r="AH205" s="557"/>
      <c r="AI205" s="387">
        <f>IFERROR(VLOOKUP(A205,'23-24 child count'!$C$4:$Y$317,23,0),0)</f>
        <v>127</v>
      </c>
      <c r="AJ205" s="387">
        <f>VLOOKUP(A205,'23-24 state &amp; local'!$A$5:$D$316,4,0)</f>
        <v>421377</v>
      </c>
      <c r="AK205" s="387">
        <f>VLOOKUP(A205,'23-24 state &amp; local'!$A$5:$E$316,5,0)</f>
        <v>1884699.02</v>
      </c>
      <c r="AL205" s="387">
        <f t="shared" si="25"/>
        <v>2306076.02</v>
      </c>
      <c r="AM205" s="382"/>
    </row>
    <row r="206" spans="1:39" ht="15" hidden="1" x14ac:dyDescent="0.25">
      <c r="A206" s="375" t="s">
        <v>590</v>
      </c>
      <c r="B206" s="375" t="s">
        <v>202</v>
      </c>
      <c r="C206" s="448" t="s">
        <v>591</v>
      </c>
      <c r="E206" s="461">
        <v>49</v>
      </c>
      <c r="F206" s="468">
        <f>IFERROR(VLOOKUP(A206,'2017-18'!$A$6:$F$315,6,0),0)</f>
        <v>0</v>
      </c>
      <c r="G206" s="468">
        <f>IFERROR(VLOOKUP(A206,'2017-18'!$A$6:$D$315,4,0),0)</f>
        <v>321204.52</v>
      </c>
      <c r="H206" s="468">
        <f t="shared" si="26"/>
        <v>321204.52</v>
      </c>
      <c r="I206" s="382"/>
      <c r="J206" s="462">
        <v>46</v>
      </c>
      <c r="K206" s="468">
        <f>IFERROR(VLOOKUP(A206,'2018-19'!$A$6:$F$318,6,0),0)</f>
        <v>0</v>
      </c>
      <c r="L206" s="468">
        <f>IFERROR(VLOOKUP(A206,'2018-19'!$A$6:$D$318,4,0),0)</f>
        <v>396150.62</v>
      </c>
      <c r="M206" s="468">
        <f t="shared" si="27"/>
        <v>396150.62</v>
      </c>
      <c r="N206" s="382"/>
      <c r="O206" s="452">
        <v>47</v>
      </c>
      <c r="P206" s="387">
        <v>0</v>
      </c>
      <c r="Q206" s="387">
        <v>521236.59</v>
      </c>
      <c r="R206" s="387">
        <v>521236.59</v>
      </c>
      <c r="S206" s="382"/>
      <c r="T206" s="375">
        <f>VLOOKUP(A206,'Nov 2020 cc'!$B$3:$D$317,3,0)</f>
        <v>49</v>
      </c>
      <c r="U206" s="387">
        <v>34836.31</v>
      </c>
      <c r="V206" s="387">
        <v>491334.15</v>
      </c>
      <c r="W206" s="387">
        <v>526170.46</v>
      </c>
      <c r="X206" s="382"/>
      <c r="Y206" s="375">
        <v>57</v>
      </c>
      <c r="Z206" s="413">
        <f>VLOOKUP(A206,'2021-22'!$A$6:$D$317,4,0)</f>
        <v>0</v>
      </c>
      <c r="AA206" s="413">
        <f>VLOOKUP(A206,'2021-22'!$A$6:$E$317,5,0)</f>
        <v>527611.34</v>
      </c>
      <c r="AB206" s="387">
        <f t="shared" si="23"/>
        <v>527611.34</v>
      </c>
      <c r="AC206" s="382"/>
      <c r="AD206" s="416">
        <v>60</v>
      </c>
      <c r="AE206" s="413">
        <v>0</v>
      </c>
      <c r="AF206" s="413">
        <v>542703.42000000004</v>
      </c>
      <c r="AG206" s="387">
        <f t="shared" si="24"/>
        <v>542703.42000000004</v>
      </c>
      <c r="AH206" s="557"/>
      <c r="AI206" s="387">
        <f>IFERROR(VLOOKUP(A206,'23-24 child count'!$C$4:$Y$317,23,0),0)</f>
        <v>59</v>
      </c>
      <c r="AJ206" s="387">
        <f>VLOOKUP(A206,'23-24 state &amp; local'!$A$5:$D$316,4,0)</f>
        <v>0</v>
      </c>
      <c r="AK206" s="387">
        <f>VLOOKUP(A206,'23-24 state &amp; local'!$A$5:$E$316,5,0)</f>
        <v>598272.82999999996</v>
      </c>
      <c r="AL206" s="387">
        <f t="shared" si="25"/>
        <v>598272.82999999996</v>
      </c>
      <c r="AM206" s="382"/>
    </row>
    <row r="207" spans="1:39" ht="15" hidden="1" x14ac:dyDescent="0.25">
      <c r="A207" s="375" t="s">
        <v>592</v>
      </c>
      <c r="B207" s="375" t="s">
        <v>228</v>
      </c>
      <c r="C207" s="448" t="s">
        <v>593</v>
      </c>
      <c r="E207" s="461">
        <v>543</v>
      </c>
      <c r="F207" s="468">
        <f>IFERROR(VLOOKUP(A207,'2017-18'!$A$6:$F$315,6,0),0)</f>
        <v>894021.63</v>
      </c>
      <c r="G207" s="468">
        <f>IFERROR(VLOOKUP(A207,'2017-18'!$A$6:$D$315,4,0),0)</f>
        <v>4976879.66</v>
      </c>
      <c r="H207" s="468">
        <f t="shared" si="26"/>
        <v>5870901.29</v>
      </c>
      <c r="I207" s="382"/>
      <c r="J207" s="462">
        <v>559</v>
      </c>
      <c r="K207" s="468">
        <f>IFERROR(VLOOKUP(A207,'2018-19'!$A$6:$F$318,6,0),0)</f>
        <v>561411.81000000006</v>
      </c>
      <c r="L207" s="468">
        <f>IFERROR(VLOOKUP(A207,'2018-19'!$A$6:$D$318,4,0),0)</f>
        <v>6092924.4400000004</v>
      </c>
      <c r="M207" s="468">
        <f t="shared" si="27"/>
        <v>6654336.25</v>
      </c>
      <c r="N207" s="382"/>
      <c r="O207" s="452">
        <v>579</v>
      </c>
      <c r="P207" s="387">
        <v>1297782.92</v>
      </c>
      <c r="Q207" s="387">
        <v>6134085.5099999998</v>
      </c>
      <c r="R207" s="387">
        <v>7431868.4299999997</v>
      </c>
      <c r="S207" s="382"/>
      <c r="T207" s="375">
        <f>VLOOKUP(A207,'Nov 2020 cc'!$B$3:$D$317,3,0)</f>
        <v>562</v>
      </c>
      <c r="U207" s="387">
        <v>1072178.27</v>
      </c>
      <c r="V207" s="387">
        <v>5845851.8300000001</v>
      </c>
      <c r="W207" s="387">
        <v>6918030.0999999996</v>
      </c>
      <c r="X207" s="382"/>
      <c r="Y207" s="375">
        <v>565</v>
      </c>
      <c r="Z207" s="413">
        <f>VLOOKUP(A207,'2021-22'!$A$6:$D$317,4,0)</f>
        <v>1622809.4</v>
      </c>
      <c r="AA207" s="413">
        <f>VLOOKUP(A207,'2021-22'!$A$6:$E$317,5,0)</f>
        <v>5813340.3200000003</v>
      </c>
      <c r="AB207" s="387">
        <f t="shared" si="23"/>
        <v>7436149.7200000007</v>
      </c>
      <c r="AC207" s="382"/>
      <c r="AD207" s="416">
        <v>600</v>
      </c>
      <c r="AE207" s="413">
        <v>2525425.7400000002</v>
      </c>
      <c r="AF207" s="413">
        <v>6299125.21</v>
      </c>
      <c r="AG207" s="387">
        <f t="shared" si="24"/>
        <v>8824550.9499999993</v>
      </c>
      <c r="AH207" s="557"/>
      <c r="AI207" s="387">
        <f>IFERROR(VLOOKUP(A207,'23-24 child count'!$C$4:$Y$317,23,0),0)</f>
        <v>638</v>
      </c>
      <c r="AJ207" s="387">
        <f>VLOOKUP(A207,'23-24 state &amp; local'!$A$5:$D$316,4,0)</f>
        <v>1580640.99</v>
      </c>
      <c r="AK207" s="387">
        <f>VLOOKUP(A207,'23-24 state &amp; local'!$A$5:$E$316,5,0)</f>
        <v>7834230.04</v>
      </c>
      <c r="AL207" s="387">
        <f t="shared" si="25"/>
        <v>9414871.0299999993</v>
      </c>
      <c r="AM207" s="382"/>
    </row>
    <row r="208" spans="1:39" ht="15" hidden="1" x14ac:dyDescent="0.25">
      <c r="A208" s="375" t="s">
        <v>594</v>
      </c>
      <c r="B208" s="375" t="s">
        <v>228</v>
      </c>
      <c r="C208" s="448" t="s">
        <v>595</v>
      </c>
      <c r="E208" s="461">
        <v>181</v>
      </c>
      <c r="F208" s="468">
        <f>IFERROR(VLOOKUP(A208,'2017-18'!$A$6:$F$315,6,0),0)</f>
        <v>0</v>
      </c>
      <c r="G208" s="468">
        <f>IFERROR(VLOOKUP(A208,'2017-18'!$A$6:$D$315,4,0),0)</f>
        <v>2473618.1</v>
      </c>
      <c r="H208" s="468">
        <f t="shared" si="26"/>
        <v>2473618.1</v>
      </c>
      <c r="I208" s="382"/>
      <c r="J208" s="462">
        <v>202</v>
      </c>
      <c r="K208" s="468">
        <f>IFERROR(VLOOKUP(A208,'2018-19'!$A$6:$F$318,6,0),0)</f>
        <v>474.92</v>
      </c>
      <c r="L208" s="468">
        <f>IFERROR(VLOOKUP(A208,'2018-19'!$A$6:$D$318,4,0),0)</f>
        <v>2294762.2799999998</v>
      </c>
      <c r="M208" s="468">
        <f t="shared" si="27"/>
        <v>2295237.1999999997</v>
      </c>
      <c r="N208" s="382"/>
      <c r="O208" s="452">
        <v>187</v>
      </c>
      <c r="P208" s="387">
        <v>658.23</v>
      </c>
      <c r="Q208" s="387">
        <v>2692663.8</v>
      </c>
      <c r="R208" s="387">
        <v>2693322.03</v>
      </c>
      <c r="S208" s="382"/>
      <c r="T208" s="375">
        <f>VLOOKUP(A208,'Nov 2020 cc'!$B$3:$D$317,3,0)</f>
        <v>175</v>
      </c>
      <c r="U208" s="387">
        <v>1273.4000000000001</v>
      </c>
      <c r="V208" s="387">
        <v>2400691.4</v>
      </c>
      <c r="W208" s="387">
        <v>2401964.7999999998</v>
      </c>
      <c r="X208" s="382"/>
      <c r="Y208" s="375">
        <v>156</v>
      </c>
      <c r="Z208" s="413">
        <f>VLOOKUP(A208,'2021-22'!$A$6:$D$317,4,0)</f>
        <v>0</v>
      </c>
      <c r="AA208" s="413">
        <f>VLOOKUP(A208,'2021-22'!$A$6:$E$317,5,0)</f>
        <v>2536963.1800000002</v>
      </c>
      <c r="AB208" s="387">
        <f t="shared" si="23"/>
        <v>2536963.1800000002</v>
      </c>
      <c r="AC208" s="382"/>
      <c r="AD208" s="416">
        <v>159</v>
      </c>
      <c r="AE208" s="413">
        <v>5067.1899999999996</v>
      </c>
      <c r="AF208" s="413">
        <v>2586106.52</v>
      </c>
      <c r="AG208" s="387">
        <f t="shared" si="24"/>
        <v>2591173.71</v>
      </c>
      <c r="AH208" s="557"/>
      <c r="AI208" s="387">
        <f>IFERROR(VLOOKUP(A208,'23-24 child count'!$C$4:$Y$317,23,0),0)</f>
        <v>152</v>
      </c>
      <c r="AJ208" s="387">
        <f>VLOOKUP(A208,'23-24 state &amp; local'!$A$5:$D$316,4,0)</f>
        <v>8457.2099999999991</v>
      </c>
      <c r="AK208" s="387">
        <f>VLOOKUP(A208,'23-24 state &amp; local'!$A$5:$E$316,5,0)</f>
        <v>2780947.09</v>
      </c>
      <c r="AL208" s="387">
        <f t="shared" si="25"/>
        <v>2789404.3</v>
      </c>
      <c r="AM208" s="382"/>
    </row>
    <row r="209" spans="1:39" ht="15" hidden="1" x14ac:dyDescent="0.25">
      <c r="A209" s="375" t="s">
        <v>596</v>
      </c>
      <c r="B209" s="375" t="s">
        <v>202</v>
      </c>
      <c r="C209" s="448" t="s">
        <v>597</v>
      </c>
      <c r="E209" s="461">
        <v>25</v>
      </c>
      <c r="F209" s="468">
        <f>IFERROR(VLOOKUP(A209,'2017-18'!$A$6:$F$315,6,0),0)</f>
        <v>0</v>
      </c>
      <c r="G209" s="468">
        <f>IFERROR(VLOOKUP(A209,'2017-18'!$A$6:$D$315,4,0),0)</f>
        <v>178620.56</v>
      </c>
      <c r="H209" s="468">
        <f t="shared" si="26"/>
        <v>178620.56</v>
      </c>
      <c r="I209" s="382"/>
      <c r="J209" s="462">
        <v>23</v>
      </c>
      <c r="K209" s="468">
        <f>IFERROR(VLOOKUP(A209,'2018-19'!$A$6:$F$318,6,0),0)</f>
        <v>0</v>
      </c>
      <c r="L209" s="468">
        <f>IFERROR(VLOOKUP(A209,'2018-19'!$A$6:$D$318,4,0),0)</f>
        <v>202807.26</v>
      </c>
      <c r="M209" s="468">
        <f t="shared" si="27"/>
        <v>202807.26</v>
      </c>
      <c r="N209" s="382"/>
      <c r="O209" s="452">
        <v>28</v>
      </c>
      <c r="P209" s="387">
        <v>0</v>
      </c>
      <c r="Q209" s="387">
        <v>304570.48</v>
      </c>
      <c r="R209" s="387">
        <v>304570.48</v>
      </c>
      <c r="S209" s="382"/>
      <c r="T209" s="375">
        <f>VLOOKUP(A209,'Nov 2020 cc'!$B$3:$D$317,3,0)</f>
        <v>30</v>
      </c>
      <c r="U209" s="387">
        <v>0</v>
      </c>
      <c r="V209" s="387">
        <v>321331.53000000003</v>
      </c>
      <c r="W209" s="387">
        <v>321331.53000000003</v>
      </c>
      <c r="X209" s="382"/>
      <c r="Y209" s="375">
        <v>33</v>
      </c>
      <c r="Z209" s="413">
        <f>VLOOKUP(A209,'2021-22'!$A$6:$D$317,4,0)</f>
        <v>1646.34</v>
      </c>
      <c r="AA209" s="413">
        <f>VLOOKUP(A209,'2021-22'!$A$6:$E$317,5,0)</f>
        <v>379419.1</v>
      </c>
      <c r="AB209" s="387">
        <f t="shared" si="23"/>
        <v>381065.44</v>
      </c>
      <c r="AC209" s="382"/>
      <c r="AD209" s="416">
        <v>34</v>
      </c>
      <c r="AE209" s="413">
        <v>0</v>
      </c>
      <c r="AF209" s="413">
        <v>470692.04</v>
      </c>
      <c r="AG209" s="387">
        <f t="shared" si="24"/>
        <v>470692.04</v>
      </c>
      <c r="AH209" s="557"/>
      <c r="AI209" s="387">
        <f>IFERROR(VLOOKUP(A209,'23-24 child count'!$C$4:$Y$317,23,0),0)</f>
        <v>30</v>
      </c>
      <c r="AJ209" s="387">
        <f>VLOOKUP(A209,'23-24 state &amp; local'!$A$5:$D$316,4,0)</f>
        <v>0</v>
      </c>
      <c r="AK209" s="387">
        <f>VLOOKUP(A209,'23-24 state &amp; local'!$A$5:$E$316,5,0)</f>
        <v>580409.69999999995</v>
      </c>
      <c r="AL209" s="387">
        <f t="shared" si="25"/>
        <v>580409.69999999995</v>
      </c>
      <c r="AM209" s="382"/>
    </row>
    <row r="210" spans="1:39" ht="15" hidden="1" x14ac:dyDescent="0.25">
      <c r="A210" s="375" t="s">
        <v>598</v>
      </c>
      <c r="B210" s="375" t="s">
        <v>202</v>
      </c>
      <c r="C210" s="448" t="s">
        <v>1491</v>
      </c>
      <c r="D210" s="375" t="s">
        <v>1372</v>
      </c>
      <c r="E210" s="461">
        <v>60</v>
      </c>
      <c r="F210" s="468">
        <f>IFERROR(VLOOKUP(A210,'2017-18'!$A$6:$F$315,6,0),0)</f>
        <v>60114.55</v>
      </c>
      <c r="G210" s="468">
        <f>IFERROR(VLOOKUP(A210,'2017-18'!$A$6:$D$315,4,0),0)</f>
        <v>251969</v>
      </c>
      <c r="H210" s="468">
        <f t="shared" si="26"/>
        <v>312083.55</v>
      </c>
      <c r="I210" s="382"/>
      <c r="J210" s="462">
        <v>84</v>
      </c>
      <c r="K210" s="468">
        <f>IFERROR(VLOOKUP(A210,'2018-19'!$A$6:$F$318,6,0),0)</f>
        <v>0</v>
      </c>
      <c r="L210" s="468">
        <f>IFERROR(VLOOKUP(A210,'2018-19'!$A$6:$D$318,4,0),0)</f>
        <v>561271.62</v>
      </c>
      <c r="M210" s="468">
        <f t="shared" si="27"/>
        <v>561271.62</v>
      </c>
      <c r="N210" s="382"/>
      <c r="O210" s="452">
        <v>93</v>
      </c>
      <c r="P210" s="387">
        <v>0</v>
      </c>
      <c r="Q210" s="387">
        <v>805265.51</v>
      </c>
      <c r="R210" s="387">
        <v>805265.51</v>
      </c>
      <c r="S210" s="382"/>
      <c r="T210" s="375">
        <f>VLOOKUP(A210,'Nov 2020 cc'!$B$3:$D$317,3,0)</f>
        <v>127</v>
      </c>
      <c r="U210" s="387">
        <v>0</v>
      </c>
      <c r="V210" s="387">
        <v>835250.05</v>
      </c>
      <c r="W210" s="387">
        <v>835250.05</v>
      </c>
      <c r="X210" s="382"/>
      <c r="Y210" s="375">
        <v>103</v>
      </c>
      <c r="Z210" s="413">
        <f>VLOOKUP(A210,'2021-22'!$A$6:$D$317,4,0)</f>
        <v>0</v>
      </c>
      <c r="AA210" s="413">
        <f>VLOOKUP(A210,'2021-22'!$A$6:$E$317,5,0)</f>
        <v>721482.86</v>
      </c>
      <c r="AB210" s="387">
        <f t="shared" si="23"/>
        <v>721482.86</v>
      </c>
      <c r="AC210" s="382"/>
      <c r="AD210" s="416">
        <v>105</v>
      </c>
      <c r="AE210" s="413">
        <v>0</v>
      </c>
      <c r="AF210" s="413">
        <v>740662.53</v>
      </c>
      <c r="AG210" s="387">
        <f t="shared" si="24"/>
        <v>740662.53</v>
      </c>
      <c r="AH210" s="557"/>
      <c r="AI210" s="387">
        <f>IFERROR(VLOOKUP(A210,'23-24 child count'!$C$4:$Y$317,23,0),0)</f>
        <v>0</v>
      </c>
      <c r="AJ210" s="387">
        <f>VLOOKUP(A210,'23-24 state &amp; local'!$A$5:$D$316,4,0)</f>
        <v>0</v>
      </c>
      <c r="AK210" s="387">
        <f>VLOOKUP(A210,'23-24 state &amp; local'!$A$5:$E$316,5,0)</f>
        <v>665153.62</v>
      </c>
      <c r="AL210" s="387">
        <f t="shared" si="25"/>
        <v>665153.62</v>
      </c>
      <c r="AM210" s="382"/>
    </row>
    <row r="211" spans="1:39" ht="15" hidden="1" x14ac:dyDescent="0.25">
      <c r="A211" s="375" t="s">
        <v>600</v>
      </c>
      <c r="B211" s="375" t="s">
        <v>202</v>
      </c>
      <c r="C211" s="448" t="s">
        <v>601</v>
      </c>
      <c r="E211" s="461">
        <v>345</v>
      </c>
      <c r="F211" s="468">
        <f>IFERROR(VLOOKUP(A211,'2017-18'!$A$6:$F$315,6,0),0)</f>
        <v>959435.65</v>
      </c>
      <c r="G211" s="468">
        <f>IFERROR(VLOOKUP(A211,'2017-18'!$A$6:$D$315,4,0),0)</f>
        <v>2426239.71</v>
      </c>
      <c r="H211" s="468">
        <f t="shared" si="26"/>
        <v>3385675.36</v>
      </c>
      <c r="I211" s="382"/>
      <c r="J211" s="462">
        <v>358</v>
      </c>
      <c r="K211" s="468">
        <f>IFERROR(VLOOKUP(A211,'2018-19'!$A$6:$F$318,6,0),0)</f>
        <v>0</v>
      </c>
      <c r="L211" s="468">
        <f>IFERROR(VLOOKUP(A211,'2018-19'!$A$6:$D$318,4,0),0)</f>
        <v>3534690.71</v>
      </c>
      <c r="M211" s="468">
        <f t="shared" si="27"/>
        <v>3534690.71</v>
      </c>
      <c r="N211" s="382"/>
      <c r="O211" s="452">
        <v>353</v>
      </c>
      <c r="P211" s="387">
        <v>0</v>
      </c>
      <c r="Q211" s="387">
        <v>3663174.81</v>
      </c>
      <c r="R211" s="387">
        <v>3663174.81</v>
      </c>
      <c r="S211" s="382"/>
      <c r="T211" s="375">
        <f>VLOOKUP(A211,'Nov 2020 cc'!$B$3:$D$317,3,0)</f>
        <v>348</v>
      </c>
      <c r="U211" s="387">
        <v>0</v>
      </c>
      <c r="V211" s="387">
        <v>3325485.19</v>
      </c>
      <c r="W211" s="387">
        <v>3325485.19</v>
      </c>
      <c r="X211" s="382"/>
      <c r="Y211" s="375">
        <v>328</v>
      </c>
      <c r="Z211" s="413">
        <f>VLOOKUP(A211,'2021-22'!$A$6:$D$317,4,0)</f>
        <v>130756.61</v>
      </c>
      <c r="AA211" s="413">
        <f>VLOOKUP(A211,'2021-22'!$A$6:$E$317,5,0)</f>
        <v>3502555.14</v>
      </c>
      <c r="AB211" s="387">
        <f t="shared" si="23"/>
        <v>3633311.75</v>
      </c>
      <c r="AC211" s="382"/>
      <c r="AD211" s="416">
        <v>320</v>
      </c>
      <c r="AE211" s="413">
        <v>573516.07999999996</v>
      </c>
      <c r="AF211" s="413">
        <v>3632090.12</v>
      </c>
      <c r="AG211" s="387">
        <f t="shared" si="24"/>
        <v>4205606.2</v>
      </c>
      <c r="AH211" s="557"/>
      <c r="AI211" s="387">
        <f>IFERROR(VLOOKUP(A211,'23-24 child count'!$C$4:$Y$317,23,0),0)</f>
        <v>343</v>
      </c>
      <c r="AJ211" s="387">
        <f>VLOOKUP(A211,'23-24 state &amp; local'!$A$5:$D$316,4,0)</f>
        <v>89149.32</v>
      </c>
      <c r="AK211" s="387">
        <f>VLOOKUP(A211,'23-24 state &amp; local'!$A$5:$E$316,5,0)</f>
        <v>4612675.5999999996</v>
      </c>
      <c r="AL211" s="387">
        <f t="shared" si="25"/>
        <v>4701824.92</v>
      </c>
      <c r="AM211" s="382"/>
    </row>
    <row r="212" spans="1:39" ht="15" hidden="1" x14ac:dyDescent="0.25">
      <c r="A212" s="375" t="s">
        <v>602</v>
      </c>
      <c r="B212" s="375" t="s">
        <v>194</v>
      </c>
      <c r="C212" s="448" t="s">
        <v>603</v>
      </c>
      <c r="E212" s="461">
        <v>303</v>
      </c>
      <c r="F212" s="468">
        <f>IFERROR(VLOOKUP(A212,'2017-18'!$A$6:$F$315,6,0),0)</f>
        <v>38735.620000000003</v>
      </c>
      <c r="G212" s="468">
        <f>IFERROR(VLOOKUP(A212,'2017-18'!$A$6:$D$315,4,0),0)</f>
        <v>2403972.41</v>
      </c>
      <c r="H212" s="468">
        <f t="shared" si="26"/>
        <v>2442708.0300000003</v>
      </c>
      <c r="I212" s="382"/>
      <c r="J212" s="462">
        <v>336</v>
      </c>
      <c r="K212" s="468">
        <f>IFERROR(VLOOKUP(A212,'2018-19'!$A$6:$F$318,6,0),0)</f>
        <v>61386.31</v>
      </c>
      <c r="L212" s="468">
        <f>IFERROR(VLOOKUP(A212,'2018-19'!$A$6:$D$318,4,0),0)</f>
        <v>2923545.77</v>
      </c>
      <c r="M212" s="468">
        <f t="shared" si="27"/>
        <v>2984932.08</v>
      </c>
      <c r="N212" s="382"/>
      <c r="O212" s="452">
        <v>347</v>
      </c>
      <c r="P212" s="387">
        <v>0</v>
      </c>
      <c r="Q212" s="387">
        <v>3347651.13</v>
      </c>
      <c r="R212" s="387">
        <v>3347651.13</v>
      </c>
      <c r="S212" s="382"/>
      <c r="T212" s="375">
        <f>VLOOKUP(A212,'Nov 2020 cc'!$B$3:$D$317,3,0)</f>
        <v>347</v>
      </c>
      <c r="U212" s="387">
        <v>0</v>
      </c>
      <c r="V212" s="387">
        <v>3524599.57</v>
      </c>
      <c r="W212" s="387">
        <v>3524599.57</v>
      </c>
      <c r="X212" s="382"/>
      <c r="Y212" s="375">
        <v>360</v>
      </c>
      <c r="Z212" s="413">
        <f>VLOOKUP(A212,'2021-22'!$A$6:$D$317,4,0)</f>
        <v>0</v>
      </c>
      <c r="AA212" s="413">
        <f>VLOOKUP(A212,'2021-22'!$A$6:$E$317,5,0)</f>
        <v>3566178.28</v>
      </c>
      <c r="AB212" s="387">
        <f t="shared" si="23"/>
        <v>3566178.28</v>
      </c>
      <c r="AC212" s="382"/>
      <c r="AD212" s="416">
        <v>374</v>
      </c>
      <c r="AE212" s="413">
        <v>0</v>
      </c>
      <c r="AF212" s="413">
        <v>3865128.9</v>
      </c>
      <c r="AG212" s="387">
        <f t="shared" si="24"/>
        <v>3865128.9</v>
      </c>
      <c r="AH212" s="557"/>
      <c r="AI212" s="387">
        <f>IFERROR(VLOOKUP(A212,'23-24 child count'!$C$4:$Y$317,23,0),0)</f>
        <v>381</v>
      </c>
      <c r="AJ212" s="387">
        <f>VLOOKUP(A212,'23-24 state &amp; local'!$A$5:$D$316,4,0)</f>
        <v>0</v>
      </c>
      <c r="AK212" s="387">
        <f>VLOOKUP(A212,'23-24 state &amp; local'!$A$5:$E$316,5,0)</f>
        <v>4435387.7699999996</v>
      </c>
      <c r="AL212" s="387">
        <f t="shared" si="25"/>
        <v>4435387.7699999996</v>
      </c>
      <c r="AM212" s="382"/>
    </row>
    <row r="213" spans="1:39" ht="15" hidden="1" x14ac:dyDescent="0.25">
      <c r="A213" s="375" t="s">
        <v>1167</v>
      </c>
      <c r="C213" s="448" t="s">
        <v>1168</v>
      </c>
      <c r="D213" s="375" t="s">
        <v>1372</v>
      </c>
      <c r="E213" s="461"/>
      <c r="F213" s="468">
        <f>IFERROR(VLOOKUP(A213,'2017-18'!$A$6:$F$315,6,0),0)</f>
        <v>0</v>
      </c>
      <c r="G213" s="468">
        <f>IFERROR(VLOOKUP(A213,'2017-18'!$A$6:$D$315,4,0),0)</f>
        <v>0</v>
      </c>
      <c r="H213" s="468">
        <f t="shared" si="26"/>
        <v>0</v>
      </c>
      <c r="I213" s="382"/>
      <c r="J213" s="462"/>
      <c r="K213" s="468">
        <f>IFERROR(VLOOKUP(A213,'2018-19'!$A$6:$F$318,6,0),0)</f>
        <v>0</v>
      </c>
      <c r="L213" s="468">
        <f>IFERROR(VLOOKUP(A213,'2018-19'!$A$6:$D$318,4,0),0)</f>
        <v>0</v>
      </c>
      <c r="M213" s="468">
        <f t="shared" si="27"/>
        <v>0</v>
      </c>
      <c r="N213" s="382"/>
      <c r="O213" s="452">
        <v>0</v>
      </c>
      <c r="S213" s="382"/>
      <c r="T213" s="375">
        <v>0</v>
      </c>
      <c r="U213" s="387">
        <v>0</v>
      </c>
      <c r="V213" s="387">
        <v>0</v>
      </c>
      <c r="W213" s="387">
        <v>0</v>
      </c>
      <c r="X213" s="382"/>
      <c r="Y213" s="375">
        <v>6</v>
      </c>
      <c r="Z213" s="413">
        <f>VLOOKUP(A213,'2021-22'!$A$6:$D$317,4,0)</f>
        <v>0</v>
      </c>
      <c r="AA213" s="413">
        <f>VLOOKUP(A213,'2021-22'!$A$6:$E$317,5,0)</f>
        <v>117961.72</v>
      </c>
      <c r="AB213" s="387">
        <f t="shared" si="23"/>
        <v>117961.72</v>
      </c>
      <c r="AC213" s="382"/>
      <c r="AD213" s="416">
        <v>12</v>
      </c>
      <c r="AE213" s="413">
        <v>0</v>
      </c>
      <c r="AF213" s="413">
        <v>230500.32</v>
      </c>
      <c r="AG213" s="387">
        <f t="shared" si="24"/>
        <v>230500.32</v>
      </c>
      <c r="AH213" s="557"/>
      <c r="AI213" s="387">
        <f>IFERROR(VLOOKUP(A213,'23-24 child count'!$C$4:$Y$317,23,0),0)</f>
        <v>18</v>
      </c>
      <c r="AJ213" s="387">
        <f>VLOOKUP(A213,'23-24 state &amp; local'!$A$5:$D$316,4,0)</f>
        <v>0</v>
      </c>
      <c r="AK213" s="387">
        <f>VLOOKUP(A213,'23-24 state &amp; local'!$A$5:$E$316,5,0)</f>
        <v>270971.21999999997</v>
      </c>
      <c r="AL213" s="387">
        <f t="shared" si="25"/>
        <v>270971.21999999997</v>
      </c>
      <c r="AM213" s="382"/>
    </row>
    <row r="214" spans="1:39" ht="15" hidden="1" x14ac:dyDescent="0.25">
      <c r="A214" s="375" t="s">
        <v>604</v>
      </c>
      <c r="B214" s="375" t="s">
        <v>205</v>
      </c>
      <c r="C214" s="448" t="s">
        <v>605</v>
      </c>
      <c r="E214" s="461">
        <v>2764</v>
      </c>
      <c r="F214" s="468">
        <f>IFERROR(VLOOKUP(A214,'2017-18'!$A$6:$F$315,6,0),0)</f>
        <v>1846979.19</v>
      </c>
      <c r="G214" s="468">
        <f>IFERROR(VLOOKUP(A214,'2017-18'!$A$6:$D$315,4,0),0)</f>
        <v>29118942.670000002</v>
      </c>
      <c r="H214" s="468">
        <f t="shared" si="26"/>
        <v>30965921.860000003</v>
      </c>
      <c r="I214" s="382"/>
      <c r="J214" s="462">
        <v>2804</v>
      </c>
      <c r="K214" s="468">
        <f>IFERROR(VLOOKUP(A214,'2018-19'!$A$6:$F$318,6,0),0)</f>
        <v>2897208.88</v>
      </c>
      <c r="L214" s="468">
        <f>IFERROR(VLOOKUP(A214,'2018-19'!$A$6:$D$318,4,0),0)</f>
        <v>31719049.719999999</v>
      </c>
      <c r="M214" s="468">
        <f t="shared" si="27"/>
        <v>34616258.600000001</v>
      </c>
      <c r="N214" s="382"/>
      <c r="O214" s="452">
        <v>2900</v>
      </c>
      <c r="P214" s="387">
        <v>3028102.19</v>
      </c>
      <c r="Q214" s="387">
        <v>33744840.530000001</v>
      </c>
      <c r="R214" s="387">
        <v>36772942.719999999</v>
      </c>
      <c r="S214" s="382"/>
      <c r="T214" s="375">
        <f>VLOOKUP(A214,'Nov 2020 cc'!$B$3:$D$317,3,0)</f>
        <v>2736</v>
      </c>
      <c r="U214" s="387">
        <v>5973347.3600000003</v>
      </c>
      <c r="V214" s="387">
        <v>32871471.640000001</v>
      </c>
      <c r="W214" s="387">
        <v>38844819</v>
      </c>
      <c r="X214" s="382"/>
      <c r="Y214" s="375">
        <v>2730</v>
      </c>
      <c r="Z214" s="413">
        <f>VLOOKUP(A214,'2021-22'!$A$6:$D$317,4,0)</f>
        <v>6835690.2400000002</v>
      </c>
      <c r="AA214" s="413">
        <f>VLOOKUP(A214,'2021-22'!$A$6:$E$317,5,0)</f>
        <v>33516725.98</v>
      </c>
      <c r="AB214" s="387">
        <f t="shared" si="23"/>
        <v>40352416.219999999</v>
      </c>
      <c r="AC214" s="382"/>
      <c r="AD214" s="416">
        <v>2938</v>
      </c>
      <c r="AE214" s="413">
        <v>7085750.9900000002</v>
      </c>
      <c r="AF214" s="413">
        <v>40333985.609999999</v>
      </c>
      <c r="AG214" s="387">
        <f t="shared" si="24"/>
        <v>47419736.600000001</v>
      </c>
      <c r="AH214" s="557"/>
      <c r="AI214" s="387">
        <f>IFERROR(VLOOKUP(A214,'23-24 child count'!$C$4:$Y$317,23,0),0)</f>
        <v>3052</v>
      </c>
      <c r="AJ214" s="387">
        <f>VLOOKUP(A214,'23-24 state &amp; local'!$A$5:$D$316,4,0)</f>
        <v>0</v>
      </c>
      <c r="AK214" s="387">
        <f>VLOOKUP(A214,'23-24 state &amp; local'!$A$5:$E$316,5,0)</f>
        <v>47557350.170000002</v>
      </c>
      <c r="AL214" s="387">
        <f t="shared" si="25"/>
        <v>47557350.170000002</v>
      </c>
      <c r="AM214" s="382"/>
    </row>
    <row r="215" spans="1:39" ht="15" hidden="1" x14ac:dyDescent="0.25">
      <c r="A215" s="375" t="s">
        <v>606</v>
      </c>
      <c r="B215" s="375" t="s">
        <v>228</v>
      </c>
      <c r="C215" s="448" t="s">
        <v>607</v>
      </c>
      <c r="E215" s="461">
        <v>6</v>
      </c>
      <c r="F215" s="468">
        <f>IFERROR(VLOOKUP(A215,'2017-18'!$A$6:$F$315,6,0),0)</f>
        <v>0</v>
      </c>
      <c r="G215" s="468">
        <f>IFERROR(VLOOKUP(A215,'2017-18'!$A$6:$D$315,4,0),0)</f>
        <v>20527.5</v>
      </c>
      <c r="H215" s="468">
        <f t="shared" si="26"/>
        <v>20527.5</v>
      </c>
      <c r="I215" s="382"/>
      <c r="J215" s="462">
        <v>2</v>
      </c>
      <c r="K215" s="468">
        <f>IFERROR(VLOOKUP(A215,'2018-19'!$A$6:$F$318,6,0),0)</f>
        <v>20506.37</v>
      </c>
      <c r="L215" s="468">
        <f>IFERROR(VLOOKUP(A215,'2018-19'!$A$6:$D$318,4,0),0)</f>
        <v>41765.120000000003</v>
      </c>
      <c r="M215" s="468">
        <f t="shared" si="27"/>
        <v>62271.490000000005</v>
      </c>
      <c r="N215" s="382"/>
      <c r="O215" s="452">
        <v>1</v>
      </c>
      <c r="P215" s="387">
        <v>0</v>
      </c>
      <c r="Q215" s="387">
        <v>48577.22</v>
      </c>
      <c r="R215" s="387">
        <v>48577.22</v>
      </c>
      <c r="S215" s="382"/>
      <c r="T215" s="375">
        <f>VLOOKUP(A215,'Nov 2020 cc'!$B$3:$D$317,3,0)</f>
        <v>5</v>
      </c>
      <c r="U215" s="387">
        <v>0</v>
      </c>
      <c r="V215" s="387">
        <v>62587.39</v>
      </c>
      <c r="W215" s="387">
        <v>62587.39</v>
      </c>
      <c r="X215" s="382"/>
      <c r="Y215" s="375">
        <v>10</v>
      </c>
      <c r="Z215" s="413">
        <f>VLOOKUP(A215,'2021-22'!$A$6:$D$317,4,0)</f>
        <v>27540.38</v>
      </c>
      <c r="AA215" s="413">
        <f>VLOOKUP(A215,'2021-22'!$A$6:$E$317,5,0)</f>
        <v>76304.36</v>
      </c>
      <c r="AB215" s="387">
        <f t="shared" si="23"/>
        <v>103844.74</v>
      </c>
      <c r="AC215" s="382"/>
      <c r="AD215" s="416">
        <v>5</v>
      </c>
      <c r="AE215" s="413">
        <v>0</v>
      </c>
      <c r="AF215" s="413">
        <v>49836.71</v>
      </c>
      <c r="AG215" s="387">
        <f t="shared" si="24"/>
        <v>49836.71</v>
      </c>
      <c r="AH215" s="557"/>
      <c r="AI215" s="387">
        <f>IFERROR(VLOOKUP(A215,'23-24 child count'!$C$4:$Y$317,23,0),0)</f>
        <v>8</v>
      </c>
      <c r="AJ215" s="387">
        <f>VLOOKUP(A215,'23-24 state &amp; local'!$A$5:$D$316,4,0)</f>
        <v>0</v>
      </c>
      <c r="AK215" s="387">
        <f>VLOOKUP(A215,'23-24 state &amp; local'!$A$5:$E$316,5,0)</f>
        <v>107310.88</v>
      </c>
      <c r="AL215" s="387">
        <f t="shared" si="25"/>
        <v>107310.88</v>
      </c>
      <c r="AM215" s="382"/>
    </row>
    <row r="216" spans="1:39" ht="15" hidden="1" x14ac:dyDescent="0.25">
      <c r="A216" s="375" t="s">
        <v>608</v>
      </c>
      <c r="B216" s="375" t="s">
        <v>228</v>
      </c>
      <c r="C216" s="448" t="s">
        <v>609</v>
      </c>
      <c r="E216" s="461">
        <v>57</v>
      </c>
      <c r="F216" s="468">
        <f>IFERROR(VLOOKUP(A216,'2017-18'!$A$6:$F$315,6,0),0)</f>
        <v>0</v>
      </c>
      <c r="G216" s="468">
        <f>IFERROR(VLOOKUP(A216,'2017-18'!$A$6:$D$315,4,0),0)</f>
        <v>638587.56000000006</v>
      </c>
      <c r="H216" s="468">
        <f t="shared" si="26"/>
        <v>638587.56000000006</v>
      </c>
      <c r="I216" s="382"/>
      <c r="J216" s="462">
        <v>58</v>
      </c>
      <c r="K216" s="468">
        <f>IFERROR(VLOOKUP(A216,'2018-19'!$A$6:$F$318,6,0),0)</f>
        <v>0</v>
      </c>
      <c r="L216" s="468">
        <f>IFERROR(VLOOKUP(A216,'2018-19'!$A$6:$D$318,4,0),0)</f>
        <v>784457.87</v>
      </c>
      <c r="M216" s="468">
        <f t="shared" si="27"/>
        <v>784457.87</v>
      </c>
      <c r="N216" s="382"/>
      <c r="O216" s="452">
        <v>53</v>
      </c>
      <c r="P216" s="387">
        <v>0</v>
      </c>
      <c r="Q216" s="387">
        <v>719402.15</v>
      </c>
      <c r="R216" s="387">
        <v>719402.15</v>
      </c>
      <c r="S216" s="382"/>
      <c r="T216" s="375">
        <f>VLOOKUP(A216,'Nov 2020 cc'!$B$3:$D$317,3,0)</f>
        <v>55</v>
      </c>
      <c r="U216" s="387">
        <v>0</v>
      </c>
      <c r="V216" s="387">
        <v>917405.55</v>
      </c>
      <c r="W216" s="387">
        <v>917405.55</v>
      </c>
      <c r="X216" s="382"/>
      <c r="Y216" s="375">
        <v>56</v>
      </c>
      <c r="Z216" s="413">
        <f>VLOOKUP(A216,'2021-22'!$A$6:$D$317,4,0)</f>
        <v>0</v>
      </c>
      <c r="AA216" s="413">
        <f>VLOOKUP(A216,'2021-22'!$A$6:$E$317,5,0)</f>
        <v>806732.91</v>
      </c>
      <c r="AB216" s="387">
        <f t="shared" si="23"/>
        <v>806732.91</v>
      </c>
      <c r="AC216" s="382"/>
      <c r="AD216" s="416">
        <v>56</v>
      </c>
      <c r="AE216" s="413">
        <v>0</v>
      </c>
      <c r="AF216" s="413">
        <v>1019074.2</v>
      </c>
      <c r="AG216" s="387">
        <f t="shared" si="24"/>
        <v>1019074.2</v>
      </c>
      <c r="AH216" s="557"/>
      <c r="AI216" s="387">
        <f>IFERROR(VLOOKUP(A216,'23-24 child count'!$C$4:$Y$317,23,0),0)</f>
        <v>73</v>
      </c>
      <c r="AJ216" s="387">
        <f>VLOOKUP(A216,'23-24 state &amp; local'!$A$5:$D$316,4,0)</f>
        <v>0</v>
      </c>
      <c r="AK216" s="387">
        <f>VLOOKUP(A216,'23-24 state &amp; local'!$A$5:$E$316,5,0)</f>
        <v>1067570.02</v>
      </c>
      <c r="AL216" s="387">
        <f t="shared" si="25"/>
        <v>1067570.02</v>
      </c>
      <c r="AM216" s="382"/>
    </row>
    <row r="217" spans="1:39" ht="15" hidden="1" x14ac:dyDescent="0.25">
      <c r="A217" s="375" t="s">
        <v>612</v>
      </c>
      <c r="B217" s="375" t="s">
        <v>228</v>
      </c>
      <c r="C217" s="448" t="s">
        <v>613</v>
      </c>
      <c r="E217" s="461">
        <v>501</v>
      </c>
      <c r="F217" s="468">
        <f>IFERROR(VLOOKUP(A217,'2017-18'!$A$6:$F$315,6,0),0)</f>
        <v>0</v>
      </c>
      <c r="G217" s="468">
        <f>IFERROR(VLOOKUP(A217,'2017-18'!$A$6:$D$315,4,0),0)</f>
        <v>3576537.92</v>
      </c>
      <c r="H217" s="468">
        <f t="shared" si="26"/>
        <v>3576537.92</v>
      </c>
      <c r="I217" s="382"/>
      <c r="J217" s="462">
        <v>563</v>
      </c>
      <c r="K217" s="468">
        <f>IFERROR(VLOOKUP(A217,'2018-19'!$A$6:$F$318,6,0),0)</f>
        <v>0</v>
      </c>
      <c r="L217" s="468">
        <f>IFERROR(VLOOKUP(A217,'2018-19'!$A$6:$D$318,4,0),0)</f>
        <v>4397255.03</v>
      </c>
      <c r="M217" s="468">
        <f t="shared" si="27"/>
        <v>4397255.03</v>
      </c>
      <c r="N217" s="382"/>
      <c r="O217" s="452">
        <v>555</v>
      </c>
      <c r="P217" s="387">
        <v>0</v>
      </c>
      <c r="Q217" s="387">
        <v>4908299.93</v>
      </c>
      <c r="R217" s="387">
        <v>4908299.93</v>
      </c>
      <c r="S217" s="382"/>
      <c r="T217" s="375">
        <f>VLOOKUP(A217,'Nov 2020 cc'!$B$3:$D$317,3,0)</f>
        <v>583</v>
      </c>
      <c r="U217" s="387">
        <v>0</v>
      </c>
      <c r="V217" s="387">
        <v>5264103.99</v>
      </c>
      <c r="W217" s="387">
        <v>5264103.99</v>
      </c>
      <c r="X217" s="382"/>
      <c r="Y217" s="375">
        <v>542</v>
      </c>
      <c r="Z217" s="413">
        <f>VLOOKUP(A217,'2021-22'!$A$6:$D$317,4,0)</f>
        <v>0</v>
      </c>
      <c r="AA217" s="413">
        <f>VLOOKUP(A217,'2021-22'!$A$6:$E$317,5,0)</f>
        <v>5012344.3</v>
      </c>
      <c r="AB217" s="387">
        <f t="shared" si="23"/>
        <v>5012344.3</v>
      </c>
      <c r="AC217" s="382"/>
      <c r="AD217" s="416">
        <v>556</v>
      </c>
      <c r="AE217" s="413">
        <v>0</v>
      </c>
      <c r="AF217" s="413">
        <v>4859623.17</v>
      </c>
      <c r="AG217" s="387">
        <f t="shared" si="24"/>
        <v>4859623.17</v>
      </c>
      <c r="AH217" s="557"/>
      <c r="AI217" s="387">
        <f>IFERROR(VLOOKUP(A217,'23-24 child count'!$C$4:$Y$317,23,0),0)</f>
        <v>634</v>
      </c>
      <c r="AJ217" s="387">
        <f>VLOOKUP(A217,'23-24 state &amp; local'!$A$5:$D$316,4,0)</f>
        <v>0</v>
      </c>
      <c r="AK217" s="387">
        <f>VLOOKUP(A217,'23-24 state &amp; local'!$A$5:$E$316,5,0)</f>
        <v>6307249.8200000003</v>
      </c>
      <c r="AL217" s="387">
        <f t="shared" si="25"/>
        <v>6307249.8200000003</v>
      </c>
      <c r="AM217" s="382"/>
    </row>
    <row r="218" spans="1:39" ht="15" hidden="1" x14ac:dyDescent="0.25">
      <c r="A218" s="375" t="s">
        <v>614</v>
      </c>
      <c r="B218" s="375" t="s">
        <v>231</v>
      </c>
      <c r="C218" s="448" t="s">
        <v>615</v>
      </c>
      <c r="E218" s="461">
        <v>405</v>
      </c>
      <c r="F218" s="468">
        <f>IFERROR(VLOOKUP(A218,'2017-18'!$A$6:$F$315,6,0),0)</f>
        <v>0</v>
      </c>
      <c r="G218" s="468">
        <f>IFERROR(VLOOKUP(A218,'2017-18'!$A$6:$D$315,4,0),0)</f>
        <v>3133855.76</v>
      </c>
      <c r="H218" s="468">
        <f t="shared" si="26"/>
        <v>3133855.76</v>
      </c>
      <c r="I218" s="382"/>
      <c r="J218" s="462">
        <v>411</v>
      </c>
      <c r="K218" s="468">
        <f>IFERROR(VLOOKUP(A218,'2018-19'!$A$6:$F$318,6,0),0)</f>
        <v>0</v>
      </c>
      <c r="L218" s="468">
        <f>IFERROR(VLOOKUP(A218,'2018-19'!$A$6:$D$318,4,0),0)</f>
        <v>3788260.42</v>
      </c>
      <c r="M218" s="468">
        <f t="shared" si="27"/>
        <v>3788260.42</v>
      </c>
      <c r="N218" s="382"/>
      <c r="O218" s="452">
        <v>421</v>
      </c>
      <c r="P218" s="387">
        <v>286771.84999999998</v>
      </c>
      <c r="Q218" s="387">
        <v>4267324</v>
      </c>
      <c r="R218" s="387">
        <v>4554095.8499999996</v>
      </c>
      <c r="S218" s="382"/>
      <c r="T218" s="375">
        <f>VLOOKUP(A218,'Nov 2020 cc'!$B$3:$D$317,3,0)</f>
        <v>423</v>
      </c>
      <c r="U218" s="387">
        <v>309722.62</v>
      </c>
      <c r="V218" s="387">
        <v>4284655.55</v>
      </c>
      <c r="W218" s="387">
        <v>4594378.17</v>
      </c>
      <c r="X218" s="382"/>
      <c r="Y218" s="375">
        <v>442</v>
      </c>
      <c r="Z218" s="413">
        <f>VLOOKUP(A218,'2021-22'!$A$6:$D$317,4,0)</f>
        <v>154640.04</v>
      </c>
      <c r="AA218" s="413">
        <f>VLOOKUP(A218,'2021-22'!$A$6:$E$317,5,0)</f>
        <v>4563582.3899999997</v>
      </c>
      <c r="AB218" s="387">
        <f t="shared" si="23"/>
        <v>4718222.43</v>
      </c>
      <c r="AC218" s="382"/>
      <c r="AD218" s="416">
        <v>425</v>
      </c>
      <c r="AE218" s="413">
        <v>922467.47</v>
      </c>
      <c r="AF218" s="413">
        <v>4700051.71</v>
      </c>
      <c r="AG218" s="387">
        <f t="shared" si="24"/>
        <v>5622519.1799999997</v>
      </c>
      <c r="AH218" s="557"/>
      <c r="AI218" s="387">
        <f>IFERROR(VLOOKUP(A218,'23-24 child count'!$C$4:$Y$317,23,0),0)</f>
        <v>430</v>
      </c>
      <c r="AJ218" s="387">
        <f>VLOOKUP(A218,'23-24 state &amp; local'!$A$5:$D$316,4,0)</f>
        <v>617349.01</v>
      </c>
      <c r="AK218" s="387">
        <f>VLOOKUP(A218,'23-24 state &amp; local'!$A$5:$E$316,5,0)</f>
        <v>5396669.3899999997</v>
      </c>
      <c r="AL218" s="387">
        <f t="shared" si="25"/>
        <v>6014018.3999999994</v>
      </c>
      <c r="AM218" s="382"/>
    </row>
    <row r="219" spans="1:39" ht="15" hidden="1" x14ac:dyDescent="0.25">
      <c r="A219" s="375" t="s">
        <v>616</v>
      </c>
      <c r="B219" s="375" t="s">
        <v>189</v>
      </c>
      <c r="C219" s="448" t="s">
        <v>617</v>
      </c>
      <c r="E219" s="461">
        <v>125</v>
      </c>
      <c r="F219" s="468">
        <f>IFERROR(VLOOKUP(A219,'2017-18'!$A$6:$F$315,6,0),0)</f>
        <v>0</v>
      </c>
      <c r="G219" s="468">
        <f>IFERROR(VLOOKUP(A219,'2017-18'!$A$6:$D$315,4,0),0)</f>
        <v>787541.73</v>
      </c>
      <c r="H219" s="468">
        <f t="shared" si="26"/>
        <v>787541.73</v>
      </c>
      <c r="I219" s="382"/>
      <c r="J219" s="462">
        <v>131</v>
      </c>
      <c r="K219" s="468">
        <f>IFERROR(VLOOKUP(A219,'2018-19'!$A$6:$F$318,6,0),0)</f>
        <v>0</v>
      </c>
      <c r="L219" s="468">
        <f>IFERROR(VLOOKUP(A219,'2018-19'!$A$6:$D$318,4,0),0)</f>
        <v>1044615.79</v>
      </c>
      <c r="M219" s="468">
        <f t="shared" si="27"/>
        <v>1044615.79</v>
      </c>
      <c r="N219" s="382"/>
      <c r="O219" s="452">
        <v>128</v>
      </c>
      <c r="P219" s="387">
        <v>0</v>
      </c>
      <c r="Q219" s="387">
        <v>1069716.6000000001</v>
      </c>
      <c r="R219" s="387">
        <v>1069716.6000000001</v>
      </c>
      <c r="S219" s="382"/>
      <c r="T219" s="375">
        <f>VLOOKUP(A219,'Nov 2020 cc'!$B$3:$D$317,3,0)</f>
        <v>135</v>
      </c>
      <c r="U219" s="387">
        <v>0</v>
      </c>
      <c r="V219" s="387">
        <v>1124546.1499999999</v>
      </c>
      <c r="W219" s="387">
        <v>1124546.1499999999</v>
      </c>
      <c r="X219" s="382"/>
      <c r="Y219" s="375">
        <v>135</v>
      </c>
      <c r="Z219" s="413">
        <f>VLOOKUP(A219,'2021-22'!$A$6:$D$317,4,0)</f>
        <v>0</v>
      </c>
      <c r="AA219" s="413">
        <f>VLOOKUP(A219,'2021-22'!$A$6:$E$317,5,0)</f>
        <v>1270656.8400000001</v>
      </c>
      <c r="AB219" s="387">
        <f t="shared" si="23"/>
        <v>1270656.8400000001</v>
      </c>
      <c r="AC219" s="382"/>
      <c r="AD219" s="416">
        <v>133</v>
      </c>
      <c r="AE219" s="413">
        <v>0</v>
      </c>
      <c r="AF219" s="413">
        <v>1390558.81</v>
      </c>
      <c r="AG219" s="387">
        <f t="shared" si="24"/>
        <v>1390558.81</v>
      </c>
      <c r="AH219" s="557"/>
      <c r="AI219" s="387">
        <f>IFERROR(VLOOKUP(A219,'23-24 child count'!$C$4:$Y$317,23,0),0)</f>
        <v>139</v>
      </c>
      <c r="AJ219" s="387">
        <f>VLOOKUP(A219,'23-24 state &amp; local'!$A$5:$D$316,4,0)</f>
        <v>0</v>
      </c>
      <c r="AK219" s="387">
        <f>VLOOKUP(A219,'23-24 state &amp; local'!$A$5:$E$316,5,0)</f>
        <v>1468085.1</v>
      </c>
      <c r="AL219" s="387">
        <f t="shared" si="25"/>
        <v>1468085.1</v>
      </c>
      <c r="AM219" s="382"/>
    </row>
    <row r="220" spans="1:39" ht="15" hidden="1" x14ac:dyDescent="0.25">
      <c r="A220" s="375" t="s">
        <v>618</v>
      </c>
      <c r="B220" s="375" t="s">
        <v>205</v>
      </c>
      <c r="C220" s="448" t="s">
        <v>1201</v>
      </c>
      <c r="E220" s="461">
        <v>36</v>
      </c>
      <c r="F220" s="468">
        <f>IFERROR(VLOOKUP(A220,'2017-18'!$A$6:$F$315,6,0),0)</f>
        <v>1873.95</v>
      </c>
      <c r="G220" s="468">
        <f>IFERROR(VLOOKUP(A220,'2017-18'!$A$6:$D$315,4,0),0)</f>
        <v>211361.75</v>
      </c>
      <c r="H220" s="468">
        <f t="shared" si="26"/>
        <v>213235.7</v>
      </c>
      <c r="I220" s="382"/>
      <c r="J220" s="462">
        <v>42</v>
      </c>
      <c r="K220" s="468">
        <f>IFERROR(VLOOKUP(A220,'2018-19'!$A$6:$F$318,6,0),0)</f>
        <v>0</v>
      </c>
      <c r="L220" s="468">
        <f>IFERROR(VLOOKUP(A220,'2018-19'!$A$6:$D$318,4,0),0)</f>
        <v>348929.38</v>
      </c>
      <c r="M220" s="468">
        <f t="shared" si="27"/>
        <v>348929.38</v>
      </c>
      <c r="N220" s="382"/>
      <c r="O220" s="452">
        <v>38</v>
      </c>
      <c r="P220" s="387">
        <v>0</v>
      </c>
      <c r="Q220" s="387">
        <v>349985</v>
      </c>
      <c r="R220" s="387">
        <v>349985</v>
      </c>
      <c r="S220" s="382"/>
      <c r="T220" s="375">
        <f>VLOOKUP(A220,'Nov 2020 cc'!$B$3:$D$317,3,0)</f>
        <v>35</v>
      </c>
      <c r="U220" s="387">
        <v>0</v>
      </c>
      <c r="V220" s="387">
        <v>281275.31</v>
      </c>
      <c r="W220" s="387">
        <v>281275.31</v>
      </c>
      <c r="X220" s="382"/>
      <c r="Y220" s="375">
        <v>24</v>
      </c>
      <c r="Z220" s="413">
        <f>VLOOKUP(A220,'2021-22'!$A$6:$D$317,4,0)</f>
        <v>0</v>
      </c>
      <c r="AA220" s="413">
        <f>VLOOKUP(A220,'2021-22'!$A$6:$E$317,5,0)</f>
        <v>213707.34</v>
      </c>
      <c r="AB220" s="387">
        <f t="shared" si="23"/>
        <v>213707.34</v>
      </c>
      <c r="AC220" s="382"/>
      <c r="AD220" s="416">
        <v>21</v>
      </c>
      <c r="AE220" s="413">
        <v>0</v>
      </c>
      <c r="AF220" s="413">
        <v>38917.99</v>
      </c>
      <c r="AG220" s="387">
        <f t="shared" si="24"/>
        <v>38917.99</v>
      </c>
      <c r="AH220" s="557"/>
      <c r="AI220" s="387">
        <f>IFERROR(VLOOKUP(A220,'23-24 child count'!$C$4:$Y$317,23,0),0)</f>
        <v>30</v>
      </c>
      <c r="AJ220" s="387">
        <f>VLOOKUP(A220,'23-24 state &amp; local'!$A$5:$D$316,4,0)</f>
        <v>294450.58</v>
      </c>
      <c r="AK220" s="387">
        <f>VLOOKUP(A220,'23-24 state &amp; local'!$A$5:$E$316,5,0)</f>
        <v>145863.1</v>
      </c>
      <c r="AL220" s="387">
        <f t="shared" si="25"/>
        <v>440313.68000000005</v>
      </c>
      <c r="AM220" s="382"/>
    </row>
    <row r="221" spans="1:39" ht="15" hidden="1" x14ac:dyDescent="0.25">
      <c r="A221" s="375" t="s">
        <v>620</v>
      </c>
      <c r="B221" s="375" t="s">
        <v>205</v>
      </c>
      <c r="C221" s="448" t="s">
        <v>1258</v>
      </c>
      <c r="D221" s="375" t="s">
        <v>1372</v>
      </c>
      <c r="E221" s="461">
        <v>17</v>
      </c>
      <c r="F221" s="468">
        <f>IFERROR(VLOOKUP(A221,'2017-18'!$A$6:$F$315,6,0),0)</f>
        <v>0</v>
      </c>
      <c r="G221" s="468">
        <f>IFERROR(VLOOKUP(A221,'2017-18'!$A$6:$D$315,4,0),0)</f>
        <v>389101.86</v>
      </c>
      <c r="H221" s="468">
        <f t="shared" si="26"/>
        <v>389101.86</v>
      </c>
      <c r="I221" s="382"/>
      <c r="J221" s="462">
        <v>41</v>
      </c>
      <c r="K221" s="468">
        <f>IFERROR(VLOOKUP(A221,'2018-19'!$A$6:$F$318,6,0),0)</f>
        <v>239830.07</v>
      </c>
      <c r="L221" s="468">
        <f>IFERROR(VLOOKUP(A221,'2018-19'!$A$6:$D$318,4,0),0)</f>
        <v>200432.92</v>
      </c>
      <c r="M221" s="468">
        <f t="shared" si="27"/>
        <v>440262.99</v>
      </c>
      <c r="N221" s="382"/>
      <c r="O221" s="452">
        <v>45</v>
      </c>
      <c r="P221" s="387">
        <v>93520.8</v>
      </c>
      <c r="Q221" s="387">
        <v>399037.78</v>
      </c>
      <c r="R221" s="387">
        <v>492558.58</v>
      </c>
      <c r="S221" s="382"/>
      <c r="T221" s="375">
        <f>VLOOKUP(A221,'Nov 2020 cc'!$B$3:$D$317,3,0)</f>
        <v>31</v>
      </c>
      <c r="U221" s="387">
        <v>139307.26</v>
      </c>
      <c r="V221" s="387">
        <v>259285.03</v>
      </c>
      <c r="W221" s="387">
        <v>398592.29000000004</v>
      </c>
      <c r="X221" s="382"/>
      <c r="Y221" s="375">
        <v>37</v>
      </c>
      <c r="Z221" s="413">
        <f>VLOOKUP(A221,'2021-22'!$A$6:$D$317,4,0)</f>
        <v>0</v>
      </c>
      <c r="AA221" s="413">
        <f>VLOOKUP(A221,'2021-22'!$A$6:$E$317,5,0)</f>
        <v>487519.56</v>
      </c>
      <c r="AB221" s="387">
        <f t="shared" si="23"/>
        <v>487519.56</v>
      </c>
      <c r="AC221" s="382"/>
      <c r="AD221" s="416">
        <v>35</v>
      </c>
      <c r="AE221" s="413">
        <v>375615.96</v>
      </c>
      <c r="AF221" s="413">
        <v>273884.94</v>
      </c>
      <c r="AG221" s="387">
        <f t="shared" si="24"/>
        <v>649500.9</v>
      </c>
      <c r="AH221" s="557"/>
      <c r="AI221" s="387">
        <f>IFERROR(VLOOKUP(A221,'23-24 child count'!$C$4:$Y$317,23,0),0)</f>
        <v>33</v>
      </c>
      <c r="AJ221" s="387">
        <f>VLOOKUP(A221,'23-24 state &amp; local'!$A$5:$D$316,4,0)</f>
        <v>390068.13</v>
      </c>
      <c r="AK221" s="387">
        <f>VLOOKUP(A221,'23-24 state &amp; local'!$A$5:$E$316,5,0)</f>
        <v>289485.23</v>
      </c>
      <c r="AL221" s="387">
        <f t="shared" si="25"/>
        <v>679553.36</v>
      </c>
      <c r="AM221" s="382"/>
    </row>
    <row r="222" spans="1:39" ht="15" hidden="1" x14ac:dyDescent="0.25">
      <c r="A222" s="375" t="s">
        <v>621</v>
      </c>
      <c r="B222" s="375" t="s">
        <v>189</v>
      </c>
      <c r="C222" s="448" t="s">
        <v>622</v>
      </c>
      <c r="D222" s="375" t="s">
        <v>819</v>
      </c>
      <c r="E222" s="461">
        <v>76</v>
      </c>
      <c r="F222" s="468">
        <f>IFERROR(VLOOKUP(A222,'2017-18'!$A$6:$F$315,6,0),0)</f>
        <v>0</v>
      </c>
      <c r="G222" s="468">
        <f>IFERROR(VLOOKUP(A222,'2017-18'!$A$6:$D$315,4,0),0)</f>
        <v>566508.68999999994</v>
      </c>
      <c r="H222" s="468">
        <f t="shared" si="26"/>
        <v>566508.68999999994</v>
      </c>
      <c r="I222" s="382"/>
      <c r="J222" s="462">
        <v>86</v>
      </c>
      <c r="K222" s="468">
        <f>IFERROR(VLOOKUP(A222,'2018-19'!$A$6:$F$318,6,0),0)</f>
        <v>227226.92</v>
      </c>
      <c r="L222" s="468">
        <f>IFERROR(VLOOKUP(A222,'2018-19'!$A$6:$D$318,4,0),0)</f>
        <v>620690.81000000006</v>
      </c>
      <c r="M222" s="468">
        <f t="shared" si="27"/>
        <v>847917.7300000001</v>
      </c>
      <c r="N222" s="382"/>
      <c r="O222" s="452">
        <v>91</v>
      </c>
      <c r="P222" s="387">
        <v>0</v>
      </c>
      <c r="Q222" s="387">
        <v>968667.79</v>
      </c>
      <c r="R222" s="387">
        <v>968667.79</v>
      </c>
      <c r="S222" s="382"/>
      <c r="T222" s="375">
        <f>VLOOKUP(A222,'Nov 2020 cc'!$B$3:$D$317,3,0)</f>
        <v>88</v>
      </c>
      <c r="U222" s="387">
        <v>0</v>
      </c>
      <c r="V222" s="387">
        <v>856302.19</v>
      </c>
      <c r="W222" s="387">
        <v>856302.19</v>
      </c>
      <c r="X222" s="382"/>
      <c r="Y222" s="375">
        <v>77</v>
      </c>
      <c r="Z222" s="413">
        <f>VLOOKUP(A222,'2021-22'!$A$6:$D$317,4,0)</f>
        <v>0</v>
      </c>
      <c r="AA222" s="413">
        <f>VLOOKUP(A222,'2021-22'!$A$6:$E$317,5,0)</f>
        <v>675730.1</v>
      </c>
      <c r="AB222" s="387">
        <f t="shared" si="23"/>
        <v>675730.1</v>
      </c>
      <c r="AC222" s="382"/>
      <c r="AD222" s="416">
        <v>78</v>
      </c>
      <c r="AE222" s="413">
        <v>0</v>
      </c>
      <c r="AF222" s="413">
        <v>758359.89</v>
      </c>
      <c r="AG222" s="387">
        <f t="shared" si="24"/>
        <v>758359.89</v>
      </c>
      <c r="AH222" s="557"/>
      <c r="AI222" s="387">
        <f>IFERROR(VLOOKUP(A222,'23-24 child count'!$C$4:$Y$317,23,0),0)</f>
        <v>76</v>
      </c>
      <c r="AJ222" s="387">
        <f>VLOOKUP(A222,'23-24 state &amp; local'!$A$5:$D$316,4,0)</f>
        <v>0</v>
      </c>
      <c r="AK222" s="387">
        <f>VLOOKUP(A222,'23-24 state &amp; local'!$A$5:$E$316,5,0)</f>
        <v>1114102.8</v>
      </c>
      <c r="AL222" s="387">
        <f t="shared" si="25"/>
        <v>1114102.8</v>
      </c>
      <c r="AM222" s="382"/>
    </row>
    <row r="223" spans="1:39" ht="15" hidden="1" x14ac:dyDescent="0.25">
      <c r="A223" s="375" t="s">
        <v>623</v>
      </c>
      <c r="B223" s="375" t="s">
        <v>194</v>
      </c>
      <c r="C223" s="448" t="s">
        <v>624</v>
      </c>
      <c r="E223" s="461">
        <v>66</v>
      </c>
      <c r="F223" s="468">
        <f>IFERROR(VLOOKUP(A223,'2017-18'!$A$6:$F$315,6,0),0)</f>
        <v>3976</v>
      </c>
      <c r="G223" s="468">
        <f>IFERROR(VLOOKUP(A223,'2017-18'!$A$6:$D$315,4,0),0)</f>
        <v>482838.35</v>
      </c>
      <c r="H223" s="468">
        <f t="shared" si="26"/>
        <v>486814.35</v>
      </c>
      <c r="I223" s="382"/>
      <c r="J223" s="462">
        <v>63</v>
      </c>
      <c r="K223" s="468">
        <f>IFERROR(VLOOKUP(A223,'2018-19'!$A$6:$F$318,6,0),0)</f>
        <v>3910.09</v>
      </c>
      <c r="L223" s="468">
        <f>IFERROR(VLOOKUP(A223,'2018-19'!$A$6:$D$318,4,0),0)</f>
        <v>508005.13</v>
      </c>
      <c r="M223" s="468">
        <f t="shared" si="27"/>
        <v>511915.22000000003</v>
      </c>
      <c r="N223" s="382"/>
      <c r="O223" s="452">
        <v>80</v>
      </c>
      <c r="P223" s="387">
        <v>0</v>
      </c>
      <c r="Q223" s="387">
        <v>747105.53</v>
      </c>
      <c r="R223" s="387">
        <v>747105.53</v>
      </c>
      <c r="S223" s="382"/>
      <c r="T223" s="375">
        <f>VLOOKUP(A223,'Nov 2020 cc'!$B$3:$D$317,3,0)</f>
        <v>85</v>
      </c>
      <c r="U223" s="387">
        <v>0</v>
      </c>
      <c r="V223" s="387">
        <v>724421.79</v>
      </c>
      <c r="W223" s="387">
        <v>724421.79</v>
      </c>
      <c r="X223" s="382"/>
      <c r="Y223" s="375">
        <v>81</v>
      </c>
      <c r="Z223" s="413">
        <f>VLOOKUP(A223,'2021-22'!$A$6:$D$317,4,0)</f>
        <v>0</v>
      </c>
      <c r="AA223" s="413">
        <f>VLOOKUP(A223,'2021-22'!$A$6:$E$317,5,0)</f>
        <v>728357.83</v>
      </c>
      <c r="AB223" s="387">
        <f t="shared" si="23"/>
        <v>728357.83</v>
      </c>
      <c r="AC223" s="382"/>
      <c r="AD223" s="416">
        <v>86</v>
      </c>
      <c r="AE223" s="413">
        <v>0</v>
      </c>
      <c r="AF223" s="413">
        <v>780381.14</v>
      </c>
      <c r="AG223" s="387">
        <f t="shared" si="24"/>
        <v>780381.14</v>
      </c>
      <c r="AH223" s="557"/>
      <c r="AI223" s="387">
        <f>IFERROR(VLOOKUP(A223,'23-24 child count'!$C$4:$Y$317,23,0),0)</f>
        <v>87</v>
      </c>
      <c r="AJ223" s="387">
        <f>VLOOKUP(A223,'23-24 state &amp; local'!$A$5:$D$316,4,0)</f>
        <v>0</v>
      </c>
      <c r="AK223" s="387">
        <f>VLOOKUP(A223,'23-24 state &amp; local'!$A$5:$E$316,5,0)</f>
        <v>876202.59</v>
      </c>
      <c r="AL223" s="387">
        <f t="shared" si="25"/>
        <v>876202.59</v>
      </c>
      <c r="AM223" s="382"/>
    </row>
    <row r="224" spans="1:39" ht="15" hidden="1" x14ac:dyDescent="0.25">
      <c r="A224" s="375" t="s">
        <v>625</v>
      </c>
      <c r="B224" s="375" t="s">
        <v>205</v>
      </c>
      <c r="C224" s="448" t="s">
        <v>626</v>
      </c>
      <c r="E224" s="461">
        <v>2114</v>
      </c>
      <c r="F224" s="468">
        <f>IFERROR(VLOOKUP(A224,'2017-18'!$A$6:$F$315,6,0),0)</f>
        <v>7666273.5800000001</v>
      </c>
      <c r="G224" s="468">
        <f>IFERROR(VLOOKUP(A224,'2017-18'!$A$6:$D$315,4,0),0)</f>
        <v>19944424.02</v>
      </c>
      <c r="H224" s="468">
        <f t="shared" si="26"/>
        <v>27610697.600000001</v>
      </c>
      <c r="I224" s="382"/>
      <c r="J224" s="462">
        <v>2198</v>
      </c>
      <c r="K224" s="468">
        <f>IFERROR(VLOOKUP(A224,'2018-19'!$A$6:$F$318,6,0),0)</f>
        <v>7489277.2699999996</v>
      </c>
      <c r="L224" s="468">
        <f>IFERROR(VLOOKUP(A224,'2018-19'!$A$6:$D$318,4,0),0)</f>
        <v>28575927.960000001</v>
      </c>
      <c r="M224" s="468">
        <f t="shared" si="27"/>
        <v>36065205.230000004</v>
      </c>
      <c r="N224" s="382"/>
      <c r="O224" s="452">
        <v>2269</v>
      </c>
      <c r="P224" s="387">
        <v>7743168.04</v>
      </c>
      <c r="Q224" s="387">
        <v>31721602.84</v>
      </c>
      <c r="R224" s="387">
        <v>39464770.880000003</v>
      </c>
      <c r="S224" s="382"/>
      <c r="T224" s="375">
        <f>VLOOKUP(A224,'Nov 2020 cc'!$B$3:$D$317,3,0)</f>
        <v>2277</v>
      </c>
      <c r="U224" s="387">
        <v>9893053.1300000008</v>
      </c>
      <c r="V224" s="387">
        <v>30472672.859999999</v>
      </c>
      <c r="W224" s="387">
        <v>40365725.990000002</v>
      </c>
      <c r="X224" s="382"/>
      <c r="Y224" s="375">
        <v>2133</v>
      </c>
      <c r="Z224" s="413">
        <f>VLOOKUP(A224,'2021-22'!$A$6:$D$317,4,0)</f>
        <v>9567951.5600000005</v>
      </c>
      <c r="AA224" s="413">
        <f>VLOOKUP(A224,'2021-22'!$A$6:$E$317,5,0)</f>
        <v>29728182.66</v>
      </c>
      <c r="AB224" s="387">
        <f t="shared" si="23"/>
        <v>39296134.219999999</v>
      </c>
      <c r="AC224" s="382"/>
      <c r="AD224" s="416">
        <v>2150</v>
      </c>
      <c r="AE224" s="413">
        <v>11516728.869999999</v>
      </c>
      <c r="AF224" s="413">
        <v>32119251.77</v>
      </c>
      <c r="AG224" s="387">
        <f t="shared" si="24"/>
        <v>43635980.640000001</v>
      </c>
      <c r="AH224" s="557"/>
      <c r="AI224" s="387">
        <f>IFERROR(VLOOKUP(A224,'23-24 child count'!$C$4:$Y$317,23,0),0)</f>
        <v>2201</v>
      </c>
      <c r="AJ224" s="387">
        <f>VLOOKUP(A224,'23-24 state &amp; local'!$A$5:$D$316,4,0)</f>
        <v>12207919.5</v>
      </c>
      <c r="AK224" s="387">
        <f>VLOOKUP(A224,'23-24 state &amp; local'!$A$5:$E$316,5,0)</f>
        <v>37617242.409999996</v>
      </c>
      <c r="AL224" s="387">
        <f t="shared" si="25"/>
        <v>49825161.909999996</v>
      </c>
      <c r="AM224" s="382"/>
    </row>
    <row r="225" spans="1:39" ht="15" hidden="1" x14ac:dyDescent="0.25">
      <c r="A225" s="375" t="s">
        <v>627</v>
      </c>
      <c r="B225" s="375" t="s">
        <v>194</v>
      </c>
      <c r="C225" s="448" t="s">
        <v>628</v>
      </c>
      <c r="E225" s="461">
        <v>37</v>
      </c>
      <c r="F225" s="468">
        <f>IFERROR(VLOOKUP(A225,'2017-18'!$A$6:$F$315,6,0),0)</f>
        <v>0</v>
      </c>
      <c r="G225" s="468">
        <f>IFERROR(VLOOKUP(A225,'2017-18'!$A$6:$D$315,4,0),0)</f>
        <v>284695.78999999998</v>
      </c>
      <c r="H225" s="468">
        <f t="shared" si="26"/>
        <v>284695.78999999998</v>
      </c>
      <c r="I225" s="382"/>
      <c r="J225" s="462">
        <v>35</v>
      </c>
      <c r="K225" s="468">
        <f>IFERROR(VLOOKUP(A225,'2018-19'!$A$6:$F$318,6,0),0)</f>
        <v>0</v>
      </c>
      <c r="L225" s="468">
        <f>IFERROR(VLOOKUP(A225,'2018-19'!$A$6:$D$318,4,0),0)</f>
        <v>295054.08000000002</v>
      </c>
      <c r="M225" s="468">
        <f t="shared" si="27"/>
        <v>295054.08000000002</v>
      </c>
      <c r="N225" s="382"/>
      <c r="O225" s="452">
        <v>42</v>
      </c>
      <c r="P225" s="387">
        <v>18188.8</v>
      </c>
      <c r="Q225" s="387">
        <v>390483.02</v>
      </c>
      <c r="R225" s="387">
        <v>408671.82</v>
      </c>
      <c r="S225" s="382"/>
      <c r="T225" s="375">
        <f>VLOOKUP(A225,'Nov 2020 cc'!$B$3:$D$317,3,0)</f>
        <v>43</v>
      </c>
      <c r="U225" s="387">
        <v>0</v>
      </c>
      <c r="V225" s="387">
        <v>425650.74</v>
      </c>
      <c r="W225" s="387">
        <v>425650.74</v>
      </c>
      <c r="X225" s="382"/>
      <c r="Y225" s="375">
        <v>60</v>
      </c>
      <c r="Z225" s="413">
        <f>VLOOKUP(A225,'2021-22'!$A$6:$D$317,4,0)</f>
        <v>0</v>
      </c>
      <c r="AA225" s="413">
        <f>VLOOKUP(A225,'2021-22'!$A$6:$E$317,5,0)</f>
        <v>439668.28</v>
      </c>
      <c r="AB225" s="387">
        <f t="shared" si="23"/>
        <v>439668.28</v>
      </c>
      <c r="AC225" s="382"/>
      <c r="AD225" s="416">
        <v>69</v>
      </c>
      <c r="AE225" s="413">
        <v>10000</v>
      </c>
      <c r="AF225" s="413">
        <v>576749.06999999995</v>
      </c>
      <c r="AG225" s="387">
        <f t="shared" si="24"/>
        <v>586749.06999999995</v>
      </c>
      <c r="AH225" s="557"/>
      <c r="AI225" s="387">
        <f>IFERROR(VLOOKUP(A225,'23-24 child count'!$C$4:$Y$317,23,0),0)</f>
        <v>79</v>
      </c>
      <c r="AJ225" s="387">
        <f>VLOOKUP(A225,'23-24 state &amp; local'!$A$5:$D$316,4,0)</f>
        <v>0</v>
      </c>
      <c r="AK225" s="387">
        <f>VLOOKUP(A225,'23-24 state &amp; local'!$A$5:$E$316,5,0)</f>
        <v>813053.79</v>
      </c>
      <c r="AL225" s="387">
        <f t="shared" si="25"/>
        <v>813053.79</v>
      </c>
      <c r="AM225" s="382"/>
    </row>
    <row r="226" spans="1:39" ht="15" hidden="1" x14ac:dyDescent="0.25">
      <c r="A226" s="375" t="s">
        <v>629</v>
      </c>
      <c r="B226" s="375" t="s">
        <v>202</v>
      </c>
      <c r="C226" s="448" t="s">
        <v>630</v>
      </c>
      <c r="E226" s="461">
        <v>1538</v>
      </c>
      <c r="F226" s="468">
        <f>IFERROR(VLOOKUP(A226,'2017-18'!$A$6:$F$315,6,0),0)</f>
        <v>3149135.46</v>
      </c>
      <c r="G226" s="468">
        <f>IFERROR(VLOOKUP(A226,'2017-18'!$A$6:$D$315,4,0),0)</f>
        <v>12745592.34</v>
      </c>
      <c r="H226" s="468">
        <f t="shared" si="26"/>
        <v>15894727.800000001</v>
      </c>
      <c r="I226" s="382"/>
      <c r="J226" s="462">
        <v>1550</v>
      </c>
      <c r="K226" s="468">
        <f>IFERROR(VLOOKUP(A226,'2018-19'!$A$6:$F$318,6,0),0)</f>
        <v>2913515.3</v>
      </c>
      <c r="L226" s="468">
        <f>IFERROR(VLOOKUP(A226,'2018-19'!$A$6:$D$318,4,0),0)</f>
        <v>13100595.1</v>
      </c>
      <c r="M226" s="468">
        <f t="shared" si="27"/>
        <v>16014110.399999999</v>
      </c>
      <c r="N226" s="382"/>
      <c r="O226" s="452">
        <v>1622</v>
      </c>
      <c r="P226" s="387">
        <v>3917281.21</v>
      </c>
      <c r="Q226" s="387">
        <v>14571486.32</v>
      </c>
      <c r="R226" s="387">
        <v>18488767.530000001</v>
      </c>
      <c r="S226" s="382"/>
      <c r="T226" s="375">
        <f>VLOOKUP(A226,'Nov 2020 cc'!$B$3:$D$317,3,0)</f>
        <v>1618</v>
      </c>
      <c r="U226" s="387">
        <v>2205728.13</v>
      </c>
      <c r="V226" s="387">
        <v>18614863.41</v>
      </c>
      <c r="W226" s="387">
        <v>20820591.539999999</v>
      </c>
      <c r="X226" s="382"/>
      <c r="Y226" s="375">
        <v>1705</v>
      </c>
      <c r="Z226" s="413">
        <f>VLOOKUP(A226,'2021-22'!$A$6:$D$317,4,0)</f>
        <v>3037079.73</v>
      </c>
      <c r="AA226" s="413">
        <f>VLOOKUP(A226,'2021-22'!$A$6:$E$317,5,0)</f>
        <v>20034477.800000001</v>
      </c>
      <c r="AB226" s="387">
        <f t="shared" si="23"/>
        <v>23071557.530000001</v>
      </c>
      <c r="AC226" s="382"/>
      <c r="AD226" s="416">
        <v>1911</v>
      </c>
      <c r="AE226" s="413">
        <v>1835406.07</v>
      </c>
      <c r="AF226" s="413">
        <v>23526379.609999999</v>
      </c>
      <c r="AG226" s="387">
        <f t="shared" si="24"/>
        <v>25361785.68</v>
      </c>
      <c r="AH226" s="557"/>
      <c r="AI226" s="387">
        <f>IFERROR(VLOOKUP(A226,'23-24 child count'!$C$4:$Y$317,23,0),0)</f>
        <v>2148</v>
      </c>
      <c r="AJ226" s="387">
        <f>VLOOKUP(A226,'23-24 state &amp; local'!$A$5:$D$316,4,0)</f>
        <v>2655898.88</v>
      </c>
      <c r="AK226" s="387">
        <f>VLOOKUP(A226,'23-24 state &amp; local'!$A$5:$E$316,5,0)</f>
        <v>28342488</v>
      </c>
      <c r="AL226" s="387">
        <f t="shared" si="25"/>
        <v>30998386.879999999</v>
      </c>
      <c r="AM226" s="382"/>
    </row>
    <row r="227" spans="1:39" ht="15" hidden="1" x14ac:dyDescent="0.25">
      <c r="A227" s="375" t="s">
        <v>631</v>
      </c>
      <c r="B227" s="375" t="s">
        <v>210</v>
      </c>
      <c r="C227" s="448" t="s">
        <v>632</v>
      </c>
      <c r="E227" s="461">
        <v>318</v>
      </c>
      <c r="F227" s="468">
        <f>IFERROR(VLOOKUP(A227,'2017-18'!$A$6:$F$315,6,0),0)</f>
        <v>422768.89</v>
      </c>
      <c r="G227" s="468">
        <f>IFERROR(VLOOKUP(A227,'2017-18'!$A$6:$D$315,4,0),0)</f>
        <v>2872301.64</v>
      </c>
      <c r="H227" s="468">
        <f t="shared" si="26"/>
        <v>3295070.5300000003</v>
      </c>
      <c r="I227" s="382"/>
      <c r="J227" s="462">
        <v>349</v>
      </c>
      <c r="K227" s="468">
        <f>IFERROR(VLOOKUP(A227,'2018-19'!$A$6:$F$318,6,0),0)</f>
        <v>523782.71</v>
      </c>
      <c r="L227" s="468">
        <f>IFERROR(VLOOKUP(A227,'2018-19'!$A$6:$D$318,4,0),0)</f>
        <v>3807101.92</v>
      </c>
      <c r="M227" s="468">
        <f t="shared" si="27"/>
        <v>4330884.63</v>
      </c>
      <c r="N227" s="382"/>
      <c r="O227" s="452">
        <v>382</v>
      </c>
      <c r="P227" s="387">
        <v>76500</v>
      </c>
      <c r="Q227" s="387">
        <v>4287823.1100000003</v>
      </c>
      <c r="R227" s="387">
        <v>4364323.1100000003</v>
      </c>
      <c r="S227" s="382"/>
      <c r="T227" s="375">
        <f>VLOOKUP(A227,'Nov 2020 cc'!$B$3:$D$317,3,0)</f>
        <v>386</v>
      </c>
      <c r="U227" s="387">
        <v>327846.28999999998</v>
      </c>
      <c r="V227" s="387">
        <v>4123235.46</v>
      </c>
      <c r="W227" s="387">
        <v>4451081.75</v>
      </c>
      <c r="X227" s="382"/>
      <c r="Y227" s="375">
        <v>425</v>
      </c>
      <c r="Z227" s="413">
        <f>VLOOKUP(A227,'2021-22'!$A$6:$D$317,4,0)</f>
        <v>485594.08</v>
      </c>
      <c r="AA227" s="413">
        <f>VLOOKUP(A227,'2021-22'!$A$6:$E$317,5,0)</f>
        <v>4580706.3099999996</v>
      </c>
      <c r="AB227" s="387">
        <f t="shared" si="23"/>
        <v>5066300.3899999997</v>
      </c>
      <c r="AC227" s="382"/>
      <c r="AD227" s="416">
        <v>472</v>
      </c>
      <c r="AE227" s="413">
        <v>535152.31000000006</v>
      </c>
      <c r="AF227" s="413">
        <v>6351742.7199999997</v>
      </c>
      <c r="AG227" s="387">
        <f t="shared" si="24"/>
        <v>6886895.0299999993</v>
      </c>
      <c r="AH227" s="557"/>
      <c r="AI227" s="387">
        <f>IFERROR(VLOOKUP(A227,'23-24 child count'!$C$4:$Y$317,23,0),0)</f>
        <v>521</v>
      </c>
      <c r="AJ227" s="387">
        <f>VLOOKUP(A227,'23-24 state &amp; local'!$A$5:$D$316,4,0)</f>
        <v>554713.75</v>
      </c>
      <c r="AK227" s="387">
        <f>VLOOKUP(A227,'23-24 state &amp; local'!$A$5:$E$316,5,0)</f>
        <v>7882566.8399999999</v>
      </c>
      <c r="AL227" s="387">
        <f t="shared" si="25"/>
        <v>8437280.5899999999</v>
      </c>
      <c r="AM227" s="382"/>
    </row>
    <row r="228" spans="1:39" ht="15" hidden="1" x14ac:dyDescent="0.25">
      <c r="A228" s="375" t="s">
        <v>633</v>
      </c>
      <c r="B228" s="375" t="s">
        <v>194</v>
      </c>
      <c r="C228" s="448" t="s">
        <v>634</v>
      </c>
      <c r="E228" s="461">
        <v>28</v>
      </c>
      <c r="F228" s="468">
        <f>IFERROR(VLOOKUP(A228,'2017-18'!$A$6:$F$315,6,0),0)</f>
        <v>0</v>
      </c>
      <c r="G228" s="468">
        <f>IFERROR(VLOOKUP(A228,'2017-18'!$A$6:$D$315,4,0),0)</f>
        <v>385526.47</v>
      </c>
      <c r="H228" s="468">
        <f t="shared" si="26"/>
        <v>385526.47</v>
      </c>
      <c r="I228" s="382"/>
      <c r="J228" s="462">
        <v>32</v>
      </c>
      <c r="K228" s="468">
        <f>IFERROR(VLOOKUP(A228,'2018-19'!$A$6:$F$318,6,0),0)</f>
        <v>0</v>
      </c>
      <c r="L228" s="468">
        <f>IFERROR(VLOOKUP(A228,'2018-19'!$A$6:$D$318,4,0),0)</f>
        <v>397084.15</v>
      </c>
      <c r="M228" s="468">
        <f t="shared" si="27"/>
        <v>397084.15</v>
      </c>
      <c r="N228" s="382"/>
      <c r="O228" s="452">
        <v>28</v>
      </c>
      <c r="P228" s="387">
        <v>0</v>
      </c>
      <c r="Q228" s="387">
        <v>392357.39</v>
      </c>
      <c r="R228" s="387">
        <v>392357.39</v>
      </c>
      <c r="S228" s="382"/>
      <c r="T228" s="375">
        <f>VLOOKUP(A228,'Nov 2020 cc'!$B$3:$D$317,3,0)</f>
        <v>25</v>
      </c>
      <c r="U228" s="387">
        <v>0</v>
      </c>
      <c r="V228" s="387">
        <v>361955.72</v>
      </c>
      <c r="W228" s="387">
        <v>361955.72</v>
      </c>
      <c r="X228" s="382"/>
      <c r="Y228" s="375">
        <v>33</v>
      </c>
      <c r="Z228" s="413">
        <f>VLOOKUP(A228,'2021-22'!$A$6:$D$317,4,0)</f>
        <v>61193.95</v>
      </c>
      <c r="AA228" s="413">
        <f>VLOOKUP(A228,'2021-22'!$A$6:$E$317,5,0)</f>
        <v>279262.40999999997</v>
      </c>
      <c r="AB228" s="387">
        <f t="shared" ref="AB228:AB250" si="28">Z228+AA228</f>
        <v>340456.36</v>
      </c>
      <c r="AC228" s="382"/>
      <c r="AD228" s="416">
        <v>38</v>
      </c>
      <c r="AE228" s="413">
        <v>33542.019999999997</v>
      </c>
      <c r="AF228" s="413">
        <v>359813.07</v>
      </c>
      <c r="AG228" s="387">
        <f t="shared" ref="AG228:AG250" si="29">AE228+AF228</f>
        <v>393355.09</v>
      </c>
      <c r="AH228" s="557"/>
      <c r="AI228" s="387">
        <f>IFERROR(VLOOKUP(A228,'23-24 child count'!$C$4:$Y$317,23,0),0)</f>
        <v>44</v>
      </c>
      <c r="AJ228" s="387">
        <f>VLOOKUP(A228,'23-24 state &amp; local'!$A$5:$D$316,4,0)</f>
        <v>0</v>
      </c>
      <c r="AK228" s="387">
        <f>VLOOKUP(A228,'23-24 state &amp; local'!$A$5:$E$316,5,0)</f>
        <v>413908.36</v>
      </c>
      <c r="AL228" s="387">
        <f t="shared" si="25"/>
        <v>413908.36</v>
      </c>
      <c r="AM228" s="382"/>
    </row>
    <row r="229" spans="1:39" ht="15" hidden="1" x14ac:dyDescent="0.25">
      <c r="A229" s="375" t="s">
        <v>635</v>
      </c>
      <c r="B229" s="375" t="s">
        <v>194</v>
      </c>
      <c r="C229" s="448" t="s">
        <v>636</v>
      </c>
      <c r="E229" s="461">
        <v>242</v>
      </c>
      <c r="F229" s="468">
        <f>IFERROR(VLOOKUP(A229,'2017-18'!$A$6:$F$315,6,0),0)</f>
        <v>0</v>
      </c>
      <c r="G229" s="468">
        <f>IFERROR(VLOOKUP(A229,'2017-18'!$A$6:$D$315,4,0),0)</f>
        <v>1952497.88</v>
      </c>
      <c r="H229" s="468">
        <f t="shared" si="26"/>
        <v>1952497.88</v>
      </c>
      <c r="I229" s="382"/>
      <c r="J229" s="462">
        <v>229</v>
      </c>
      <c r="K229" s="468">
        <f>IFERROR(VLOOKUP(A229,'2018-19'!$A$6:$F$318,6,0),0)</f>
        <v>0</v>
      </c>
      <c r="L229" s="468">
        <f>IFERROR(VLOOKUP(A229,'2018-19'!$A$6:$D$318,4,0),0)</f>
        <v>2070853.28</v>
      </c>
      <c r="M229" s="468">
        <f t="shared" si="27"/>
        <v>2070853.28</v>
      </c>
      <c r="N229" s="382"/>
      <c r="O229" s="452">
        <v>238</v>
      </c>
      <c r="P229" s="387">
        <v>0</v>
      </c>
      <c r="Q229" s="387">
        <v>2190905.54</v>
      </c>
      <c r="R229" s="387">
        <v>2190905.54</v>
      </c>
      <c r="S229" s="382"/>
      <c r="T229" s="375">
        <f>VLOOKUP(A229,'Nov 2020 cc'!$B$3:$D$317,3,0)</f>
        <v>217</v>
      </c>
      <c r="U229" s="387">
        <v>0</v>
      </c>
      <c r="V229" s="387">
        <v>2072511.95</v>
      </c>
      <c r="W229" s="387">
        <v>2072511.95</v>
      </c>
      <c r="X229" s="382"/>
      <c r="Y229" s="375">
        <v>200</v>
      </c>
      <c r="Z229" s="413">
        <f>VLOOKUP(A229,'2021-22'!$A$6:$D$317,4,0)</f>
        <v>0</v>
      </c>
      <c r="AA229" s="413">
        <f>VLOOKUP(A229,'2021-22'!$A$6:$E$317,5,0)</f>
        <v>2101961.7200000002</v>
      </c>
      <c r="AB229" s="387">
        <f t="shared" si="28"/>
        <v>2101961.7200000002</v>
      </c>
      <c r="AC229" s="382"/>
      <c r="AD229" s="416">
        <v>224</v>
      </c>
      <c r="AE229" s="413">
        <v>0</v>
      </c>
      <c r="AF229" s="413">
        <v>2280171</v>
      </c>
      <c r="AG229" s="387">
        <f t="shared" si="29"/>
        <v>2280171</v>
      </c>
      <c r="AH229" s="557"/>
      <c r="AI229" s="387">
        <f>IFERROR(VLOOKUP(A229,'23-24 child count'!$C$4:$Y$317,23,0),0)</f>
        <v>222</v>
      </c>
      <c r="AJ229" s="387">
        <f>VLOOKUP(A229,'23-24 state &amp; local'!$A$5:$D$316,4,0)</f>
        <v>0</v>
      </c>
      <c r="AK229" s="387">
        <f>VLOOKUP(A229,'23-24 state &amp; local'!$A$5:$E$316,5,0)</f>
        <v>2364035.86</v>
      </c>
      <c r="AL229" s="387">
        <f t="shared" si="25"/>
        <v>2364035.86</v>
      </c>
      <c r="AM229" s="382"/>
    </row>
    <row r="230" spans="1:39" ht="15" hidden="1" x14ac:dyDescent="0.25">
      <c r="A230" s="375" t="s">
        <v>637</v>
      </c>
      <c r="B230" s="375" t="s">
        <v>205</v>
      </c>
      <c r="C230" s="448" t="s">
        <v>638</v>
      </c>
      <c r="E230" s="461">
        <v>344</v>
      </c>
      <c r="F230" s="468">
        <f>IFERROR(VLOOKUP(A230,'2017-18'!$A$6:$F$315,6,0),0)</f>
        <v>703183.44</v>
      </c>
      <c r="G230" s="468">
        <f>IFERROR(VLOOKUP(A230,'2017-18'!$A$6:$D$315,4,0),0)</f>
        <v>2758967.84</v>
      </c>
      <c r="H230" s="468">
        <f t="shared" si="26"/>
        <v>3462151.28</v>
      </c>
      <c r="I230" s="382"/>
      <c r="J230" s="462">
        <v>346</v>
      </c>
      <c r="K230" s="468">
        <f>IFERROR(VLOOKUP(A230,'2018-19'!$A$6:$F$318,6,0),0)</f>
        <v>593419.86</v>
      </c>
      <c r="L230" s="468">
        <f>IFERROR(VLOOKUP(A230,'2018-19'!$A$6:$D$318,4,0),0)</f>
        <v>3742849.59</v>
      </c>
      <c r="M230" s="468">
        <f t="shared" si="27"/>
        <v>4336269.45</v>
      </c>
      <c r="N230" s="382"/>
      <c r="O230" s="452">
        <v>353</v>
      </c>
      <c r="P230" s="387">
        <v>318991.34000000003</v>
      </c>
      <c r="Q230" s="387">
        <v>4330812.2699999996</v>
      </c>
      <c r="R230" s="387">
        <v>4649803.6099999994</v>
      </c>
      <c r="S230" s="382"/>
      <c r="T230" s="375">
        <f>VLOOKUP(A230,'Nov 2020 cc'!$B$3:$D$317,3,0)</f>
        <v>331</v>
      </c>
      <c r="U230" s="387">
        <v>257317.38</v>
      </c>
      <c r="V230" s="387">
        <v>4539421.53</v>
      </c>
      <c r="W230" s="387">
        <v>4796738.91</v>
      </c>
      <c r="X230" s="382"/>
      <c r="Y230" s="375">
        <v>332</v>
      </c>
      <c r="Z230" s="413">
        <f>VLOOKUP(A230,'2021-22'!$A$6:$D$317,4,0)</f>
        <v>768515.05</v>
      </c>
      <c r="AA230" s="413">
        <f>VLOOKUP(A230,'2021-22'!$A$6:$E$317,5,0)</f>
        <v>3949255.09</v>
      </c>
      <c r="AB230" s="387">
        <f t="shared" si="28"/>
        <v>4717770.1399999997</v>
      </c>
      <c r="AC230" s="382"/>
      <c r="AD230" s="416">
        <v>322</v>
      </c>
      <c r="AE230" s="413">
        <v>923904.73</v>
      </c>
      <c r="AF230" s="413">
        <v>4023894.73</v>
      </c>
      <c r="AG230" s="387">
        <f t="shared" si="29"/>
        <v>4947799.46</v>
      </c>
      <c r="AH230" s="557"/>
      <c r="AI230" s="387">
        <f>IFERROR(VLOOKUP(A230,'23-24 child count'!$C$4:$Y$317,23,0),0)</f>
        <v>327</v>
      </c>
      <c r="AJ230" s="387">
        <f>VLOOKUP(A230,'23-24 state &amp; local'!$A$5:$D$316,4,0)</f>
        <v>617202.39</v>
      </c>
      <c r="AK230" s="387">
        <f>VLOOKUP(A230,'23-24 state &amp; local'!$A$5:$E$316,5,0)</f>
        <v>5251701.93</v>
      </c>
      <c r="AL230" s="387">
        <f t="shared" si="25"/>
        <v>5868904.3199999994</v>
      </c>
      <c r="AM230" s="382"/>
    </row>
    <row r="231" spans="1:39" ht="15" hidden="1" x14ac:dyDescent="0.25">
      <c r="A231" s="375" t="s">
        <v>639</v>
      </c>
      <c r="B231" s="375" t="s">
        <v>189</v>
      </c>
      <c r="C231" s="448" t="s">
        <v>640</v>
      </c>
      <c r="E231" s="461">
        <v>374</v>
      </c>
      <c r="F231" s="468">
        <f>IFERROR(VLOOKUP(A231,'2017-18'!$A$6:$F$315,6,0),0)</f>
        <v>896009.05</v>
      </c>
      <c r="G231" s="468">
        <f>IFERROR(VLOOKUP(A231,'2017-18'!$A$6:$D$315,4,0),0)</f>
        <v>2897672.62</v>
      </c>
      <c r="H231" s="468">
        <f t="shared" si="26"/>
        <v>3793681.67</v>
      </c>
      <c r="I231" s="382"/>
      <c r="J231" s="462">
        <v>344</v>
      </c>
      <c r="K231" s="468">
        <f>IFERROR(VLOOKUP(A231,'2018-19'!$A$6:$F$318,6,0),0)</f>
        <v>879743.09</v>
      </c>
      <c r="L231" s="468">
        <f>IFERROR(VLOOKUP(A231,'2018-19'!$A$6:$D$318,4,0),0)</f>
        <v>3381831.53</v>
      </c>
      <c r="M231" s="468">
        <f t="shared" si="27"/>
        <v>4261574.62</v>
      </c>
      <c r="N231" s="382"/>
      <c r="O231" s="452">
        <v>326</v>
      </c>
      <c r="P231" s="387">
        <v>908284.07</v>
      </c>
      <c r="Q231" s="387">
        <v>3657352.11</v>
      </c>
      <c r="R231" s="387">
        <v>4565636.18</v>
      </c>
      <c r="S231" s="382"/>
      <c r="T231" s="375">
        <f>VLOOKUP(A231,'Nov 2020 cc'!$B$3:$D$317,3,0)</f>
        <v>312</v>
      </c>
      <c r="U231" s="387">
        <v>1062118.3999999999</v>
      </c>
      <c r="V231" s="387">
        <v>3551108.5</v>
      </c>
      <c r="W231" s="387">
        <v>4613226.9000000004</v>
      </c>
      <c r="X231" s="382"/>
      <c r="Y231" s="375">
        <v>284</v>
      </c>
      <c r="Z231" s="413">
        <f>VLOOKUP(A231,'2021-22'!$A$6:$D$317,4,0)</f>
        <v>1150294.48</v>
      </c>
      <c r="AA231" s="413">
        <f>VLOOKUP(A231,'2021-22'!$A$6:$E$317,5,0)</f>
        <v>3379051.67</v>
      </c>
      <c r="AB231" s="387">
        <f t="shared" si="28"/>
        <v>4529346.1500000004</v>
      </c>
      <c r="AC231" s="382"/>
      <c r="AD231" s="416">
        <v>308</v>
      </c>
      <c r="AE231" s="413">
        <v>1539246.63</v>
      </c>
      <c r="AF231" s="413">
        <v>3899200.11</v>
      </c>
      <c r="AG231" s="387">
        <f t="shared" si="29"/>
        <v>5438446.7400000002</v>
      </c>
      <c r="AH231" s="557"/>
      <c r="AI231" s="387">
        <f>IFERROR(VLOOKUP(A231,'23-24 child count'!$C$4:$Y$317,23,0),0)</f>
        <v>335</v>
      </c>
      <c r="AJ231" s="387">
        <f>VLOOKUP(A231,'23-24 state &amp; local'!$A$5:$D$316,4,0)</f>
        <v>668078.65</v>
      </c>
      <c r="AK231" s="387">
        <f>VLOOKUP(A231,'23-24 state &amp; local'!$A$5:$E$316,5,0)</f>
        <v>4770370.0599999996</v>
      </c>
      <c r="AL231" s="387">
        <f t="shared" si="25"/>
        <v>5438448.71</v>
      </c>
      <c r="AM231" s="382"/>
    </row>
    <row r="232" spans="1:39" ht="15" hidden="1" x14ac:dyDescent="0.25">
      <c r="A232" s="375" t="s">
        <v>641</v>
      </c>
      <c r="B232" s="375" t="s">
        <v>210</v>
      </c>
      <c r="C232" s="448" t="s">
        <v>642</v>
      </c>
      <c r="D232" s="375" t="s">
        <v>819</v>
      </c>
      <c r="E232" s="461">
        <v>0</v>
      </c>
      <c r="F232" s="468">
        <f>IFERROR(VLOOKUP(A232,'2017-18'!$A$6:$F$315,6,0),0)</f>
        <v>0</v>
      </c>
      <c r="G232" s="468">
        <f>IFERROR(VLOOKUP(A232,'2017-18'!$A$6:$D$315,4,0),0)</f>
        <v>4948.08</v>
      </c>
      <c r="H232" s="468">
        <f t="shared" si="26"/>
        <v>4948.08</v>
      </c>
      <c r="I232" s="382"/>
      <c r="J232" s="462">
        <v>2</v>
      </c>
      <c r="K232" s="468">
        <f>IFERROR(VLOOKUP(A232,'2018-19'!$A$6:$F$318,6,0),0)</f>
        <v>0</v>
      </c>
      <c r="L232" s="468">
        <f>IFERROR(VLOOKUP(A232,'2018-19'!$A$6:$D$318,4,0),0)</f>
        <v>26865.98</v>
      </c>
      <c r="M232" s="468">
        <f t="shared" si="27"/>
        <v>26865.98</v>
      </c>
      <c r="N232" s="382"/>
      <c r="O232" s="452">
        <v>4</v>
      </c>
      <c r="P232" s="387">
        <v>0</v>
      </c>
      <c r="Q232" s="387">
        <v>36671.83</v>
      </c>
      <c r="R232" s="387">
        <v>36671.83</v>
      </c>
      <c r="S232" s="382"/>
      <c r="T232" s="375">
        <f>VLOOKUP(A232,'Nov 2020 cc'!$B$3:$D$317,3,0)</f>
        <v>6</v>
      </c>
      <c r="U232" s="387">
        <v>0</v>
      </c>
      <c r="V232" s="387">
        <v>61134.8</v>
      </c>
      <c r="W232" s="387">
        <v>61134.8</v>
      </c>
      <c r="X232" s="382"/>
      <c r="Y232" s="375">
        <v>5</v>
      </c>
      <c r="Z232" s="413">
        <f>VLOOKUP(A232,'2021-22'!$A$6:$D$317,4,0)</f>
        <v>0</v>
      </c>
      <c r="AA232" s="413">
        <f>VLOOKUP(A232,'2021-22'!$A$6:$E$317,5,0)</f>
        <v>52937.56</v>
      </c>
      <c r="AB232" s="387">
        <f t="shared" si="28"/>
        <v>52937.56</v>
      </c>
      <c r="AC232" s="382"/>
      <c r="AD232" s="416">
        <v>2</v>
      </c>
      <c r="AE232" s="413">
        <v>0</v>
      </c>
      <c r="AF232" s="413">
        <v>25721.1</v>
      </c>
      <c r="AG232" s="387">
        <f t="shared" si="29"/>
        <v>25721.1</v>
      </c>
      <c r="AH232" s="557"/>
      <c r="AI232" s="387">
        <f>IFERROR(VLOOKUP(A232,'23-24 child count'!$C$4:$Y$317,23,0),0)</f>
        <v>3</v>
      </c>
      <c r="AJ232" s="387">
        <f>VLOOKUP(A232,'23-24 state &amp; local'!$A$5:$D$316,4,0)</f>
        <v>0</v>
      </c>
      <c r="AK232" s="387">
        <f>VLOOKUP(A232,'23-24 state &amp; local'!$A$5:$E$316,5,0)</f>
        <v>42713.14</v>
      </c>
      <c r="AL232" s="387">
        <f t="shared" si="25"/>
        <v>42713.14</v>
      </c>
      <c r="AM232" s="382"/>
    </row>
    <row r="233" spans="1:39" ht="15" hidden="1" x14ac:dyDescent="0.25">
      <c r="A233" s="573" t="s">
        <v>1474</v>
      </c>
      <c r="C233" s="448" t="s">
        <v>1489</v>
      </c>
      <c r="D233" s="375" t="s">
        <v>1157</v>
      </c>
      <c r="E233" s="461"/>
      <c r="F233" s="468"/>
      <c r="G233" s="468"/>
      <c r="H233" s="468"/>
      <c r="I233" s="382"/>
      <c r="J233" s="462"/>
      <c r="K233" s="468"/>
      <c r="L233" s="468"/>
      <c r="M233" s="468"/>
      <c r="N233" s="382"/>
      <c r="S233" s="382"/>
      <c r="X233" s="382"/>
      <c r="Z233" s="413"/>
      <c r="AA233" s="413"/>
      <c r="AC233" s="382"/>
      <c r="AD233" s="416"/>
      <c r="AE233" s="413"/>
      <c r="AF233" s="413"/>
      <c r="AH233" s="557"/>
      <c r="AI233" s="387">
        <f>IFERROR(VLOOKUP(A233,'23-24 child count'!$C$4:$Y$317,23,0),0)</f>
        <v>11</v>
      </c>
      <c r="AJ233" s="387">
        <f>VLOOKUP(A233,'23-24 state &amp; local'!$A$5:$D$316,4,0)</f>
        <v>0</v>
      </c>
      <c r="AK233" s="387">
        <f>VLOOKUP(A233,'23-24 state &amp; local'!$A$5:$E$316,5,0)</f>
        <v>202420.04</v>
      </c>
      <c r="AL233" s="387">
        <f t="shared" si="25"/>
        <v>202420.04</v>
      </c>
      <c r="AM233" s="382"/>
    </row>
    <row r="234" spans="1:39" ht="15" hidden="1" x14ac:dyDescent="0.25">
      <c r="A234" s="375" t="s">
        <v>643</v>
      </c>
      <c r="B234" s="375" t="s">
        <v>194</v>
      </c>
      <c r="C234" s="448" t="s">
        <v>644</v>
      </c>
      <c r="E234" s="461">
        <v>23</v>
      </c>
      <c r="F234" s="468">
        <f>IFERROR(VLOOKUP(A234,'2017-18'!$A$6:$F$315,6,0),0)</f>
        <v>1587.16</v>
      </c>
      <c r="G234" s="468">
        <f>IFERROR(VLOOKUP(A234,'2017-18'!$A$6:$D$315,4,0),0)</f>
        <v>184929</v>
      </c>
      <c r="H234" s="468">
        <f t="shared" si="26"/>
        <v>186516.16</v>
      </c>
      <c r="I234" s="382"/>
      <c r="J234" s="462">
        <v>32</v>
      </c>
      <c r="K234" s="468">
        <f>IFERROR(VLOOKUP(A234,'2018-19'!$A$6:$F$318,6,0),0)</f>
        <v>0</v>
      </c>
      <c r="L234" s="468">
        <f>IFERROR(VLOOKUP(A234,'2018-19'!$A$6:$D$318,4,0),0)</f>
        <v>233974.84</v>
      </c>
      <c r="M234" s="468">
        <f t="shared" si="27"/>
        <v>233974.84</v>
      </c>
      <c r="N234" s="382"/>
      <c r="O234" s="452">
        <v>40</v>
      </c>
      <c r="P234" s="387">
        <v>21322.41</v>
      </c>
      <c r="Q234" s="387">
        <v>231820.27</v>
      </c>
      <c r="R234" s="387">
        <v>253142.68</v>
      </c>
      <c r="S234" s="382"/>
      <c r="T234" s="375">
        <f>VLOOKUP(A234,'Nov 2020 cc'!$B$3:$D$317,3,0)</f>
        <v>26</v>
      </c>
      <c r="U234" s="387">
        <v>0</v>
      </c>
      <c r="V234" s="387">
        <v>244739.59</v>
      </c>
      <c r="W234" s="387">
        <v>244739.59</v>
      </c>
      <c r="X234" s="382"/>
      <c r="Y234" s="375">
        <v>18</v>
      </c>
      <c r="Z234" s="413">
        <f>VLOOKUP(A234,'2021-22'!$A$6:$D$317,4,0)</f>
        <v>0</v>
      </c>
      <c r="AA234" s="413">
        <f>VLOOKUP(A234,'2021-22'!$A$6:$E$317,5,0)</f>
        <v>251143.99</v>
      </c>
      <c r="AB234" s="387">
        <f t="shared" si="28"/>
        <v>251143.99</v>
      </c>
      <c r="AC234" s="382"/>
      <c r="AD234" s="416">
        <v>21</v>
      </c>
      <c r="AE234" s="413">
        <v>0</v>
      </c>
      <c r="AF234" s="413">
        <v>273831.95</v>
      </c>
      <c r="AG234" s="387">
        <f t="shared" si="29"/>
        <v>273831.95</v>
      </c>
      <c r="AH234" s="557"/>
      <c r="AI234" s="387">
        <f>IFERROR(VLOOKUP(A234,'23-24 child count'!$C$4:$Y$317,23,0),0)</f>
        <v>30</v>
      </c>
      <c r="AJ234" s="387">
        <f>VLOOKUP(A234,'23-24 state &amp; local'!$A$5:$D$316,4,0)</f>
        <v>0</v>
      </c>
      <c r="AK234" s="387">
        <f>VLOOKUP(A234,'23-24 state &amp; local'!$A$5:$E$316,5,0)</f>
        <v>310133.48</v>
      </c>
      <c r="AL234" s="387">
        <f t="shared" si="25"/>
        <v>310133.48</v>
      </c>
      <c r="AM234" s="382"/>
    </row>
    <row r="235" spans="1:39" ht="15" hidden="1" x14ac:dyDescent="0.25">
      <c r="A235" s="375" t="s">
        <v>645</v>
      </c>
      <c r="B235" s="375" t="s">
        <v>221</v>
      </c>
      <c r="C235" s="448" t="s">
        <v>646</v>
      </c>
      <c r="E235" s="461">
        <v>166</v>
      </c>
      <c r="F235" s="468">
        <f>IFERROR(VLOOKUP(A235,'2017-18'!$A$6:$F$315,6,0),0)</f>
        <v>0</v>
      </c>
      <c r="G235" s="468">
        <f>IFERROR(VLOOKUP(A235,'2017-18'!$A$6:$D$315,4,0),0)</f>
        <v>1210665.28</v>
      </c>
      <c r="H235" s="468">
        <f t="shared" si="26"/>
        <v>1210665.28</v>
      </c>
      <c r="I235" s="382"/>
      <c r="J235" s="462">
        <v>162</v>
      </c>
      <c r="K235" s="468">
        <f>IFERROR(VLOOKUP(A235,'2018-19'!$A$6:$F$318,6,0),0)</f>
        <v>0</v>
      </c>
      <c r="L235" s="468">
        <f>IFERROR(VLOOKUP(A235,'2018-19'!$A$6:$D$318,4,0),0)</f>
        <v>1538697.69</v>
      </c>
      <c r="M235" s="468">
        <f t="shared" si="27"/>
        <v>1538697.69</v>
      </c>
      <c r="N235" s="382"/>
      <c r="O235" s="452">
        <v>196</v>
      </c>
      <c r="P235" s="387">
        <v>0</v>
      </c>
      <c r="Q235" s="387">
        <v>1874978.71</v>
      </c>
      <c r="R235" s="387">
        <v>1874978.71</v>
      </c>
      <c r="S235" s="382"/>
      <c r="T235" s="375">
        <f>VLOOKUP(A235,'Nov 2020 cc'!$B$3:$D$317,3,0)</f>
        <v>234</v>
      </c>
      <c r="U235" s="387">
        <v>0</v>
      </c>
      <c r="V235" s="387">
        <v>2217358.44</v>
      </c>
      <c r="W235" s="387">
        <v>2217358.44</v>
      </c>
      <c r="X235" s="382"/>
      <c r="Y235" s="375">
        <v>246</v>
      </c>
      <c r="Z235" s="413">
        <f>VLOOKUP(A235,'2021-22'!$A$6:$D$317,4,0)</f>
        <v>0</v>
      </c>
      <c r="AA235" s="413">
        <f>VLOOKUP(A235,'2021-22'!$A$6:$E$317,5,0)</f>
        <v>2139684.0499999998</v>
      </c>
      <c r="AB235" s="387">
        <f t="shared" si="28"/>
        <v>2139684.0499999998</v>
      </c>
      <c r="AC235" s="382"/>
      <c r="AD235" s="416">
        <v>230</v>
      </c>
      <c r="AE235" s="413">
        <v>0</v>
      </c>
      <c r="AF235" s="413">
        <v>2255687.86</v>
      </c>
      <c r="AG235" s="387">
        <f t="shared" si="29"/>
        <v>2255687.86</v>
      </c>
      <c r="AH235" s="557"/>
      <c r="AI235" s="387">
        <f>IFERROR(VLOOKUP(A235,'23-24 child count'!$C$4:$Y$317,23,0),0)</f>
        <v>223</v>
      </c>
      <c r="AJ235" s="387">
        <f>VLOOKUP(A235,'23-24 state &amp; local'!$A$5:$D$316,4,0)</f>
        <v>0</v>
      </c>
      <c r="AK235" s="387">
        <f>VLOOKUP(A235,'23-24 state &amp; local'!$A$5:$E$316,5,0)</f>
        <v>2396122.65</v>
      </c>
      <c r="AL235" s="387">
        <f t="shared" si="25"/>
        <v>2396122.65</v>
      </c>
      <c r="AM235" s="382"/>
    </row>
    <row r="236" spans="1:39" ht="15" hidden="1" x14ac:dyDescent="0.25">
      <c r="A236" s="375" t="s">
        <v>647</v>
      </c>
      <c r="B236" s="375" t="s">
        <v>197</v>
      </c>
      <c r="C236" s="448" t="s">
        <v>1202</v>
      </c>
      <c r="E236" s="461">
        <v>115</v>
      </c>
      <c r="F236" s="468">
        <f>IFERROR(VLOOKUP(A236,'2017-18'!$A$6:$F$315,6,0),0)</f>
        <v>0</v>
      </c>
      <c r="G236" s="468">
        <f>IFERROR(VLOOKUP(A236,'2017-18'!$A$6:$D$315,4,0),0)</f>
        <v>1229935.5900000001</v>
      </c>
      <c r="H236" s="468">
        <f t="shared" si="26"/>
        <v>1229935.5900000001</v>
      </c>
      <c r="I236" s="382"/>
      <c r="J236" s="462">
        <v>117</v>
      </c>
      <c r="K236" s="468">
        <f>IFERROR(VLOOKUP(A236,'2018-19'!$A$6:$F$318,6,0),0)</f>
        <v>2810.37</v>
      </c>
      <c r="L236" s="468">
        <f>IFERROR(VLOOKUP(A236,'2018-19'!$A$6:$D$318,4,0),0)</f>
        <v>1426242.15</v>
      </c>
      <c r="M236" s="468">
        <f t="shared" si="27"/>
        <v>1429052.52</v>
      </c>
      <c r="N236" s="382"/>
      <c r="O236" s="452">
        <v>135</v>
      </c>
      <c r="P236" s="387">
        <v>3871</v>
      </c>
      <c r="Q236" s="387">
        <v>1875954.36</v>
      </c>
      <c r="R236" s="387">
        <v>1879825.36</v>
      </c>
      <c r="S236" s="382"/>
      <c r="T236" s="375">
        <f>VLOOKUP(A236,'Nov 2020 cc'!$B$3:$D$317,3,0)</f>
        <v>151</v>
      </c>
      <c r="U236" s="387">
        <v>4503.3999999999996</v>
      </c>
      <c r="V236" s="387">
        <v>1940040.6</v>
      </c>
      <c r="W236" s="387">
        <v>1944544</v>
      </c>
      <c r="X236" s="382"/>
      <c r="Y236" s="375">
        <v>143</v>
      </c>
      <c r="Z236" s="413">
        <f>VLOOKUP(A236,'2021-22'!$A$6:$D$317,4,0)</f>
        <v>2616.4499999999998</v>
      </c>
      <c r="AA236" s="413">
        <f>VLOOKUP(A236,'2021-22'!$A$6:$E$317,5,0)</f>
        <v>1871069.13</v>
      </c>
      <c r="AB236" s="387">
        <f t="shared" si="28"/>
        <v>1873685.5799999998</v>
      </c>
      <c r="AC236" s="382"/>
      <c r="AD236" s="416">
        <v>143</v>
      </c>
      <c r="AE236" s="413">
        <v>101784.69</v>
      </c>
      <c r="AF236" s="413">
        <v>2178455.9500000002</v>
      </c>
      <c r="AG236" s="387">
        <f t="shared" si="29"/>
        <v>2280240.64</v>
      </c>
      <c r="AH236" s="557"/>
      <c r="AI236" s="387">
        <f>IFERROR(VLOOKUP(A236,'23-24 child count'!$C$4:$Y$317,23,0),0)</f>
        <v>141</v>
      </c>
      <c r="AJ236" s="387">
        <f>VLOOKUP(A236,'23-24 state &amp; local'!$A$5:$D$316,4,0)</f>
        <v>74364.52</v>
      </c>
      <c r="AK236" s="387">
        <f>VLOOKUP(A236,'23-24 state &amp; local'!$A$5:$E$316,5,0)</f>
        <v>2257811.6</v>
      </c>
      <c r="AL236" s="387">
        <f t="shared" si="25"/>
        <v>2332176.12</v>
      </c>
      <c r="AM236" s="382"/>
    </row>
    <row r="237" spans="1:39" ht="15" hidden="1" x14ac:dyDescent="0.25">
      <c r="A237" s="375" t="s">
        <v>649</v>
      </c>
      <c r="B237" s="375" t="s">
        <v>189</v>
      </c>
      <c r="C237" s="448" t="s">
        <v>650</v>
      </c>
      <c r="E237" s="461">
        <v>9</v>
      </c>
      <c r="F237" s="468">
        <f>IFERROR(VLOOKUP(A237,'2017-18'!$A$6:$F$315,6,0),0)</f>
        <v>10640.33</v>
      </c>
      <c r="G237" s="468">
        <f>IFERROR(VLOOKUP(A237,'2017-18'!$A$6:$D$315,4,0),0)</f>
        <v>77826.34</v>
      </c>
      <c r="H237" s="468">
        <f t="shared" si="26"/>
        <v>88466.67</v>
      </c>
      <c r="I237" s="382"/>
      <c r="J237" s="462">
        <v>8</v>
      </c>
      <c r="K237" s="468">
        <f>IFERROR(VLOOKUP(A237,'2018-19'!$A$6:$F$318,6,0),0)</f>
        <v>32273.27</v>
      </c>
      <c r="L237" s="468">
        <f>IFERROR(VLOOKUP(A237,'2018-19'!$A$6:$D$318,4,0),0)</f>
        <v>65904.39</v>
      </c>
      <c r="M237" s="468">
        <f t="shared" si="27"/>
        <v>98177.66</v>
      </c>
      <c r="N237" s="382"/>
      <c r="O237" s="452">
        <v>12</v>
      </c>
      <c r="P237" s="387">
        <v>0</v>
      </c>
      <c r="Q237" s="387">
        <v>110755.71</v>
      </c>
      <c r="R237" s="387">
        <v>110755.71</v>
      </c>
      <c r="S237" s="382"/>
      <c r="T237" s="375">
        <f>VLOOKUP(A237,'Nov 2020 cc'!$B$3:$D$317,3,0)</f>
        <v>9</v>
      </c>
      <c r="U237" s="387">
        <v>0</v>
      </c>
      <c r="V237" s="387">
        <v>108169.74</v>
      </c>
      <c r="W237" s="387">
        <v>108169.74</v>
      </c>
      <c r="X237" s="382"/>
      <c r="Y237" s="375">
        <v>9</v>
      </c>
      <c r="Z237" s="413">
        <f>VLOOKUP(A237,'2021-22'!$A$6:$D$317,4,0)</f>
        <v>0</v>
      </c>
      <c r="AA237" s="413">
        <f>VLOOKUP(A237,'2021-22'!$A$6:$E$317,5,0)</f>
        <v>88341.9</v>
      </c>
      <c r="AB237" s="387">
        <f t="shared" si="28"/>
        <v>88341.9</v>
      </c>
      <c r="AC237" s="382"/>
      <c r="AD237" s="416">
        <v>10</v>
      </c>
      <c r="AE237" s="413">
        <v>0</v>
      </c>
      <c r="AF237" s="413">
        <v>139182.47</v>
      </c>
      <c r="AG237" s="387">
        <f t="shared" si="29"/>
        <v>139182.47</v>
      </c>
      <c r="AH237" s="557"/>
      <c r="AI237" s="387">
        <f>IFERROR(VLOOKUP(A237,'23-24 child count'!$C$4:$Y$317,23,0),0)</f>
        <v>11</v>
      </c>
      <c r="AJ237" s="387">
        <f>VLOOKUP(A237,'23-24 state &amp; local'!$A$5:$D$316,4,0)</f>
        <v>0</v>
      </c>
      <c r="AK237" s="387">
        <f>VLOOKUP(A237,'23-24 state &amp; local'!$A$5:$E$316,5,0)</f>
        <v>105368.75</v>
      </c>
      <c r="AL237" s="387">
        <f t="shared" si="25"/>
        <v>105368.75</v>
      </c>
      <c r="AM237" s="382"/>
    </row>
    <row r="238" spans="1:39" ht="15.75" thickBot="1" x14ac:dyDescent="0.3">
      <c r="A238" s="375" t="s">
        <v>655</v>
      </c>
      <c r="B238" s="375" t="s">
        <v>205</v>
      </c>
      <c r="C238" s="448" t="s">
        <v>656</v>
      </c>
      <c r="E238" s="461">
        <v>7133</v>
      </c>
      <c r="F238" s="468">
        <f>IFERROR(VLOOKUP(A238,'2017-18'!$A$6:$F$315,6,0),0)</f>
        <v>66978888.869999997</v>
      </c>
      <c r="G238" s="468">
        <f>IFERROR(VLOOKUP(A238,'2017-18'!$A$6:$D$315,4,0),0)</f>
        <v>63483983.68</v>
      </c>
      <c r="H238" s="468">
        <f t="shared" si="26"/>
        <v>130462872.55</v>
      </c>
      <c r="I238" s="382"/>
      <c r="J238" s="462">
        <v>7384</v>
      </c>
      <c r="K238" s="468">
        <f>IFERROR(VLOOKUP(A238,'2018-19'!$A$6:$F$318,6,0),0)</f>
        <v>63986137.909999996</v>
      </c>
      <c r="L238" s="468">
        <f>IFERROR(VLOOKUP(A238,'2018-19'!$A$6:$D$318,4,0),0)</f>
        <v>88233419.870000005</v>
      </c>
      <c r="M238" s="468">
        <f t="shared" si="27"/>
        <v>152219557.78</v>
      </c>
      <c r="N238" s="382"/>
      <c r="O238" s="452">
        <v>7805</v>
      </c>
      <c r="P238" s="387">
        <v>71033511.829999998</v>
      </c>
      <c r="Q238" s="387">
        <v>96119339.459999993</v>
      </c>
      <c r="R238" s="387">
        <v>167152851.28999999</v>
      </c>
      <c r="S238" s="382"/>
      <c r="T238" s="375">
        <f>VLOOKUP(A238,'Nov 2020 cc'!$B$3:$D$317,3,0)</f>
        <v>7329</v>
      </c>
      <c r="U238" s="387">
        <v>78381326.969999999</v>
      </c>
      <c r="V238" s="387">
        <v>94735663.989999995</v>
      </c>
      <c r="W238" s="387">
        <v>173116990.95999998</v>
      </c>
      <c r="X238" s="382"/>
      <c r="Y238" s="375">
        <v>7099</v>
      </c>
      <c r="Z238" s="413">
        <f>VLOOKUP(A238,'2021-22'!$A$6:$D$317,4,0)</f>
        <v>78213770.769999996</v>
      </c>
      <c r="AA238" s="413">
        <f>VLOOKUP(A238,'2021-22'!$A$6:$E$317,5,0)</f>
        <v>95826689.569999993</v>
      </c>
      <c r="AB238" s="387">
        <f t="shared" si="28"/>
        <v>174040460.33999997</v>
      </c>
      <c r="AC238" s="382"/>
      <c r="AD238" s="416">
        <v>7433</v>
      </c>
      <c r="AE238" s="413">
        <v>41052490.939999998</v>
      </c>
      <c r="AF238" s="413">
        <v>154193463.15000001</v>
      </c>
      <c r="AG238" s="387">
        <f t="shared" si="29"/>
        <v>195245954.09</v>
      </c>
      <c r="AH238" s="557"/>
      <c r="AI238" s="387">
        <f>IFERROR(VLOOKUP(A238,'23-24 child count'!$C$4:$Y$317,23,0),0)</f>
        <v>7957</v>
      </c>
      <c r="AJ238" s="387">
        <f>VLOOKUP(A238,'23-24 state &amp; local'!$A$5:$D$316,4,0)</f>
        <v>91383948.079999998</v>
      </c>
      <c r="AK238" s="387">
        <f>VLOOKUP(A238,'23-24 state &amp; local'!$A$5:$E$316,5,0)</f>
        <v>137667021.94999999</v>
      </c>
      <c r="AL238" s="387">
        <f t="shared" si="25"/>
        <v>229050970.02999997</v>
      </c>
      <c r="AM238" s="382"/>
    </row>
    <row r="239" spans="1:39" ht="15.75" hidden="1" thickBot="1" x14ac:dyDescent="0.3">
      <c r="A239" s="375" t="s">
        <v>657</v>
      </c>
      <c r="B239" s="375" t="s">
        <v>197</v>
      </c>
      <c r="C239" s="448" t="s">
        <v>1203</v>
      </c>
      <c r="E239" s="461">
        <v>714</v>
      </c>
      <c r="F239" s="468">
        <f>IFERROR(VLOOKUP(A239,'2017-18'!$A$6:$F$315,6,0),0)</f>
        <v>63556.46</v>
      </c>
      <c r="G239" s="468">
        <f>IFERROR(VLOOKUP(A239,'2017-18'!$A$6:$D$315,4,0),0)</f>
        <v>8447362.9499999993</v>
      </c>
      <c r="H239" s="468">
        <f t="shared" si="26"/>
        <v>8510919.4100000001</v>
      </c>
      <c r="I239" s="382"/>
      <c r="J239" s="462">
        <v>786</v>
      </c>
      <c r="K239" s="468">
        <f>IFERROR(VLOOKUP(A239,'2018-19'!$A$6:$F$318,6,0),0)</f>
        <v>151183.04000000001</v>
      </c>
      <c r="L239" s="468">
        <f>IFERROR(VLOOKUP(A239,'2018-19'!$A$6:$D$318,4,0),0)</f>
        <v>10818055.59</v>
      </c>
      <c r="M239" s="468">
        <f t="shared" si="27"/>
        <v>10969238.629999999</v>
      </c>
      <c r="N239" s="382"/>
      <c r="O239" s="452">
        <v>799</v>
      </c>
      <c r="P239" s="387">
        <v>136488.93</v>
      </c>
      <c r="Q239" s="387">
        <v>11413568.34</v>
      </c>
      <c r="R239" s="387">
        <v>11550057.27</v>
      </c>
      <c r="S239" s="382"/>
      <c r="T239" s="375">
        <f>VLOOKUP(A239,'Nov 2020 cc'!$B$3:$D$317,3,0)</f>
        <v>763</v>
      </c>
      <c r="U239" s="387">
        <v>199525.68</v>
      </c>
      <c r="V239" s="387">
        <v>11442858.039999999</v>
      </c>
      <c r="W239" s="387">
        <v>11642383.719999999</v>
      </c>
      <c r="X239" s="382"/>
      <c r="Y239" s="375">
        <v>804</v>
      </c>
      <c r="Z239" s="413">
        <f>VLOOKUP(A239,'2021-22'!$A$6:$D$317,4,0)</f>
        <v>162845.68</v>
      </c>
      <c r="AA239" s="413">
        <f>VLOOKUP(A239,'2021-22'!$A$6:$E$317,5,0)</f>
        <v>12015127.25</v>
      </c>
      <c r="AB239" s="387">
        <f t="shared" si="28"/>
        <v>12177972.93</v>
      </c>
      <c r="AC239" s="382"/>
      <c r="AD239" s="416">
        <v>774</v>
      </c>
      <c r="AE239" s="413">
        <v>0</v>
      </c>
      <c r="AF239" s="413">
        <v>12651713.470000001</v>
      </c>
      <c r="AG239" s="387">
        <f t="shared" si="29"/>
        <v>12651713.470000001</v>
      </c>
      <c r="AH239" s="557"/>
      <c r="AI239" s="387">
        <f>IFERROR(VLOOKUP(A239,'23-24 child count'!$C$4:$Y$317,23,0),0)</f>
        <v>808</v>
      </c>
      <c r="AJ239" s="387">
        <f>VLOOKUP(A239,'23-24 state &amp; local'!$A$5:$D$316,4,0)</f>
        <v>0</v>
      </c>
      <c r="AK239" s="387">
        <f>VLOOKUP(A239,'23-24 state &amp; local'!$A$5:$E$316,5,0)</f>
        <v>14119152.710000001</v>
      </c>
      <c r="AL239" s="387">
        <f t="shared" si="25"/>
        <v>14119152.710000001</v>
      </c>
      <c r="AM239" s="382"/>
    </row>
    <row r="240" spans="1:39" ht="15.75" hidden="1" thickBot="1" x14ac:dyDescent="0.3">
      <c r="A240" s="375" t="s">
        <v>659</v>
      </c>
      <c r="B240" s="375" t="s">
        <v>221</v>
      </c>
      <c r="C240" s="448" t="s">
        <v>660</v>
      </c>
      <c r="E240" s="461">
        <v>472</v>
      </c>
      <c r="F240" s="468">
        <f>IFERROR(VLOOKUP(A240,'2017-18'!$A$6:$F$315,6,0),0)</f>
        <v>0</v>
      </c>
      <c r="G240" s="468">
        <f>IFERROR(VLOOKUP(A240,'2017-18'!$A$6:$D$315,4,0),0)</f>
        <v>3857296.91</v>
      </c>
      <c r="H240" s="468">
        <f t="shared" si="26"/>
        <v>3857296.91</v>
      </c>
      <c r="I240" s="382"/>
      <c r="J240" s="462">
        <v>479</v>
      </c>
      <c r="K240" s="468">
        <f>IFERROR(VLOOKUP(A240,'2018-19'!$A$6:$F$318,6,0),0)</f>
        <v>0</v>
      </c>
      <c r="L240" s="468">
        <f>IFERROR(VLOOKUP(A240,'2018-19'!$A$6:$D$318,4,0),0)</f>
        <v>4528701.5</v>
      </c>
      <c r="M240" s="468">
        <f t="shared" si="27"/>
        <v>4528701.5</v>
      </c>
      <c r="N240" s="382"/>
      <c r="O240" s="452">
        <v>506</v>
      </c>
      <c r="P240" s="387">
        <v>0</v>
      </c>
      <c r="Q240" s="387">
        <v>5076044.2699999996</v>
      </c>
      <c r="R240" s="387">
        <v>5076044.2699999996</v>
      </c>
      <c r="S240" s="382"/>
      <c r="T240" s="375">
        <f>VLOOKUP(A240,'Nov 2020 cc'!$B$3:$D$317,3,0)</f>
        <v>462</v>
      </c>
      <c r="U240" s="387">
        <v>0</v>
      </c>
      <c r="V240" s="387">
        <v>4954076.6100000003</v>
      </c>
      <c r="W240" s="387">
        <v>4954076.6100000003</v>
      </c>
      <c r="X240" s="382"/>
      <c r="Y240" s="375">
        <v>468</v>
      </c>
      <c r="Z240" s="413">
        <f>VLOOKUP(A240,'2021-22'!$A$6:$D$317,4,0)</f>
        <v>0</v>
      </c>
      <c r="AA240" s="413">
        <f>VLOOKUP(A240,'2021-22'!$A$6:$E$317,5,0)</f>
        <v>5091657.2300000004</v>
      </c>
      <c r="AB240" s="387">
        <f t="shared" si="28"/>
        <v>5091657.2300000004</v>
      </c>
      <c r="AC240" s="382"/>
      <c r="AD240" s="416">
        <v>480</v>
      </c>
      <c r="AE240" s="413">
        <v>0</v>
      </c>
      <c r="AF240" s="413">
        <v>4894834.59</v>
      </c>
      <c r="AG240" s="387">
        <f t="shared" si="29"/>
        <v>4894834.59</v>
      </c>
      <c r="AH240" s="557"/>
      <c r="AI240" s="387">
        <f>IFERROR(VLOOKUP(A240,'23-24 child count'!$C$4:$Y$317,23,0),0)</f>
        <v>495</v>
      </c>
      <c r="AJ240" s="387">
        <f>VLOOKUP(A240,'23-24 state &amp; local'!$A$5:$D$316,4,0)</f>
        <v>0</v>
      </c>
      <c r="AK240" s="387">
        <f>VLOOKUP(A240,'23-24 state &amp; local'!$A$5:$E$316,5,0)</f>
        <v>5666515.79</v>
      </c>
      <c r="AL240" s="387">
        <f t="shared" si="25"/>
        <v>5666515.79</v>
      </c>
      <c r="AM240" s="382"/>
    </row>
    <row r="241" spans="1:39" ht="15.75" hidden="1" thickBot="1" x14ac:dyDescent="0.3">
      <c r="A241" s="375" t="s">
        <v>661</v>
      </c>
      <c r="B241" s="375" t="s">
        <v>194</v>
      </c>
      <c r="C241" s="448" t="s">
        <v>662</v>
      </c>
      <c r="E241" s="461">
        <v>56</v>
      </c>
      <c r="F241" s="468">
        <f>IFERROR(VLOOKUP(A241,'2017-18'!$A$6:$F$315,6,0),0)</f>
        <v>0</v>
      </c>
      <c r="G241" s="468">
        <f>IFERROR(VLOOKUP(A241,'2017-18'!$A$6:$D$315,4,0),0)</f>
        <v>389842.09</v>
      </c>
      <c r="H241" s="468">
        <f t="shared" si="26"/>
        <v>389842.09</v>
      </c>
      <c r="I241" s="382"/>
      <c r="J241" s="462">
        <v>64</v>
      </c>
      <c r="K241" s="468">
        <f>IFERROR(VLOOKUP(A241,'2018-19'!$A$6:$F$318,6,0),0)</f>
        <v>0</v>
      </c>
      <c r="L241" s="468">
        <f>IFERROR(VLOOKUP(A241,'2018-19'!$A$6:$D$318,4,0),0)</f>
        <v>390765.79</v>
      </c>
      <c r="M241" s="468">
        <f t="shared" si="27"/>
        <v>390765.79</v>
      </c>
      <c r="N241" s="382"/>
      <c r="O241" s="452">
        <v>52</v>
      </c>
      <c r="P241" s="387">
        <v>0</v>
      </c>
      <c r="Q241" s="387">
        <v>390872.43</v>
      </c>
      <c r="R241" s="387">
        <v>390872.43</v>
      </c>
      <c r="S241" s="382"/>
      <c r="T241" s="375">
        <f>VLOOKUP(A241,'Nov 2020 cc'!$B$3:$D$317,3,0)</f>
        <v>52</v>
      </c>
      <c r="U241" s="387">
        <v>0</v>
      </c>
      <c r="V241" s="387">
        <v>402410.23</v>
      </c>
      <c r="W241" s="387">
        <v>402410.23</v>
      </c>
      <c r="X241" s="382"/>
      <c r="Y241" s="375">
        <v>50</v>
      </c>
      <c r="Z241" s="413">
        <f>VLOOKUP(A241,'2021-22'!$A$6:$D$317,4,0)</f>
        <v>0</v>
      </c>
      <c r="AA241" s="413">
        <f>VLOOKUP(A241,'2021-22'!$A$6:$E$317,5,0)</f>
        <v>389013.81</v>
      </c>
      <c r="AB241" s="387">
        <f t="shared" si="28"/>
        <v>389013.81</v>
      </c>
      <c r="AC241" s="382"/>
      <c r="AD241" s="416">
        <v>48</v>
      </c>
      <c r="AE241" s="413">
        <v>0</v>
      </c>
      <c r="AF241" s="413">
        <v>422057.26</v>
      </c>
      <c r="AG241" s="387">
        <f t="shared" si="29"/>
        <v>422057.26</v>
      </c>
      <c r="AH241" s="557"/>
      <c r="AI241" s="387">
        <f>IFERROR(VLOOKUP(A241,'23-24 child count'!$C$4:$Y$317,23,0),0)</f>
        <v>51</v>
      </c>
      <c r="AJ241" s="387">
        <f>VLOOKUP(A241,'23-24 state &amp; local'!$A$5:$D$316,4,0)</f>
        <v>6687.52</v>
      </c>
      <c r="AK241" s="387">
        <f>VLOOKUP(A241,'23-24 state &amp; local'!$A$5:$E$316,5,0)</f>
        <v>500330.39</v>
      </c>
      <c r="AL241" s="387">
        <f t="shared" si="25"/>
        <v>507017.91000000003</v>
      </c>
      <c r="AM241" s="382"/>
    </row>
    <row r="242" spans="1:39" ht="15.75" hidden="1" thickBot="1" x14ac:dyDescent="0.3">
      <c r="A242" s="375" t="s">
        <v>663</v>
      </c>
      <c r="B242" s="375" t="s">
        <v>228</v>
      </c>
      <c r="C242" s="448" t="s">
        <v>664</v>
      </c>
      <c r="E242" s="461">
        <v>418</v>
      </c>
      <c r="F242" s="468">
        <f>IFERROR(VLOOKUP(A242,'2017-18'!$A$6:$F$315,6,0),0)</f>
        <v>0</v>
      </c>
      <c r="G242" s="468">
        <f>IFERROR(VLOOKUP(A242,'2017-18'!$A$6:$D$315,4,0),0)</f>
        <v>3973970.49</v>
      </c>
      <c r="H242" s="468">
        <f t="shared" si="26"/>
        <v>3973970.49</v>
      </c>
      <c r="I242" s="382"/>
      <c r="J242" s="462">
        <v>444</v>
      </c>
      <c r="K242" s="468">
        <f>IFERROR(VLOOKUP(A242,'2018-19'!$A$6:$F$318,6,0),0)</f>
        <v>0</v>
      </c>
      <c r="L242" s="468">
        <f>IFERROR(VLOOKUP(A242,'2018-19'!$A$6:$D$318,4,0),0)</f>
        <v>5064488.13</v>
      </c>
      <c r="M242" s="468">
        <f t="shared" si="27"/>
        <v>5064488.13</v>
      </c>
      <c r="N242" s="382"/>
      <c r="O242" s="452">
        <v>419</v>
      </c>
      <c r="P242" s="387">
        <v>0</v>
      </c>
      <c r="Q242" s="387">
        <v>5606594.1299999999</v>
      </c>
      <c r="R242" s="387">
        <v>5606594.1299999999</v>
      </c>
      <c r="S242" s="382"/>
      <c r="T242" s="375">
        <f>VLOOKUP(A242,'Nov 2020 cc'!$B$3:$D$317,3,0)</f>
        <v>386</v>
      </c>
      <c r="U242" s="387">
        <v>49291.83</v>
      </c>
      <c r="V242" s="387">
        <v>4909692.1900000004</v>
      </c>
      <c r="W242" s="387">
        <v>4958984.0200000005</v>
      </c>
      <c r="X242" s="382"/>
      <c r="Y242" s="375">
        <v>425</v>
      </c>
      <c r="Z242" s="413">
        <f>VLOOKUP(A242,'2021-22'!$A$6:$D$317,4,0)</f>
        <v>134295.89000000001</v>
      </c>
      <c r="AA242" s="413">
        <f>VLOOKUP(A242,'2021-22'!$A$6:$E$317,5,0)</f>
        <v>5304410.82</v>
      </c>
      <c r="AB242" s="387">
        <f t="shared" si="28"/>
        <v>5438706.71</v>
      </c>
      <c r="AC242" s="382"/>
      <c r="AD242" s="416">
        <v>432</v>
      </c>
      <c r="AE242" s="413">
        <v>104586.29</v>
      </c>
      <c r="AF242" s="413">
        <v>5457651.3099999996</v>
      </c>
      <c r="AG242" s="387">
        <f t="shared" si="29"/>
        <v>5562237.5999999996</v>
      </c>
      <c r="AH242" s="557"/>
      <c r="AI242" s="387">
        <f>IFERROR(VLOOKUP(A242,'23-24 child count'!$C$4:$Y$317,23,0),0)</f>
        <v>444</v>
      </c>
      <c r="AJ242" s="387">
        <f>VLOOKUP(A242,'23-24 state &amp; local'!$A$5:$D$316,4,0)</f>
        <v>182492.99</v>
      </c>
      <c r="AK242" s="387">
        <f>VLOOKUP(A242,'23-24 state &amp; local'!$A$5:$E$316,5,0)</f>
        <v>6115780.6100000003</v>
      </c>
      <c r="AL242" s="387">
        <f t="shared" si="25"/>
        <v>6298273.6000000006</v>
      </c>
      <c r="AM242" s="382"/>
    </row>
    <row r="243" spans="1:39" ht="15.75" hidden="1" thickBot="1" x14ac:dyDescent="0.3">
      <c r="A243" s="587" t="s">
        <v>665</v>
      </c>
      <c r="B243" s="587" t="s">
        <v>197</v>
      </c>
      <c r="C243" s="588" t="s">
        <v>666</v>
      </c>
      <c r="D243" s="587"/>
      <c r="E243" s="589">
        <v>1</v>
      </c>
      <c r="F243" s="590">
        <f>IFERROR(VLOOKUP(A243,'2017-18'!$A$6:$F$315,6,0),0)</f>
        <v>0</v>
      </c>
      <c r="G243" s="590">
        <f>IFERROR(VLOOKUP(A243,'2017-18'!$A$6:$D$315,4,0),0)</f>
        <v>2854.01</v>
      </c>
      <c r="H243" s="590">
        <f t="shared" si="26"/>
        <v>2854.01</v>
      </c>
      <c r="I243" s="591"/>
      <c r="J243" s="592">
        <v>0</v>
      </c>
      <c r="K243" s="590">
        <f>IFERROR(VLOOKUP(A243,'2018-19'!$A$6:$F$318,6,0),0)</f>
        <v>0</v>
      </c>
      <c r="L243" s="590">
        <f>IFERROR(VLOOKUP(A243,'2018-19'!$A$6:$D$318,4,0),0)</f>
        <v>0</v>
      </c>
      <c r="M243" s="590">
        <f t="shared" si="27"/>
        <v>0</v>
      </c>
      <c r="N243" s="591"/>
      <c r="O243" s="593">
        <v>0</v>
      </c>
      <c r="P243" s="594">
        <v>0</v>
      </c>
      <c r="Q243" s="594">
        <v>0</v>
      </c>
      <c r="R243" s="594">
        <v>0</v>
      </c>
      <c r="S243" s="591"/>
      <c r="T243" s="587">
        <f>VLOOKUP(A243,'Nov 2020 cc'!$B$3:$D$317,3,0)</f>
        <v>0</v>
      </c>
      <c r="U243" s="594">
        <v>0</v>
      </c>
      <c r="V243" s="594">
        <v>2299.06</v>
      </c>
      <c r="W243" s="594">
        <v>2299.06</v>
      </c>
      <c r="X243" s="591"/>
      <c r="Y243" s="587">
        <v>0</v>
      </c>
      <c r="Z243" s="595">
        <v>0</v>
      </c>
      <c r="AA243" s="595">
        <v>0</v>
      </c>
      <c r="AB243" s="594">
        <f t="shared" si="28"/>
        <v>0</v>
      </c>
      <c r="AC243" s="591"/>
      <c r="AD243" s="596">
        <v>0</v>
      </c>
      <c r="AE243" s="595">
        <v>0</v>
      </c>
      <c r="AF243" s="595">
        <v>0</v>
      </c>
      <c r="AG243" s="594">
        <f t="shared" si="29"/>
        <v>0</v>
      </c>
      <c r="AH243" s="597"/>
      <c r="AI243" s="594">
        <f>IFERROR(VLOOKUP(A243,'23-24 child count'!$C$4:$Y$317,23,0),0)</f>
        <v>1</v>
      </c>
      <c r="AJ243" s="594">
        <f>VLOOKUP(A243,'23-24 state &amp; local'!$A$5:$D$316,4,0)</f>
        <v>0</v>
      </c>
      <c r="AK243" s="387">
        <f>VLOOKUP(A243,'23-24 state &amp; local'!$A$5:$E$316,5,0)</f>
        <v>1834.58</v>
      </c>
      <c r="AL243" s="387">
        <f t="shared" si="25"/>
        <v>1834.58</v>
      </c>
      <c r="AM243" s="382"/>
    </row>
    <row r="244" spans="1:39" ht="15.75" hidden="1" thickBot="1" x14ac:dyDescent="0.3">
      <c r="A244" s="375" t="s">
        <v>667</v>
      </c>
      <c r="B244" s="375" t="s">
        <v>189</v>
      </c>
      <c r="C244" s="448" t="s">
        <v>668</v>
      </c>
      <c r="E244" s="461">
        <v>734</v>
      </c>
      <c r="F244" s="468">
        <f>IFERROR(VLOOKUP(A244,'2017-18'!$A$6:$F$315,6,0),0)</f>
        <v>1137989.51</v>
      </c>
      <c r="G244" s="468">
        <f>IFERROR(VLOOKUP(A244,'2017-18'!$A$6:$D$315,4,0),0)</f>
        <v>5571653.7999999998</v>
      </c>
      <c r="H244" s="468">
        <f t="shared" si="26"/>
        <v>6709643.3099999996</v>
      </c>
      <c r="I244" s="382"/>
      <c r="J244" s="462">
        <v>737</v>
      </c>
      <c r="K244" s="468">
        <f>IFERROR(VLOOKUP(A244,'2018-19'!$A$6:$F$318,6,0),0)</f>
        <v>1016834.54</v>
      </c>
      <c r="L244" s="468">
        <f>IFERROR(VLOOKUP(A244,'2018-19'!$A$6:$D$318,4,0),0)</f>
        <v>6816453.6500000004</v>
      </c>
      <c r="M244" s="468">
        <f t="shared" si="27"/>
        <v>7833288.1900000004</v>
      </c>
      <c r="N244" s="382"/>
      <c r="O244" s="452">
        <v>702</v>
      </c>
      <c r="P244" s="387">
        <v>868585.8</v>
      </c>
      <c r="Q244" s="387">
        <v>7303490.04</v>
      </c>
      <c r="R244" s="387">
        <v>8172075.8399999999</v>
      </c>
      <c r="S244" s="382"/>
      <c r="T244" s="375">
        <f>VLOOKUP(A244,'Nov 2020 cc'!$B$3:$D$317,3,0)</f>
        <v>632</v>
      </c>
      <c r="U244" s="387">
        <v>1110071.82</v>
      </c>
      <c r="V244" s="387">
        <v>6781519.7000000002</v>
      </c>
      <c r="W244" s="387">
        <v>7891591.5200000005</v>
      </c>
      <c r="X244" s="382"/>
      <c r="Y244" s="375">
        <v>624</v>
      </c>
      <c r="Z244" s="413">
        <f>VLOOKUP(A244,'2021-22'!$A$6:$D$317,4,0)</f>
        <v>1211828.17</v>
      </c>
      <c r="AA244" s="413">
        <f>VLOOKUP(A244,'2021-22'!$A$6:$E$317,5,0)</f>
        <v>6783203.9400000004</v>
      </c>
      <c r="AB244" s="387">
        <f t="shared" si="28"/>
        <v>7995032.1100000003</v>
      </c>
      <c r="AC244" s="382"/>
      <c r="AD244" s="416">
        <v>656</v>
      </c>
      <c r="AE244" s="413">
        <v>1585233.45</v>
      </c>
      <c r="AF244" s="413">
        <v>7564880.1500000004</v>
      </c>
      <c r="AG244" s="387">
        <f t="shared" si="29"/>
        <v>9150113.5999999996</v>
      </c>
      <c r="AH244" s="557"/>
      <c r="AI244" s="387">
        <f>IFERROR(VLOOKUP(A244,'23-24 child count'!$C$4:$Y$317,23,0),0)</f>
        <v>726</v>
      </c>
      <c r="AJ244" s="387">
        <f>VLOOKUP(A244,'23-24 state &amp; local'!$A$5:$D$316,4,0)</f>
        <v>1226572.5900000001</v>
      </c>
      <c r="AK244" s="387">
        <f>VLOOKUP(A244,'23-24 state &amp; local'!$A$5:$E$316,5,0)</f>
        <v>9220861.1199999992</v>
      </c>
      <c r="AL244" s="387">
        <f t="shared" si="25"/>
        <v>10447433.709999999</v>
      </c>
      <c r="AM244" s="382"/>
    </row>
    <row r="245" spans="1:39" ht="15.75" hidden="1" thickBot="1" x14ac:dyDescent="0.3">
      <c r="A245" s="375" t="s">
        <v>669</v>
      </c>
      <c r="B245" s="375" t="s">
        <v>205</v>
      </c>
      <c r="C245" s="448" t="s">
        <v>670</v>
      </c>
      <c r="E245" s="461">
        <v>1087</v>
      </c>
      <c r="F245" s="468">
        <f>IFERROR(VLOOKUP(A245,'2017-18'!$A$6:$F$315,6,0),0)</f>
        <v>6076816.8399999999</v>
      </c>
      <c r="G245" s="468">
        <f>IFERROR(VLOOKUP(A245,'2017-18'!$A$6:$D$315,4,0),0)</f>
        <v>9917742</v>
      </c>
      <c r="H245" s="468">
        <f t="shared" si="26"/>
        <v>15994558.84</v>
      </c>
      <c r="I245" s="382"/>
      <c r="J245" s="462">
        <v>1112</v>
      </c>
      <c r="K245" s="468">
        <f>IFERROR(VLOOKUP(A245,'2018-19'!$A$6:$F$318,6,0),0)</f>
        <v>6796932.0999999996</v>
      </c>
      <c r="L245" s="468">
        <f>IFERROR(VLOOKUP(A245,'2018-19'!$A$6:$D$318,4,0),0)</f>
        <v>13976748.539999999</v>
      </c>
      <c r="M245" s="468">
        <f t="shared" si="27"/>
        <v>20773680.640000001</v>
      </c>
      <c r="N245" s="382"/>
      <c r="O245" s="452">
        <v>1145</v>
      </c>
      <c r="P245" s="387">
        <v>5042195.3600000003</v>
      </c>
      <c r="Q245" s="387">
        <v>15919083.5</v>
      </c>
      <c r="R245" s="387">
        <v>20961278.859999999</v>
      </c>
      <c r="S245" s="382"/>
      <c r="T245" s="375">
        <f>VLOOKUP(A245,'Nov 2020 cc'!$B$3:$D$317,3,0)</f>
        <v>1096</v>
      </c>
      <c r="U245" s="387">
        <v>6865669.5</v>
      </c>
      <c r="V245" s="387">
        <v>14855149.66</v>
      </c>
      <c r="W245" s="387">
        <v>21720819.16</v>
      </c>
      <c r="X245" s="382"/>
      <c r="Y245" s="375">
        <v>1101</v>
      </c>
      <c r="Z245" s="413">
        <f>VLOOKUP(A245,'2021-22'!$A$6:$D$317,4,0)</f>
        <v>6909025.8700000001</v>
      </c>
      <c r="AA245" s="413">
        <f>VLOOKUP(A245,'2021-22'!$A$6:$E$317,5,0)</f>
        <v>15165179</v>
      </c>
      <c r="AB245" s="387">
        <f t="shared" si="28"/>
        <v>22074204.870000001</v>
      </c>
      <c r="AC245" s="382"/>
      <c r="AD245" s="416">
        <v>1111</v>
      </c>
      <c r="AE245" s="413">
        <v>5529730</v>
      </c>
      <c r="AF245" s="413">
        <v>16730327.869999999</v>
      </c>
      <c r="AG245" s="387">
        <f t="shared" si="29"/>
        <v>22260057.869999997</v>
      </c>
      <c r="AH245" s="557"/>
      <c r="AI245" s="387">
        <f>IFERROR(VLOOKUP(A245,'23-24 child count'!$C$4:$Y$317,23,0),0)</f>
        <v>1273</v>
      </c>
      <c r="AJ245" s="387">
        <f>VLOOKUP(A245,'23-24 state &amp; local'!$A$5:$D$316,4,0)</f>
        <v>607848.36</v>
      </c>
      <c r="AK245" s="387">
        <f>VLOOKUP(A245,'23-24 state &amp; local'!$A$5:$E$316,5,0)</f>
        <v>25472775.359999999</v>
      </c>
      <c r="AL245" s="387">
        <f t="shared" si="25"/>
        <v>26080623.719999999</v>
      </c>
      <c r="AM245" s="382"/>
    </row>
    <row r="246" spans="1:39" ht="15.75" hidden="1" thickBot="1" x14ac:dyDescent="0.3">
      <c r="A246" s="375" t="s">
        <v>671</v>
      </c>
      <c r="B246" s="375" t="s">
        <v>210</v>
      </c>
      <c r="C246" s="448" t="s">
        <v>672</v>
      </c>
      <c r="D246" s="375" t="s">
        <v>819</v>
      </c>
      <c r="E246" s="461">
        <v>12</v>
      </c>
      <c r="F246" s="468">
        <f>IFERROR(VLOOKUP(A246,'2017-18'!$A$6:$F$315,6,0),0)</f>
        <v>0</v>
      </c>
      <c r="G246" s="468">
        <f>IFERROR(VLOOKUP(A246,'2017-18'!$A$6:$D$315,4,0),0)</f>
        <v>100021.02</v>
      </c>
      <c r="H246" s="468">
        <f t="shared" si="26"/>
        <v>100021.02</v>
      </c>
      <c r="I246" s="382"/>
      <c r="J246" s="462">
        <v>13</v>
      </c>
      <c r="K246" s="468">
        <f>IFERROR(VLOOKUP(A246,'2018-19'!$A$6:$F$318,6,0),0)</f>
        <v>0</v>
      </c>
      <c r="L246" s="468">
        <f>IFERROR(VLOOKUP(A246,'2018-19'!$A$6:$D$318,4,0),0)</f>
        <v>135130.04999999999</v>
      </c>
      <c r="M246" s="468">
        <f t="shared" si="27"/>
        <v>135130.04999999999</v>
      </c>
      <c r="N246" s="382"/>
      <c r="O246" s="452">
        <v>13</v>
      </c>
      <c r="P246" s="387">
        <v>0</v>
      </c>
      <c r="Q246" s="387">
        <v>117778.32</v>
      </c>
      <c r="R246" s="387">
        <v>117778.32</v>
      </c>
      <c r="S246" s="382"/>
      <c r="T246" s="375">
        <f>VLOOKUP(A246,'Nov 2020 cc'!$B$3:$D$317,3,0)</f>
        <v>9</v>
      </c>
      <c r="U246" s="387">
        <v>0</v>
      </c>
      <c r="V246" s="387">
        <v>78454.92</v>
      </c>
      <c r="W246" s="387">
        <v>78454.92</v>
      </c>
      <c r="X246" s="382"/>
      <c r="Y246" s="375">
        <v>9</v>
      </c>
      <c r="Z246" s="413">
        <f>VLOOKUP(A246,'2021-22'!$A$6:$D$317,4,0)</f>
        <v>0</v>
      </c>
      <c r="AA246" s="413">
        <f>VLOOKUP(A246,'2021-22'!$A$6:$E$317,5,0)</f>
        <v>90508.21</v>
      </c>
      <c r="AB246" s="387">
        <f t="shared" si="28"/>
        <v>90508.21</v>
      </c>
      <c r="AC246" s="382"/>
      <c r="AD246" s="416">
        <v>8</v>
      </c>
      <c r="AE246" s="413">
        <v>0</v>
      </c>
      <c r="AF246" s="413">
        <v>91259.67</v>
      </c>
      <c r="AG246" s="387">
        <f t="shared" si="29"/>
        <v>91259.67</v>
      </c>
      <c r="AH246" s="557"/>
      <c r="AI246" s="387">
        <f>IFERROR(VLOOKUP(A246,'23-24 child count'!$C$4:$Y$317,23,0),0)</f>
        <v>11</v>
      </c>
      <c r="AJ246" s="387">
        <f>VLOOKUP(A246,'23-24 state &amp; local'!$A$5:$D$316,4,0)</f>
        <v>0</v>
      </c>
      <c r="AK246" s="387">
        <f>VLOOKUP(A246,'23-24 state &amp; local'!$A$5:$E$316,5,0)</f>
        <v>96775.2</v>
      </c>
      <c r="AL246" s="387">
        <f t="shared" si="25"/>
        <v>96775.2</v>
      </c>
      <c r="AM246" s="382"/>
    </row>
    <row r="247" spans="1:39" ht="15.75" hidden="1" thickBot="1" x14ac:dyDescent="0.3">
      <c r="A247" s="375" t="s">
        <v>673</v>
      </c>
      <c r="B247" s="375" t="s">
        <v>205</v>
      </c>
      <c r="C247" s="448" t="s">
        <v>674</v>
      </c>
      <c r="E247" s="461">
        <v>15</v>
      </c>
      <c r="F247" s="468">
        <f>IFERROR(VLOOKUP(A247,'2017-18'!$A$6:$F$315,6,0),0)</f>
        <v>0</v>
      </c>
      <c r="G247" s="468">
        <f>IFERROR(VLOOKUP(A247,'2017-18'!$A$6:$D$315,4,0),0)</f>
        <v>174287.52</v>
      </c>
      <c r="H247" s="468">
        <f t="shared" si="26"/>
        <v>174287.52</v>
      </c>
      <c r="I247" s="382"/>
      <c r="J247" s="462">
        <v>21</v>
      </c>
      <c r="K247" s="468">
        <f>IFERROR(VLOOKUP(A247,'2018-19'!$A$6:$F$318,6,0),0)</f>
        <v>0</v>
      </c>
      <c r="L247" s="468">
        <f>IFERROR(VLOOKUP(A247,'2018-19'!$A$6:$D$318,4,0),0)</f>
        <v>236155.33</v>
      </c>
      <c r="M247" s="468">
        <f t="shared" si="27"/>
        <v>236155.33</v>
      </c>
      <c r="N247" s="382"/>
      <c r="O247" s="452">
        <v>22</v>
      </c>
      <c r="P247" s="387">
        <v>0</v>
      </c>
      <c r="Q247" s="387">
        <v>239720.58</v>
      </c>
      <c r="R247" s="387">
        <v>239720.58</v>
      </c>
      <c r="S247" s="382"/>
      <c r="T247" s="375">
        <f>VLOOKUP(A247,'Nov 2020 cc'!$B$3:$D$317,3,0)</f>
        <v>16</v>
      </c>
      <c r="U247" s="387">
        <v>0</v>
      </c>
      <c r="V247" s="387">
        <v>228084.95</v>
      </c>
      <c r="W247" s="387">
        <v>228084.95</v>
      </c>
      <c r="X247" s="382"/>
      <c r="Y247" s="375">
        <v>14</v>
      </c>
      <c r="Z247" s="413">
        <f>VLOOKUP(A247,'2021-22'!$A$6:$D$317,4,0)</f>
        <v>0</v>
      </c>
      <c r="AA247" s="413">
        <f>VLOOKUP(A247,'2021-22'!$A$6:$E$317,5,0)</f>
        <v>204724.08</v>
      </c>
      <c r="AB247" s="387">
        <f t="shared" si="28"/>
        <v>204724.08</v>
      </c>
      <c r="AC247" s="382"/>
      <c r="AD247" s="416">
        <v>13</v>
      </c>
      <c r="AE247" s="413">
        <v>142114.82</v>
      </c>
      <c r="AF247" s="413">
        <v>66180.73</v>
      </c>
      <c r="AG247" s="387">
        <f t="shared" si="29"/>
        <v>208295.55</v>
      </c>
      <c r="AH247" s="557"/>
      <c r="AI247" s="387">
        <f>IFERROR(VLOOKUP(A247,'23-24 child count'!$C$4:$Y$317,23,0),0)</f>
        <v>16</v>
      </c>
      <c r="AJ247" s="387">
        <f>VLOOKUP(A247,'23-24 state &amp; local'!$A$5:$D$316,4,0)</f>
        <v>120184.54</v>
      </c>
      <c r="AK247" s="387">
        <f>VLOOKUP(A247,'23-24 state &amp; local'!$A$5:$E$316,5,0)</f>
        <v>103846.77</v>
      </c>
      <c r="AL247" s="387">
        <f t="shared" si="25"/>
        <v>224031.31</v>
      </c>
      <c r="AM247" s="382"/>
    </row>
    <row r="248" spans="1:39" ht="15.75" hidden="1" thickBot="1" x14ac:dyDescent="0.3">
      <c r="A248" s="375" t="s">
        <v>675</v>
      </c>
      <c r="B248" s="375" t="s">
        <v>197</v>
      </c>
      <c r="C248" s="448" t="s">
        <v>676</v>
      </c>
      <c r="E248" s="461">
        <v>1292</v>
      </c>
      <c r="F248" s="468">
        <f>IFERROR(VLOOKUP(A248,'2017-18'!$A$6:$F$315,6,0),0)</f>
        <v>149224.49</v>
      </c>
      <c r="G248" s="468">
        <f>IFERROR(VLOOKUP(A248,'2017-18'!$A$6:$D$315,4,0),0)</f>
        <v>16961911.609999999</v>
      </c>
      <c r="H248" s="468">
        <f t="shared" si="26"/>
        <v>17111136.099999998</v>
      </c>
      <c r="I248" s="382"/>
      <c r="J248" s="462">
        <v>1285</v>
      </c>
      <c r="K248" s="468">
        <f>IFERROR(VLOOKUP(A248,'2018-19'!$A$6:$F$318,6,0),0)</f>
        <v>59269.98</v>
      </c>
      <c r="L248" s="468">
        <f>IFERROR(VLOOKUP(A248,'2018-19'!$A$6:$D$318,4,0),0)</f>
        <v>18959208.370000001</v>
      </c>
      <c r="M248" s="468">
        <f t="shared" si="27"/>
        <v>19018478.350000001</v>
      </c>
      <c r="N248" s="382"/>
      <c r="O248" s="452">
        <v>1250</v>
      </c>
      <c r="P248" s="387">
        <v>0</v>
      </c>
      <c r="Q248" s="387">
        <v>19009224.129999999</v>
      </c>
      <c r="R248" s="387">
        <v>19009224.129999999</v>
      </c>
      <c r="S248" s="382"/>
      <c r="T248" s="375">
        <f>VLOOKUP(A248,'Nov 2020 cc'!$B$3:$D$317,3,0)</f>
        <v>1188</v>
      </c>
      <c r="U248" s="387">
        <v>0</v>
      </c>
      <c r="V248" s="387">
        <v>18950982.18</v>
      </c>
      <c r="W248" s="387">
        <v>18950982.18</v>
      </c>
      <c r="X248" s="382"/>
      <c r="Y248" s="375">
        <v>1190</v>
      </c>
      <c r="Z248" s="413">
        <f>VLOOKUP(A248,'2021-22'!$A$6:$D$317,4,0)</f>
        <v>0</v>
      </c>
      <c r="AA248" s="413">
        <f>VLOOKUP(A248,'2021-22'!$A$6:$E$317,5,0)</f>
        <v>19776758.550000001</v>
      </c>
      <c r="AB248" s="387">
        <f t="shared" si="28"/>
        <v>19776758.550000001</v>
      </c>
      <c r="AC248" s="382"/>
      <c r="AD248" s="416">
        <v>1233</v>
      </c>
      <c r="AE248" s="413">
        <v>0</v>
      </c>
      <c r="AF248" s="413">
        <v>22761567.07</v>
      </c>
      <c r="AG248" s="387">
        <f t="shared" si="29"/>
        <v>22761567.07</v>
      </c>
      <c r="AH248" s="557"/>
      <c r="AI248" s="387">
        <f>IFERROR(VLOOKUP(A248,'23-24 child count'!$C$4:$Y$317,23,0),0)</f>
        <v>1311</v>
      </c>
      <c r="AJ248" s="387">
        <f>VLOOKUP(A248,'23-24 state &amp; local'!$A$5:$D$316,4,0)</f>
        <v>0</v>
      </c>
      <c r="AK248" s="387">
        <f>VLOOKUP(A248,'23-24 state &amp; local'!$A$5:$E$316,5,0)</f>
        <v>24314835.120000001</v>
      </c>
      <c r="AL248" s="387">
        <f t="shared" si="25"/>
        <v>24314835.120000001</v>
      </c>
      <c r="AM248" s="382"/>
    </row>
    <row r="249" spans="1:39" ht="15.75" hidden="1" thickBot="1" x14ac:dyDescent="0.3">
      <c r="A249" s="375" t="s">
        <v>677</v>
      </c>
      <c r="B249" s="375" t="s">
        <v>205</v>
      </c>
      <c r="C249" s="448" t="s">
        <v>678</v>
      </c>
      <c r="E249" s="461">
        <v>740</v>
      </c>
      <c r="F249" s="468">
        <f>IFERROR(VLOOKUP(A249,'2017-18'!$A$6:$F$315,6,0),0)</f>
        <v>0</v>
      </c>
      <c r="G249" s="468">
        <f>IFERROR(VLOOKUP(A249,'2017-18'!$A$6:$D$315,4,0),0)</f>
        <v>9399295.6400000006</v>
      </c>
      <c r="H249" s="468">
        <f t="shared" si="26"/>
        <v>9399295.6400000006</v>
      </c>
      <c r="I249" s="382"/>
      <c r="J249" s="462">
        <v>773</v>
      </c>
      <c r="K249" s="468">
        <f>IFERROR(VLOOKUP(A249,'2018-19'!$A$6:$F$318,6,0),0)</f>
        <v>3571231.12</v>
      </c>
      <c r="L249" s="468">
        <f>IFERROR(VLOOKUP(A249,'2018-19'!$A$6:$D$318,4,0),0)</f>
        <v>7474999.0199999996</v>
      </c>
      <c r="M249" s="468">
        <f t="shared" si="27"/>
        <v>11046230.140000001</v>
      </c>
      <c r="N249" s="382"/>
      <c r="O249" s="452">
        <v>805</v>
      </c>
      <c r="P249" s="387">
        <v>801761.25</v>
      </c>
      <c r="Q249" s="387">
        <v>10996388.949999999</v>
      </c>
      <c r="R249" s="387">
        <v>11798150.199999999</v>
      </c>
      <c r="S249" s="382"/>
      <c r="T249" s="375">
        <f>VLOOKUP(A249,'Nov 2020 cc'!$B$3:$D$317,3,0)</f>
        <v>730</v>
      </c>
      <c r="U249" s="387">
        <v>2763656.08</v>
      </c>
      <c r="V249" s="387">
        <v>9846100.3699999992</v>
      </c>
      <c r="W249" s="387">
        <v>12609756.449999999</v>
      </c>
      <c r="X249" s="382"/>
      <c r="Y249" s="375">
        <v>715</v>
      </c>
      <c r="Z249" s="413">
        <f>VLOOKUP(A249,'2021-22'!$A$6:$D$317,4,0)</f>
        <v>3847184.56</v>
      </c>
      <c r="AA249" s="413">
        <f>VLOOKUP(A249,'2021-22'!$A$6:$E$317,5,0)</f>
        <v>9840151.3399999999</v>
      </c>
      <c r="AB249" s="387">
        <f t="shared" si="28"/>
        <v>13687335.9</v>
      </c>
      <c r="AC249" s="382"/>
      <c r="AD249" s="416">
        <v>732</v>
      </c>
      <c r="AE249" s="413">
        <v>3148430.11</v>
      </c>
      <c r="AF249" s="413">
        <v>12043664.550000001</v>
      </c>
      <c r="AG249" s="387">
        <f t="shared" si="29"/>
        <v>15192094.66</v>
      </c>
      <c r="AH249" s="557"/>
      <c r="AI249" s="387">
        <f>IFERROR(VLOOKUP(A249,'23-24 child count'!$C$4:$Y$317,23,0),0)</f>
        <v>775</v>
      </c>
      <c r="AJ249" s="387">
        <f>VLOOKUP(A249,'23-24 state &amp; local'!$A$5:$D$316,4,0)</f>
        <v>1785665.7</v>
      </c>
      <c r="AK249" s="387">
        <f>VLOOKUP(A249,'23-24 state &amp; local'!$A$5:$E$316,5,0)</f>
        <v>14374993.449999999</v>
      </c>
      <c r="AL249" s="387">
        <f t="shared" si="25"/>
        <v>16160659.149999999</v>
      </c>
      <c r="AM249" s="382"/>
    </row>
    <row r="250" spans="1:39" ht="15.75" hidden="1" thickBot="1" x14ac:dyDescent="0.3">
      <c r="A250" s="375" t="s">
        <v>679</v>
      </c>
      <c r="B250" s="375" t="s">
        <v>231</v>
      </c>
      <c r="C250" s="448" t="s">
        <v>680</v>
      </c>
      <c r="E250" s="461">
        <v>77</v>
      </c>
      <c r="F250" s="468">
        <f>IFERROR(VLOOKUP(A250,'2017-18'!$A$6:$F$315,6,0),0)</f>
        <v>117746.31</v>
      </c>
      <c r="G250" s="468">
        <f>IFERROR(VLOOKUP(A250,'2017-18'!$A$6:$D$315,4,0),0)</f>
        <v>561811.69999999995</v>
      </c>
      <c r="H250" s="468">
        <f t="shared" si="26"/>
        <v>679558.01</v>
      </c>
      <c r="I250" s="382"/>
      <c r="J250" s="462">
        <v>89</v>
      </c>
      <c r="K250" s="468">
        <f>IFERROR(VLOOKUP(A250,'2018-19'!$A$6:$F$318,6,0),0)</f>
        <v>29997.52</v>
      </c>
      <c r="L250" s="468">
        <f>IFERROR(VLOOKUP(A250,'2018-19'!$A$6:$D$318,4,0),0)</f>
        <v>782710.21</v>
      </c>
      <c r="M250" s="468">
        <f t="shared" si="27"/>
        <v>812707.73</v>
      </c>
      <c r="N250" s="382"/>
      <c r="O250" s="452">
        <v>84</v>
      </c>
      <c r="P250" s="387">
        <v>0</v>
      </c>
      <c r="Q250" s="387">
        <v>760821.21</v>
      </c>
      <c r="R250" s="387">
        <v>760821.21</v>
      </c>
      <c r="S250" s="382"/>
      <c r="T250" s="375">
        <f>VLOOKUP(A250,'Nov 2020 cc'!$B$3:$D$317,3,0)</f>
        <v>87</v>
      </c>
      <c r="U250" s="387">
        <v>0</v>
      </c>
      <c r="V250" s="387">
        <v>773340.54</v>
      </c>
      <c r="W250" s="387">
        <v>773340.54</v>
      </c>
      <c r="X250" s="382"/>
      <c r="Y250" s="375">
        <v>107</v>
      </c>
      <c r="Z250" s="413">
        <f>VLOOKUP(A250,'2021-22'!$A$6:$D$317,4,0)</f>
        <v>88699.44</v>
      </c>
      <c r="AA250" s="413">
        <f>VLOOKUP(A250,'2021-22'!$A$6:$E$317,5,0)</f>
        <v>769079.25</v>
      </c>
      <c r="AB250" s="387">
        <f t="shared" si="28"/>
        <v>857778.69</v>
      </c>
      <c r="AC250" s="382"/>
      <c r="AD250" s="416">
        <v>100</v>
      </c>
      <c r="AE250" s="413">
        <v>286672.08</v>
      </c>
      <c r="AF250" s="413">
        <v>803422.28</v>
      </c>
      <c r="AG250" s="387">
        <f t="shared" si="29"/>
        <v>1090094.3600000001</v>
      </c>
      <c r="AH250" s="557"/>
      <c r="AI250" s="387">
        <f>IFERROR(VLOOKUP(A250,'23-24 child count'!$C$4:$Y$317,23,0),0)</f>
        <v>100</v>
      </c>
      <c r="AJ250" s="387">
        <f>VLOOKUP(A250,'23-24 state &amp; local'!$A$5:$D$316,4,0)</f>
        <v>0</v>
      </c>
      <c r="AK250" s="387">
        <f>VLOOKUP(A250,'23-24 state &amp; local'!$A$5:$E$316,5,0)</f>
        <v>1189003.1000000001</v>
      </c>
      <c r="AL250" s="387">
        <f t="shared" si="25"/>
        <v>1189003.1000000001</v>
      </c>
      <c r="AM250" s="382"/>
    </row>
    <row r="251" spans="1:39" ht="15.75" hidden="1" thickBot="1" x14ac:dyDescent="0.3">
      <c r="A251" s="598" t="s">
        <v>681</v>
      </c>
      <c r="B251" s="599"/>
      <c r="C251" s="600" t="s">
        <v>1501</v>
      </c>
      <c r="D251" s="599"/>
      <c r="E251" s="601"/>
      <c r="F251" s="602">
        <f>IFERROR(VLOOKUP(A251,'2017-18'!$A$6:$F$315,6,0),0)</f>
        <v>265287.59999999998</v>
      </c>
      <c r="G251" s="602">
        <f>IFERROR(VLOOKUP(A251,'2017-18'!$A$6:$D$315,4,0),0)</f>
        <v>540345.52</v>
      </c>
      <c r="H251" s="602">
        <f t="shared" si="26"/>
        <v>805633.12</v>
      </c>
      <c r="I251" s="599"/>
      <c r="J251" s="599"/>
      <c r="K251" s="602">
        <f>IFERROR(VLOOKUP(A251,'2018-19'!$A$6:$F$318,6,0),0)</f>
        <v>181268.38</v>
      </c>
      <c r="L251" s="602">
        <f>IFERROR(VLOOKUP(A251,'2018-19'!$A$6:$D$318,4,0),0)</f>
        <v>240644.05</v>
      </c>
      <c r="M251" s="602">
        <f t="shared" si="27"/>
        <v>421912.43</v>
      </c>
      <c r="N251" s="599"/>
      <c r="O251" s="603"/>
      <c r="P251" s="602"/>
      <c r="Q251" s="602"/>
      <c r="R251" s="602"/>
      <c r="S251" s="599"/>
      <c r="T251" s="599">
        <v>0</v>
      </c>
      <c r="U251" s="602"/>
      <c r="V251" s="602"/>
      <c r="W251" s="602"/>
      <c r="X251" s="599"/>
      <c r="Y251" s="599"/>
      <c r="Z251" s="602">
        <v>0</v>
      </c>
      <c r="AA251" s="602">
        <v>0</v>
      </c>
      <c r="AB251" s="602"/>
      <c r="AC251" s="599"/>
      <c r="AD251" s="604"/>
      <c r="AE251" s="602"/>
      <c r="AF251" s="602"/>
      <c r="AG251" s="602"/>
      <c r="AH251" s="605"/>
      <c r="AI251" s="602">
        <f>IFERROR(VLOOKUP(A251,'23-24 child count'!$C$4:$Y$317,23,0),0)</f>
        <v>0</v>
      </c>
      <c r="AJ251" s="602">
        <v>0</v>
      </c>
      <c r="AK251" s="602">
        <v>0</v>
      </c>
      <c r="AL251" s="572">
        <f t="shared" si="25"/>
        <v>0</v>
      </c>
      <c r="AM251" s="599"/>
    </row>
    <row r="252" spans="1:39" ht="15.75" hidden="1" thickBot="1" x14ac:dyDescent="0.3">
      <c r="A252" s="375" t="s">
        <v>682</v>
      </c>
      <c r="B252" s="375" t="s">
        <v>189</v>
      </c>
      <c r="C252" s="448" t="s">
        <v>683</v>
      </c>
      <c r="E252" s="461">
        <v>77</v>
      </c>
      <c r="F252" s="468">
        <f>IFERROR(VLOOKUP(A252,'2017-18'!$A$6:$F$315,6,0),0)</f>
        <v>33735.61</v>
      </c>
      <c r="G252" s="468">
        <f>IFERROR(VLOOKUP(A252,'2017-18'!$A$6:$D$315,4,0),0)</f>
        <v>662463.72</v>
      </c>
      <c r="H252" s="468">
        <f t="shared" si="26"/>
        <v>696199.33</v>
      </c>
      <c r="I252" s="382"/>
      <c r="J252" s="462">
        <v>81</v>
      </c>
      <c r="K252" s="468">
        <f>IFERROR(VLOOKUP(A252,'2018-19'!$A$6:$F$318,6,0),0)</f>
        <v>34085.67</v>
      </c>
      <c r="L252" s="468">
        <f>IFERROR(VLOOKUP(A252,'2018-19'!$A$6:$D$318,4,0),0)</f>
        <v>798787.79</v>
      </c>
      <c r="M252" s="468">
        <f t="shared" si="27"/>
        <v>832873.46000000008</v>
      </c>
      <c r="N252" s="382"/>
      <c r="O252" s="452">
        <v>85</v>
      </c>
      <c r="P252" s="387">
        <v>0</v>
      </c>
      <c r="Q252" s="387">
        <v>896370.31</v>
      </c>
      <c r="R252" s="387">
        <v>896370.31</v>
      </c>
      <c r="S252" s="382"/>
      <c r="T252" s="375">
        <f>VLOOKUP(A252,'Nov 2020 cc'!$B$3:$D$317,3,0)</f>
        <v>72</v>
      </c>
      <c r="U252" s="387">
        <v>17764.400000000001</v>
      </c>
      <c r="V252" s="387">
        <v>835596.03</v>
      </c>
      <c r="W252" s="387">
        <v>853360.43</v>
      </c>
      <c r="X252" s="382"/>
      <c r="Y252" s="375">
        <v>80</v>
      </c>
      <c r="Z252" s="413">
        <f>VLOOKUP(A252,'2021-22'!$A$6:$D$317,4,0)</f>
        <v>17763.759999999998</v>
      </c>
      <c r="AA252" s="413">
        <f>VLOOKUP(A252,'2021-22'!$A$6:$E$317,5,0)</f>
        <v>860095.09</v>
      </c>
      <c r="AB252" s="387">
        <f t="shared" ref="AB252:AB283" si="30">Z252+AA252</f>
        <v>877858.85</v>
      </c>
      <c r="AC252" s="382"/>
      <c r="AD252" s="416">
        <v>88</v>
      </c>
      <c r="AE252" s="413">
        <v>16178.33</v>
      </c>
      <c r="AF252" s="413">
        <v>986726.27</v>
      </c>
      <c r="AG252" s="387">
        <f t="shared" ref="AG252:AG283" si="31">AE252+AF252</f>
        <v>1002904.6</v>
      </c>
      <c r="AH252" s="557"/>
      <c r="AI252" s="387">
        <f>IFERROR(VLOOKUP(A252,'23-24 child count'!$C$4:$Y$317,23,0),0)</f>
        <v>94</v>
      </c>
      <c r="AJ252" s="387">
        <f>VLOOKUP(A252,'23-24 state &amp; local'!$A$5:$D$316,4,0)</f>
        <v>2890.79</v>
      </c>
      <c r="AK252" s="387">
        <f>VLOOKUP(A252,'23-24 state &amp; local'!$A$5:$E$316,5,0)</f>
        <v>1006862.89</v>
      </c>
      <c r="AL252" s="387">
        <f t="shared" si="25"/>
        <v>1009753.68</v>
      </c>
      <c r="AM252" s="382"/>
    </row>
    <row r="253" spans="1:39" ht="15.75" hidden="1" thickBot="1" x14ac:dyDescent="0.3">
      <c r="A253" s="375" t="s">
        <v>684</v>
      </c>
      <c r="B253" s="375" t="s">
        <v>1127</v>
      </c>
      <c r="C253" s="448" t="s">
        <v>685</v>
      </c>
      <c r="E253" s="461">
        <v>1488</v>
      </c>
      <c r="F253" s="468">
        <f>IFERROR(VLOOKUP(A253,'2017-18'!$A$6:$F$315,6,0),0)</f>
        <v>0</v>
      </c>
      <c r="G253" s="468">
        <f>IFERROR(VLOOKUP(A253,'2017-18'!$A$6:$D$315,4,0),0)</f>
        <v>14247747.34</v>
      </c>
      <c r="H253" s="468">
        <f t="shared" si="26"/>
        <v>14247747.34</v>
      </c>
      <c r="I253" s="382"/>
      <c r="J253" s="462">
        <v>1473</v>
      </c>
      <c r="K253" s="468">
        <f>IFERROR(VLOOKUP(A253,'2018-19'!$A$6:$F$318,6,0),0)</f>
        <v>1143052.6499999999</v>
      </c>
      <c r="L253" s="468">
        <f>IFERROR(VLOOKUP(A253,'2018-19'!$A$6:$D$318,4,0),0)</f>
        <v>16434175.17</v>
      </c>
      <c r="M253" s="468">
        <f t="shared" si="27"/>
        <v>17577227.82</v>
      </c>
      <c r="N253" s="382"/>
      <c r="O253" s="452">
        <v>1531</v>
      </c>
      <c r="P253" s="387">
        <v>2548471.71</v>
      </c>
      <c r="Q253" s="387">
        <v>18207536.530000001</v>
      </c>
      <c r="R253" s="387">
        <v>20756008.240000002</v>
      </c>
      <c r="S253" s="382"/>
      <c r="T253" s="375">
        <f>VLOOKUP(A253,'Nov 2020 cc'!$B$3:$D$317,3,0)</f>
        <v>1551</v>
      </c>
      <c r="U253" s="387">
        <v>4250817.3499999996</v>
      </c>
      <c r="V253" s="387">
        <v>18035184.629999999</v>
      </c>
      <c r="W253" s="387">
        <v>22286001.979999997</v>
      </c>
      <c r="X253" s="382"/>
      <c r="Y253" s="375">
        <v>1516</v>
      </c>
      <c r="Z253" s="413">
        <f>VLOOKUP(A253,'2021-22'!$A$6:$D$317,4,0)</f>
        <v>5431314</v>
      </c>
      <c r="AA253" s="413">
        <f>VLOOKUP(A253,'2021-22'!$A$6:$E$317,5,0)</f>
        <v>17907707.350000001</v>
      </c>
      <c r="AB253" s="387">
        <f t="shared" si="30"/>
        <v>23339021.350000001</v>
      </c>
      <c r="AC253" s="382"/>
      <c r="AD253" s="416">
        <v>1450</v>
      </c>
      <c r="AE253" s="413">
        <v>2078955.53</v>
      </c>
      <c r="AF253" s="413">
        <v>24013207.539999999</v>
      </c>
      <c r="AG253" s="387">
        <f t="shared" si="31"/>
        <v>26092163.07</v>
      </c>
      <c r="AH253" s="557"/>
      <c r="AI253" s="387">
        <f>IFERROR(VLOOKUP(A253,'23-24 child count'!$C$4:$Y$317,23,0),0)</f>
        <v>1576</v>
      </c>
      <c r="AJ253" s="387">
        <f>VLOOKUP(A253,'23-24 state &amp; local'!$A$5:$D$316,4,0)</f>
        <v>5602044.9299999997</v>
      </c>
      <c r="AK253" s="387">
        <f>VLOOKUP(A253,'23-24 state &amp; local'!$A$5:$E$316,5,0)</f>
        <v>23322676.91</v>
      </c>
      <c r="AL253" s="387">
        <f t="shared" si="25"/>
        <v>28924721.84</v>
      </c>
      <c r="AM253" s="382"/>
    </row>
    <row r="254" spans="1:39" ht="15.75" hidden="1" thickBot="1" x14ac:dyDescent="0.3">
      <c r="A254" s="375" t="s">
        <v>686</v>
      </c>
      <c r="B254" s="375" t="s">
        <v>197</v>
      </c>
      <c r="C254" s="448" t="s">
        <v>687</v>
      </c>
      <c r="E254" s="461">
        <v>201</v>
      </c>
      <c r="F254" s="468">
        <f>IFERROR(VLOOKUP(A254,'2017-18'!$A$6:$F$315,6,0),0)</f>
        <v>0</v>
      </c>
      <c r="G254" s="468">
        <f>IFERROR(VLOOKUP(A254,'2017-18'!$A$6:$D$315,4,0),0)</f>
        <v>2131154.3199999998</v>
      </c>
      <c r="H254" s="468">
        <f t="shared" si="26"/>
        <v>2131154.3199999998</v>
      </c>
      <c r="I254" s="382"/>
      <c r="J254" s="462">
        <v>202</v>
      </c>
      <c r="K254" s="468">
        <f>IFERROR(VLOOKUP(A254,'2018-19'!$A$6:$F$318,6,0),0)</f>
        <v>0</v>
      </c>
      <c r="L254" s="468">
        <f>IFERROR(VLOOKUP(A254,'2018-19'!$A$6:$D$318,4,0),0)</f>
        <v>2474720.44</v>
      </c>
      <c r="M254" s="468">
        <f t="shared" si="27"/>
        <v>2474720.44</v>
      </c>
      <c r="N254" s="382"/>
      <c r="O254" s="452">
        <v>204</v>
      </c>
      <c r="P254" s="387">
        <v>0</v>
      </c>
      <c r="Q254" s="387">
        <v>2516838.62</v>
      </c>
      <c r="R254" s="387">
        <v>2516838.62</v>
      </c>
      <c r="S254" s="382"/>
      <c r="T254" s="375">
        <f>VLOOKUP(A254,'Nov 2020 cc'!$B$3:$D$317,3,0)</f>
        <v>189</v>
      </c>
      <c r="U254" s="387">
        <v>0</v>
      </c>
      <c r="V254" s="387">
        <v>2403087.79</v>
      </c>
      <c r="W254" s="387">
        <v>2403087.79</v>
      </c>
      <c r="X254" s="382"/>
      <c r="Y254" s="375">
        <v>183</v>
      </c>
      <c r="Z254" s="413">
        <f>VLOOKUP(A254,'2021-22'!$A$6:$D$317,4,0)</f>
        <v>0</v>
      </c>
      <c r="AA254" s="413">
        <f>VLOOKUP(A254,'2021-22'!$A$6:$E$317,5,0)</f>
        <v>2683531.85</v>
      </c>
      <c r="AB254" s="387">
        <f t="shared" si="30"/>
        <v>2683531.85</v>
      </c>
      <c r="AC254" s="382"/>
      <c r="AD254" s="416">
        <v>177</v>
      </c>
      <c r="AE254" s="413">
        <v>0</v>
      </c>
      <c r="AF254" s="413">
        <v>2685147.94</v>
      </c>
      <c r="AG254" s="387">
        <f t="shared" si="31"/>
        <v>2685147.94</v>
      </c>
      <c r="AH254" s="557"/>
      <c r="AI254" s="387">
        <f>IFERROR(VLOOKUP(A254,'23-24 child count'!$C$4:$Y$317,23,0),0)</f>
        <v>182</v>
      </c>
      <c r="AJ254" s="387">
        <f>VLOOKUP(A254,'23-24 state &amp; local'!$A$5:$D$316,4,0)</f>
        <v>0</v>
      </c>
      <c r="AK254" s="387">
        <f>VLOOKUP(A254,'23-24 state &amp; local'!$A$5:$E$316,5,0)</f>
        <v>2868223.34</v>
      </c>
      <c r="AL254" s="387">
        <f t="shared" si="25"/>
        <v>2868223.34</v>
      </c>
      <c r="AM254" s="382"/>
    </row>
    <row r="255" spans="1:39" ht="15.75" hidden="1" thickBot="1" x14ac:dyDescent="0.3">
      <c r="A255" s="375" t="s">
        <v>688</v>
      </c>
      <c r="B255" s="375" t="s">
        <v>189</v>
      </c>
      <c r="C255" s="448" t="s">
        <v>689</v>
      </c>
      <c r="E255" s="461">
        <v>21</v>
      </c>
      <c r="F255" s="468">
        <f>IFERROR(VLOOKUP(A255,'2017-18'!$A$6:$F$315,6,0),0)</f>
        <v>0</v>
      </c>
      <c r="G255" s="468">
        <f>IFERROR(VLOOKUP(A255,'2017-18'!$A$6:$D$315,4,0),0)</f>
        <v>196756.84</v>
      </c>
      <c r="H255" s="468">
        <f t="shared" si="26"/>
        <v>196756.84</v>
      </c>
      <c r="I255" s="382"/>
      <c r="J255" s="462">
        <v>23</v>
      </c>
      <c r="K255" s="468">
        <f>IFERROR(VLOOKUP(A255,'2018-19'!$A$6:$F$318,6,0),0)</f>
        <v>0</v>
      </c>
      <c r="L255" s="468">
        <f>IFERROR(VLOOKUP(A255,'2018-19'!$A$6:$D$318,4,0),0)</f>
        <v>288535.94</v>
      </c>
      <c r="M255" s="468">
        <f t="shared" si="27"/>
        <v>288535.94</v>
      </c>
      <c r="N255" s="382"/>
      <c r="O255" s="452">
        <v>30</v>
      </c>
      <c r="P255" s="387">
        <v>0</v>
      </c>
      <c r="Q255" s="387">
        <v>262579.42</v>
      </c>
      <c r="R255" s="387">
        <v>262579.42</v>
      </c>
      <c r="S255" s="382"/>
      <c r="T255" s="375">
        <f>VLOOKUP(A255,'Nov 2020 cc'!$B$3:$D$317,3,0)</f>
        <v>31</v>
      </c>
      <c r="U255" s="387">
        <v>0</v>
      </c>
      <c r="V255" s="387">
        <v>247390</v>
      </c>
      <c r="W255" s="387">
        <v>247390</v>
      </c>
      <c r="X255" s="382"/>
      <c r="Y255" s="375">
        <v>31</v>
      </c>
      <c r="Z255" s="413">
        <f>VLOOKUP(A255,'2021-22'!$A$6:$D$317,4,0)</f>
        <v>0</v>
      </c>
      <c r="AA255" s="413">
        <f>VLOOKUP(A255,'2021-22'!$A$6:$E$317,5,0)</f>
        <v>291322.62</v>
      </c>
      <c r="AB255" s="387">
        <f t="shared" si="30"/>
        <v>291322.62</v>
      </c>
      <c r="AC255" s="382"/>
      <c r="AD255" s="416">
        <v>28</v>
      </c>
      <c r="AE255" s="413">
        <v>0</v>
      </c>
      <c r="AF255" s="413">
        <v>265986.53999999998</v>
      </c>
      <c r="AG255" s="387">
        <f t="shared" si="31"/>
        <v>265986.53999999998</v>
      </c>
      <c r="AH255" s="557"/>
      <c r="AI255" s="387">
        <f>IFERROR(VLOOKUP(A255,'23-24 child count'!$C$4:$Y$317,23,0),0)</f>
        <v>34</v>
      </c>
      <c r="AJ255" s="387">
        <f>VLOOKUP(A255,'23-24 state &amp; local'!$A$5:$D$316,4,0)</f>
        <v>122536.89</v>
      </c>
      <c r="AK255" s="387">
        <f>VLOOKUP(A255,'23-24 state &amp; local'!$A$5:$E$316,5,0)</f>
        <v>413986.42</v>
      </c>
      <c r="AL255" s="387">
        <f t="shared" si="25"/>
        <v>536523.30999999994</v>
      </c>
      <c r="AM255" s="382"/>
    </row>
    <row r="256" spans="1:39" ht="15.75" hidden="1" thickBot="1" x14ac:dyDescent="0.3">
      <c r="A256" s="375" t="s">
        <v>690</v>
      </c>
      <c r="B256" s="375" t="s">
        <v>194</v>
      </c>
      <c r="C256" s="448" t="s">
        <v>691</v>
      </c>
      <c r="E256" s="461">
        <v>4744</v>
      </c>
      <c r="F256" s="468">
        <f>IFERROR(VLOOKUP(A256,'2017-18'!$A$6:$F$315,6,0),0)</f>
        <v>9179491.4299999997</v>
      </c>
      <c r="G256" s="468">
        <f>IFERROR(VLOOKUP(A256,'2017-18'!$A$6:$D$315,4,0),0)</f>
        <v>38034608.619999997</v>
      </c>
      <c r="H256" s="468">
        <f t="shared" si="26"/>
        <v>47214100.049999997</v>
      </c>
      <c r="I256" s="382"/>
      <c r="J256" s="462">
        <v>4843</v>
      </c>
      <c r="K256" s="468">
        <f>IFERROR(VLOOKUP(A256,'2018-19'!$A$6:$F$318,6,0),0)</f>
        <v>5358575.4400000004</v>
      </c>
      <c r="L256" s="468">
        <f>IFERROR(VLOOKUP(A256,'2018-19'!$A$6:$D$318,4,0),0)</f>
        <v>47702053.490000002</v>
      </c>
      <c r="M256" s="468">
        <f t="shared" si="27"/>
        <v>53060628.93</v>
      </c>
      <c r="N256" s="382"/>
      <c r="O256" s="452">
        <v>4808</v>
      </c>
      <c r="P256" s="387">
        <v>2116191.62</v>
      </c>
      <c r="Q256" s="387">
        <v>50699501.789999999</v>
      </c>
      <c r="R256" s="387">
        <v>52815693.409999996</v>
      </c>
      <c r="S256" s="382"/>
      <c r="T256" s="375">
        <f>VLOOKUP(A256,'Nov 2020 cc'!$B$3:$D$317,3,0)</f>
        <v>4656</v>
      </c>
      <c r="U256" s="387">
        <v>8951194.8499999996</v>
      </c>
      <c r="V256" s="387">
        <v>48122097.590000004</v>
      </c>
      <c r="W256" s="387">
        <v>57073292.440000005</v>
      </c>
      <c r="X256" s="382"/>
      <c r="Y256" s="375">
        <v>4723</v>
      </c>
      <c r="Z256" s="413">
        <f>VLOOKUP(A256,'2021-22'!$A$6:$D$317,4,0)</f>
        <v>8969202.1899999995</v>
      </c>
      <c r="AA256" s="413">
        <f>VLOOKUP(A256,'2021-22'!$A$6:$E$317,5,0)</f>
        <v>48313578.159999996</v>
      </c>
      <c r="AB256" s="387">
        <f t="shared" si="30"/>
        <v>57282780.349999994</v>
      </c>
      <c r="AC256" s="382"/>
      <c r="AD256" s="416">
        <v>4931</v>
      </c>
      <c r="AE256" s="413">
        <v>5723875.46</v>
      </c>
      <c r="AF256" s="413">
        <v>51666565.670000002</v>
      </c>
      <c r="AG256" s="387">
        <f t="shared" si="31"/>
        <v>57390441.130000003</v>
      </c>
      <c r="AH256" s="557"/>
      <c r="AI256" s="387">
        <f>IFERROR(VLOOKUP(A256,'23-24 child count'!$C$4:$Y$317,23,0),0)</f>
        <v>5260</v>
      </c>
      <c r="AJ256" s="387">
        <f>VLOOKUP(A256,'23-24 state &amp; local'!$A$5:$D$316,4,0)</f>
        <v>3265786.29</v>
      </c>
      <c r="AK256" s="387">
        <f>VLOOKUP(A256,'23-24 state &amp; local'!$A$5:$E$316,5,0)</f>
        <v>62858700.969999999</v>
      </c>
      <c r="AL256" s="387">
        <f t="shared" si="25"/>
        <v>66124487.259999998</v>
      </c>
      <c r="AM256" s="382"/>
    </row>
    <row r="257" spans="1:39" ht="15.75" hidden="1" thickBot="1" x14ac:dyDescent="0.3">
      <c r="A257" s="375" t="s">
        <v>692</v>
      </c>
      <c r="B257" s="375" t="s">
        <v>194</v>
      </c>
      <c r="C257" s="448" t="s">
        <v>1259</v>
      </c>
      <c r="D257" s="375" t="s">
        <v>1372</v>
      </c>
      <c r="E257" s="461">
        <v>39</v>
      </c>
      <c r="F257" s="468">
        <f>IFERROR(VLOOKUP(A257,'2017-18'!$A$6:$F$315,6,0),0)</f>
        <v>0</v>
      </c>
      <c r="G257" s="468">
        <f>IFERROR(VLOOKUP(A257,'2017-18'!$A$6:$D$315,4,0),0)</f>
        <v>271805.34000000003</v>
      </c>
      <c r="H257" s="468">
        <f t="shared" si="26"/>
        <v>271805.34000000003</v>
      </c>
      <c r="I257" s="382"/>
      <c r="J257" s="462">
        <v>57</v>
      </c>
      <c r="K257" s="468">
        <f>IFERROR(VLOOKUP(A257,'2018-19'!$A$6:$F$318,6,0),0)</f>
        <v>0</v>
      </c>
      <c r="L257" s="468">
        <f>IFERROR(VLOOKUP(A257,'2018-19'!$A$6:$D$318,4,0),0)</f>
        <v>354866.34</v>
      </c>
      <c r="M257" s="468">
        <f t="shared" si="27"/>
        <v>354866.34</v>
      </c>
      <c r="N257" s="382"/>
      <c r="O257" s="452">
        <v>56</v>
      </c>
      <c r="P257" s="387">
        <v>0</v>
      </c>
      <c r="Q257" s="387">
        <v>460168.03</v>
      </c>
      <c r="R257" s="387">
        <v>460168.03</v>
      </c>
      <c r="S257" s="382"/>
      <c r="T257" s="375">
        <f>VLOOKUP(A257,'Nov 2020 cc'!$B$3:$D$317,3,0)</f>
        <v>65</v>
      </c>
      <c r="U257" s="387">
        <v>0</v>
      </c>
      <c r="V257" s="387">
        <v>551642.74</v>
      </c>
      <c r="W257" s="387">
        <v>551642.74</v>
      </c>
      <c r="X257" s="382"/>
      <c r="Y257" s="375">
        <v>78</v>
      </c>
      <c r="Z257" s="413">
        <f>VLOOKUP(A257,'2021-22'!$A$6:$D$317,4,0)</f>
        <v>0</v>
      </c>
      <c r="AA257" s="413">
        <f>VLOOKUP(A257,'2021-22'!$A$6:$E$317,5,0)</f>
        <v>678447.87</v>
      </c>
      <c r="AB257" s="387">
        <f t="shared" si="30"/>
        <v>678447.87</v>
      </c>
      <c r="AC257" s="382"/>
      <c r="AD257" s="416">
        <v>79</v>
      </c>
      <c r="AE257" s="413">
        <v>0</v>
      </c>
      <c r="AF257" s="413">
        <v>725815.7</v>
      </c>
      <c r="AG257" s="387">
        <f t="shared" si="31"/>
        <v>725815.7</v>
      </c>
      <c r="AH257" s="557"/>
      <c r="AI257" s="387">
        <f>IFERROR(VLOOKUP(A257,'23-24 child count'!$C$4:$Y$317,23,0),0)</f>
        <v>49</v>
      </c>
      <c r="AJ257" s="387">
        <f>VLOOKUP(A257,'23-24 state &amp; local'!$A$5:$D$316,4,0)</f>
        <v>0</v>
      </c>
      <c r="AK257" s="387">
        <f>VLOOKUP(A257,'23-24 state &amp; local'!$A$5:$E$316,5,0)</f>
        <v>786765.84</v>
      </c>
      <c r="AL257" s="387">
        <f t="shared" si="25"/>
        <v>786765.84</v>
      </c>
      <c r="AM257" s="382"/>
    </row>
    <row r="258" spans="1:39" ht="15.75" hidden="1" thickBot="1" x14ac:dyDescent="0.3">
      <c r="A258" s="375" t="s">
        <v>694</v>
      </c>
      <c r="B258" s="375" t="s">
        <v>194</v>
      </c>
      <c r="C258" s="448" t="s">
        <v>695</v>
      </c>
      <c r="E258" s="461">
        <v>6</v>
      </c>
      <c r="F258" s="468">
        <f>IFERROR(VLOOKUP(A258,'2017-18'!$A$6:$F$315,6,0),0)</f>
        <v>0</v>
      </c>
      <c r="G258" s="468">
        <f>IFERROR(VLOOKUP(A258,'2017-18'!$A$6:$D$315,4,0),0)</f>
        <v>120608.6</v>
      </c>
      <c r="H258" s="468">
        <f t="shared" si="26"/>
        <v>120608.6</v>
      </c>
      <c r="I258" s="382"/>
      <c r="J258" s="462">
        <v>13</v>
      </c>
      <c r="K258" s="468">
        <f>IFERROR(VLOOKUP(A258,'2018-19'!$A$6:$F$318,6,0),0)</f>
        <v>0</v>
      </c>
      <c r="L258" s="468">
        <f>IFERROR(VLOOKUP(A258,'2018-19'!$A$6:$D$318,4,0),0)</f>
        <v>147034.48000000001</v>
      </c>
      <c r="M258" s="468">
        <f t="shared" si="27"/>
        <v>147034.48000000001</v>
      </c>
      <c r="N258" s="382"/>
      <c r="O258" s="452">
        <v>11</v>
      </c>
      <c r="P258" s="387">
        <v>0</v>
      </c>
      <c r="Q258" s="387">
        <v>125378.32</v>
      </c>
      <c r="R258" s="387">
        <v>125378.32</v>
      </c>
      <c r="S258" s="382"/>
      <c r="T258" s="375">
        <f>VLOOKUP(A258,'Nov 2020 cc'!$B$3:$D$317,3,0)</f>
        <v>11</v>
      </c>
      <c r="U258" s="387">
        <v>0</v>
      </c>
      <c r="V258" s="387">
        <v>135764.09</v>
      </c>
      <c r="W258" s="387">
        <v>135764.09</v>
      </c>
      <c r="X258" s="382"/>
      <c r="Y258" s="375">
        <v>14</v>
      </c>
      <c r="Z258" s="413">
        <f>VLOOKUP(A258,'2021-22'!$A$6:$D$317,4,0)</f>
        <v>0</v>
      </c>
      <c r="AA258" s="413">
        <f>VLOOKUP(A258,'2021-22'!$A$6:$E$317,5,0)</f>
        <v>166823.67000000001</v>
      </c>
      <c r="AB258" s="387">
        <f t="shared" si="30"/>
        <v>166823.67000000001</v>
      </c>
      <c r="AC258" s="382"/>
      <c r="AD258" s="416">
        <v>15</v>
      </c>
      <c r="AE258" s="413">
        <v>0</v>
      </c>
      <c r="AF258" s="413">
        <v>182270.24</v>
      </c>
      <c r="AG258" s="387">
        <f t="shared" si="31"/>
        <v>182270.24</v>
      </c>
      <c r="AH258" s="557"/>
      <c r="AI258" s="387">
        <f>IFERROR(VLOOKUP(A258,'23-24 child count'!$C$4:$Y$317,23,0),0)</f>
        <v>14</v>
      </c>
      <c r="AJ258" s="387">
        <f>VLOOKUP(A258,'23-24 state &amp; local'!$A$5:$D$316,4,0)</f>
        <v>0</v>
      </c>
      <c r="AK258" s="387">
        <f>VLOOKUP(A258,'23-24 state &amp; local'!$A$5:$E$316,5,0)</f>
        <v>187211.95</v>
      </c>
      <c r="AL258" s="387">
        <f t="shared" si="25"/>
        <v>187211.95</v>
      </c>
      <c r="AM258" s="382"/>
    </row>
    <row r="259" spans="1:39" ht="15.75" hidden="1" thickBot="1" x14ac:dyDescent="0.3">
      <c r="A259" s="375" t="s">
        <v>696</v>
      </c>
      <c r="B259" s="375" t="s">
        <v>194</v>
      </c>
      <c r="C259" s="448" t="s">
        <v>1204</v>
      </c>
      <c r="E259" s="461">
        <v>12</v>
      </c>
      <c r="F259" s="468">
        <f>IFERROR(VLOOKUP(A259,'2017-18'!$A$6:$F$315,6,0),0)</f>
        <v>0</v>
      </c>
      <c r="G259" s="468">
        <f>IFERROR(VLOOKUP(A259,'2017-18'!$A$6:$D$315,4,0),0)</f>
        <v>133130.67000000001</v>
      </c>
      <c r="H259" s="468">
        <f t="shared" si="26"/>
        <v>133130.67000000001</v>
      </c>
      <c r="I259" s="382"/>
      <c r="J259" s="462">
        <v>14</v>
      </c>
      <c r="K259" s="468">
        <f>IFERROR(VLOOKUP(A259,'2018-19'!$A$6:$F$318,6,0),0)</f>
        <v>0</v>
      </c>
      <c r="L259" s="468">
        <f>IFERROR(VLOOKUP(A259,'2018-19'!$A$6:$D$318,4,0),0)</f>
        <v>164398.43</v>
      </c>
      <c r="M259" s="468">
        <f t="shared" si="27"/>
        <v>164398.43</v>
      </c>
      <c r="N259" s="382"/>
      <c r="O259" s="452">
        <v>14</v>
      </c>
      <c r="P259" s="387">
        <v>0</v>
      </c>
      <c r="Q259" s="387">
        <v>143892.69</v>
      </c>
      <c r="R259" s="387">
        <v>143892.69</v>
      </c>
      <c r="S259" s="382"/>
      <c r="T259" s="375">
        <f>VLOOKUP(A259,'Nov 2020 cc'!$B$3:$D$317,3,0)</f>
        <v>16</v>
      </c>
      <c r="U259" s="387">
        <v>0</v>
      </c>
      <c r="V259" s="387">
        <v>163928.12</v>
      </c>
      <c r="W259" s="387">
        <v>163928.12</v>
      </c>
      <c r="X259" s="382"/>
      <c r="Y259" s="375">
        <v>14</v>
      </c>
      <c r="Z259" s="413">
        <f>VLOOKUP(A259,'2021-22'!$A$6:$D$317,4,0)</f>
        <v>0</v>
      </c>
      <c r="AA259" s="413">
        <f>VLOOKUP(A259,'2021-22'!$A$6:$E$317,5,0)</f>
        <v>170870.33</v>
      </c>
      <c r="AB259" s="387">
        <f t="shared" si="30"/>
        <v>170870.33</v>
      </c>
      <c r="AC259" s="382"/>
      <c r="AD259" s="416">
        <v>18</v>
      </c>
      <c r="AE259" s="413">
        <v>0</v>
      </c>
      <c r="AF259" s="413">
        <v>185753.43</v>
      </c>
      <c r="AG259" s="387">
        <f t="shared" si="31"/>
        <v>185753.43</v>
      </c>
      <c r="AH259" s="557"/>
      <c r="AI259" s="387">
        <f>IFERROR(VLOOKUP(A259,'23-24 child count'!$C$4:$Y$317,23,0),0)</f>
        <v>17</v>
      </c>
      <c r="AJ259" s="387">
        <f>VLOOKUP(A259,'23-24 state &amp; local'!$A$5:$D$316,4,0)</f>
        <v>0</v>
      </c>
      <c r="AK259" s="387">
        <f>VLOOKUP(A259,'23-24 state &amp; local'!$A$5:$E$316,5,0)</f>
        <v>261479.42</v>
      </c>
      <c r="AL259" s="387">
        <f t="shared" si="25"/>
        <v>261479.42</v>
      </c>
      <c r="AM259" s="382"/>
    </row>
    <row r="260" spans="1:39" ht="15.75" hidden="1" thickBot="1" x14ac:dyDescent="0.3">
      <c r="A260" s="375" t="s">
        <v>698</v>
      </c>
      <c r="B260" s="375" t="s">
        <v>197</v>
      </c>
      <c r="C260" s="448" t="s">
        <v>699</v>
      </c>
      <c r="E260" s="461">
        <v>644</v>
      </c>
      <c r="F260" s="468">
        <f>IFERROR(VLOOKUP(A260,'2017-18'!$A$6:$F$315,6,0),0)</f>
        <v>0</v>
      </c>
      <c r="G260" s="468">
        <f>IFERROR(VLOOKUP(A260,'2017-18'!$A$6:$D$315,4,0),0)</f>
        <v>8069540.6299999999</v>
      </c>
      <c r="H260" s="468">
        <f t="shared" si="26"/>
        <v>8069540.6299999999</v>
      </c>
      <c r="I260" s="382"/>
      <c r="J260" s="462">
        <v>645</v>
      </c>
      <c r="K260" s="468">
        <f>IFERROR(VLOOKUP(A260,'2018-19'!$A$6:$F$318,6,0),0)</f>
        <v>0</v>
      </c>
      <c r="L260" s="468">
        <f>IFERROR(VLOOKUP(A260,'2018-19'!$A$6:$D$318,4,0),0)</f>
        <v>9471937.2200000007</v>
      </c>
      <c r="M260" s="468">
        <f t="shared" si="27"/>
        <v>9471937.2200000007</v>
      </c>
      <c r="N260" s="382"/>
      <c r="O260" s="452">
        <v>707</v>
      </c>
      <c r="P260" s="387">
        <v>0</v>
      </c>
      <c r="Q260" s="387">
        <v>10480035.369999999</v>
      </c>
      <c r="R260" s="387">
        <v>10480035.369999999</v>
      </c>
      <c r="S260" s="382"/>
      <c r="T260" s="375">
        <f>VLOOKUP(A260,'Nov 2020 cc'!$B$3:$D$317,3,0)</f>
        <v>699</v>
      </c>
      <c r="U260" s="387">
        <v>0</v>
      </c>
      <c r="V260" s="387">
        <v>11227348.35</v>
      </c>
      <c r="W260" s="387">
        <v>11227348.35</v>
      </c>
      <c r="X260" s="382"/>
      <c r="Y260" s="375">
        <v>683</v>
      </c>
      <c r="Z260" s="413">
        <f>VLOOKUP(A260,'2021-22'!$A$6:$D$317,4,0)</f>
        <v>0</v>
      </c>
      <c r="AA260" s="413">
        <f>VLOOKUP(A260,'2021-22'!$A$6:$E$317,5,0)</f>
        <v>12429947.23</v>
      </c>
      <c r="AB260" s="387">
        <f t="shared" si="30"/>
        <v>12429947.23</v>
      </c>
      <c r="AC260" s="382"/>
      <c r="AD260" s="416">
        <v>731</v>
      </c>
      <c r="AE260" s="413">
        <v>8125</v>
      </c>
      <c r="AF260" s="413">
        <v>14057224.390000001</v>
      </c>
      <c r="AG260" s="387">
        <f t="shared" si="31"/>
        <v>14065349.390000001</v>
      </c>
      <c r="AH260" s="557"/>
      <c r="AI260" s="387">
        <f>IFERROR(VLOOKUP(A260,'23-24 child count'!$C$4:$Y$317,23,0),0)</f>
        <v>757</v>
      </c>
      <c r="AJ260" s="387">
        <f>VLOOKUP(A260,'23-24 state &amp; local'!$A$5:$D$316,4,0)</f>
        <v>263378.56</v>
      </c>
      <c r="AK260" s="387">
        <f>VLOOKUP(A260,'23-24 state &amp; local'!$A$5:$E$316,5,0)</f>
        <v>15218258.619999999</v>
      </c>
      <c r="AL260" s="387">
        <f t="shared" si="25"/>
        <v>15481637.18</v>
      </c>
      <c r="AM260" s="382"/>
    </row>
    <row r="261" spans="1:39" ht="15.75" hidden="1" thickBot="1" x14ac:dyDescent="0.3">
      <c r="A261" s="375" t="s">
        <v>700</v>
      </c>
      <c r="B261" s="375" t="s">
        <v>202</v>
      </c>
      <c r="C261" s="448" t="s">
        <v>701</v>
      </c>
      <c r="E261" s="461">
        <v>3</v>
      </c>
      <c r="F261" s="468">
        <f>IFERROR(VLOOKUP(A261,'2017-18'!$A$6:$F$315,6,0),0)</f>
        <v>6715.82</v>
      </c>
      <c r="G261" s="468">
        <f>IFERROR(VLOOKUP(A261,'2017-18'!$A$6:$D$315,4,0),0)</f>
        <v>11504.66</v>
      </c>
      <c r="H261" s="468">
        <f t="shared" si="26"/>
        <v>18220.48</v>
      </c>
      <c r="I261" s="382"/>
      <c r="J261" s="462">
        <v>3</v>
      </c>
      <c r="K261" s="468">
        <f>IFERROR(VLOOKUP(A261,'2018-19'!$A$6:$F$318,6,0),0)</f>
        <v>0</v>
      </c>
      <c r="L261" s="468">
        <f>IFERROR(VLOOKUP(A261,'2018-19'!$A$6:$D$318,4,0),0)</f>
        <v>5483.94</v>
      </c>
      <c r="M261" s="468">
        <f t="shared" si="27"/>
        <v>5483.94</v>
      </c>
      <c r="N261" s="382"/>
      <c r="O261" s="452">
        <v>0</v>
      </c>
      <c r="P261" s="387">
        <v>0</v>
      </c>
      <c r="Q261" s="387">
        <v>0</v>
      </c>
      <c r="R261" s="387">
        <v>0</v>
      </c>
      <c r="S261" s="382"/>
      <c r="T261" s="375">
        <f>VLOOKUP(A261,'Nov 2020 cc'!$B$3:$D$317,3,0)</f>
        <v>0</v>
      </c>
      <c r="U261" s="387">
        <v>0</v>
      </c>
      <c r="V261" s="387">
        <v>0</v>
      </c>
      <c r="W261" s="387">
        <v>0</v>
      </c>
      <c r="X261" s="382"/>
      <c r="Y261" s="375">
        <v>0</v>
      </c>
      <c r="Z261" s="413">
        <v>0</v>
      </c>
      <c r="AA261" s="413">
        <v>0</v>
      </c>
      <c r="AB261" s="387">
        <f t="shared" si="30"/>
        <v>0</v>
      </c>
      <c r="AC261" s="382"/>
      <c r="AD261" s="416">
        <v>0</v>
      </c>
      <c r="AE261" s="413">
        <v>0</v>
      </c>
      <c r="AF261" s="413">
        <v>2716.45</v>
      </c>
      <c r="AG261" s="387">
        <f t="shared" si="31"/>
        <v>2716.45</v>
      </c>
      <c r="AH261" s="557"/>
      <c r="AI261" s="387">
        <f>IFERROR(VLOOKUP(A261,'23-24 child count'!$C$4:$Y$317,23,0),0)</f>
        <v>0</v>
      </c>
      <c r="AJ261" s="387">
        <f>VLOOKUP(A261,'23-24 state &amp; local'!$A$5:$D$316,4,0)</f>
        <v>0</v>
      </c>
      <c r="AK261" s="387">
        <f>VLOOKUP(A261,'23-24 state &amp; local'!$A$5:$E$316,5,0)</f>
        <v>37.5</v>
      </c>
      <c r="AL261" s="387">
        <f t="shared" ref="AL261:AL324" si="32">AJ261+AK261</f>
        <v>37.5</v>
      </c>
      <c r="AM261" s="382"/>
    </row>
    <row r="262" spans="1:39" ht="15.75" hidden="1" thickBot="1" x14ac:dyDescent="0.3">
      <c r="A262" s="375" t="s">
        <v>702</v>
      </c>
      <c r="B262" s="375" t="s">
        <v>202</v>
      </c>
      <c r="C262" s="448" t="s">
        <v>703</v>
      </c>
      <c r="E262" s="461">
        <v>0</v>
      </c>
      <c r="F262" s="468">
        <f>IFERROR(VLOOKUP(A262,'2017-18'!$A$6:$F$315,6,0),0)</f>
        <v>1987.5</v>
      </c>
      <c r="G262" s="468">
        <f>IFERROR(VLOOKUP(A262,'2017-18'!$A$6:$D$315,4,0),0)</f>
        <v>0</v>
      </c>
      <c r="H262" s="468">
        <f t="shared" si="26"/>
        <v>1987.5</v>
      </c>
      <c r="I262" s="382"/>
      <c r="J262" s="462">
        <v>4</v>
      </c>
      <c r="K262" s="468">
        <f>IFERROR(VLOOKUP(A262,'2018-19'!$A$6:$F$318,6,0),0)</f>
        <v>0</v>
      </c>
      <c r="L262" s="468">
        <f>IFERROR(VLOOKUP(A262,'2018-19'!$A$6:$D$318,4,0),0)</f>
        <v>29744.1</v>
      </c>
      <c r="M262" s="468">
        <f t="shared" si="27"/>
        <v>29744.1</v>
      </c>
      <c r="N262" s="382"/>
      <c r="O262" s="452">
        <v>5</v>
      </c>
      <c r="P262" s="387">
        <v>0</v>
      </c>
      <c r="Q262" s="387">
        <v>33562.04</v>
      </c>
      <c r="R262" s="387">
        <v>33562.04</v>
      </c>
      <c r="S262" s="382"/>
      <c r="T262" s="375">
        <f>VLOOKUP(A262,'Nov 2020 cc'!$B$3:$D$317,3,0)</f>
        <v>2</v>
      </c>
      <c r="U262" s="387">
        <v>0</v>
      </c>
      <c r="V262" s="387">
        <v>39613.370000000003</v>
      </c>
      <c r="W262" s="387">
        <v>39613.370000000003</v>
      </c>
      <c r="X262" s="382"/>
      <c r="Y262" s="375">
        <v>1</v>
      </c>
      <c r="Z262" s="413">
        <f>VLOOKUP(A262,'2021-22'!$A$6:$D$317,4,0)</f>
        <v>0</v>
      </c>
      <c r="AA262" s="413">
        <f>VLOOKUP(A262,'2021-22'!$A$6:$E$317,5,0)</f>
        <v>271237.99</v>
      </c>
      <c r="AB262" s="387">
        <f t="shared" si="30"/>
        <v>271237.99</v>
      </c>
      <c r="AC262" s="382"/>
      <c r="AD262" s="416">
        <v>0</v>
      </c>
      <c r="AE262" s="413">
        <v>0</v>
      </c>
      <c r="AF262" s="413">
        <v>513156.55</v>
      </c>
      <c r="AG262" s="387">
        <f t="shared" si="31"/>
        <v>513156.55</v>
      </c>
      <c r="AH262" s="557"/>
      <c r="AI262" s="387">
        <f>IFERROR(VLOOKUP(A262,'23-24 child count'!$C$4:$Y$317,23,0),0)</f>
        <v>109</v>
      </c>
      <c r="AJ262" s="387">
        <f>VLOOKUP(A262,'23-24 state &amp; local'!$A$5:$D$316,4,0)</f>
        <v>0</v>
      </c>
      <c r="AK262" s="387">
        <f>VLOOKUP(A262,'23-24 state &amp; local'!$A$5:$E$316,5,0)</f>
        <v>994078.03</v>
      </c>
      <c r="AL262" s="387">
        <f t="shared" si="32"/>
        <v>994078.03</v>
      </c>
      <c r="AM262" s="382"/>
    </row>
    <row r="263" spans="1:39" ht="15.75" hidden="1" thickBot="1" x14ac:dyDescent="0.3">
      <c r="A263" s="606" t="s">
        <v>704</v>
      </c>
      <c r="B263" s="606" t="s">
        <v>231</v>
      </c>
      <c r="C263" s="607" t="s">
        <v>1502</v>
      </c>
      <c r="D263" s="606"/>
      <c r="E263" s="608">
        <v>0</v>
      </c>
      <c r="F263" s="609">
        <f>IFERROR(VLOOKUP(A263,'2017-18'!$A$6:$F$315,6,0),0)</f>
        <v>0</v>
      </c>
      <c r="G263" s="609">
        <f>IFERROR(VLOOKUP(A263,'2017-18'!$A$6:$D$315,4,0),0)</f>
        <v>0</v>
      </c>
      <c r="H263" s="609">
        <f t="shared" ref="H263:H324" si="33">F263+G263</f>
        <v>0</v>
      </c>
      <c r="I263" s="610"/>
      <c r="J263" s="611">
        <v>0</v>
      </c>
      <c r="K263" s="609">
        <f>IFERROR(VLOOKUP(A263,'2018-19'!$A$6:$F$318,6,0),0)</f>
        <v>0</v>
      </c>
      <c r="L263" s="609">
        <f>IFERROR(VLOOKUP(A263,'2018-19'!$A$6:$D$318,4,0),0)</f>
        <v>0</v>
      </c>
      <c r="M263" s="609">
        <f t="shared" si="27"/>
        <v>0</v>
      </c>
      <c r="N263" s="610"/>
      <c r="O263" s="612">
        <v>0</v>
      </c>
      <c r="P263" s="613">
        <v>0</v>
      </c>
      <c r="Q263" s="613">
        <v>0</v>
      </c>
      <c r="R263" s="613">
        <v>0</v>
      </c>
      <c r="S263" s="610"/>
      <c r="T263" s="606">
        <f>VLOOKUP(A263,'Nov 2020 cc'!$B$3:$D$317,3,0)</f>
        <v>0</v>
      </c>
      <c r="U263" s="613">
        <v>0</v>
      </c>
      <c r="V263" s="613">
        <v>0</v>
      </c>
      <c r="W263" s="613">
        <v>0</v>
      </c>
      <c r="X263" s="610"/>
      <c r="Y263" s="606">
        <v>0</v>
      </c>
      <c r="Z263" s="614">
        <v>0</v>
      </c>
      <c r="AA263" s="614">
        <v>0</v>
      </c>
      <c r="AB263" s="613">
        <f t="shared" si="30"/>
        <v>0</v>
      </c>
      <c r="AC263" s="610"/>
      <c r="AD263" s="615">
        <v>0</v>
      </c>
      <c r="AE263" s="614">
        <v>0</v>
      </c>
      <c r="AF263" s="614">
        <v>0</v>
      </c>
      <c r="AG263" s="613">
        <f t="shared" si="31"/>
        <v>0</v>
      </c>
      <c r="AH263" s="616"/>
      <c r="AI263" s="613">
        <f>IFERROR(VLOOKUP(A263,'23-24 child count'!$C$4:$Y$317,23,0),0)</f>
        <v>0</v>
      </c>
      <c r="AJ263" s="613">
        <v>0</v>
      </c>
      <c r="AK263" s="613">
        <v>0</v>
      </c>
      <c r="AL263" s="387">
        <f t="shared" si="32"/>
        <v>0</v>
      </c>
      <c r="AM263" s="382"/>
    </row>
    <row r="264" spans="1:39" ht="15.75" hidden="1" thickBot="1" x14ac:dyDescent="0.3">
      <c r="A264" s="375" t="s">
        <v>706</v>
      </c>
      <c r="B264" s="375" t="s">
        <v>205</v>
      </c>
      <c r="C264" s="448" t="s">
        <v>1205</v>
      </c>
      <c r="E264" s="461">
        <v>387</v>
      </c>
      <c r="F264" s="468">
        <f>IFERROR(VLOOKUP(A264,'2017-18'!$A$6:$F$315,6,0),0)</f>
        <v>0</v>
      </c>
      <c r="G264" s="468">
        <f>IFERROR(VLOOKUP(A264,'2017-18'!$A$6:$D$315,4,0),0)</f>
        <v>3763078.76</v>
      </c>
      <c r="H264" s="468">
        <f t="shared" si="33"/>
        <v>3763078.76</v>
      </c>
      <c r="I264" s="382"/>
      <c r="J264" s="462">
        <v>405</v>
      </c>
      <c r="K264" s="468">
        <f>IFERROR(VLOOKUP(A264,'2018-19'!$A$6:$F$318,6,0),0)</f>
        <v>0</v>
      </c>
      <c r="L264" s="468">
        <f>IFERROR(VLOOKUP(A264,'2018-19'!$A$6:$D$318,4,0),0)</f>
        <v>4544675.67</v>
      </c>
      <c r="M264" s="468">
        <f t="shared" ref="M264:M324" si="34">K264+L264</f>
        <v>4544675.67</v>
      </c>
      <c r="N264" s="382"/>
      <c r="O264" s="452">
        <v>443</v>
      </c>
      <c r="P264" s="387">
        <v>0</v>
      </c>
      <c r="Q264" s="387">
        <v>5008961.54</v>
      </c>
      <c r="R264" s="387">
        <v>5008961.54</v>
      </c>
      <c r="S264" s="382"/>
      <c r="T264" s="375">
        <f>VLOOKUP(A264,'Nov 2020 cc'!$B$3:$D$317,3,0)</f>
        <v>414</v>
      </c>
      <c r="U264" s="387">
        <v>475972.43</v>
      </c>
      <c r="V264" s="387">
        <v>4694247.47</v>
      </c>
      <c r="W264" s="387">
        <v>5170219.8999999994</v>
      </c>
      <c r="X264" s="382"/>
      <c r="Y264" s="375">
        <v>428</v>
      </c>
      <c r="Z264" s="413">
        <f>VLOOKUP(A264,'2021-22'!$A$6:$D$317,4,0)</f>
        <v>964842.95</v>
      </c>
      <c r="AA264" s="413">
        <f>VLOOKUP(A264,'2021-22'!$A$6:$E$317,5,0)</f>
        <v>4830793</v>
      </c>
      <c r="AB264" s="387">
        <f t="shared" si="30"/>
        <v>5795635.9500000002</v>
      </c>
      <c r="AC264" s="382"/>
      <c r="AD264" s="416">
        <v>421</v>
      </c>
      <c r="AE264" s="413">
        <v>524467.76</v>
      </c>
      <c r="AF264" s="413">
        <v>5300027.51</v>
      </c>
      <c r="AG264" s="387">
        <f t="shared" si="31"/>
        <v>5824495.2699999996</v>
      </c>
      <c r="AH264" s="557"/>
      <c r="AI264" s="387">
        <f>IFERROR(VLOOKUP(A264,'23-24 child count'!$C$4:$Y$317,23,0),0)</f>
        <v>440</v>
      </c>
      <c r="AJ264" s="387">
        <f>VLOOKUP(A264,'23-24 state &amp; local'!$A$5:$D$316,4,0)</f>
        <v>469514.62</v>
      </c>
      <c r="AK264" s="387">
        <f>VLOOKUP(A264,'23-24 state &amp; local'!$A$5:$E$316,5,0)</f>
        <v>5976798.1100000003</v>
      </c>
      <c r="AL264" s="387">
        <f t="shared" si="32"/>
        <v>6446312.7300000004</v>
      </c>
      <c r="AM264" s="382"/>
    </row>
    <row r="265" spans="1:39" ht="15.75" hidden="1" thickBot="1" x14ac:dyDescent="0.3">
      <c r="A265" s="375" t="s">
        <v>708</v>
      </c>
      <c r="B265" s="375" t="s">
        <v>194</v>
      </c>
      <c r="C265" s="448" t="s">
        <v>709</v>
      </c>
      <c r="E265" s="461">
        <v>7</v>
      </c>
      <c r="F265" s="468">
        <f>IFERROR(VLOOKUP(A265,'2017-18'!$A$6:$F$315,6,0),0)</f>
        <v>0</v>
      </c>
      <c r="G265" s="468">
        <f>IFERROR(VLOOKUP(A265,'2017-18'!$A$6:$D$315,4,0),0)</f>
        <v>41985.68</v>
      </c>
      <c r="H265" s="468">
        <f t="shared" si="33"/>
        <v>41985.68</v>
      </c>
      <c r="I265" s="382"/>
      <c r="J265" s="462">
        <v>7</v>
      </c>
      <c r="K265" s="468">
        <f>IFERROR(VLOOKUP(A265,'2018-19'!$A$6:$F$318,6,0),0)</f>
        <v>0</v>
      </c>
      <c r="L265" s="468">
        <f>IFERROR(VLOOKUP(A265,'2018-19'!$A$6:$D$318,4,0),0)</f>
        <v>32648.74</v>
      </c>
      <c r="M265" s="468">
        <f t="shared" si="34"/>
        <v>32648.74</v>
      </c>
      <c r="N265" s="382"/>
      <c r="O265" s="452">
        <v>8</v>
      </c>
      <c r="P265" s="387">
        <v>0</v>
      </c>
      <c r="Q265" s="387">
        <v>47212.04</v>
      </c>
      <c r="R265" s="387">
        <v>47212.04</v>
      </c>
      <c r="S265" s="382"/>
      <c r="T265" s="375">
        <f>VLOOKUP(A265,'Nov 2020 cc'!$B$3:$D$317,3,0)</f>
        <v>6</v>
      </c>
      <c r="U265" s="387">
        <v>0</v>
      </c>
      <c r="V265" s="387">
        <v>52175.06</v>
      </c>
      <c r="W265" s="387">
        <v>52175.06</v>
      </c>
      <c r="X265" s="382"/>
      <c r="Y265" s="375">
        <v>7</v>
      </c>
      <c r="Z265" s="413">
        <f>VLOOKUP(A265,'2021-22'!$A$6:$D$317,4,0)</f>
        <v>0</v>
      </c>
      <c r="AA265" s="413">
        <f>VLOOKUP(A265,'2021-22'!$A$6:$E$317,5,0)</f>
        <v>48793.69</v>
      </c>
      <c r="AB265" s="387">
        <f t="shared" si="30"/>
        <v>48793.69</v>
      </c>
      <c r="AC265" s="382"/>
      <c r="AD265" s="416">
        <v>4</v>
      </c>
      <c r="AE265" s="413">
        <v>0</v>
      </c>
      <c r="AF265" s="413">
        <v>54778.46</v>
      </c>
      <c r="AG265" s="387">
        <f t="shared" si="31"/>
        <v>54778.46</v>
      </c>
      <c r="AH265" s="557"/>
      <c r="AI265" s="387">
        <f>IFERROR(VLOOKUP(A265,'23-24 child count'!$C$4:$Y$317,23,0),0)</f>
        <v>7</v>
      </c>
      <c r="AJ265" s="387">
        <f>VLOOKUP(A265,'23-24 state &amp; local'!$A$5:$D$316,4,0)</f>
        <v>0</v>
      </c>
      <c r="AK265" s="387">
        <f>VLOOKUP(A265,'23-24 state &amp; local'!$A$5:$E$316,5,0)</f>
        <v>60504.42</v>
      </c>
      <c r="AL265" s="387">
        <f t="shared" si="32"/>
        <v>60504.42</v>
      </c>
      <c r="AM265" s="382"/>
    </row>
    <row r="266" spans="1:39" ht="15.75" hidden="1" thickBot="1" x14ac:dyDescent="0.3">
      <c r="A266" s="375" t="s">
        <v>710</v>
      </c>
      <c r="B266" s="375" t="s">
        <v>210</v>
      </c>
      <c r="C266" s="448" t="s">
        <v>711</v>
      </c>
      <c r="D266" s="375" t="s">
        <v>819</v>
      </c>
      <c r="E266" s="461">
        <v>150</v>
      </c>
      <c r="F266" s="468">
        <f>IFERROR(VLOOKUP(A266,'2017-18'!$A$6:$F$315,6,0),0)</f>
        <v>0</v>
      </c>
      <c r="G266" s="468">
        <f>IFERROR(VLOOKUP(A266,'2017-18'!$A$6:$D$315,4,0),0)</f>
        <v>1178357.67</v>
      </c>
      <c r="H266" s="468">
        <f t="shared" si="33"/>
        <v>1178357.67</v>
      </c>
      <c r="I266" s="382"/>
      <c r="J266" s="462">
        <v>164</v>
      </c>
      <c r="K266" s="468">
        <f>IFERROR(VLOOKUP(A266,'2018-19'!$A$6:$F$318,6,0),0)</f>
        <v>0</v>
      </c>
      <c r="L266" s="468">
        <f>IFERROR(VLOOKUP(A266,'2018-19'!$A$6:$D$318,4,0),0)</f>
        <v>1381756.82</v>
      </c>
      <c r="M266" s="468">
        <f t="shared" si="34"/>
        <v>1381756.82</v>
      </c>
      <c r="N266" s="382"/>
      <c r="O266" s="452">
        <v>159</v>
      </c>
      <c r="P266" s="387">
        <v>0</v>
      </c>
      <c r="Q266" s="387">
        <v>1423619.37</v>
      </c>
      <c r="R266" s="387">
        <v>1423619.37</v>
      </c>
      <c r="S266" s="382"/>
      <c r="T266" s="375">
        <f>VLOOKUP(A266,'Nov 2020 cc'!$B$3:$D$317,3,0)</f>
        <v>143</v>
      </c>
      <c r="U266" s="387">
        <v>0</v>
      </c>
      <c r="V266" s="387">
        <v>1401999.4</v>
      </c>
      <c r="W266" s="387">
        <v>1401999.4</v>
      </c>
      <c r="X266" s="382"/>
      <c r="Y266" s="375">
        <v>135</v>
      </c>
      <c r="Z266" s="413">
        <f>VLOOKUP(A266,'2021-22'!$A$6:$D$317,4,0)</f>
        <v>0</v>
      </c>
      <c r="AA266" s="413">
        <f>VLOOKUP(A266,'2021-22'!$A$6:$E$317,5,0)</f>
        <v>1350476.42</v>
      </c>
      <c r="AB266" s="387">
        <f t="shared" si="30"/>
        <v>1350476.42</v>
      </c>
      <c r="AC266" s="382"/>
      <c r="AD266" s="416">
        <v>136</v>
      </c>
      <c r="AE266" s="413">
        <v>0</v>
      </c>
      <c r="AF266" s="413">
        <v>1379803.61</v>
      </c>
      <c r="AG266" s="387">
        <f t="shared" si="31"/>
        <v>1379803.61</v>
      </c>
      <c r="AH266" s="557"/>
      <c r="AI266" s="387">
        <f>IFERROR(VLOOKUP(A266,'23-24 child count'!$C$4:$Y$317,23,0),0)</f>
        <v>122</v>
      </c>
      <c r="AJ266" s="387">
        <f>VLOOKUP(A266,'23-24 state &amp; local'!$A$5:$D$316,4,0)</f>
        <v>0</v>
      </c>
      <c r="AK266" s="387">
        <f>VLOOKUP(A266,'23-24 state &amp; local'!$A$5:$E$316,5,0)</f>
        <v>1564961.08</v>
      </c>
      <c r="AL266" s="387">
        <f t="shared" si="32"/>
        <v>1564961.08</v>
      </c>
      <c r="AM266" s="382"/>
    </row>
    <row r="267" spans="1:39" ht="15.75" hidden="1" thickBot="1" x14ac:dyDescent="0.3">
      <c r="A267" s="375" t="s">
        <v>712</v>
      </c>
      <c r="B267" s="375" t="s">
        <v>197</v>
      </c>
      <c r="C267" s="448" t="s">
        <v>713</v>
      </c>
      <c r="E267" s="461">
        <v>358</v>
      </c>
      <c r="F267" s="468">
        <f>IFERROR(VLOOKUP(A267,'2017-18'!$A$6:$F$315,6,0),0)</f>
        <v>650650.01</v>
      </c>
      <c r="G267" s="468">
        <f>IFERROR(VLOOKUP(A267,'2017-18'!$A$6:$D$315,4,0),0)</f>
        <v>2672521.7000000002</v>
      </c>
      <c r="H267" s="468">
        <f t="shared" si="33"/>
        <v>3323171.71</v>
      </c>
      <c r="I267" s="382"/>
      <c r="J267" s="462">
        <v>334</v>
      </c>
      <c r="K267" s="468">
        <f>IFERROR(VLOOKUP(A267,'2018-19'!$A$6:$F$318,6,0),0)</f>
        <v>0</v>
      </c>
      <c r="L267" s="468">
        <f>IFERROR(VLOOKUP(A267,'2018-19'!$A$6:$D$318,4,0),0)</f>
        <v>3899385.52</v>
      </c>
      <c r="M267" s="468">
        <f t="shared" si="34"/>
        <v>3899385.52</v>
      </c>
      <c r="N267" s="382"/>
      <c r="O267" s="452">
        <v>331</v>
      </c>
      <c r="P267" s="387">
        <v>0</v>
      </c>
      <c r="Q267" s="387">
        <v>4563153.67</v>
      </c>
      <c r="R267" s="387">
        <v>4563153.67</v>
      </c>
      <c r="S267" s="382"/>
      <c r="T267" s="375">
        <f>VLOOKUP(A267,'Nov 2020 cc'!$B$3:$D$317,3,0)</f>
        <v>331</v>
      </c>
      <c r="U267" s="387">
        <v>1562.27</v>
      </c>
      <c r="V267" s="387">
        <v>4347305.05</v>
      </c>
      <c r="W267" s="387">
        <v>4348867.3199999994</v>
      </c>
      <c r="X267" s="382"/>
      <c r="Y267" s="375">
        <v>337</v>
      </c>
      <c r="Z267" s="413">
        <f>VLOOKUP(A267,'2021-22'!$A$6:$D$317,4,0)</f>
        <v>0</v>
      </c>
      <c r="AA267" s="413">
        <f>VLOOKUP(A267,'2021-22'!$A$6:$E$317,5,0)</f>
        <v>4399572.7699999996</v>
      </c>
      <c r="AB267" s="387">
        <f t="shared" si="30"/>
        <v>4399572.7699999996</v>
      </c>
      <c r="AC267" s="382"/>
      <c r="AD267" s="416">
        <v>330</v>
      </c>
      <c r="AE267" s="413">
        <v>1690</v>
      </c>
      <c r="AF267" s="413">
        <v>5043846.55</v>
      </c>
      <c r="AG267" s="387">
        <f t="shared" si="31"/>
        <v>5045536.55</v>
      </c>
      <c r="AH267" s="557"/>
      <c r="AI267" s="387">
        <f>IFERROR(VLOOKUP(A267,'23-24 child count'!$C$4:$Y$317,23,0),0)</f>
        <v>338</v>
      </c>
      <c r="AJ267" s="387">
        <f>VLOOKUP(A267,'23-24 state &amp; local'!$A$5:$D$316,4,0)</f>
        <v>1725</v>
      </c>
      <c r="AK267" s="387">
        <f>VLOOKUP(A267,'23-24 state &amp; local'!$A$5:$E$316,5,0)</f>
        <v>5057438.51</v>
      </c>
      <c r="AL267" s="387">
        <f t="shared" si="32"/>
        <v>5059163.51</v>
      </c>
      <c r="AM267" s="382"/>
    </row>
    <row r="268" spans="1:39" ht="15.75" hidden="1" thickBot="1" x14ac:dyDescent="0.3">
      <c r="A268" s="375" t="s">
        <v>716</v>
      </c>
      <c r="B268" s="375" t="s">
        <v>205</v>
      </c>
      <c r="C268" s="449" t="s">
        <v>1239</v>
      </c>
      <c r="D268" s="375" t="s">
        <v>1372</v>
      </c>
      <c r="E268" s="461">
        <v>29</v>
      </c>
      <c r="F268" s="468">
        <f>IFERROR(VLOOKUP(A268,'2017-18'!$A$6:$F$315,6,0),0)</f>
        <v>0</v>
      </c>
      <c r="G268" s="468">
        <f>IFERROR(VLOOKUP(A268,'2017-18'!$A$6:$D$315,4,0),0)</f>
        <v>209078.85</v>
      </c>
      <c r="H268" s="468">
        <f t="shared" si="33"/>
        <v>209078.85</v>
      </c>
      <c r="I268" s="382"/>
      <c r="J268" s="462">
        <v>40</v>
      </c>
      <c r="K268" s="468">
        <f>IFERROR(VLOOKUP(A268,'2018-19'!$A$6:$F$318,6,0),0)</f>
        <v>0</v>
      </c>
      <c r="L268" s="468">
        <f>IFERROR(VLOOKUP(A268,'2018-19'!$A$6:$D$318,4,0),0)</f>
        <v>262512.45</v>
      </c>
      <c r="M268" s="468">
        <f t="shared" si="34"/>
        <v>262512.45</v>
      </c>
      <c r="N268" s="382"/>
      <c r="O268" s="452">
        <v>44</v>
      </c>
      <c r="P268" s="387">
        <v>0</v>
      </c>
      <c r="Q268" s="387">
        <v>250004.72</v>
      </c>
      <c r="R268" s="387">
        <v>250004.72</v>
      </c>
      <c r="S268" s="382"/>
      <c r="T268" s="375">
        <f>VLOOKUP(A268,'Nov 2020 cc'!$B$3:$D$317,3,0)</f>
        <v>31</v>
      </c>
      <c r="U268" s="387">
        <v>0</v>
      </c>
      <c r="V268" s="387">
        <v>364178.59</v>
      </c>
      <c r="W268" s="387">
        <v>364178.59</v>
      </c>
      <c r="X268" s="382"/>
      <c r="Y268" s="375">
        <v>28</v>
      </c>
      <c r="Z268" s="413">
        <f>VLOOKUP(A268,'2021-22'!$A$6:$D$317,4,0)</f>
        <v>0</v>
      </c>
      <c r="AA268" s="413">
        <f>VLOOKUP(A268,'2021-22'!$A$6:$E$317,5,0)</f>
        <v>315147.05</v>
      </c>
      <c r="AB268" s="387">
        <f t="shared" si="30"/>
        <v>315147.05</v>
      </c>
      <c r="AC268" s="382"/>
      <c r="AD268" s="416">
        <v>21</v>
      </c>
      <c r="AE268" s="413">
        <v>0</v>
      </c>
      <c r="AF268" s="413">
        <v>356122.33</v>
      </c>
      <c r="AG268" s="387">
        <f t="shared" si="31"/>
        <v>356122.33</v>
      </c>
      <c r="AH268" s="557"/>
      <c r="AI268" s="387">
        <f>IFERROR(VLOOKUP(A268,'23-24 child count'!$C$4:$Y$317,23,0),0)</f>
        <v>23</v>
      </c>
      <c r="AJ268" s="387">
        <f>VLOOKUP(A268,'23-24 state &amp; local'!$A$5:$D$316,4,0)</f>
        <v>0</v>
      </c>
      <c r="AK268" s="387">
        <f>VLOOKUP(A268,'23-24 state &amp; local'!$A$5:$E$316,5,0)</f>
        <v>274188.38</v>
      </c>
      <c r="AL268" s="387">
        <f t="shared" si="32"/>
        <v>274188.38</v>
      </c>
      <c r="AM268" s="382"/>
    </row>
    <row r="269" spans="1:39" ht="15.75" hidden="1" thickBot="1" x14ac:dyDescent="0.3">
      <c r="A269" s="375" t="s">
        <v>714</v>
      </c>
      <c r="B269" s="375" t="s">
        <v>205</v>
      </c>
      <c r="C269" s="449" t="s">
        <v>1231</v>
      </c>
      <c r="D269" s="375" t="s">
        <v>1372</v>
      </c>
      <c r="E269" s="461">
        <v>29</v>
      </c>
      <c r="F269" s="468">
        <f>IFERROR(VLOOKUP(A269,'2017-18'!$A$6:$F$315,6,0),0)</f>
        <v>0</v>
      </c>
      <c r="G269" s="468">
        <f>IFERROR(VLOOKUP(A269,'2017-18'!$A$6:$D$315,4,0),0)</f>
        <v>220547.92</v>
      </c>
      <c r="H269" s="468">
        <f t="shared" si="33"/>
        <v>220547.92</v>
      </c>
      <c r="I269" s="382"/>
      <c r="J269" s="462">
        <v>57</v>
      </c>
      <c r="K269" s="468">
        <f>IFERROR(VLOOKUP(A269,'2018-19'!$A$6:$F$318,6,0),0)</f>
        <v>0</v>
      </c>
      <c r="L269" s="468">
        <f>IFERROR(VLOOKUP(A269,'2018-19'!$A$6:$D$318,4,0),0)</f>
        <v>594046.56999999995</v>
      </c>
      <c r="M269" s="468">
        <f t="shared" si="34"/>
        <v>594046.56999999995</v>
      </c>
      <c r="N269" s="382"/>
      <c r="O269" s="452">
        <v>77</v>
      </c>
      <c r="P269" s="387">
        <v>0</v>
      </c>
      <c r="Q269" s="387">
        <v>579055.32999999996</v>
      </c>
      <c r="R269" s="387">
        <v>579055.32999999996</v>
      </c>
      <c r="S269" s="382"/>
      <c r="T269" s="375">
        <f>VLOOKUP(A269,'Nov 2020 cc'!$B$3:$D$317,3,0)</f>
        <v>75</v>
      </c>
      <c r="U269" s="387">
        <v>0</v>
      </c>
      <c r="V269" s="387">
        <v>837294.65</v>
      </c>
      <c r="W269" s="387">
        <v>837294.65</v>
      </c>
      <c r="X269" s="382"/>
      <c r="Y269" s="375">
        <v>86</v>
      </c>
      <c r="Z269" s="413">
        <f>VLOOKUP(A269,'2021-22'!$A$6:$D$317,4,0)</f>
        <v>10991.68</v>
      </c>
      <c r="AA269" s="413">
        <f>VLOOKUP(A269,'2021-22'!$A$6:$E$317,5,0)</f>
        <v>751200.14</v>
      </c>
      <c r="AB269" s="387">
        <f t="shared" si="30"/>
        <v>762191.82000000007</v>
      </c>
      <c r="AC269" s="382"/>
      <c r="AD269" s="416">
        <v>93</v>
      </c>
      <c r="AE269" s="413">
        <v>0</v>
      </c>
      <c r="AF269" s="413">
        <v>774163.03</v>
      </c>
      <c r="AG269" s="387">
        <f t="shared" si="31"/>
        <v>774163.03</v>
      </c>
      <c r="AH269" s="557"/>
      <c r="AI269" s="387">
        <f>IFERROR(VLOOKUP(A269,'23-24 child count'!$C$4:$Y$317,23,0),0)</f>
        <v>114</v>
      </c>
      <c r="AJ269" s="387">
        <f>VLOOKUP(A269,'23-24 state &amp; local'!$A$5:$D$316,4,0)</f>
        <v>0</v>
      </c>
      <c r="AK269" s="387">
        <f>VLOOKUP(A269,'23-24 state &amp; local'!$A$5:$E$316,5,0)</f>
        <v>1088549.99</v>
      </c>
      <c r="AL269" s="387">
        <f t="shared" si="32"/>
        <v>1088549.99</v>
      </c>
      <c r="AM269" s="382"/>
    </row>
    <row r="270" spans="1:39" ht="15.75" hidden="1" thickBot="1" x14ac:dyDescent="0.3">
      <c r="A270" s="375" t="s">
        <v>718</v>
      </c>
      <c r="B270" s="375" t="s">
        <v>194</v>
      </c>
      <c r="C270" s="449" t="s">
        <v>1230</v>
      </c>
      <c r="D270" s="375" t="s">
        <v>1372</v>
      </c>
      <c r="E270" s="461">
        <v>48</v>
      </c>
      <c r="F270" s="468">
        <f>IFERROR(VLOOKUP(A270,'2017-18'!$A$6:$F$315,6,0),0)</f>
        <v>0</v>
      </c>
      <c r="G270" s="468">
        <f>IFERROR(VLOOKUP(A270,'2017-18'!$A$6:$D$315,4,0),0)</f>
        <v>189113.52</v>
      </c>
      <c r="H270" s="468">
        <f t="shared" si="33"/>
        <v>189113.52</v>
      </c>
      <c r="I270" s="382"/>
      <c r="J270" s="462">
        <v>58</v>
      </c>
      <c r="K270" s="468">
        <f>IFERROR(VLOOKUP(A270,'2018-19'!$A$6:$F$318,6,0),0)</f>
        <v>0</v>
      </c>
      <c r="L270" s="468">
        <f>IFERROR(VLOOKUP(A270,'2018-19'!$A$6:$D$318,4,0),0)</f>
        <v>323579.95</v>
      </c>
      <c r="M270" s="468">
        <f t="shared" si="34"/>
        <v>323579.95</v>
      </c>
      <c r="N270" s="382"/>
      <c r="O270" s="452">
        <v>62</v>
      </c>
      <c r="P270" s="387">
        <v>0</v>
      </c>
      <c r="Q270" s="387">
        <v>423804.83</v>
      </c>
      <c r="R270" s="387">
        <v>423804.83</v>
      </c>
      <c r="S270" s="382"/>
      <c r="T270" s="375">
        <f>VLOOKUP(A270,'Nov 2020 cc'!$B$3:$D$317,3,0)</f>
        <v>65</v>
      </c>
      <c r="U270" s="387">
        <v>0</v>
      </c>
      <c r="V270" s="387">
        <v>565374.4</v>
      </c>
      <c r="W270" s="387">
        <v>565374.4</v>
      </c>
      <c r="X270" s="382"/>
      <c r="Y270" s="375">
        <v>60</v>
      </c>
      <c r="Z270" s="413">
        <f>VLOOKUP(A270,'2021-22'!$A$6:$D$317,4,0)</f>
        <v>0</v>
      </c>
      <c r="AA270" s="413">
        <f>VLOOKUP(A270,'2021-22'!$A$6:$E$317,5,0)</f>
        <v>409826.18</v>
      </c>
      <c r="AB270" s="387">
        <f t="shared" si="30"/>
        <v>409826.18</v>
      </c>
      <c r="AC270" s="382"/>
      <c r="AD270" s="416">
        <v>59</v>
      </c>
      <c r="AE270" s="413">
        <v>9630</v>
      </c>
      <c r="AF270" s="413">
        <v>461042.51</v>
      </c>
      <c r="AG270" s="387">
        <f t="shared" si="31"/>
        <v>470672.51</v>
      </c>
      <c r="AH270" s="557"/>
      <c r="AI270" s="387">
        <f>IFERROR(VLOOKUP(A270,'23-24 child count'!$C$4:$Y$317,23,0),0)</f>
        <v>55</v>
      </c>
      <c r="AJ270" s="387">
        <f>VLOOKUP(A270,'23-24 state &amp; local'!$A$5:$D$316,4,0)</f>
        <v>0</v>
      </c>
      <c r="AK270" s="387">
        <f>VLOOKUP(A270,'23-24 state &amp; local'!$A$5:$E$316,5,0)</f>
        <v>527013.32999999996</v>
      </c>
      <c r="AL270" s="387">
        <f t="shared" si="32"/>
        <v>527013.32999999996</v>
      </c>
      <c r="AM270" s="382"/>
    </row>
    <row r="271" spans="1:39" ht="15.75" hidden="1" thickBot="1" x14ac:dyDescent="0.3">
      <c r="A271" s="375" t="s">
        <v>720</v>
      </c>
      <c r="B271" s="375" t="s">
        <v>194</v>
      </c>
      <c r="C271" s="448" t="s">
        <v>721</v>
      </c>
      <c r="E271" s="461">
        <v>8</v>
      </c>
      <c r="F271" s="468">
        <f>IFERROR(VLOOKUP(A271,'2017-18'!$A$6:$F$315,6,0),0)</f>
        <v>0</v>
      </c>
      <c r="G271" s="468">
        <f>IFERROR(VLOOKUP(A271,'2017-18'!$A$6:$D$315,4,0),0)</f>
        <v>67718.28</v>
      </c>
      <c r="H271" s="468">
        <f t="shared" si="33"/>
        <v>67718.28</v>
      </c>
      <c r="I271" s="382"/>
      <c r="J271" s="462">
        <v>7</v>
      </c>
      <c r="K271" s="468">
        <f>IFERROR(VLOOKUP(A271,'2018-19'!$A$6:$F$318,6,0),0)</f>
        <v>0</v>
      </c>
      <c r="L271" s="468">
        <f>IFERROR(VLOOKUP(A271,'2018-19'!$A$6:$D$318,4,0),0)</f>
        <v>96849.1</v>
      </c>
      <c r="M271" s="468">
        <f t="shared" si="34"/>
        <v>96849.1</v>
      </c>
      <c r="N271" s="382"/>
      <c r="O271" s="452">
        <v>7</v>
      </c>
      <c r="P271" s="387">
        <v>0</v>
      </c>
      <c r="Q271" s="387">
        <v>96983.85</v>
      </c>
      <c r="R271" s="387">
        <v>96983.85</v>
      </c>
      <c r="S271" s="382"/>
      <c r="T271" s="375">
        <f>VLOOKUP(A271,'Nov 2020 cc'!$B$3:$D$317,3,0)</f>
        <v>9</v>
      </c>
      <c r="U271" s="387">
        <v>0</v>
      </c>
      <c r="V271" s="387">
        <v>70143.759999999995</v>
      </c>
      <c r="W271" s="387">
        <v>70143.759999999995</v>
      </c>
      <c r="X271" s="382"/>
      <c r="Y271" s="375">
        <v>8</v>
      </c>
      <c r="Z271" s="413">
        <f>VLOOKUP(A271,'2021-22'!$A$6:$D$317,4,0)</f>
        <v>0</v>
      </c>
      <c r="AA271" s="413">
        <f>VLOOKUP(A271,'2021-22'!$A$6:$E$317,5,0)</f>
        <v>81538.850000000006</v>
      </c>
      <c r="AB271" s="387">
        <f t="shared" si="30"/>
        <v>81538.850000000006</v>
      </c>
      <c r="AC271" s="382"/>
      <c r="AD271" s="416">
        <v>11</v>
      </c>
      <c r="AE271" s="413">
        <v>0</v>
      </c>
      <c r="AF271" s="413">
        <v>98394.03</v>
      </c>
      <c r="AG271" s="387">
        <f t="shared" si="31"/>
        <v>98394.03</v>
      </c>
      <c r="AH271" s="557"/>
      <c r="AI271" s="387">
        <f>IFERROR(VLOOKUP(A271,'23-24 child count'!$C$4:$Y$317,23,0),0)</f>
        <v>13</v>
      </c>
      <c r="AJ271" s="387">
        <f>VLOOKUP(A271,'23-24 state &amp; local'!$A$5:$D$316,4,0)</f>
        <v>0</v>
      </c>
      <c r="AK271" s="387">
        <f>VLOOKUP(A271,'23-24 state &amp; local'!$A$5:$E$316,5,0)</f>
        <v>136044.92000000001</v>
      </c>
      <c r="AL271" s="387">
        <f t="shared" si="32"/>
        <v>136044.92000000001</v>
      </c>
      <c r="AM271" s="382"/>
    </row>
    <row r="272" spans="1:39" ht="15.75" hidden="1" thickBot="1" x14ac:dyDescent="0.3">
      <c r="A272" s="375" t="s">
        <v>722</v>
      </c>
      <c r="B272" s="375" t="s">
        <v>205</v>
      </c>
      <c r="C272" s="448" t="s">
        <v>1206</v>
      </c>
      <c r="E272" s="461">
        <v>1128</v>
      </c>
      <c r="F272" s="468">
        <f>IFERROR(VLOOKUP(A272,'2017-18'!$A$6:$F$315,6,0),0)</f>
        <v>128623.03999999999</v>
      </c>
      <c r="G272" s="468">
        <f>IFERROR(VLOOKUP(A272,'2017-18'!$A$6:$D$315,4,0),0)</f>
        <v>14435289.59</v>
      </c>
      <c r="H272" s="468">
        <f t="shared" si="33"/>
        <v>14563912.629999999</v>
      </c>
      <c r="I272" s="382"/>
      <c r="J272" s="462">
        <v>1201</v>
      </c>
      <c r="K272" s="468">
        <f>IFERROR(VLOOKUP(A272,'2018-19'!$A$6:$F$318,6,0),0)</f>
        <v>2566558.98</v>
      </c>
      <c r="L272" s="468">
        <f>IFERROR(VLOOKUP(A272,'2018-19'!$A$6:$D$318,4,0),0)</f>
        <v>13186394.82</v>
      </c>
      <c r="M272" s="468">
        <f t="shared" si="34"/>
        <v>15752953.800000001</v>
      </c>
      <c r="N272" s="382"/>
      <c r="O272" s="452">
        <v>1205</v>
      </c>
      <c r="P272" s="387">
        <v>1399153.13</v>
      </c>
      <c r="Q272" s="387">
        <v>14558596.67</v>
      </c>
      <c r="R272" s="387">
        <v>15957749.800000001</v>
      </c>
      <c r="S272" s="382"/>
      <c r="T272" s="375">
        <f>VLOOKUP(A272,'Nov 2020 cc'!$B$3:$D$317,3,0)</f>
        <v>1143</v>
      </c>
      <c r="U272" s="387">
        <v>2838249.66</v>
      </c>
      <c r="V272" s="387">
        <v>14594317.039999999</v>
      </c>
      <c r="W272" s="387">
        <v>17432566.699999999</v>
      </c>
      <c r="X272" s="382"/>
      <c r="Y272" s="375">
        <v>1247</v>
      </c>
      <c r="Z272" s="413">
        <f>VLOOKUP(A272,'2021-22'!$A$6:$D$317,4,0)</f>
        <v>2206793.87</v>
      </c>
      <c r="AA272" s="413">
        <f>VLOOKUP(A272,'2021-22'!$A$6:$E$317,5,0)</f>
        <v>15873258.300000001</v>
      </c>
      <c r="AB272" s="387">
        <f t="shared" si="30"/>
        <v>18080052.170000002</v>
      </c>
      <c r="AC272" s="382"/>
      <c r="AD272" s="416">
        <v>1319</v>
      </c>
      <c r="AE272" s="413">
        <v>4127582.77</v>
      </c>
      <c r="AF272" s="413">
        <v>17780497.629999999</v>
      </c>
      <c r="AG272" s="387">
        <f t="shared" si="31"/>
        <v>21908080.399999999</v>
      </c>
      <c r="AH272" s="557"/>
      <c r="AI272" s="387">
        <f>IFERROR(VLOOKUP(A272,'23-24 child count'!$C$4:$Y$317,23,0),0)</f>
        <v>1444</v>
      </c>
      <c r="AJ272" s="387">
        <f>VLOOKUP(A272,'23-24 state &amp; local'!$A$5:$D$316,4,0)</f>
        <v>3532146.01</v>
      </c>
      <c r="AK272" s="387">
        <f>VLOOKUP(A272,'23-24 state &amp; local'!$A$5:$E$316,5,0)</f>
        <v>21630717.969999999</v>
      </c>
      <c r="AL272" s="387">
        <f t="shared" si="32"/>
        <v>25162863.979999997</v>
      </c>
      <c r="AM272" s="382"/>
    </row>
    <row r="273" spans="1:39" ht="15.75" hidden="1" thickBot="1" x14ac:dyDescent="0.3">
      <c r="A273" s="375" t="s">
        <v>724</v>
      </c>
      <c r="B273" s="375" t="s">
        <v>221</v>
      </c>
      <c r="C273" s="448" t="s">
        <v>725</v>
      </c>
      <c r="E273" s="461">
        <v>937</v>
      </c>
      <c r="F273" s="468">
        <f>IFERROR(VLOOKUP(A273,'2017-18'!$A$6:$F$315,6,0),0)</f>
        <v>0</v>
      </c>
      <c r="G273" s="468">
        <f>IFERROR(VLOOKUP(A273,'2017-18'!$A$6:$D$315,4,0),0)</f>
        <v>7535401.9000000004</v>
      </c>
      <c r="H273" s="468">
        <f t="shared" si="33"/>
        <v>7535401.9000000004</v>
      </c>
      <c r="I273" s="382"/>
      <c r="J273" s="462">
        <v>952</v>
      </c>
      <c r="K273" s="468">
        <f>IFERROR(VLOOKUP(A273,'2018-19'!$A$6:$F$318,6,0),0)</f>
        <v>0</v>
      </c>
      <c r="L273" s="468">
        <f>IFERROR(VLOOKUP(A273,'2018-19'!$A$6:$D$318,4,0),0)</f>
        <v>9383109.4499999993</v>
      </c>
      <c r="M273" s="468">
        <f t="shared" si="34"/>
        <v>9383109.4499999993</v>
      </c>
      <c r="N273" s="382"/>
      <c r="O273" s="452">
        <v>943</v>
      </c>
      <c r="P273" s="387">
        <v>0</v>
      </c>
      <c r="Q273" s="387">
        <v>10024405.970000001</v>
      </c>
      <c r="R273" s="387">
        <v>10024405.970000001</v>
      </c>
      <c r="S273" s="382"/>
      <c r="T273" s="375">
        <f>VLOOKUP(A273,'Nov 2020 cc'!$B$3:$D$317,3,0)</f>
        <v>907</v>
      </c>
      <c r="U273" s="387">
        <v>0</v>
      </c>
      <c r="V273" s="387">
        <v>10026366.710000001</v>
      </c>
      <c r="W273" s="387">
        <v>10026366.710000001</v>
      </c>
      <c r="X273" s="382"/>
      <c r="Y273" s="375">
        <v>903</v>
      </c>
      <c r="Z273" s="413">
        <f>VLOOKUP(A273,'2021-22'!$A$6:$D$317,4,0)</f>
        <v>0</v>
      </c>
      <c r="AA273" s="413">
        <f>VLOOKUP(A273,'2021-22'!$A$6:$E$317,5,0)</f>
        <v>10164619.890000001</v>
      </c>
      <c r="AB273" s="387">
        <f t="shared" si="30"/>
        <v>10164619.890000001</v>
      </c>
      <c r="AC273" s="382"/>
      <c r="AD273" s="416">
        <v>910</v>
      </c>
      <c r="AE273" s="413">
        <v>63487.38</v>
      </c>
      <c r="AF273" s="413">
        <v>10643161.48</v>
      </c>
      <c r="AG273" s="387">
        <f t="shared" si="31"/>
        <v>10706648.860000001</v>
      </c>
      <c r="AH273" s="557"/>
      <c r="AI273" s="387">
        <f>IFERROR(VLOOKUP(A273,'23-24 child count'!$C$4:$Y$317,23,0),0)</f>
        <v>909</v>
      </c>
      <c r="AJ273" s="387">
        <f>VLOOKUP(A273,'23-24 state &amp; local'!$A$5:$D$316,4,0)</f>
        <v>0</v>
      </c>
      <c r="AK273" s="387">
        <f>VLOOKUP(A273,'23-24 state &amp; local'!$A$5:$E$316,5,0)</f>
        <v>11575423.380000001</v>
      </c>
      <c r="AL273" s="387">
        <f t="shared" si="32"/>
        <v>11575423.380000001</v>
      </c>
      <c r="AM273" s="382"/>
    </row>
    <row r="274" spans="1:39" ht="15.75" hidden="1" thickBot="1" x14ac:dyDescent="0.3">
      <c r="A274" s="375" t="s">
        <v>726</v>
      </c>
      <c r="C274" s="449" t="s">
        <v>1234</v>
      </c>
      <c r="E274" s="461">
        <v>0</v>
      </c>
      <c r="F274" s="468">
        <f>IFERROR(VLOOKUP(A274,'2017-18'!$A$6:$F$315,6,0),0)</f>
        <v>0</v>
      </c>
      <c r="G274" s="468">
        <f>IFERROR(VLOOKUP(A274,'2017-18'!$A$6:$D$315,4,0),0)</f>
        <v>50897.27</v>
      </c>
      <c r="H274" s="468">
        <f t="shared" si="33"/>
        <v>50897.27</v>
      </c>
      <c r="I274" s="382"/>
      <c r="J274" s="462">
        <v>22</v>
      </c>
      <c r="K274" s="468">
        <f>IFERROR(VLOOKUP(A274,'2018-19'!$A$6:$F$318,6,0),0)</f>
        <v>0</v>
      </c>
      <c r="L274" s="468">
        <f>IFERROR(VLOOKUP(A274,'2018-19'!$A$6:$D$318,4,0),0)</f>
        <v>82191.66</v>
      </c>
      <c r="M274" s="468">
        <f t="shared" si="34"/>
        <v>82191.66</v>
      </c>
      <c r="N274" s="382"/>
      <c r="O274" s="452">
        <v>17</v>
      </c>
      <c r="P274" s="387">
        <v>0</v>
      </c>
      <c r="Q274" s="387">
        <v>115789.27</v>
      </c>
      <c r="R274" s="387">
        <v>115789.27</v>
      </c>
      <c r="S274" s="382"/>
      <c r="T274" s="375">
        <f>VLOOKUP(A274,'Nov 2020 cc'!$B$3:$D$317,3,0)</f>
        <v>18</v>
      </c>
      <c r="U274" s="387">
        <v>0</v>
      </c>
      <c r="V274" s="387">
        <v>131233.5</v>
      </c>
      <c r="W274" s="387">
        <v>131233.5</v>
      </c>
      <c r="X274" s="382"/>
      <c r="Y274" s="375">
        <v>18</v>
      </c>
      <c r="Z274" s="413">
        <f>VLOOKUP(A274,'2021-22'!$A$6:$D$317,4,0)</f>
        <v>0</v>
      </c>
      <c r="AA274" s="413">
        <f>VLOOKUP(A274,'2021-22'!$A$6:$E$317,5,0)</f>
        <v>165231.38</v>
      </c>
      <c r="AB274" s="387">
        <f t="shared" si="30"/>
        <v>165231.38</v>
      </c>
      <c r="AC274" s="382"/>
      <c r="AD274" s="416">
        <v>19</v>
      </c>
      <c r="AE274" s="413">
        <v>0</v>
      </c>
      <c r="AF274" s="413">
        <v>0</v>
      </c>
      <c r="AG274" s="387">
        <f t="shared" si="31"/>
        <v>0</v>
      </c>
      <c r="AH274" s="557"/>
      <c r="AI274" s="387">
        <f>IFERROR(VLOOKUP(A274,'23-24 child count'!$C$4:$Y$317,23,0),0)</f>
        <v>20</v>
      </c>
      <c r="AJ274" s="387">
        <f>VLOOKUP(A274,'23-24 state &amp; local'!$A$5:$D$316,4,0)</f>
        <v>0</v>
      </c>
      <c r="AK274" s="387">
        <f>VLOOKUP(A274,'23-24 state &amp; local'!$A$5:$E$316,5,0)</f>
        <v>140915.97</v>
      </c>
      <c r="AL274" s="387">
        <f t="shared" si="32"/>
        <v>140915.97</v>
      </c>
      <c r="AM274" s="382"/>
    </row>
    <row r="275" spans="1:39" ht="15.75" hidden="1" thickBot="1" x14ac:dyDescent="0.3">
      <c r="A275" s="375" t="s">
        <v>728</v>
      </c>
      <c r="B275" s="375" t="s">
        <v>205</v>
      </c>
      <c r="C275" s="448" t="s">
        <v>729</v>
      </c>
      <c r="E275" s="461">
        <v>4160</v>
      </c>
      <c r="F275" s="468">
        <f>IFERROR(VLOOKUP(A275,'2017-18'!$A$6:$F$315,6,0),0)</f>
        <v>9531568.3499999996</v>
      </c>
      <c r="G275" s="468">
        <f>IFERROR(VLOOKUP(A275,'2017-18'!$A$6:$D$315,4,0),0)</f>
        <v>36802137.57</v>
      </c>
      <c r="H275" s="468">
        <f t="shared" si="33"/>
        <v>46333705.920000002</v>
      </c>
      <c r="I275" s="382"/>
      <c r="J275" s="462">
        <v>4287</v>
      </c>
      <c r="K275" s="468">
        <f>IFERROR(VLOOKUP(A275,'2018-19'!$A$6:$F$318,6,0),0)</f>
        <v>6618251.0499999998</v>
      </c>
      <c r="L275" s="468">
        <f>IFERROR(VLOOKUP(A275,'2018-19'!$A$6:$D$318,4,0),0)</f>
        <v>47595340.780000001</v>
      </c>
      <c r="M275" s="468">
        <f t="shared" si="34"/>
        <v>54213591.829999998</v>
      </c>
      <c r="N275" s="382"/>
      <c r="O275" s="452">
        <v>4421</v>
      </c>
      <c r="P275" s="387">
        <v>2703832.48</v>
      </c>
      <c r="Q275" s="387">
        <v>51738784.18</v>
      </c>
      <c r="R275" s="387">
        <v>54442616.659999996</v>
      </c>
      <c r="S275" s="382"/>
      <c r="T275" s="375">
        <f>VLOOKUP(A275,'Nov 2020 cc'!$B$3:$D$317,3,0)</f>
        <v>4262</v>
      </c>
      <c r="U275" s="387">
        <v>4479792.1399999997</v>
      </c>
      <c r="V275" s="387">
        <v>48457632.850000001</v>
      </c>
      <c r="W275" s="387">
        <v>52937424.990000002</v>
      </c>
      <c r="X275" s="382"/>
      <c r="Y275" s="375">
        <v>4214</v>
      </c>
      <c r="Z275" s="413">
        <f>VLOOKUP(A275,'2021-22'!$A$6:$D$317,4,0)</f>
        <v>1684288.24</v>
      </c>
      <c r="AA275" s="413">
        <f>VLOOKUP(A275,'2021-22'!$A$6:$E$317,5,0)</f>
        <v>51136172.590000004</v>
      </c>
      <c r="AB275" s="387">
        <f t="shared" si="30"/>
        <v>52820460.830000006</v>
      </c>
      <c r="AC275" s="382"/>
      <c r="AD275" s="416">
        <v>4329</v>
      </c>
      <c r="AE275" s="413">
        <v>2169726.04</v>
      </c>
      <c r="AF275" s="413">
        <v>61108097</v>
      </c>
      <c r="AG275" s="387">
        <f t="shared" si="31"/>
        <v>63277823.039999999</v>
      </c>
      <c r="AH275" s="557"/>
      <c r="AI275" s="387">
        <f>IFERROR(VLOOKUP(A275,'23-24 child count'!$C$4:$Y$317,23,0),0)</f>
        <v>4463</v>
      </c>
      <c r="AJ275" s="387">
        <f>VLOOKUP(A275,'23-24 state &amp; local'!$A$5:$D$316,4,0)</f>
        <v>3573888</v>
      </c>
      <c r="AK275" s="387">
        <f>VLOOKUP(A275,'23-24 state &amp; local'!$A$5:$E$316,5,0)</f>
        <v>66338945.920000002</v>
      </c>
      <c r="AL275" s="387">
        <f t="shared" si="32"/>
        <v>69912833.920000002</v>
      </c>
      <c r="AM275" s="382"/>
    </row>
    <row r="276" spans="1:39" ht="15.75" hidden="1" thickBot="1" x14ac:dyDescent="0.3">
      <c r="A276" s="375" t="s">
        <v>730</v>
      </c>
      <c r="B276" s="375" t="s">
        <v>189</v>
      </c>
      <c r="C276" s="448" t="s">
        <v>731</v>
      </c>
      <c r="E276" s="461">
        <v>29</v>
      </c>
      <c r="F276" s="468">
        <f>IFERROR(VLOOKUP(A276,'2017-18'!$A$6:$F$315,6,0),0)</f>
        <v>0</v>
      </c>
      <c r="G276" s="468">
        <f>IFERROR(VLOOKUP(A276,'2017-18'!$A$6:$D$315,4,0),0)</f>
        <v>211188.15</v>
      </c>
      <c r="H276" s="468">
        <f t="shared" si="33"/>
        <v>211188.15</v>
      </c>
      <c r="I276" s="382"/>
      <c r="J276" s="462">
        <v>28</v>
      </c>
      <c r="K276" s="468">
        <f>IFERROR(VLOOKUP(A276,'2018-19'!$A$6:$F$318,6,0),0)</f>
        <v>53244.15</v>
      </c>
      <c r="L276" s="468">
        <f>IFERROR(VLOOKUP(A276,'2018-19'!$A$6:$D$318,4,0),0)</f>
        <v>202649.2</v>
      </c>
      <c r="M276" s="468">
        <f t="shared" si="34"/>
        <v>255893.35</v>
      </c>
      <c r="N276" s="382"/>
      <c r="O276" s="452">
        <v>34</v>
      </c>
      <c r="P276" s="387">
        <v>0</v>
      </c>
      <c r="Q276" s="387">
        <v>234623.81</v>
      </c>
      <c r="R276" s="387">
        <v>234623.81</v>
      </c>
      <c r="S276" s="382"/>
      <c r="T276" s="375">
        <f>VLOOKUP(A276,'Nov 2020 cc'!$B$3:$D$317,3,0)</f>
        <v>43</v>
      </c>
      <c r="U276" s="387">
        <v>0</v>
      </c>
      <c r="V276" s="387">
        <v>247338.69</v>
      </c>
      <c r="W276" s="387">
        <v>247338.69</v>
      </c>
      <c r="X276" s="382"/>
      <c r="Y276" s="375">
        <v>43</v>
      </c>
      <c r="Z276" s="413">
        <f>VLOOKUP(A276,'2021-22'!$A$6:$D$317,4,0)</f>
        <v>0</v>
      </c>
      <c r="AA276" s="413">
        <f>VLOOKUP(A276,'2021-22'!$A$6:$E$317,5,0)</f>
        <v>239638.11</v>
      </c>
      <c r="AB276" s="387">
        <f t="shared" si="30"/>
        <v>239638.11</v>
      </c>
      <c r="AC276" s="382"/>
      <c r="AD276" s="416">
        <v>38</v>
      </c>
      <c r="AE276" s="413">
        <v>0</v>
      </c>
      <c r="AF276" s="413">
        <v>206522.98</v>
      </c>
      <c r="AG276" s="387">
        <f t="shared" si="31"/>
        <v>206522.98</v>
      </c>
      <c r="AH276" s="557"/>
      <c r="AI276" s="387">
        <f>IFERROR(VLOOKUP(A276,'23-24 child count'!$C$4:$Y$317,23,0),0)</f>
        <v>35</v>
      </c>
      <c r="AJ276" s="387">
        <f>VLOOKUP(A276,'23-24 state &amp; local'!$A$5:$D$316,4,0)</f>
        <v>0</v>
      </c>
      <c r="AK276" s="387">
        <f>VLOOKUP(A276,'23-24 state &amp; local'!$A$5:$E$316,5,0)</f>
        <v>234097.91</v>
      </c>
      <c r="AL276" s="387">
        <f t="shared" si="32"/>
        <v>234097.91</v>
      </c>
      <c r="AM276" s="382"/>
    </row>
    <row r="277" spans="1:39" ht="15.75" hidden="1" thickBot="1" x14ac:dyDescent="0.3">
      <c r="A277" s="375" t="s">
        <v>732</v>
      </c>
      <c r="B277" s="375" t="s">
        <v>205</v>
      </c>
      <c r="C277" s="448" t="s">
        <v>733</v>
      </c>
      <c r="E277" s="461">
        <v>998</v>
      </c>
      <c r="F277" s="468">
        <f>IFERROR(VLOOKUP(A277,'2017-18'!$A$6:$F$315,6,0),0)</f>
        <v>1303581.55</v>
      </c>
      <c r="G277" s="468">
        <f>IFERROR(VLOOKUP(A277,'2017-18'!$A$6:$D$315,4,0),0)</f>
        <v>9369317.1600000001</v>
      </c>
      <c r="H277" s="468">
        <f t="shared" si="33"/>
        <v>10672898.710000001</v>
      </c>
      <c r="I277" s="382"/>
      <c r="J277" s="462">
        <v>1049</v>
      </c>
      <c r="K277" s="468">
        <f>IFERROR(VLOOKUP(A277,'2018-19'!$A$6:$F$318,6,0),0)</f>
        <v>0</v>
      </c>
      <c r="L277" s="468">
        <f>IFERROR(VLOOKUP(A277,'2018-19'!$A$6:$D$318,4,0),0)</f>
        <v>12317791.550000001</v>
      </c>
      <c r="M277" s="468">
        <f t="shared" si="34"/>
        <v>12317791.550000001</v>
      </c>
      <c r="N277" s="382"/>
      <c r="O277" s="452">
        <v>1093</v>
      </c>
      <c r="P277" s="387">
        <v>3148846.86</v>
      </c>
      <c r="Q277" s="387">
        <v>12047155.970000001</v>
      </c>
      <c r="R277" s="387">
        <v>15196002.83</v>
      </c>
      <c r="S277" s="382"/>
      <c r="T277" s="375">
        <f>VLOOKUP(A277,'Nov 2020 cc'!$B$3:$D$317,3,0)</f>
        <v>1082</v>
      </c>
      <c r="U277" s="387">
        <v>3523319.59</v>
      </c>
      <c r="V277" s="387">
        <v>14786511.42</v>
      </c>
      <c r="W277" s="387">
        <v>18309831.009999998</v>
      </c>
      <c r="X277" s="382"/>
      <c r="Y277" s="375">
        <v>1093</v>
      </c>
      <c r="Z277" s="413">
        <f>VLOOKUP(A277,'2021-22'!$A$6:$D$317,4,0)</f>
        <v>4064428.8</v>
      </c>
      <c r="AA277" s="413">
        <f>VLOOKUP(A277,'2021-22'!$A$6:$E$317,5,0)</f>
        <v>16304937.859999999</v>
      </c>
      <c r="AB277" s="387">
        <f t="shared" si="30"/>
        <v>20369366.66</v>
      </c>
      <c r="AC277" s="382"/>
      <c r="AD277" s="416">
        <v>1170</v>
      </c>
      <c r="AE277" s="413">
        <v>5868980.5700000003</v>
      </c>
      <c r="AF277" s="413">
        <v>18289924</v>
      </c>
      <c r="AG277" s="387">
        <f t="shared" si="31"/>
        <v>24158904.57</v>
      </c>
      <c r="AH277" s="557"/>
      <c r="AI277" s="387">
        <f>IFERROR(VLOOKUP(A277,'23-24 child count'!$C$4:$Y$317,23,0),0)</f>
        <v>1183</v>
      </c>
      <c r="AJ277" s="387">
        <f>VLOOKUP(A277,'23-24 state &amp; local'!$A$5:$D$316,4,0)</f>
        <v>5947061.3300000001</v>
      </c>
      <c r="AK277" s="387">
        <f>VLOOKUP(A277,'23-24 state &amp; local'!$A$5:$E$316,5,0)</f>
        <v>20767008.199999999</v>
      </c>
      <c r="AL277" s="387">
        <f t="shared" si="32"/>
        <v>26714069.530000001</v>
      </c>
      <c r="AM277" s="382"/>
    </row>
    <row r="278" spans="1:39" ht="15.75" hidden="1" thickBot="1" x14ac:dyDescent="0.3">
      <c r="A278" s="375" t="s">
        <v>734</v>
      </c>
      <c r="B278" s="375" t="s">
        <v>194</v>
      </c>
      <c r="C278" s="448" t="s">
        <v>735</v>
      </c>
      <c r="E278" s="461">
        <v>42</v>
      </c>
      <c r="F278" s="468">
        <f>IFERROR(VLOOKUP(A278,'2017-18'!$A$6:$F$315,6,0),0)</f>
        <v>0</v>
      </c>
      <c r="G278" s="468">
        <f>IFERROR(VLOOKUP(A278,'2017-18'!$A$6:$D$315,4,0),0)</f>
        <v>248641.99</v>
      </c>
      <c r="H278" s="468">
        <f t="shared" si="33"/>
        <v>248641.99</v>
      </c>
      <c r="I278" s="382"/>
      <c r="J278" s="462">
        <v>45</v>
      </c>
      <c r="K278" s="468">
        <f>IFERROR(VLOOKUP(A278,'2018-19'!$A$6:$F$318,6,0),0)</f>
        <v>0</v>
      </c>
      <c r="L278" s="468">
        <f>IFERROR(VLOOKUP(A278,'2018-19'!$A$6:$D$318,4,0),0)</f>
        <v>308131.15999999997</v>
      </c>
      <c r="M278" s="468">
        <f t="shared" si="34"/>
        <v>308131.15999999997</v>
      </c>
      <c r="N278" s="382"/>
      <c r="O278" s="452">
        <v>44</v>
      </c>
      <c r="P278" s="387">
        <v>0</v>
      </c>
      <c r="Q278" s="387">
        <v>422866.1</v>
      </c>
      <c r="R278" s="387">
        <v>422866.1</v>
      </c>
      <c r="S278" s="382"/>
      <c r="T278" s="375">
        <f>VLOOKUP(A278,'Nov 2020 cc'!$B$3:$D$317,3,0)</f>
        <v>36</v>
      </c>
      <c r="U278" s="387">
        <v>0</v>
      </c>
      <c r="V278" s="387">
        <v>453041.53</v>
      </c>
      <c r="W278" s="387">
        <v>453041.53</v>
      </c>
      <c r="X278" s="382"/>
      <c r="Y278" s="375">
        <v>41</v>
      </c>
      <c r="Z278" s="413">
        <f>VLOOKUP(A278,'2021-22'!$A$6:$D$317,4,0)</f>
        <v>1500</v>
      </c>
      <c r="AA278" s="413">
        <f>VLOOKUP(A278,'2021-22'!$A$6:$E$317,5,0)</f>
        <v>340493.38</v>
      </c>
      <c r="AB278" s="387">
        <f t="shared" si="30"/>
        <v>341993.38</v>
      </c>
      <c r="AC278" s="382"/>
      <c r="AD278" s="416">
        <v>38</v>
      </c>
      <c r="AE278" s="413">
        <v>1500</v>
      </c>
      <c r="AF278" s="413">
        <v>330004.3</v>
      </c>
      <c r="AG278" s="387">
        <f t="shared" si="31"/>
        <v>331504.3</v>
      </c>
      <c r="AH278" s="557"/>
      <c r="AI278" s="387">
        <f>IFERROR(VLOOKUP(A278,'23-24 child count'!$C$4:$Y$317,23,0),0)</f>
        <v>39</v>
      </c>
      <c r="AJ278" s="387">
        <f>VLOOKUP(A278,'23-24 state &amp; local'!$A$5:$D$316,4,0)</f>
        <v>1500</v>
      </c>
      <c r="AK278" s="387">
        <f>VLOOKUP(A278,'23-24 state &amp; local'!$A$5:$E$316,5,0)</f>
        <v>379786.35</v>
      </c>
      <c r="AL278" s="387">
        <f t="shared" si="32"/>
        <v>381286.35</v>
      </c>
      <c r="AM278" s="382"/>
    </row>
    <row r="279" spans="1:39" ht="15.75" hidden="1" thickBot="1" x14ac:dyDescent="0.3">
      <c r="A279" s="375" t="s">
        <v>736</v>
      </c>
      <c r="B279" s="375" t="s">
        <v>189</v>
      </c>
      <c r="C279" s="448" t="s">
        <v>737</v>
      </c>
      <c r="E279" s="461">
        <v>167</v>
      </c>
      <c r="F279" s="468">
        <f>IFERROR(VLOOKUP(A279,'2017-18'!$A$6:$F$315,6,0),0)</f>
        <v>0</v>
      </c>
      <c r="G279" s="468">
        <f>IFERROR(VLOOKUP(A279,'2017-18'!$A$6:$D$315,4,0),0)</f>
        <v>1325438.47</v>
      </c>
      <c r="H279" s="468">
        <f t="shared" si="33"/>
        <v>1325438.47</v>
      </c>
      <c r="I279" s="382"/>
      <c r="J279" s="462">
        <v>185</v>
      </c>
      <c r="K279" s="468">
        <f>IFERROR(VLOOKUP(A279,'2018-19'!$A$6:$F$318,6,0),0)</f>
        <v>9514.52</v>
      </c>
      <c r="L279" s="468">
        <f>IFERROR(VLOOKUP(A279,'2018-19'!$A$6:$D$318,4,0),0)</f>
        <v>1859891.09</v>
      </c>
      <c r="M279" s="468">
        <f t="shared" si="34"/>
        <v>1869405.61</v>
      </c>
      <c r="N279" s="382"/>
      <c r="O279" s="452">
        <v>202</v>
      </c>
      <c r="P279" s="387">
        <v>0</v>
      </c>
      <c r="Q279" s="387">
        <v>2169723.2599999998</v>
      </c>
      <c r="R279" s="387">
        <v>2169723.2599999998</v>
      </c>
      <c r="S279" s="382"/>
      <c r="T279" s="375">
        <f>VLOOKUP(A279,'Nov 2020 cc'!$B$3:$D$317,3,0)</f>
        <v>207</v>
      </c>
      <c r="U279" s="387">
        <v>0</v>
      </c>
      <c r="V279" s="387">
        <v>2108953.7400000002</v>
      </c>
      <c r="W279" s="387">
        <v>2108953.7400000002</v>
      </c>
      <c r="X279" s="382"/>
      <c r="Y279" s="375">
        <v>203</v>
      </c>
      <c r="Z279" s="413">
        <f>VLOOKUP(A279,'2021-22'!$A$6:$D$317,4,0)</f>
        <v>0</v>
      </c>
      <c r="AA279" s="413">
        <f>VLOOKUP(A279,'2021-22'!$A$6:$E$317,5,0)</f>
        <v>2003113.58</v>
      </c>
      <c r="AB279" s="387">
        <f t="shared" si="30"/>
        <v>2003113.58</v>
      </c>
      <c r="AC279" s="382"/>
      <c r="AD279" s="416">
        <v>219</v>
      </c>
      <c r="AE279" s="413">
        <v>89135.039999999994</v>
      </c>
      <c r="AF279" s="413">
        <v>2609450.35</v>
      </c>
      <c r="AG279" s="387">
        <f t="shared" si="31"/>
        <v>2698585.39</v>
      </c>
      <c r="AH279" s="557"/>
      <c r="AI279" s="387">
        <f>IFERROR(VLOOKUP(A279,'23-24 child count'!$C$4:$Y$317,23,0),0)</f>
        <v>227</v>
      </c>
      <c r="AJ279" s="387">
        <f>VLOOKUP(A279,'23-24 state &amp; local'!$A$5:$D$316,4,0)</f>
        <v>89135.039999999994</v>
      </c>
      <c r="AK279" s="387">
        <f>VLOOKUP(A279,'23-24 state &amp; local'!$A$5:$E$316,5,0)</f>
        <v>2964955.94</v>
      </c>
      <c r="AL279" s="387">
        <f t="shared" si="32"/>
        <v>3054090.98</v>
      </c>
      <c r="AM279" s="382"/>
    </row>
    <row r="280" spans="1:39" ht="15.75" hidden="1" thickBot="1" x14ac:dyDescent="0.3">
      <c r="A280" s="375" t="s">
        <v>738</v>
      </c>
      <c r="B280" s="375" t="s">
        <v>221</v>
      </c>
      <c r="C280" s="448" t="s">
        <v>739</v>
      </c>
      <c r="E280" s="461">
        <v>22</v>
      </c>
      <c r="F280" s="468">
        <f>IFERROR(VLOOKUP(A280,'2017-18'!$A$6:$F$315,6,0),0)</f>
        <v>0</v>
      </c>
      <c r="G280" s="468">
        <f>IFERROR(VLOOKUP(A280,'2017-18'!$A$6:$D$315,4,0),0)</f>
        <v>247195.87</v>
      </c>
      <c r="H280" s="468">
        <f t="shared" si="33"/>
        <v>247195.87</v>
      </c>
      <c r="I280" s="382"/>
      <c r="J280" s="462">
        <v>28</v>
      </c>
      <c r="K280" s="468">
        <f>IFERROR(VLOOKUP(A280,'2018-19'!$A$6:$F$318,6,0),0)</f>
        <v>0</v>
      </c>
      <c r="L280" s="468">
        <f>IFERROR(VLOOKUP(A280,'2018-19'!$A$6:$D$318,4,0),0)</f>
        <v>259663.18</v>
      </c>
      <c r="M280" s="468">
        <f t="shared" si="34"/>
        <v>259663.18</v>
      </c>
      <c r="N280" s="382"/>
      <c r="O280" s="452">
        <v>32</v>
      </c>
      <c r="P280" s="387">
        <v>0</v>
      </c>
      <c r="Q280" s="387">
        <v>353888.04</v>
      </c>
      <c r="R280" s="387">
        <v>353888.04</v>
      </c>
      <c r="S280" s="382"/>
      <c r="T280" s="375">
        <f>VLOOKUP(A280,'Nov 2020 cc'!$B$3:$D$317,3,0)</f>
        <v>33</v>
      </c>
      <c r="U280" s="387">
        <v>0</v>
      </c>
      <c r="V280" s="387">
        <v>395555.41</v>
      </c>
      <c r="W280" s="387">
        <v>395555.41</v>
      </c>
      <c r="X280" s="382"/>
      <c r="Y280" s="375">
        <v>35</v>
      </c>
      <c r="Z280" s="413">
        <f>VLOOKUP(A280,'2021-22'!$A$6:$D$317,4,0)</f>
        <v>0</v>
      </c>
      <c r="AA280" s="413">
        <f>VLOOKUP(A280,'2021-22'!$A$6:$E$317,5,0)</f>
        <v>392291.15</v>
      </c>
      <c r="AB280" s="387">
        <f t="shared" si="30"/>
        <v>392291.15</v>
      </c>
      <c r="AC280" s="382"/>
      <c r="AD280" s="416">
        <v>34</v>
      </c>
      <c r="AE280" s="413">
        <v>0</v>
      </c>
      <c r="AF280" s="413">
        <v>470387.20000000001</v>
      </c>
      <c r="AG280" s="387">
        <f t="shared" si="31"/>
        <v>470387.20000000001</v>
      </c>
      <c r="AH280" s="557"/>
      <c r="AI280" s="387">
        <f>IFERROR(VLOOKUP(A280,'23-24 child count'!$C$4:$Y$317,23,0),0)</f>
        <v>41</v>
      </c>
      <c r="AJ280" s="387">
        <f>VLOOKUP(A280,'23-24 state &amp; local'!$A$5:$D$316,4,0)</f>
        <v>0</v>
      </c>
      <c r="AK280" s="387">
        <f>VLOOKUP(A280,'23-24 state &amp; local'!$A$5:$E$316,5,0)</f>
        <v>538298.68000000005</v>
      </c>
      <c r="AL280" s="387">
        <f t="shared" si="32"/>
        <v>538298.68000000005</v>
      </c>
      <c r="AM280" s="382"/>
    </row>
    <row r="281" spans="1:39" ht="15.75" hidden="1" thickBot="1" x14ac:dyDescent="0.3">
      <c r="A281" s="375" t="s">
        <v>740</v>
      </c>
      <c r="B281" s="375" t="s">
        <v>189</v>
      </c>
      <c r="C281" s="448" t="s">
        <v>741</v>
      </c>
      <c r="E281" s="461">
        <v>131</v>
      </c>
      <c r="F281" s="468">
        <f>IFERROR(VLOOKUP(A281,'2017-18'!$A$6:$F$315,6,0),0)</f>
        <v>326894.57</v>
      </c>
      <c r="G281" s="468">
        <f>IFERROR(VLOOKUP(A281,'2017-18'!$A$6:$D$315,4,0),0)</f>
        <v>998150.92</v>
      </c>
      <c r="H281" s="468">
        <f t="shared" si="33"/>
        <v>1325045.49</v>
      </c>
      <c r="I281" s="382"/>
      <c r="J281" s="462">
        <v>132</v>
      </c>
      <c r="K281" s="468">
        <f>IFERROR(VLOOKUP(A281,'2018-19'!$A$6:$F$318,6,0),0)</f>
        <v>437889.97</v>
      </c>
      <c r="L281" s="468">
        <f>IFERROR(VLOOKUP(A281,'2018-19'!$A$6:$D$318,4,0),0)</f>
        <v>1198639.3899999999</v>
      </c>
      <c r="M281" s="468">
        <f t="shared" si="34"/>
        <v>1636529.3599999999</v>
      </c>
      <c r="N281" s="382"/>
      <c r="O281" s="452">
        <v>140</v>
      </c>
      <c r="P281" s="387">
        <v>418502.97</v>
      </c>
      <c r="Q281" s="387">
        <v>1398243.72</v>
      </c>
      <c r="R281" s="387">
        <v>1816746.69</v>
      </c>
      <c r="S281" s="382"/>
      <c r="T281" s="375">
        <f>VLOOKUP(A281,'Nov 2020 cc'!$B$3:$D$317,3,0)</f>
        <v>143</v>
      </c>
      <c r="U281" s="387">
        <v>53536.37</v>
      </c>
      <c r="V281" s="387">
        <v>1715455.17</v>
      </c>
      <c r="W281" s="387">
        <v>1768991.54</v>
      </c>
      <c r="X281" s="382"/>
      <c r="Y281" s="375">
        <v>133</v>
      </c>
      <c r="Z281" s="413">
        <f>VLOOKUP(A281,'2021-22'!$A$6:$D$317,4,0)</f>
        <v>0</v>
      </c>
      <c r="AA281" s="413">
        <f>VLOOKUP(A281,'2021-22'!$A$6:$E$317,5,0)</f>
        <v>1846653.56</v>
      </c>
      <c r="AB281" s="387">
        <f t="shared" si="30"/>
        <v>1846653.56</v>
      </c>
      <c r="AC281" s="382"/>
      <c r="AD281" s="416">
        <v>140</v>
      </c>
      <c r="AE281" s="413">
        <v>0</v>
      </c>
      <c r="AF281" s="413">
        <v>2261779.25</v>
      </c>
      <c r="AG281" s="387">
        <f t="shared" si="31"/>
        <v>2261779.25</v>
      </c>
      <c r="AH281" s="557"/>
      <c r="AI281" s="387">
        <f>IFERROR(VLOOKUP(A281,'23-24 child count'!$C$4:$Y$317,23,0),0)</f>
        <v>153</v>
      </c>
      <c r="AJ281" s="387">
        <f>VLOOKUP(A281,'23-24 state &amp; local'!$A$5:$D$316,4,0)</f>
        <v>112081.81</v>
      </c>
      <c r="AK281" s="387">
        <f>VLOOKUP(A281,'23-24 state &amp; local'!$A$5:$E$316,5,0)</f>
        <v>2379511.25</v>
      </c>
      <c r="AL281" s="387">
        <f t="shared" si="32"/>
        <v>2491593.06</v>
      </c>
      <c r="AM281" s="382"/>
    </row>
    <row r="282" spans="1:39" ht="15.75" hidden="1" thickBot="1" x14ac:dyDescent="0.3">
      <c r="A282" s="375" t="s">
        <v>742</v>
      </c>
      <c r="B282" s="375" t="s">
        <v>231</v>
      </c>
      <c r="C282" s="448" t="s">
        <v>743</v>
      </c>
      <c r="E282" s="461">
        <v>131</v>
      </c>
      <c r="F282" s="468">
        <f>IFERROR(VLOOKUP(A282,'2017-18'!$A$6:$F$315,6,0),0)</f>
        <v>38.75</v>
      </c>
      <c r="G282" s="468">
        <f>IFERROR(VLOOKUP(A282,'2017-18'!$A$6:$D$315,4,0),0)</f>
        <v>862551.84</v>
      </c>
      <c r="H282" s="468">
        <f t="shared" si="33"/>
        <v>862590.59</v>
      </c>
      <c r="I282" s="382"/>
      <c r="J282" s="462">
        <v>130</v>
      </c>
      <c r="K282" s="468">
        <f>IFERROR(VLOOKUP(A282,'2018-19'!$A$6:$F$318,6,0),0)</f>
        <v>0</v>
      </c>
      <c r="L282" s="468">
        <f>IFERROR(VLOOKUP(A282,'2018-19'!$A$6:$D$318,4,0),0)</f>
        <v>1092115.96</v>
      </c>
      <c r="M282" s="468">
        <f t="shared" si="34"/>
        <v>1092115.96</v>
      </c>
      <c r="N282" s="382"/>
      <c r="O282" s="452">
        <v>121</v>
      </c>
      <c r="P282" s="387">
        <v>0</v>
      </c>
      <c r="Q282" s="387">
        <v>1048405.49</v>
      </c>
      <c r="R282" s="387">
        <v>1048405.49</v>
      </c>
      <c r="S282" s="382"/>
      <c r="T282" s="375">
        <f>VLOOKUP(A282,'Nov 2020 cc'!$B$3:$D$317,3,0)</f>
        <v>131</v>
      </c>
      <c r="U282" s="387">
        <v>0</v>
      </c>
      <c r="V282" s="387">
        <v>1351785.53</v>
      </c>
      <c r="W282" s="387">
        <v>1351785.53</v>
      </c>
      <c r="X282" s="382"/>
      <c r="Y282" s="375">
        <v>132</v>
      </c>
      <c r="Z282" s="413">
        <f>VLOOKUP(A282,'2021-22'!$A$6:$D$317,4,0)</f>
        <v>0</v>
      </c>
      <c r="AA282" s="413">
        <f>VLOOKUP(A282,'2021-22'!$A$6:$E$317,5,0)</f>
        <v>1149184.33</v>
      </c>
      <c r="AB282" s="387">
        <f t="shared" si="30"/>
        <v>1149184.33</v>
      </c>
      <c r="AC282" s="382"/>
      <c r="AD282" s="416">
        <v>126</v>
      </c>
      <c r="AE282" s="413">
        <v>0</v>
      </c>
      <c r="AF282" s="413">
        <v>1330248.8400000001</v>
      </c>
      <c r="AG282" s="387">
        <f t="shared" si="31"/>
        <v>1330248.8400000001</v>
      </c>
      <c r="AH282" s="557"/>
      <c r="AI282" s="387">
        <f>IFERROR(VLOOKUP(A282,'23-24 child count'!$C$4:$Y$317,23,0),0)</f>
        <v>135</v>
      </c>
      <c r="AJ282" s="387">
        <f>VLOOKUP(A282,'23-24 state &amp; local'!$A$5:$D$316,4,0)</f>
        <v>0</v>
      </c>
      <c r="AK282" s="387">
        <f>VLOOKUP(A282,'23-24 state &amp; local'!$A$5:$E$316,5,0)</f>
        <v>1499981.1</v>
      </c>
      <c r="AL282" s="387">
        <f t="shared" si="32"/>
        <v>1499981.1</v>
      </c>
      <c r="AM282" s="382"/>
    </row>
    <row r="283" spans="1:39" ht="15.75" hidden="1" thickBot="1" x14ac:dyDescent="0.3">
      <c r="A283" s="375" t="s">
        <v>744</v>
      </c>
      <c r="B283" s="375" t="s">
        <v>221</v>
      </c>
      <c r="C283" s="448" t="s">
        <v>745</v>
      </c>
      <c r="E283" s="461">
        <v>534</v>
      </c>
      <c r="F283" s="468">
        <f>IFERROR(VLOOKUP(A283,'2017-18'!$A$6:$F$315,6,0),0)</f>
        <v>0</v>
      </c>
      <c r="G283" s="468">
        <f>IFERROR(VLOOKUP(A283,'2017-18'!$A$6:$D$315,4,0),0)</f>
        <v>3779602.13</v>
      </c>
      <c r="H283" s="468">
        <f t="shared" si="33"/>
        <v>3779602.13</v>
      </c>
      <c r="I283" s="382"/>
      <c r="J283" s="462">
        <v>558</v>
      </c>
      <c r="K283" s="468">
        <f>IFERROR(VLOOKUP(A283,'2018-19'!$A$6:$F$318,6,0),0)</f>
        <v>0</v>
      </c>
      <c r="L283" s="468">
        <f>IFERROR(VLOOKUP(A283,'2018-19'!$A$6:$D$318,4,0),0)</f>
        <v>4378376.38</v>
      </c>
      <c r="M283" s="468">
        <f t="shared" si="34"/>
        <v>4378376.38</v>
      </c>
      <c r="N283" s="382"/>
      <c r="O283" s="452">
        <v>579</v>
      </c>
      <c r="P283" s="387">
        <v>0</v>
      </c>
      <c r="Q283" s="387">
        <v>5064931.99</v>
      </c>
      <c r="R283" s="387">
        <v>5064931.99</v>
      </c>
      <c r="S283" s="382"/>
      <c r="T283" s="375">
        <f>VLOOKUP(A283,'Nov 2020 cc'!$B$3:$D$317,3,0)</f>
        <v>588</v>
      </c>
      <c r="U283" s="387">
        <v>0</v>
      </c>
      <c r="V283" s="387">
        <v>4868571.6900000004</v>
      </c>
      <c r="W283" s="387">
        <v>4868571.6900000004</v>
      </c>
      <c r="X283" s="382"/>
      <c r="Y283" s="375">
        <v>556</v>
      </c>
      <c r="Z283" s="413">
        <f>VLOOKUP(A283,'2021-22'!$A$6:$D$317,4,0)</f>
        <v>0</v>
      </c>
      <c r="AA283" s="413">
        <f>VLOOKUP(A283,'2021-22'!$A$6:$E$317,5,0)</f>
        <v>4440304.57</v>
      </c>
      <c r="AB283" s="387">
        <f t="shared" si="30"/>
        <v>4440304.57</v>
      </c>
      <c r="AC283" s="382"/>
      <c r="AD283" s="416">
        <v>544</v>
      </c>
      <c r="AE283" s="413">
        <v>0</v>
      </c>
      <c r="AF283" s="413">
        <v>5204552.09</v>
      </c>
      <c r="AG283" s="387">
        <f t="shared" si="31"/>
        <v>5204552.09</v>
      </c>
      <c r="AH283" s="557"/>
      <c r="AI283" s="387">
        <f>IFERROR(VLOOKUP(A283,'23-24 child count'!$C$4:$Y$317,23,0),0)</f>
        <v>528</v>
      </c>
      <c r="AJ283" s="387">
        <f>VLOOKUP(A283,'23-24 state &amp; local'!$A$5:$D$316,4,0)</f>
        <v>0</v>
      </c>
      <c r="AK283" s="387">
        <f>VLOOKUP(A283,'23-24 state &amp; local'!$A$5:$E$316,5,0)</f>
        <v>5864108.3499999996</v>
      </c>
      <c r="AL283" s="387">
        <f t="shared" si="32"/>
        <v>5864108.3499999996</v>
      </c>
      <c r="AM283" s="382"/>
    </row>
    <row r="284" spans="1:39" ht="15.75" hidden="1" thickBot="1" x14ac:dyDescent="0.3">
      <c r="A284" s="375" t="s">
        <v>746</v>
      </c>
      <c r="B284" s="375" t="s">
        <v>202</v>
      </c>
      <c r="C284" s="448" t="s">
        <v>747</v>
      </c>
      <c r="E284" s="461">
        <v>27</v>
      </c>
      <c r="F284" s="468">
        <f>IFERROR(VLOOKUP(A284,'2017-18'!$A$6:$F$315,6,0),0)</f>
        <v>0</v>
      </c>
      <c r="G284" s="468">
        <f>IFERROR(VLOOKUP(A284,'2017-18'!$A$6:$D$315,4,0),0)</f>
        <v>193888.59</v>
      </c>
      <c r="H284" s="468">
        <f t="shared" si="33"/>
        <v>193888.59</v>
      </c>
      <c r="I284" s="382"/>
      <c r="J284" s="462">
        <v>26</v>
      </c>
      <c r="K284" s="468">
        <f>IFERROR(VLOOKUP(A284,'2018-19'!$A$6:$F$318,6,0),0)</f>
        <v>0</v>
      </c>
      <c r="L284" s="468">
        <f>IFERROR(VLOOKUP(A284,'2018-19'!$A$6:$D$318,4,0),0)</f>
        <v>205500</v>
      </c>
      <c r="M284" s="468">
        <f t="shared" si="34"/>
        <v>205500</v>
      </c>
      <c r="N284" s="382"/>
      <c r="O284" s="452">
        <v>35</v>
      </c>
      <c r="P284" s="387">
        <v>0</v>
      </c>
      <c r="Q284" s="387">
        <v>244035.1</v>
      </c>
      <c r="R284" s="387">
        <v>244035.1</v>
      </c>
      <c r="S284" s="382"/>
      <c r="T284" s="375">
        <f>VLOOKUP(A284,'Nov 2020 cc'!$B$3:$D$317,3,0)</f>
        <v>29</v>
      </c>
      <c r="U284" s="387">
        <v>0</v>
      </c>
      <c r="V284" s="387">
        <v>248271.13</v>
      </c>
      <c r="W284" s="387">
        <v>248271.13</v>
      </c>
      <c r="X284" s="382"/>
      <c r="Y284" s="375">
        <v>23</v>
      </c>
      <c r="Z284" s="413">
        <f>VLOOKUP(A284,'2021-22'!$A$6:$D$317,4,0)</f>
        <v>29614.58</v>
      </c>
      <c r="AA284" s="413">
        <f>VLOOKUP(A284,'2021-22'!$A$6:$E$317,5,0)</f>
        <v>228377.54</v>
      </c>
      <c r="AB284" s="387">
        <f t="shared" ref="AB284:AB316" si="35">Z284+AA284</f>
        <v>257992.12</v>
      </c>
      <c r="AC284" s="382"/>
      <c r="AD284" s="416">
        <v>19</v>
      </c>
      <c r="AE284" s="413">
        <v>0</v>
      </c>
      <c r="AF284" s="413">
        <v>235280.49</v>
      </c>
      <c r="AG284" s="387">
        <f t="shared" ref="AG284:AG316" si="36">AE284+AF284</f>
        <v>235280.49</v>
      </c>
      <c r="AH284" s="557"/>
      <c r="AI284" s="387">
        <f>IFERROR(VLOOKUP(A284,'23-24 child count'!$C$4:$Y$317,23,0),0)</f>
        <v>15</v>
      </c>
      <c r="AJ284" s="387">
        <f>VLOOKUP(A284,'23-24 state &amp; local'!$A$5:$D$316,4,0)</f>
        <v>0</v>
      </c>
      <c r="AK284" s="387">
        <f>VLOOKUP(A284,'23-24 state &amp; local'!$A$5:$E$316,5,0)</f>
        <v>164903.19</v>
      </c>
      <c r="AL284" s="387">
        <f t="shared" si="32"/>
        <v>164903.19</v>
      </c>
      <c r="AM284" s="382"/>
    </row>
    <row r="285" spans="1:39" ht="15.75" hidden="1" thickBot="1" x14ac:dyDescent="0.3">
      <c r="A285" s="375" t="s">
        <v>748</v>
      </c>
      <c r="B285" s="375" t="s">
        <v>210</v>
      </c>
      <c r="C285" s="448" t="s">
        <v>749</v>
      </c>
      <c r="D285" s="375" t="s">
        <v>819</v>
      </c>
      <c r="E285" s="461">
        <v>75</v>
      </c>
      <c r="F285" s="468">
        <f>IFERROR(VLOOKUP(A285,'2017-18'!$A$6:$F$315,6,0),0)</f>
        <v>0</v>
      </c>
      <c r="G285" s="468">
        <f>IFERROR(VLOOKUP(A285,'2017-18'!$A$6:$D$315,4,0),0)</f>
        <v>656449.89</v>
      </c>
      <c r="H285" s="468">
        <f t="shared" si="33"/>
        <v>656449.89</v>
      </c>
      <c r="I285" s="382"/>
      <c r="J285" s="462">
        <v>90</v>
      </c>
      <c r="K285" s="468">
        <f>IFERROR(VLOOKUP(A285,'2018-19'!$A$6:$F$318,6,0),0)</f>
        <v>0</v>
      </c>
      <c r="L285" s="468">
        <f>IFERROR(VLOOKUP(A285,'2018-19'!$A$6:$D$318,4,0),0)</f>
        <v>876409.73</v>
      </c>
      <c r="M285" s="468">
        <f t="shared" si="34"/>
        <v>876409.73</v>
      </c>
      <c r="N285" s="382"/>
      <c r="O285" s="452">
        <v>101</v>
      </c>
      <c r="P285" s="387">
        <v>0</v>
      </c>
      <c r="Q285" s="387">
        <v>952432.85</v>
      </c>
      <c r="R285" s="387">
        <v>952432.85</v>
      </c>
      <c r="S285" s="382"/>
      <c r="T285" s="375">
        <f>VLOOKUP(A285,'Nov 2020 cc'!$B$3:$D$317,3,0)</f>
        <v>112</v>
      </c>
      <c r="U285" s="387">
        <v>0</v>
      </c>
      <c r="V285" s="387">
        <v>1086222.47</v>
      </c>
      <c r="W285" s="387">
        <v>1086222.47</v>
      </c>
      <c r="X285" s="382"/>
      <c r="Y285" s="375">
        <v>108</v>
      </c>
      <c r="Z285" s="413">
        <f>VLOOKUP(A285,'2021-22'!$A$6:$D$317,4,0)</f>
        <v>0</v>
      </c>
      <c r="AA285" s="413">
        <f>VLOOKUP(A285,'2021-22'!$A$6:$E$317,5,0)</f>
        <v>1011805.92</v>
      </c>
      <c r="AB285" s="387">
        <f t="shared" si="35"/>
        <v>1011805.92</v>
      </c>
      <c r="AC285" s="382"/>
      <c r="AD285" s="416">
        <v>103</v>
      </c>
      <c r="AE285" s="413">
        <v>0</v>
      </c>
      <c r="AF285" s="413">
        <v>1012361.9</v>
      </c>
      <c r="AG285" s="387">
        <f t="shared" si="36"/>
        <v>1012361.9</v>
      </c>
      <c r="AH285" s="557"/>
      <c r="AI285" s="387">
        <f>IFERROR(VLOOKUP(A285,'23-24 child count'!$C$4:$Y$317,23,0),0)</f>
        <v>97</v>
      </c>
      <c r="AJ285" s="387">
        <f>VLOOKUP(A285,'23-24 state &amp; local'!$A$5:$D$316,4,0)</f>
        <v>0</v>
      </c>
      <c r="AK285" s="387">
        <f>VLOOKUP(A285,'23-24 state &amp; local'!$A$5:$E$316,5,0)</f>
        <v>1178957.8899999999</v>
      </c>
      <c r="AL285" s="387">
        <f t="shared" si="32"/>
        <v>1178957.8899999999</v>
      </c>
      <c r="AM285" s="382"/>
    </row>
    <row r="286" spans="1:39" ht="15.75" hidden="1" thickBot="1" x14ac:dyDescent="0.3">
      <c r="A286" s="375" t="s">
        <v>750</v>
      </c>
      <c r="B286" s="375" t="s">
        <v>210</v>
      </c>
      <c r="C286" s="448" t="s">
        <v>751</v>
      </c>
      <c r="D286" s="375" t="s">
        <v>819</v>
      </c>
      <c r="E286" s="461">
        <v>31</v>
      </c>
      <c r="F286" s="468">
        <f>IFERROR(VLOOKUP(A286,'2017-18'!$A$6:$F$315,6,0),0)</f>
        <v>0</v>
      </c>
      <c r="G286" s="468">
        <f>IFERROR(VLOOKUP(A286,'2017-18'!$A$6:$D$315,4,0),0)</f>
        <v>212400.73</v>
      </c>
      <c r="H286" s="468">
        <f t="shared" si="33"/>
        <v>212400.73</v>
      </c>
      <c r="I286" s="382"/>
      <c r="J286" s="462">
        <v>21</v>
      </c>
      <c r="K286" s="468">
        <f>IFERROR(VLOOKUP(A286,'2018-19'!$A$6:$F$318,6,0),0)</f>
        <v>0</v>
      </c>
      <c r="L286" s="468">
        <f>IFERROR(VLOOKUP(A286,'2018-19'!$A$6:$D$318,4,0),0)</f>
        <v>197440.92</v>
      </c>
      <c r="M286" s="468">
        <f t="shared" si="34"/>
        <v>197440.92</v>
      </c>
      <c r="N286" s="382"/>
      <c r="O286" s="452">
        <v>24</v>
      </c>
      <c r="P286" s="387">
        <v>0</v>
      </c>
      <c r="Q286" s="387">
        <v>212833.99</v>
      </c>
      <c r="R286" s="387">
        <v>212833.99</v>
      </c>
      <c r="S286" s="382"/>
      <c r="T286" s="375">
        <f>VLOOKUP(A286,'Nov 2020 cc'!$B$3:$D$317,3,0)</f>
        <v>16</v>
      </c>
      <c r="U286" s="387">
        <v>0</v>
      </c>
      <c r="V286" s="387">
        <v>149228.26</v>
      </c>
      <c r="W286" s="387">
        <v>149228.26</v>
      </c>
      <c r="X286" s="382"/>
      <c r="Y286" s="375">
        <v>18</v>
      </c>
      <c r="Z286" s="413">
        <f>VLOOKUP(A286,'2021-22'!$A$6:$D$317,4,0)</f>
        <v>0</v>
      </c>
      <c r="AA286" s="413">
        <f>VLOOKUP(A286,'2021-22'!$A$6:$E$317,5,0)</f>
        <v>174835.77</v>
      </c>
      <c r="AB286" s="387">
        <f t="shared" si="35"/>
        <v>174835.77</v>
      </c>
      <c r="AC286" s="382"/>
      <c r="AD286" s="416">
        <v>22</v>
      </c>
      <c r="AE286" s="413">
        <v>0</v>
      </c>
      <c r="AF286" s="413">
        <v>220585.5</v>
      </c>
      <c r="AG286" s="387">
        <f t="shared" si="36"/>
        <v>220585.5</v>
      </c>
      <c r="AH286" s="557"/>
      <c r="AI286" s="387">
        <f>IFERROR(VLOOKUP(A286,'23-24 child count'!$C$4:$Y$317,23,0),0)</f>
        <v>22</v>
      </c>
      <c r="AJ286" s="387">
        <f>VLOOKUP(A286,'23-24 state &amp; local'!$A$5:$D$316,4,0)</f>
        <v>0</v>
      </c>
      <c r="AK286" s="387">
        <f>VLOOKUP(A286,'23-24 state &amp; local'!$A$5:$E$316,5,0)</f>
        <v>250722.49</v>
      </c>
      <c r="AL286" s="387">
        <f t="shared" si="32"/>
        <v>250722.49</v>
      </c>
      <c r="AM286" s="382"/>
    </row>
    <row r="287" spans="1:39" ht="15.75" hidden="1" thickBot="1" x14ac:dyDescent="0.3">
      <c r="A287" s="375" t="s">
        <v>752</v>
      </c>
      <c r="B287" s="375" t="s">
        <v>205</v>
      </c>
      <c r="C287" s="448" t="s">
        <v>753</v>
      </c>
      <c r="E287" s="461">
        <v>302</v>
      </c>
      <c r="F287" s="468">
        <f>IFERROR(VLOOKUP(A287,'2017-18'!$A$6:$F$315,6,0),0)</f>
        <v>0</v>
      </c>
      <c r="G287" s="468">
        <f>IFERROR(VLOOKUP(A287,'2017-18'!$A$6:$D$315,4,0),0)</f>
        <v>4075203.63</v>
      </c>
      <c r="H287" s="468">
        <f t="shared" si="33"/>
        <v>4075203.63</v>
      </c>
      <c r="I287" s="382"/>
      <c r="J287" s="462">
        <v>317</v>
      </c>
      <c r="K287" s="468">
        <f>IFERROR(VLOOKUP(A287,'2018-19'!$A$6:$F$318,6,0),0)</f>
        <v>0</v>
      </c>
      <c r="L287" s="468">
        <f>IFERROR(VLOOKUP(A287,'2018-19'!$A$6:$D$318,4,0),0)</f>
        <v>4619615.88</v>
      </c>
      <c r="M287" s="468">
        <f t="shared" si="34"/>
        <v>4619615.88</v>
      </c>
      <c r="N287" s="382"/>
      <c r="O287" s="452">
        <v>350</v>
      </c>
      <c r="P287" s="387">
        <v>357300.1</v>
      </c>
      <c r="Q287" s="387">
        <v>4996425.45</v>
      </c>
      <c r="R287" s="387">
        <v>5353725.55</v>
      </c>
      <c r="S287" s="382"/>
      <c r="T287" s="375">
        <f>VLOOKUP(A287,'Nov 2020 cc'!$B$3:$D$317,3,0)</f>
        <v>326</v>
      </c>
      <c r="U287" s="387">
        <v>1454292.01</v>
      </c>
      <c r="V287" s="387">
        <v>4180303.04</v>
      </c>
      <c r="W287" s="387">
        <v>5634595.0499999998</v>
      </c>
      <c r="X287" s="382"/>
      <c r="Y287" s="375">
        <v>308</v>
      </c>
      <c r="Z287" s="413">
        <f>VLOOKUP(A287,'2021-22'!$A$6:$D$317,4,0)</f>
        <v>0</v>
      </c>
      <c r="AA287" s="413">
        <f>VLOOKUP(A287,'2021-22'!$A$6:$E$317,5,0)</f>
        <v>5987123.96</v>
      </c>
      <c r="AB287" s="387">
        <f t="shared" si="35"/>
        <v>5987123.96</v>
      </c>
      <c r="AC287" s="382"/>
      <c r="AD287" s="416">
        <v>326</v>
      </c>
      <c r="AE287" s="413">
        <v>717451.21</v>
      </c>
      <c r="AF287" s="413">
        <v>5210475</v>
      </c>
      <c r="AG287" s="387">
        <f t="shared" si="36"/>
        <v>5927926.21</v>
      </c>
      <c r="AH287" s="557"/>
      <c r="AI287" s="387">
        <f>IFERROR(VLOOKUP(A287,'23-24 child count'!$C$4:$Y$317,23,0),0)</f>
        <v>334</v>
      </c>
      <c r="AJ287" s="387">
        <f>VLOOKUP(A287,'23-24 state &amp; local'!$A$5:$D$316,4,0)</f>
        <v>1025389.39</v>
      </c>
      <c r="AK287" s="387">
        <f>VLOOKUP(A287,'23-24 state &amp; local'!$A$5:$E$316,5,0)</f>
        <v>6308495.3899999997</v>
      </c>
      <c r="AL287" s="387">
        <f t="shared" si="32"/>
        <v>7333884.7799999993</v>
      </c>
      <c r="AM287" s="382"/>
    </row>
    <row r="288" spans="1:39" ht="15.75" hidden="1" thickBot="1" x14ac:dyDescent="0.3">
      <c r="A288" s="375" t="s">
        <v>754</v>
      </c>
      <c r="B288" s="375" t="s">
        <v>189</v>
      </c>
      <c r="C288" s="448" t="s">
        <v>755</v>
      </c>
      <c r="E288" s="461">
        <v>824</v>
      </c>
      <c r="F288" s="468">
        <f>IFERROR(VLOOKUP(A288,'2017-18'!$A$6:$F$315,6,0),0)</f>
        <v>0</v>
      </c>
      <c r="G288" s="468">
        <f>IFERROR(VLOOKUP(A288,'2017-18'!$A$6:$D$315,4,0),0)</f>
        <v>7464334.8499999996</v>
      </c>
      <c r="H288" s="468">
        <f t="shared" si="33"/>
        <v>7464334.8499999996</v>
      </c>
      <c r="I288" s="382"/>
      <c r="J288" s="462">
        <v>862</v>
      </c>
      <c r="K288" s="468">
        <f>IFERROR(VLOOKUP(A288,'2018-19'!$A$6:$F$318,6,0),0)</f>
        <v>749928.94</v>
      </c>
      <c r="L288" s="468">
        <f>IFERROR(VLOOKUP(A288,'2018-19'!$A$6:$D$318,4,0),0)</f>
        <v>8381878.8899999997</v>
      </c>
      <c r="M288" s="468">
        <f t="shared" si="34"/>
        <v>9131807.8300000001</v>
      </c>
      <c r="N288" s="382"/>
      <c r="O288" s="452">
        <v>867</v>
      </c>
      <c r="P288" s="387">
        <v>92502.12</v>
      </c>
      <c r="Q288" s="387">
        <v>9401413.2100000009</v>
      </c>
      <c r="R288" s="387">
        <v>9493915.3300000001</v>
      </c>
      <c r="S288" s="382"/>
      <c r="T288" s="375">
        <f>VLOOKUP(A288,'Nov 2020 cc'!$B$3:$D$317,3,0)</f>
        <v>728</v>
      </c>
      <c r="U288" s="387">
        <v>2294140.14</v>
      </c>
      <c r="V288" s="387">
        <v>8621375.4600000009</v>
      </c>
      <c r="W288" s="387">
        <v>10915515.600000001</v>
      </c>
      <c r="X288" s="382"/>
      <c r="Y288" s="375">
        <v>885</v>
      </c>
      <c r="Z288" s="413">
        <f>VLOOKUP(A288,'2021-22'!$A$6:$D$317,4,0)</f>
        <v>25285.29</v>
      </c>
      <c r="AA288" s="413">
        <f>VLOOKUP(A288,'2021-22'!$A$6:$E$317,5,0)</f>
        <v>11693116.949999999</v>
      </c>
      <c r="AB288" s="387">
        <f t="shared" si="35"/>
        <v>11718402.239999998</v>
      </c>
      <c r="AC288" s="382"/>
      <c r="AD288" s="416">
        <v>923</v>
      </c>
      <c r="AE288" s="413">
        <v>1656925.41</v>
      </c>
      <c r="AF288" s="413">
        <v>11333376.279999999</v>
      </c>
      <c r="AG288" s="387">
        <f t="shared" si="36"/>
        <v>12990301.689999999</v>
      </c>
      <c r="AH288" s="557"/>
      <c r="AI288" s="387">
        <f>IFERROR(VLOOKUP(A288,'23-24 child count'!$C$4:$Y$317,23,0),0)</f>
        <v>931</v>
      </c>
      <c r="AJ288" s="387">
        <f>VLOOKUP(A288,'23-24 state &amp; local'!$A$5:$D$316,4,0)</f>
        <v>502619</v>
      </c>
      <c r="AK288" s="387">
        <f>VLOOKUP(A288,'23-24 state &amp; local'!$A$5:$E$316,5,0)</f>
        <v>14134408.310000001</v>
      </c>
      <c r="AL288" s="387">
        <f t="shared" si="32"/>
        <v>14637027.310000001</v>
      </c>
      <c r="AM288" s="382"/>
    </row>
    <row r="289" spans="1:39" ht="15.75" hidden="1" thickBot="1" x14ac:dyDescent="0.3">
      <c r="A289" s="375" t="s">
        <v>756</v>
      </c>
      <c r="B289" s="375" t="s">
        <v>221</v>
      </c>
      <c r="C289" s="448" t="s">
        <v>757</v>
      </c>
      <c r="E289" s="461">
        <v>69</v>
      </c>
      <c r="F289" s="468">
        <f>IFERROR(VLOOKUP(A289,'2017-18'!$A$6:$F$315,6,0),0)</f>
        <v>0</v>
      </c>
      <c r="G289" s="468">
        <f>IFERROR(VLOOKUP(A289,'2017-18'!$A$6:$D$315,4,0),0)</f>
        <v>478645.15</v>
      </c>
      <c r="H289" s="468">
        <f t="shared" si="33"/>
        <v>478645.15</v>
      </c>
      <c r="I289" s="382"/>
      <c r="J289" s="462">
        <v>68</v>
      </c>
      <c r="K289" s="468">
        <f>IFERROR(VLOOKUP(A289,'2018-19'!$A$6:$F$318,6,0),0)</f>
        <v>5968.09</v>
      </c>
      <c r="L289" s="468">
        <f>IFERROR(VLOOKUP(A289,'2018-19'!$A$6:$D$318,4,0),0)</f>
        <v>582451</v>
      </c>
      <c r="M289" s="468">
        <f t="shared" si="34"/>
        <v>588419.09</v>
      </c>
      <c r="N289" s="382"/>
      <c r="O289" s="452">
        <v>74</v>
      </c>
      <c r="P289" s="387">
        <v>0</v>
      </c>
      <c r="Q289" s="387">
        <v>613370.84</v>
      </c>
      <c r="R289" s="387">
        <v>613370.84</v>
      </c>
      <c r="S289" s="382"/>
      <c r="T289" s="375">
        <f>VLOOKUP(A289,'Nov 2020 cc'!$B$3:$D$317,3,0)</f>
        <v>70</v>
      </c>
      <c r="U289" s="387">
        <v>0</v>
      </c>
      <c r="V289" s="387">
        <v>623891.54</v>
      </c>
      <c r="W289" s="387">
        <v>623891.54</v>
      </c>
      <c r="X289" s="382"/>
      <c r="Y289" s="375">
        <v>74</v>
      </c>
      <c r="Z289" s="413">
        <f>VLOOKUP(A289,'2021-22'!$A$6:$D$317,4,0)</f>
        <v>0</v>
      </c>
      <c r="AA289" s="413">
        <f>VLOOKUP(A289,'2021-22'!$A$6:$E$317,5,0)</f>
        <v>643355.37</v>
      </c>
      <c r="AB289" s="387">
        <f t="shared" si="35"/>
        <v>643355.37</v>
      </c>
      <c r="AC289" s="382"/>
      <c r="AD289" s="416">
        <v>72</v>
      </c>
      <c r="AE289" s="413">
        <v>0</v>
      </c>
      <c r="AF289" s="413">
        <v>751493.11</v>
      </c>
      <c r="AG289" s="387">
        <f t="shared" si="36"/>
        <v>751493.11</v>
      </c>
      <c r="AH289" s="557"/>
      <c r="AI289" s="387">
        <f>IFERROR(VLOOKUP(A289,'23-24 child count'!$C$4:$Y$317,23,0),0)</f>
        <v>84</v>
      </c>
      <c r="AJ289" s="387">
        <f>VLOOKUP(A289,'23-24 state &amp; local'!$A$5:$D$316,4,0)</f>
        <v>0</v>
      </c>
      <c r="AK289" s="387">
        <f>VLOOKUP(A289,'23-24 state &amp; local'!$A$5:$E$316,5,0)</f>
        <v>784857.45</v>
      </c>
      <c r="AL289" s="387">
        <f t="shared" si="32"/>
        <v>784857.45</v>
      </c>
      <c r="AM289" s="382"/>
    </row>
    <row r="290" spans="1:39" ht="15.75" hidden="1" thickBot="1" x14ac:dyDescent="0.3">
      <c r="A290" s="375" t="s">
        <v>758</v>
      </c>
      <c r="B290" s="375" t="s">
        <v>205</v>
      </c>
      <c r="C290" s="448" t="s">
        <v>759</v>
      </c>
      <c r="E290" s="461">
        <v>586</v>
      </c>
      <c r="F290" s="468">
        <f>IFERROR(VLOOKUP(A290,'2017-18'!$A$6:$F$315,6,0),0)</f>
        <v>53445.31</v>
      </c>
      <c r="G290" s="468">
        <f>IFERROR(VLOOKUP(A290,'2017-18'!$A$6:$D$315,4,0),0)</f>
        <v>7152239.3899999997</v>
      </c>
      <c r="H290" s="468">
        <f t="shared" si="33"/>
        <v>7205684.6999999993</v>
      </c>
      <c r="I290" s="382"/>
      <c r="J290" s="462">
        <v>604</v>
      </c>
      <c r="K290" s="468">
        <f>IFERROR(VLOOKUP(A290,'2018-19'!$A$6:$F$318,6,0),0)</f>
        <v>66045.52</v>
      </c>
      <c r="L290" s="468">
        <f>IFERROR(VLOOKUP(A290,'2018-19'!$A$6:$D$318,4,0),0)</f>
        <v>7760389.5199999996</v>
      </c>
      <c r="M290" s="468">
        <f t="shared" si="34"/>
        <v>7826435.0399999991</v>
      </c>
      <c r="N290" s="382"/>
      <c r="O290" s="452">
        <v>584</v>
      </c>
      <c r="P290" s="387">
        <v>47945.23</v>
      </c>
      <c r="Q290" s="387">
        <v>8704141.8900000006</v>
      </c>
      <c r="R290" s="387">
        <v>8752087.120000001</v>
      </c>
      <c r="S290" s="382"/>
      <c r="T290" s="375">
        <f>VLOOKUP(A290,'Nov 2020 cc'!$B$3:$D$317,3,0)</f>
        <v>590</v>
      </c>
      <c r="U290" s="387">
        <v>597.51</v>
      </c>
      <c r="V290" s="387">
        <v>9804721.4199999999</v>
      </c>
      <c r="W290" s="387">
        <v>9805318.9299999997</v>
      </c>
      <c r="X290" s="382"/>
      <c r="Y290" s="375">
        <v>583</v>
      </c>
      <c r="Z290" s="413">
        <f>VLOOKUP(A290,'2021-22'!$A$6:$D$317,4,0)</f>
        <v>72221.52</v>
      </c>
      <c r="AA290" s="413">
        <f>VLOOKUP(A290,'2021-22'!$A$6:$E$317,5,0)</f>
        <v>10591552.699999999</v>
      </c>
      <c r="AB290" s="387">
        <f t="shared" si="35"/>
        <v>10663774.219999999</v>
      </c>
      <c r="AC290" s="382"/>
      <c r="AD290" s="416">
        <v>557</v>
      </c>
      <c r="AE290" s="413">
        <v>75175.929999999993</v>
      </c>
      <c r="AF290" s="413">
        <v>11049830.15</v>
      </c>
      <c r="AG290" s="387">
        <f t="shared" si="36"/>
        <v>11125006.08</v>
      </c>
      <c r="AH290" s="557"/>
      <c r="AI290" s="387">
        <f>IFERROR(VLOOKUP(A290,'23-24 child count'!$C$4:$Y$317,23,0),0)</f>
        <v>555</v>
      </c>
      <c r="AJ290" s="387">
        <f>VLOOKUP(A290,'23-24 state &amp; local'!$A$5:$D$316,4,0)</f>
        <v>87272.960000000006</v>
      </c>
      <c r="AK290" s="387">
        <f>VLOOKUP(A290,'23-24 state &amp; local'!$A$5:$E$316,5,0)</f>
        <v>11322976.59</v>
      </c>
      <c r="AL290" s="387">
        <f t="shared" si="32"/>
        <v>11410249.550000001</v>
      </c>
      <c r="AM290" s="382"/>
    </row>
    <row r="291" spans="1:39" ht="15.75" hidden="1" thickBot="1" x14ac:dyDescent="0.3">
      <c r="A291" s="375" t="s">
        <v>760</v>
      </c>
      <c r="B291" s="375" t="s">
        <v>194</v>
      </c>
      <c r="C291" s="448" t="s">
        <v>1207</v>
      </c>
      <c r="E291" s="461">
        <v>94</v>
      </c>
      <c r="F291" s="468">
        <f>IFERROR(VLOOKUP(A291,'2017-18'!$A$6:$F$315,6,0),0)</f>
        <v>6978.23</v>
      </c>
      <c r="G291" s="468">
        <f>IFERROR(VLOOKUP(A291,'2017-18'!$A$6:$D$315,4,0),0)</f>
        <v>709145.67</v>
      </c>
      <c r="H291" s="468">
        <f t="shared" si="33"/>
        <v>716123.9</v>
      </c>
      <c r="I291" s="382"/>
      <c r="J291" s="462">
        <v>96</v>
      </c>
      <c r="K291" s="468">
        <f>IFERROR(VLOOKUP(A291,'2018-19'!$A$6:$F$318,6,0),0)</f>
        <v>19419.89</v>
      </c>
      <c r="L291" s="468">
        <f>IFERROR(VLOOKUP(A291,'2018-19'!$A$6:$D$318,4,0),0)</f>
        <v>834182.88</v>
      </c>
      <c r="M291" s="468">
        <f t="shared" si="34"/>
        <v>853602.77</v>
      </c>
      <c r="N291" s="382"/>
      <c r="O291" s="452">
        <v>106</v>
      </c>
      <c r="P291" s="387">
        <v>0</v>
      </c>
      <c r="Q291" s="387">
        <v>913423.24</v>
      </c>
      <c r="R291" s="387">
        <v>913423.24</v>
      </c>
      <c r="S291" s="382"/>
      <c r="T291" s="375">
        <f>VLOOKUP(A291,'Nov 2020 cc'!$B$3:$D$317,3,0)</f>
        <v>104</v>
      </c>
      <c r="U291" s="387">
        <v>0</v>
      </c>
      <c r="V291" s="387">
        <v>971683.32</v>
      </c>
      <c r="W291" s="387">
        <v>971683.32</v>
      </c>
      <c r="X291" s="382"/>
      <c r="Y291" s="375">
        <v>117</v>
      </c>
      <c r="Z291" s="413">
        <f>VLOOKUP(A291,'2021-22'!$A$6:$D$317,4,0)</f>
        <v>0</v>
      </c>
      <c r="AA291" s="413">
        <f>VLOOKUP(A291,'2021-22'!$A$6:$E$317,5,0)</f>
        <v>1130385.97</v>
      </c>
      <c r="AB291" s="387">
        <f t="shared" si="35"/>
        <v>1130385.97</v>
      </c>
      <c r="AC291" s="382"/>
      <c r="AD291" s="416">
        <v>110</v>
      </c>
      <c r="AE291" s="413">
        <v>0</v>
      </c>
      <c r="AF291" s="413">
        <v>1102172.93</v>
      </c>
      <c r="AG291" s="387">
        <f t="shared" si="36"/>
        <v>1102172.93</v>
      </c>
      <c r="AH291" s="557"/>
      <c r="AI291" s="387">
        <f>IFERROR(VLOOKUP(A291,'23-24 child count'!$C$4:$Y$317,23,0),0)</f>
        <v>103</v>
      </c>
      <c r="AJ291" s="387">
        <f>VLOOKUP(A291,'23-24 state &amp; local'!$A$5:$D$316,4,0)</f>
        <v>224.3</v>
      </c>
      <c r="AK291" s="387">
        <f>VLOOKUP(A291,'23-24 state &amp; local'!$A$5:$E$316,5,0)</f>
        <v>1159727.02</v>
      </c>
      <c r="AL291" s="387">
        <f t="shared" si="32"/>
        <v>1159951.32</v>
      </c>
      <c r="AM291" s="382"/>
    </row>
    <row r="292" spans="1:39" ht="15.75" hidden="1" thickBot="1" x14ac:dyDescent="0.3">
      <c r="A292" s="375" t="s">
        <v>762</v>
      </c>
      <c r="B292" s="375" t="s">
        <v>210</v>
      </c>
      <c r="C292" s="448" t="s">
        <v>763</v>
      </c>
      <c r="E292" s="461">
        <v>3019</v>
      </c>
      <c r="F292" s="468">
        <f>IFERROR(VLOOKUP(A292,'2017-18'!$A$6:$F$315,6,0),0)</f>
        <v>4885420.1900000004</v>
      </c>
      <c r="G292" s="468">
        <f>IFERROR(VLOOKUP(A292,'2017-18'!$A$6:$D$315,4,0),0)</f>
        <v>25643973.539999999</v>
      </c>
      <c r="H292" s="468">
        <f t="shared" si="33"/>
        <v>30529393.73</v>
      </c>
      <c r="I292" s="382"/>
      <c r="J292" s="462">
        <v>2998</v>
      </c>
      <c r="K292" s="468">
        <f>IFERROR(VLOOKUP(A292,'2018-19'!$A$6:$F$318,6,0),0)</f>
        <v>4504448.7699999996</v>
      </c>
      <c r="L292" s="468">
        <f>IFERROR(VLOOKUP(A292,'2018-19'!$A$6:$D$318,4,0),0)</f>
        <v>32102273.140000001</v>
      </c>
      <c r="M292" s="468">
        <f t="shared" si="34"/>
        <v>36606721.909999996</v>
      </c>
      <c r="N292" s="382"/>
      <c r="O292" s="452">
        <v>3052</v>
      </c>
      <c r="P292" s="387">
        <v>4540772.51</v>
      </c>
      <c r="Q292" s="387">
        <v>35423373.57</v>
      </c>
      <c r="R292" s="387">
        <v>39964146.079999998</v>
      </c>
      <c r="S292" s="382"/>
      <c r="T292" s="375">
        <f>VLOOKUP(A292,'Nov 2020 cc'!$B$3:$D$317,3,0)</f>
        <v>2964</v>
      </c>
      <c r="U292" s="387">
        <v>4357500.32</v>
      </c>
      <c r="V292" s="387">
        <v>35920356.420000002</v>
      </c>
      <c r="W292" s="387">
        <v>40277856.740000002</v>
      </c>
      <c r="X292" s="382"/>
      <c r="Y292" s="375">
        <v>3022</v>
      </c>
      <c r="Z292" s="413">
        <f>VLOOKUP(A292,'2021-22'!$A$6:$D$317,4,0)</f>
        <v>4948822.22</v>
      </c>
      <c r="AA292" s="413">
        <f>VLOOKUP(A292,'2021-22'!$A$6:$E$317,5,0)</f>
        <v>38577740.32</v>
      </c>
      <c r="AB292" s="387">
        <f t="shared" si="35"/>
        <v>43526562.539999999</v>
      </c>
      <c r="AC292" s="382"/>
      <c r="AD292" s="416">
        <v>3279</v>
      </c>
      <c r="AE292" s="413">
        <v>12361749.710000001</v>
      </c>
      <c r="AF292" s="413">
        <v>43575076</v>
      </c>
      <c r="AG292" s="387">
        <f t="shared" si="36"/>
        <v>55936825.710000001</v>
      </c>
      <c r="AH292" s="557"/>
      <c r="AI292" s="387">
        <f>IFERROR(VLOOKUP(A292,'23-24 child count'!$C$4:$Y$317,23,0),0)</f>
        <v>3502</v>
      </c>
      <c r="AJ292" s="387">
        <f>VLOOKUP(A292,'23-24 state &amp; local'!$A$5:$D$316,4,0)</f>
        <v>10621283.42</v>
      </c>
      <c r="AK292" s="387">
        <f>VLOOKUP(A292,'23-24 state &amp; local'!$A$5:$E$316,5,0)</f>
        <v>52966699.640000001</v>
      </c>
      <c r="AL292" s="387">
        <f t="shared" si="32"/>
        <v>63587983.060000002</v>
      </c>
      <c r="AM292" s="382"/>
    </row>
    <row r="293" spans="1:39" ht="15.75" hidden="1" thickBot="1" x14ac:dyDescent="0.3">
      <c r="A293" s="375" t="s">
        <v>764</v>
      </c>
      <c r="B293" s="375" t="s">
        <v>205</v>
      </c>
      <c r="C293" s="448" t="s">
        <v>765</v>
      </c>
      <c r="E293" s="461">
        <v>187</v>
      </c>
      <c r="F293" s="468">
        <f>IFERROR(VLOOKUP(A293,'2017-18'!$A$6:$F$315,6,0),0)</f>
        <v>20954</v>
      </c>
      <c r="G293" s="468">
        <f>IFERROR(VLOOKUP(A293,'2017-18'!$A$6:$D$315,4,0),0)</f>
        <v>1840603.6</v>
      </c>
      <c r="H293" s="468">
        <f t="shared" si="33"/>
        <v>1861557.6</v>
      </c>
      <c r="I293" s="382"/>
      <c r="J293" s="462">
        <v>179</v>
      </c>
      <c r="K293" s="468">
        <f>IFERROR(VLOOKUP(A293,'2018-19'!$A$6:$F$318,6,0),0)</f>
        <v>107204.38</v>
      </c>
      <c r="L293" s="468">
        <f>IFERROR(VLOOKUP(A293,'2018-19'!$A$6:$D$318,4,0),0)</f>
        <v>2307362.0499999998</v>
      </c>
      <c r="M293" s="468">
        <f t="shared" si="34"/>
        <v>2414566.4299999997</v>
      </c>
      <c r="N293" s="382"/>
      <c r="O293" s="452">
        <v>191</v>
      </c>
      <c r="P293" s="387">
        <v>120906.88</v>
      </c>
      <c r="Q293" s="387">
        <v>2448982.66</v>
      </c>
      <c r="R293" s="387">
        <v>2569889.54</v>
      </c>
      <c r="S293" s="382"/>
      <c r="T293" s="375">
        <f>VLOOKUP(A293,'Nov 2020 cc'!$B$3:$D$317,3,0)</f>
        <v>180</v>
      </c>
      <c r="U293" s="387">
        <v>120936.47</v>
      </c>
      <c r="V293" s="387">
        <v>2589566.0699999998</v>
      </c>
      <c r="W293" s="387">
        <v>2710502.54</v>
      </c>
      <c r="X293" s="382"/>
      <c r="Y293" s="375">
        <v>178</v>
      </c>
      <c r="Z293" s="413">
        <f>VLOOKUP(A293,'2021-22'!$A$6:$D$317,4,0)</f>
        <v>126661.05</v>
      </c>
      <c r="AA293" s="413">
        <f>VLOOKUP(A293,'2021-22'!$A$6:$E$317,5,0)</f>
        <v>2571620.04</v>
      </c>
      <c r="AB293" s="387">
        <f t="shared" si="35"/>
        <v>2698281.09</v>
      </c>
      <c r="AC293" s="382"/>
      <c r="AD293" s="416">
        <v>185</v>
      </c>
      <c r="AE293" s="413">
        <v>558087.41</v>
      </c>
      <c r="AF293" s="413">
        <v>2270971.88</v>
      </c>
      <c r="AG293" s="387">
        <f t="shared" si="36"/>
        <v>2829059.29</v>
      </c>
      <c r="AH293" s="557"/>
      <c r="AI293" s="387">
        <f>IFERROR(VLOOKUP(A293,'23-24 child count'!$C$4:$Y$317,23,0),0)</f>
        <v>181</v>
      </c>
      <c r="AJ293" s="387">
        <f>VLOOKUP(A293,'23-24 state &amp; local'!$A$5:$D$316,4,0)</f>
        <v>326411.27</v>
      </c>
      <c r="AK293" s="387">
        <f>VLOOKUP(A293,'23-24 state &amp; local'!$A$5:$E$316,5,0)</f>
        <v>2648012.21</v>
      </c>
      <c r="AL293" s="387">
        <f t="shared" si="32"/>
        <v>2974423.48</v>
      </c>
      <c r="AM293" s="382"/>
    </row>
    <row r="294" spans="1:39" ht="15.75" hidden="1" thickBot="1" x14ac:dyDescent="0.3">
      <c r="A294" s="375" t="s">
        <v>766</v>
      </c>
      <c r="B294" s="375" t="s">
        <v>210</v>
      </c>
      <c r="C294" s="448" t="s">
        <v>767</v>
      </c>
      <c r="D294" s="375" t="s">
        <v>819</v>
      </c>
      <c r="E294" s="461">
        <v>93</v>
      </c>
      <c r="F294" s="468">
        <f>IFERROR(VLOOKUP(A294,'2017-18'!$A$6:$F$315,6,0),0)</f>
        <v>0</v>
      </c>
      <c r="G294" s="468">
        <f>IFERROR(VLOOKUP(A294,'2017-18'!$A$6:$D$315,4,0),0)</f>
        <v>753358.67</v>
      </c>
      <c r="H294" s="468">
        <f t="shared" si="33"/>
        <v>753358.67</v>
      </c>
      <c r="I294" s="382"/>
      <c r="J294" s="462">
        <v>99</v>
      </c>
      <c r="K294" s="468">
        <f>IFERROR(VLOOKUP(A294,'2018-19'!$A$6:$F$318,6,0),0)</f>
        <v>0</v>
      </c>
      <c r="L294" s="468">
        <f>IFERROR(VLOOKUP(A294,'2018-19'!$A$6:$D$318,4,0),0)</f>
        <v>824959.23</v>
      </c>
      <c r="M294" s="468">
        <f t="shared" si="34"/>
        <v>824959.23</v>
      </c>
      <c r="N294" s="382"/>
      <c r="O294" s="452">
        <v>91</v>
      </c>
      <c r="P294" s="387">
        <v>0</v>
      </c>
      <c r="Q294" s="387">
        <v>890936.37</v>
      </c>
      <c r="R294" s="387">
        <v>890936.37</v>
      </c>
      <c r="S294" s="382"/>
      <c r="T294" s="375">
        <f>VLOOKUP(A294,'Nov 2020 cc'!$B$3:$D$317,3,0)</f>
        <v>86</v>
      </c>
      <c r="U294" s="387">
        <v>0</v>
      </c>
      <c r="V294" s="387">
        <v>830324.99</v>
      </c>
      <c r="W294" s="387">
        <v>830324.99</v>
      </c>
      <c r="X294" s="382"/>
      <c r="Y294" s="375">
        <v>82</v>
      </c>
      <c r="Z294" s="413">
        <f>VLOOKUP(A294,'2021-22'!$A$6:$D$317,4,0)</f>
        <v>0</v>
      </c>
      <c r="AA294" s="413">
        <f>VLOOKUP(A294,'2021-22'!$A$6:$E$317,5,0)</f>
        <v>732218.66</v>
      </c>
      <c r="AB294" s="387">
        <f t="shared" si="35"/>
        <v>732218.66</v>
      </c>
      <c r="AC294" s="382"/>
      <c r="AD294" s="416">
        <v>72</v>
      </c>
      <c r="AE294" s="413">
        <v>0</v>
      </c>
      <c r="AF294" s="413">
        <v>757827.12</v>
      </c>
      <c r="AG294" s="387">
        <f t="shared" si="36"/>
        <v>757827.12</v>
      </c>
      <c r="AH294" s="557"/>
      <c r="AI294" s="387">
        <f>IFERROR(VLOOKUP(A294,'23-24 child count'!$C$4:$Y$317,23,0),0)</f>
        <v>69</v>
      </c>
      <c r="AJ294" s="387">
        <f>VLOOKUP(A294,'23-24 state &amp; local'!$A$5:$D$316,4,0)</f>
        <v>0</v>
      </c>
      <c r="AK294" s="387">
        <f>VLOOKUP(A294,'23-24 state &amp; local'!$A$5:$E$316,5,0)</f>
        <v>837267.37</v>
      </c>
      <c r="AL294" s="387">
        <f t="shared" si="32"/>
        <v>837267.37</v>
      </c>
      <c r="AM294" s="382"/>
    </row>
    <row r="295" spans="1:39" ht="15.75" hidden="1" thickBot="1" x14ac:dyDescent="0.3">
      <c r="A295" s="375" t="s">
        <v>768</v>
      </c>
      <c r="B295" s="375" t="s">
        <v>221</v>
      </c>
      <c r="C295" s="448" t="s">
        <v>769</v>
      </c>
      <c r="E295" s="461">
        <v>346</v>
      </c>
      <c r="F295" s="468">
        <f>IFERROR(VLOOKUP(A295,'2017-18'!$A$6:$F$315,6,0),0)</f>
        <v>0</v>
      </c>
      <c r="G295" s="468">
        <f>IFERROR(VLOOKUP(A295,'2017-18'!$A$6:$D$315,4,0),0)</f>
        <v>2348190.29</v>
      </c>
      <c r="H295" s="468">
        <f t="shared" si="33"/>
        <v>2348190.29</v>
      </c>
      <c r="I295" s="382"/>
      <c r="J295" s="462">
        <v>336</v>
      </c>
      <c r="K295" s="468">
        <f>IFERROR(VLOOKUP(A295,'2018-19'!$A$6:$F$318,6,0),0)</f>
        <v>47219.37</v>
      </c>
      <c r="L295" s="468">
        <f>IFERROR(VLOOKUP(A295,'2018-19'!$A$6:$D$318,4,0),0)</f>
        <v>2742125.05</v>
      </c>
      <c r="M295" s="468">
        <f t="shared" si="34"/>
        <v>2789344.42</v>
      </c>
      <c r="N295" s="382"/>
      <c r="O295" s="452">
        <v>341</v>
      </c>
      <c r="P295" s="387">
        <v>0</v>
      </c>
      <c r="Q295" s="387">
        <v>3210124.48</v>
      </c>
      <c r="R295" s="387">
        <v>3210124.48</v>
      </c>
      <c r="S295" s="382"/>
      <c r="T295" s="375">
        <f>VLOOKUP(A295,'Nov 2020 cc'!$B$3:$D$317,3,0)</f>
        <v>318</v>
      </c>
      <c r="U295" s="387">
        <v>0</v>
      </c>
      <c r="V295" s="387">
        <v>3114699.25</v>
      </c>
      <c r="W295" s="387">
        <v>3114699.25</v>
      </c>
      <c r="X295" s="382"/>
      <c r="Y295" s="375">
        <v>313</v>
      </c>
      <c r="Z295" s="413">
        <f>VLOOKUP(A295,'2021-22'!$A$6:$D$317,4,0)</f>
        <v>0</v>
      </c>
      <c r="AA295" s="413">
        <f>VLOOKUP(A295,'2021-22'!$A$6:$E$317,5,0)</f>
        <v>3050258.34</v>
      </c>
      <c r="AB295" s="387">
        <f t="shared" si="35"/>
        <v>3050258.34</v>
      </c>
      <c r="AC295" s="382"/>
      <c r="AD295" s="416">
        <v>313</v>
      </c>
      <c r="AE295" s="413">
        <v>0</v>
      </c>
      <c r="AF295" s="413">
        <v>3758769.61</v>
      </c>
      <c r="AG295" s="387">
        <f t="shared" si="36"/>
        <v>3758769.61</v>
      </c>
      <c r="AH295" s="557"/>
      <c r="AI295" s="387">
        <f>IFERROR(VLOOKUP(A295,'23-24 child count'!$C$4:$Y$317,23,0),0)</f>
        <v>313</v>
      </c>
      <c r="AJ295" s="387">
        <f>VLOOKUP(A295,'23-24 state &amp; local'!$A$5:$D$316,4,0)</f>
        <v>0</v>
      </c>
      <c r="AK295" s="387">
        <f>VLOOKUP(A295,'23-24 state &amp; local'!$A$5:$E$316,5,0)</f>
        <v>4245031.28</v>
      </c>
      <c r="AL295" s="387">
        <f t="shared" si="32"/>
        <v>4245031.28</v>
      </c>
      <c r="AM295" s="382"/>
    </row>
    <row r="296" spans="1:39" ht="15.75" hidden="1" thickBot="1" x14ac:dyDescent="0.3">
      <c r="A296" s="375" t="s">
        <v>770</v>
      </c>
      <c r="B296" s="375" t="s">
        <v>202</v>
      </c>
      <c r="C296" s="448" t="s">
        <v>771</v>
      </c>
      <c r="E296" s="461">
        <v>41</v>
      </c>
      <c r="F296" s="468">
        <f>IFERROR(VLOOKUP(A296,'2017-18'!$A$6:$F$315,6,0),0)</f>
        <v>0</v>
      </c>
      <c r="G296" s="468">
        <f>IFERROR(VLOOKUP(A296,'2017-18'!$A$6:$D$315,4,0),0)</f>
        <v>267690.95</v>
      </c>
      <c r="H296" s="468">
        <f t="shared" si="33"/>
        <v>267690.95</v>
      </c>
      <c r="I296" s="382"/>
      <c r="J296" s="462">
        <v>31</v>
      </c>
      <c r="K296" s="468">
        <f>IFERROR(VLOOKUP(A296,'2018-19'!$A$6:$F$318,6,0),0)</f>
        <v>0</v>
      </c>
      <c r="L296" s="468">
        <f>IFERROR(VLOOKUP(A296,'2018-19'!$A$6:$D$318,4,0),0)</f>
        <v>190004.39</v>
      </c>
      <c r="M296" s="468">
        <f t="shared" si="34"/>
        <v>190004.39</v>
      </c>
      <c r="N296" s="382"/>
      <c r="O296" s="452">
        <v>24</v>
      </c>
      <c r="P296" s="387">
        <v>71746.73</v>
      </c>
      <c r="Q296" s="387">
        <v>147979.73000000001</v>
      </c>
      <c r="R296" s="387">
        <v>219726.46000000002</v>
      </c>
      <c r="S296" s="382"/>
      <c r="T296" s="375">
        <f>VLOOKUP(A296,'Nov 2020 cc'!$B$3:$D$317,3,0)</f>
        <v>20</v>
      </c>
      <c r="U296" s="387">
        <v>0</v>
      </c>
      <c r="V296" s="387">
        <v>210788.07</v>
      </c>
      <c r="W296" s="387">
        <v>210788.07</v>
      </c>
      <c r="X296" s="382"/>
      <c r="Y296" s="375">
        <v>24</v>
      </c>
      <c r="Z296" s="413">
        <f>VLOOKUP(A296,'2021-22'!$A$6:$D$317,4,0)</f>
        <v>0</v>
      </c>
      <c r="AA296" s="413">
        <f>VLOOKUP(A296,'2021-22'!$A$6:$E$317,5,0)</f>
        <v>235014.18</v>
      </c>
      <c r="AB296" s="387">
        <f t="shared" si="35"/>
        <v>235014.18</v>
      </c>
      <c r="AC296" s="382"/>
      <c r="AD296" s="416">
        <v>23</v>
      </c>
      <c r="AE296" s="413">
        <v>314779.40999999997</v>
      </c>
      <c r="AF296" s="413">
        <v>25652.51</v>
      </c>
      <c r="AG296" s="387">
        <f t="shared" si="36"/>
        <v>340431.92</v>
      </c>
      <c r="AH296" s="557"/>
      <c r="AI296" s="387">
        <f>IFERROR(VLOOKUP(A296,'23-24 child count'!$C$4:$Y$317,23,0),0)</f>
        <v>31</v>
      </c>
      <c r="AJ296" s="387">
        <f>VLOOKUP(A296,'23-24 state &amp; local'!$A$5:$D$316,4,0)</f>
        <v>276531.34000000003</v>
      </c>
      <c r="AK296" s="387">
        <f>VLOOKUP(A296,'23-24 state &amp; local'!$A$5:$E$316,5,0)</f>
        <v>0</v>
      </c>
      <c r="AL296" s="387">
        <f t="shared" si="32"/>
        <v>276531.34000000003</v>
      </c>
      <c r="AM296" s="382"/>
    </row>
    <row r="297" spans="1:39" ht="15.75" hidden="1" thickBot="1" x14ac:dyDescent="0.3">
      <c r="A297" s="375" t="s">
        <v>772</v>
      </c>
      <c r="B297" s="375" t="s">
        <v>202</v>
      </c>
      <c r="C297" s="448" t="s">
        <v>773</v>
      </c>
      <c r="E297" s="461">
        <v>771</v>
      </c>
      <c r="F297" s="468">
        <f>IFERROR(VLOOKUP(A297,'2017-18'!$A$6:$F$315,6,0),0)</f>
        <v>426479.33</v>
      </c>
      <c r="G297" s="468">
        <f>IFERROR(VLOOKUP(A297,'2017-18'!$A$6:$D$315,4,0),0)</f>
        <v>7102184.9400000004</v>
      </c>
      <c r="H297" s="468">
        <f t="shared" si="33"/>
        <v>7528664.2700000005</v>
      </c>
      <c r="I297" s="382"/>
      <c r="J297" s="462">
        <v>827</v>
      </c>
      <c r="K297" s="468">
        <f>IFERROR(VLOOKUP(A297,'2018-19'!$A$6:$F$318,6,0),0)</f>
        <v>0</v>
      </c>
      <c r="L297" s="468">
        <f>IFERROR(VLOOKUP(A297,'2018-19'!$A$6:$D$318,4,0),0)</f>
        <v>7864712.1699999999</v>
      </c>
      <c r="M297" s="468">
        <f t="shared" si="34"/>
        <v>7864712.1699999999</v>
      </c>
      <c r="N297" s="382"/>
      <c r="O297" s="452">
        <v>818</v>
      </c>
      <c r="P297" s="387">
        <v>0</v>
      </c>
      <c r="Q297" s="387">
        <v>8331459.6900000004</v>
      </c>
      <c r="R297" s="387">
        <v>8331459.6900000004</v>
      </c>
      <c r="S297" s="382"/>
      <c r="T297" s="375">
        <f>VLOOKUP(A297,'Nov 2020 cc'!$B$3:$D$317,3,0)</f>
        <v>784</v>
      </c>
      <c r="U297" s="387">
        <v>0</v>
      </c>
      <c r="V297" s="387">
        <v>8410279.3499999996</v>
      </c>
      <c r="W297" s="387">
        <v>8410279.3499999996</v>
      </c>
      <c r="X297" s="382"/>
      <c r="Y297" s="375">
        <v>821</v>
      </c>
      <c r="Z297" s="413">
        <f>VLOOKUP(A297,'2021-22'!$A$6:$D$317,4,0)</f>
        <v>490649.58</v>
      </c>
      <c r="AA297" s="413">
        <f>VLOOKUP(A297,'2021-22'!$A$6:$E$317,5,0)-34990.5</f>
        <v>8577850.4800000004</v>
      </c>
      <c r="AB297" s="387">
        <f t="shared" si="35"/>
        <v>9068500.0600000005</v>
      </c>
      <c r="AC297" s="382"/>
      <c r="AD297" s="416">
        <v>853</v>
      </c>
      <c r="AE297" s="413">
        <v>0</v>
      </c>
      <c r="AF297" s="413">
        <v>9102551.8599999994</v>
      </c>
      <c r="AG297" s="387">
        <f t="shared" si="36"/>
        <v>9102551.8599999994</v>
      </c>
      <c r="AH297" s="557"/>
      <c r="AI297" s="387">
        <f>IFERROR(VLOOKUP(A297,'23-24 child count'!$C$4:$Y$317,23,0),0)</f>
        <v>867</v>
      </c>
      <c r="AJ297" s="387">
        <f>VLOOKUP(A297,'23-24 state &amp; local'!$A$5:$D$316,4,0)</f>
        <v>0</v>
      </c>
      <c r="AK297" s="387">
        <f>VLOOKUP(A297,'23-24 state &amp; local'!$A$5:$E$316,5,0)</f>
        <v>10740513.109999999</v>
      </c>
      <c r="AL297" s="387">
        <f t="shared" si="32"/>
        <v>10740513.109999999</v>
      </c>
      <c r="AM297" s="382"/>
    </row>
    <row r="298" spans="1:39" ht="15.75" hidden="1" thickBot="1" x14ac:dyDescent="0.3">
      <c r="A298" s="375" t="s">
        <v>774</v>
      </c>
      <c r="B298" s="375" t="s">
        <v>221</v>
      </c>
      <c r="C298" s="448" t="s">
        <v>775</v>
      </c>
      <c r="E298" s="461">
        <v>381</v>
      </c>
      <c r="F298" s="468">
        <f>IFERROR(VLOOKUP(A298,'2017-18'!$A$6:$F$315,6,0),0)</f>
        <v>0</v>
      </c>
      <c r="G298" s="468">
        <f>IFERROR(VLOOKUP(A298,'2017-18'!$A$6:$D$315,4,0),0)</f>
        <v>2844474.02</v>
      </c>
      <c r="H298" s="468">
        <f t="shared" si="33"/>
        <v>2844474.02</v>
      </c>
      <c r="I298" s="382"/>
      <c r="J298" s="462">
        <v>386</v>
      </c>
      <c r="K298" s="468">
        <f>IFERROR(VLOOKUP(A298,'2018-19'!$A$6:$F$318,6,0),0)</f>
        <v>0</v>
      </c>
      <c r="L298" s="468">
        <f>IFERROR(VLOOKUP(A298,'2018-19'!$A$6:$D$318,4,0),0)</f>
        <v>3480821.72</v>
      </c>
      <c r="M298" s="468">
        <f t="shared" si="34"/>
        <v>3480821.72</v>
      </c>
      <c r="N298" s="382"/>
      <c r="O298" s="452">
        <v>424</v>
      </c>
      <c r="P298" s="387">
        <v>0</v>
      </c>
      <c r="Q298" s="387">
        <v>3727303.96</v>
      </c>
      <c r="R298" s="387">
        <v>3727303.96</v>
      </c>
      <c r="S298" s="382"/>
      <c r="T298" s="375">
        <f>VLOOKUP(A298,'Nov 2020 cc'!$B$3:$D$317,3,0)</f>
        <v>411</v>
      </c>
      <c r="U298" s="387">
        <v>0</v>
      </c>
      <c r="V298" s="387">
        <v>4103783.58</v>
      </c>
      <c r="W298" s="387">
        <v>4103783.58</v>
      </c>
      <c r="X298" s="382"/>
      <c r="Y298" s="375">
        <v>418</v>
      </c>
      <c r="Z298" s="413">
        <f>VLOOKUP(A298,'2021-22'!$A$6:$D$317,4,0)</f>
        <v>0</v>
      </c>
      <c r="AA298" s="413">
        <f>VLOOKUP(A298,'2021-22'!$A$6:$E$317,5,0)</f>
        <v>4339975.3</v>
      </c>
      <c r="AB298" s="387">
        <f t="shared" si="35"/>
        <v>4339975.3</v>
      </c>
      <c r="AC298" s="382"/>
      <c r="AD298" s="416">
        <v>444</v>
      </c>
      <c r="AE298" s="413">
        <v>0</v>
      </c>
      <c r="AF298" s="413">
        <v>4832177.49</v>
      </c>
      <c r="AG298" s="387">
        <f t="shared" si="36"/>
        <v>4832177.49</v>
      </c>
      <c r="AH298" s="557"/>
      <c r="AI298" s="387">
        <f>IFERROR(VLOOKUP(A298,'23-24 child count'!$C$4:$Y$317,23,0),0)</f>
        <v>419</v>
      </c>
      <c r="AJ298" s="387">
        <f>VLOOKUP(A298,'23-24 state &amp; local'!$A$5:$D$316,4,0)</f>
        <v>0</v>
      </c>
      <c r="AK298" s="387">
        <f>VLOOKUP(A298,'23-24 state &amp; local'!$A$5:$E$316,5,0)</f>
        <v>5115456.1100000003</v>
      </c>
      <c r="AL298" s="387">
        <f t="shared" si="32"/>
        <v>5115456.1100000003</v>
      </c>
      <c r="AM298" s="382"/>
    </row>
    <row r="299" spans="1:39" ht="15.75" hidden="1" thickBot="1" x14ac:dyDescent="0.3">
      <c r="A299" s="375" t="s">
        <v>776</v>
      </c>
      <c r="B299" s="375" t="s">
        <v>231</v>
      </c>
      <c r="C299" s="448" t="s">
        <v>777</v>
      </c>
      <c r="E299" s="461">
        <v>143</v>
      </c>
      <c r="F299" s="468">
        <f>IFERROR(VLOOKUP(A299,'2017-18'!$A$6:$F$315,6,0),0)</f>
        <v>22455.05</v>
      </c>
      <c r="G299" s="468">
        <f>IFERROR(VLOOKUP(A299,'2017-18'!$A$6:$D$315,4,0),0)</f>
        <v>1113829.54</v>
      </c>
      <c r="H299" s="468">
        <f t="shared" si="33"/>
        <v>1136284.5900000001</v>
      </c>
      <c r="I299" s="382"/>
      <c r="J299" s="462">
        <v>147</v>
      </c>
      <c r="K299" s="468">
        <f>IFERROR(VLOOKUP(A299,'2018-19'!$A$6:$F$318,6,0),0)</f>
        <v>0</v>
      </c>
      <c r="L299" s="468">
        <f>IFERROR(VLOOKUP(A299,'2018-19'!$A$6:$D$318,4,0),0)</f>
        <v>1293883.22</v>
      </c>
      <c r="M299" s="468">
        <f t="shared" si="34"/>
        <v>1293883.22</v>
      </c>
      <c r="N299" s="382"/>
      <c r="O299" s="452">
        <v>153</v>
      </c>
      <c r="P299" s="387">
        <v>0</v>
      </c>
      <c r="Q299" s="387">
        <v>1351707.85</v>
      </c>
      <c r="R299" s="387">
        <v>1351707.85</v>
      </c>
      <c r="S299" s="382"/>
      <c r="T299" s="375">
        <f>VLOOKUP(A299,'Nov 2020 cc'!$B$3:$D$317,3,0)</f>
        <v>134</v>
      </c>
      <c r="U299" s="387">
        <v>86534.1</v>
      </c>
      <c r="V299" s="387">
        <v>1319839.98</v>
      </c>
      <c r="W299" s="387">
        <v>1406374.08</v>
      </c>
      <c r="X299" s="382"/>
      <c r="Y299" s="375">
        <v>129</v>
      </c>
      <c r="Z299" s="413">
        <f>VLOOKUP(A299,'2021-22'!$A$6:$D$317,4,0)</f>
        <v>1781.25</v>
      </c>
      <c r="AA299" s="413">
        <f>VLOOKUP(A299,'2021-22'!$A$6:$E$317,5,0)-1598</f>
        <v>1293015.94</v>
      </c>
      <c r="AB299" s="387">
        <f t="shared" si="35"/>
        <v>1294797.19</v>
      </c>
      <c r="AC299" s="382"/>
      <c r="AD299" s="416">
        <v>140</v>
      </c>
      <c r="AE299" s="413">
        <v>0</v>
      </c>
      <c r="AF299" s="413">
        <v>1269260.54</v>
      </c>
      <c r="AG299" s="387">
        <f t="shared" si="36"/>
        <v>1269260.54</v>
      </c>
      <c r="AH299" s="557"/>
      <c r="AI299" s="387">
        <f>IFERROR(VLOOKUP(A299,'23-24 child count'!$C$4:$Y$317,23,0),0)</f>
        <v>140</v>
      </c>
      <c r="AJ299" s="387">
        <f>VLOOKUP(A299,'23-24 state &amp; local'!$A$5:$D$316,4,0)</f>
        <v>0</v>
      </c>
      <c r="AK299" s="387">
        <f>VLOOKUP(A299,'23-24 state &amp; local'!$A$5:$E$316,5,0)</f>
        <v>1534702.12</v>
      </c>
      <c r="AL299" s="387">
        <f t="shared" si="32"/>
        <v>1534702.12</v>
      </c>
      <c r="AM299" s="382"/>
    </row>
    <row r="300" spans="1:39" ht="15.75" hidden="1" thickBot="1" x14ac:dyDescent="0.3">
      <c r="A300" s="375" t="s">
        <v>778</v>
      </c>
      <c r="B300" s="375" t="s">
        <v>210</v>
      </c>
      <c r="C300" s="448" t="s">
        <v>779</v>
      </c>
      <c r="E300" s="461">
        <v>449</v>
      </c>
      <c r="F300" s="468">
        <f>IFERROR(VLOOKUP(A300,'2017-18'!$A$6:$F$315,6,0),0)</f>
        <v>337815.42</v>
      </c>
      <c r="G300" s="468">
        <f>IFERROR(VLOOKUP(A300,'2017-18'!$A$6:$D$315,4,0),0)</f>
        <v>3798822.75</v>
      </c>
      <c r="H300" s="468">
        <f t="shared" si="33"/>
        <v>4136638.17</v>
      </c>
      <c r="I300" s="382"/>
      <c r="J300" s="462">
        <v>436</v>
      </c>
      <c r="K300" s="468">
        <f>IFERROR(VLOOKUP(A300,'2018-19'!$A$6:$F$318,6,0),0)</f>
        <v>520911.85</v>
      </c>
      <c r="L300" s="468">
        <f>IFERROR(VLOOKUP(A300,'2018-19'!$A$6:$D$318,4,0),0)</f>
        <v>4849455.63</v>
      </c>
      <c r="M300" s="468">
        <f t="shared" si="34"/>
        <v>5370367.4799999995</v>
      </c>
      <c r="N300" s="382"/>
      <c r="O300" s="452">
        <v>488</v>
      </c>
      <c r="P300" s="387">
        <v>355307.22</v>
      </c>
      <c r="Q300" s="387">
        <v>5899295.9000000004</v>
      </c>
      <c r="R300" s="387">
        <v>6254603.1200000001</v>
      </c>
      <c r="S300" s="382"/>
      <c r="T300" s="375">
        <f>VLOOKUP(A300,'Nov 2020 cc'!$B$3:$D$317,3,0)</f>
        <v>456</v>
      </c>
      <c r="U300" s="387">
        <v>358589.35</v>
      </c>
      <c r="V300" s="387">
        <v>6519449.3099999996</v>
      </c>
      <c r="W300" s="387">
        <v>6878038.6599999992</v>
      </c>
      <c r="X300" s="382"/>
      <c r="Y300" s="375">
        <v>471</v>
      </c>
      <c r="Z300" s="413">
        <f>VLOOKUP(A300,'2021-22'!$A$6:$D$317,4,0)</f>
        <v>309017.24</v>
      </c>
      <c r="AA300" s="413">
        <f>VLOOKUP(A300,'2021-22'!$A$6:$E$317,5,0)</f>
        <v>6772702.0199999996</v>
      </c>
      <c r="AB300" s="387">
        <f t="shared" si="35"/>
        <v>7081719.2599999998</v>
      </c>
      <c r="AC300" s="382"/>
      <c r="AD300" s="416">
        <v>468</v>
      </c>
      <c r="AE300" s="413">
        <v>364992.54</v>
      </c>
      <c r="AF300" s="413">
        <v>7192308.25</v>
      </c>
      <c r="AG300" s="387">
        <f t="shared" si="36"/>
        <v>7557300.79</v>
      </c>
      <c r="AH300" s="557"/>
      <c r="AI300" s="387">
        <f>IFERROR(VLOOKUP(A300,'23-24 child count'!$C$4:$Y$317,23,0),0)</f>
        <v>494</v>
      </c>
      <c r="AJ300" s="387">
        <f>VLOOKUP(A300,'23-24 state &amp; local'!$A$5:$D$316,4,0)</f>
        <v>336053.37</v>
      </c>
      <c r="AK300" s="387">
        <f>VLOOKUP(A300,'23-24 state &amp; local'!$A$5:$E$316,5,0)</f>
        <v>7044004.8300000001</v>
      </c>
      <c r="AL300" s="387">
        <f t="shared" si="32"/>
        <v>7380058.2000000002</v>
      </c>
      <c r="AM300" s="382"/>
    </row>
    <row r="301" spans="1:39" ht="15.75" hidden="1" thickBot="1" x14ac:dyDescent="0.3">
      <c r="A301" s="375" t="s">
        <v>780</v>
      </c>
      <c r="B301" s="375" t="s">
        <v>194</v>
      </c>
      <c r="C301" s="448" t="s">
        <v>781</v>
      </c>
      <c r="E301" s="461">
        <v>5</v>
      </c>
      <c r="F301" s="468">
        <f>IFERROR(VLOOKUP(A301,'2017-18'!$A$6:$F$315,6,0),0)</f>
        <v>0</v>
      </c>
      <c r="G301" s="468">
        <f>IFERROR(VLOOKUP(A301,'2017-18'!$A$6:$D$315,4,0),0)</f>
        <v>96408.59</v>
      </c>
      <c r="H301" s="468">
        <f t="shared" si="33"/>
        <v>96408.59</v>
      </c>
      <c r="I301" s="382"/>
      <c r="J301" s="462">
        <v>4</v>
      </c>
      <c r="K301" s="468">
        <f>IFERROR(VLOOKUP(A301,'2018-19'!$A$6:$F$318,6,0),0)</f>
        <v>0</v>
      </c>
      <c r="L301" s="468">
        <f>IFERROR(VLOOKUP(A301,'2018-19'!$A$6:$D$318,4,0),0)</f>
        <v>41841.07</v>
      </c>
      <c r="M301" s="468">
        <f t="shared" si="34"/>
        <v>41841.07</v>
      </c>
      <c r="N301" s="382"/>
      <c r="O301" s="452">
        <v>4</v>
      </c>
      <c r="P301" s="387">
        <v>0</v>
      </c>
      <c r="Q301" s="387">
        <v>65466.49</v>
      </c>
      <c r="R301" s="387">
        <v>65466.49</v>
      </c>
      <c r="S301" s="382"/>
      <c r="T301" s="375">
        <f>VLOOKUP(A301,'Nov 2020 cc'!$B$3:$D$317,3,0)</f>
        <v>4</v>
      </c>
      <c r="U301" s="387">
        <v>0</v>
      </c>
      <c r="V301" s="387">
        <v>90933.52</v>
      </c>
      <c r="W301" s="387">
        <v>90933.52</v>
      </c>
      <c r="X301" s="382"/>
      <c r="Y301" s="375">
        <v>10</v>
      </c>
      <c r="Z301" s="413">
        <f>VLOOKUP(A301,'2021-22'!$A$6:$D$317,4,0)</f>
        <v>0</v>
      </c>
      <c r="AA301" s="413">
        <f>VLOOKUP(A301,'2021-22'!$A$6:$E$317,5,0)</f>
        <v>95403.75</v>
      </c>
      <c r="AB301" s="387">
        <f t="shared" si="35"/>
        <v>95403.75</v>
      </c>
      <c r="AC301" s="382"/>
      <c r="AD301" s="416">
        <v>14</v>
      </c>
      <c r="AE301" s="413">
        <v>0</v>
      </c>
      <c r="AF301" s="413">
        <v>179211.01</v>
      </c>
      <c r="AG301" s="387">
        <f t="shared" si="36"/>
        <v>179211.01</v>
      </c>
      <c r="AH301" s="557"/>
      <c r="AI301" s="387">
        <f>IFERROR(VLOOKUP(A301,'23-24 child count'!$C$4:$Y$317,23,0),0)</f>
        <v>15</v>
      </c>
      <c r="AJ301" s="387">
        <f>VLOOKUP(A301,'23-24 state &amp; local'!$A$5:$D$316,4,0)</f>
        <v>0</v>
      </c>
      <c r="AK301" s="387">
        <f>VLOOKUP(A301,'23-24 state &amp; local'!$A$5:$E$316,5,0)</f>
        <v>207571.57</v>
      </c>
      <c r="AL301" s="387">
        <f t="shared" si="32"/>
        <v>207571.57</v>
      </c>
      <c r="AM301" s="382"/>
    </row>
    <row r="302" spans="1:39" ht="15.75" hidden="1" thickBot="1" x14ac:dyDescent="0.3">
      <c r="A302" s="375" t="s">
        <v>782</v>
      </c>
      <c r="B302" s="375" t="s">
        <v>231</v>
      </c>
      <c r="C302" s="448" t="s">
        <v>783</v>
      </c>
      <c r="D302" s="375" t="s">
        <v>819</v>
      </c>
      <c r="E302" s="461">
        <v>48</v>
      </c>
      <c r="F302" s="468">
        <f>IFERROR(VLOOKUP(A302,'2017-18'!$A$6:$F$315,6,0),0)</f>
        <v>0</v>
      </c>
      <c r="G302" s="468">
        <f>IFERROR(VLOOKUP(A302,'2017-18'!$A$6:$D$315,4,0),0)</f>
        <v>384972.36</v>
      </c>
      <c r="H302" s="468">
        <f t="shared" si="33"/>
        <v>384972.36</v>
      </c>
      <c r="I302" s="382"/>
      <c r="J302" s="462">
        <v>52</v>
      </c>
      <c r="K302" s="468">
        <f>IFERROR(VLOOKUP(A302,'2018-19'!$A$6:$F$318,6,0),0)</f>
        <v>0</v>
      </c>
      <c r="L302" s="468">
        <f>IFERROR(VLOOKUP(A302,'2018-19'!$A$6:$D$318,4,0),0)</f>
        <v>438944.94</v>
      </c>
      <c r="M302" s="468">
        <f t="shared" si="34"/>
        <v>438944.94</v>
      </c>
      <c r="N302" s="382"/>
      <c r="O302" s="452">
        <v>46</v>
      </c>
      <c r="P302" s="387">
        <v>0</v>
      </c>
      <c r="Q302" s="387">
        <v>425408.09</v>
      </c>
      <c r="R302" s="387">
        <v>425408.09</v>
      </c>
      <c r="S302" s="382"/>
      <c r="T302" s="375">
        <f>VLOOKUP(A302,'Nov 2020 cc'!$B$3:$D$317,3,0)</f>
        <v>45</v>
      </c>
      <c r="U302" s="387">
        <v>0</v>
      </c>
      <c r="V302" s="387">
        <v>406377.91</v>
      </c>
      <c r="W302" s="387">
        <v>406377.91</v>
      </c>
      <c r="X302" s="382"/>
      <c r="Y302" s="375">
        <v>43</v>
      </c>
      <c r="Z302" s="413">
        <f>VLOOKUP(A302,'2021-22'!$A$6:$D$317,4,0)</f>
        <v>0</v>
      </c>
      <c r="AA302" s="413">
        <f>VLOOKUP(A302,'2021-22'!$A$6:$E$317,5,0)</f>
        <v>414342.2</v>
      </c>
      <c r="AB302" s="387">
        <f t="shared" si="35"/>
        <v>414342.2</v>
      </c>
      <c r="AC302" s="382"/>
      <c r="AD302" s="416">
        <v>42</v>
      </c>
      <c r="AE302" s="413">
        <v>174.82</v>
      </c>
      <c r="AF302" s="413">
        <v>447481.99</v>
      </c>
      <c r="AG302" s="387">
        <f t="shared" si="36"/>
        <v>447656.81</v>
      </c>
      <c r="AH302" s="557"/>
      <c r="AI302" s="387">
        <f>IFERROR(VLOOKUP(A302,'23-24 child count'!$C$4:$Y$317,23,0),0)</f>
        <v>46</v>
      </c>
      <c r="AJ302" s="387">
        <f>VLOOKUP(A302,'23-24 state &amp; local'!$A$5:$D$316,4,0)</f>
        <v>0</v>
      </c>
      <c r="AK302" s="387">
        <f>VLOOKUP(A302,'23-24 state &amp; local'!$A$5:$E$316,5,0)</f>
        <v>545117.64</v>
      </c>
      <c r="AL302" s="387">
        <f t="shared" si="32"/>
        <v>545117.64</v>
      </c>
      <c r="AM302" s="382"/>
    </row>
    <row r="303" spans="1:39" ht="15.75" hidden="1" thickBot="1" x14ac:dyDescent="0.3">
      <c r="A303" s="375" t="s">
        <v>784</v>
      </c>
      <c r="B303" s="375" t="s">
        <v>194</v>
      </c>
      <c r="C303" s="448" t="s">
        <v>785</v>
      </c>
      <c r="E303" s="461">
        <v>56</v>
      </c>
      <c r="F303" s="468">
        <f>IFERROR(VLOOKUP(A303,'2017-18'!$A$6:$F$315,6,0),0)</f>
        <v>0</v>
      </c>
      <c r="G303" s="468">
        <f>IFERROR(VLOOKUP(A303,'2017-18'!$A$6:$D$315,4,0),0)</f>
        <v>412069.73</v>
      </c>
      <c r="H303" s="468">
        <f t="shared" si="33"/>
        <v>412069.73</v>
      </c>
      <c r="I303" s="382"/>
      <c r="J303" s="462">
        <v>60</v>
      </c>
      <c r="K303" s="468">
        <f>IFERROR(VLOOKUP(A303,'2018-19'!$A$6:$F$318,6,0),0)</f>
        <v>7050.41</v>
      </c>
      <c r="L303" s="468">
        <f>IFERROR(VLOOKUP(A303,'2018-19'!$A$6:$D$318,4,0),0)</f>
        <v>595631.64</v>
      </c>
      <c r="M303" s="468">
        <f t="shared" si="34"/>
        <v>602682.05000000005</v>
      </c>
      <c r="N303" s="382"/>
      <c r="O303" s="452">
        <v>59</v>
      </c>
      <c r="P303" s="387">
        <v>0</v>
      </c>
      <c r="Q303" s="387">
        <v>619138.35</v>
      </c>
      <c r="R303" s="387">
        <v>619138.35</v>
      </c>
      <c r="S303" s="382"/>
      <c r="T303" s="375">
        <f>VLOOKUP(A303,'Nov 2020 cc'!$B$3:$D$317,3,0)</f>
        <v>73</v>
      </c>
      <c r="U303" s="387">
        <v>0</v>
      </c>
      <c r="V303" s="387">
        <v>784179.75</v>
      </c>
      <c r="W303" s="387">
        <v>784179.75</v>
      </c>
      <c r="X303" s="382"/>
      <c r="Y303" s="375">
        <v>71</v>
      </c>
      <c r="Z303" s="413">
        <f>VLOOKUP(A303,'2021-22'!$A$6:$D$317,4,0)</f>
        <v>0</v>
      </c>
      <c r="AA303" s="413">
        <f>VLOOKUP(A303,'2021-22'!$A$6:$E$317,5,0)</f>
        <v>635026.64</v>
      </c>
      <c r="AB303" s="387">
        <f t="shared" si="35"/>
        <v>635026.64</v>
      </c>
      <c r="AC303" s="382"/>
      <c r="AD303" s="416">
        <v>61</v>
      </c>
      <c r="AE303" s="413">
        <v>131664.85</v>
      </c>
      <c r="AF303" s="413">
        <v>597088.34</v>
      </c>
      <c r="AG303" s="387">
        <f t="shared" si="36"/>
        <v>728753.19</v>
      </c>
      <c r="AH303" s="557"/>
      <c r="AI303" s="387">
        <f>IFERROR(VLOOKUP(A303,'23-24 child count'!$C$4:$Y$317,23,0),0)</f>
        <v>44</v>
      </c>
      <c r="AJ303" s="387">
        <f>VLOOKUP(A303,'23-24 state &amp; local'!$A$5:$D$316,4,0)</f>
        <v>0</v>
      </c>
      <c r="AK303" s="387">
        <f>VLOOKUP(A303,'23-24 state &amp; local'!$A$5:$E$316,5,0)</f>
        <v>769119.63</v>
      </c>
      <c r="AL303" s="387">
        <f t="shared" si="32"/>
        <v>769119.63</v>
      </c>
      <c r="AM303" s="382"/>
    </row>
    <row r="304" spans="1:39" ht="15.75" hidden="1" thickBot="1" x14ac:dyDescent="0.3">
      <c r="A304" s="383" t="s">
        <v>786</v>
      </c>
      <c r="B304" s="375" t="s">
        <v>231</v>
      </c>
      <c r="C304" s="448" t="s">
        <v>787</v>
      </c>
      <c r="E304" s="461">
        <v>841</v>
      </c>
      <c r="F304" s="468">
        <f>IFERROR(VLOOKUP(A304,'2017-18'!$A$6:$F$315,6,0),0)</f>
        <v>56268.23</v>
      </c>
      <c r="G304" s="468">
        <f>IFERROR(VLOOKUP(A304,'2017-18'!$A$6:$D$315,4,0),0)</f>
        <v>8323838.9000000004</v>
      </c>
      <c r="H304" s="468">
        <f t="shared" si="33"/>
        <v>8380107.1300000008</v>
      </c>
      <c r="I304" s="382"/>
      <c r="J304" s="462">
        <v>909</v>
      </c>
      <c r="K304" s="468">
        <f>IFERROR(VLOOKUP(A304,'2018-19'!$A$6:$F$318,6,0),0)</f>
        <v>83802</v>
      </c>
      <c r="L304" s="468">
        <f>IFERROR(VLOOKUP(A304,'2018-19'!$A$6:$D$318,4,0),0)</f>
        <v>9547317.6999999993</v>
      </c>
      <c r="M304" s="468">
        <f t="shared" si="34"/>
        <v>9631119.6999999993</v>
      </c>
      <c r="N304" s="382"/>
      <c r="O304" s="452">
        <v>964</v>
      </c>
      <c r="P304" s="387">
        <v>56412</v>
      </c>
      <c r="Q304" s="387">
        <v>11081642.65</v>
      </c>
      <c r="R304" s="387">
        <v>11138054.65</v>
      </c>
      <c r="S304" s="382"/>
      <c r="T304" s="375">
        <f>VLOOKUP(A304,'Nov 2020 cc'!$B$3:$D$317,3,0)</f>
        <v>1013</v>
      </c>
      <c r="U304" s="387">
        <v>0</v>
      </c>
      <c r="V304" s="387">
        <v>11633960.390000001</v>
      </c>
      <c r="W304" s="387">
        <v>11633960.390000001</v>
      </c>
      <c r="X304" s="382"/>
      <c r="Y304" s="375">
        <v>1029</v>
      </c>
      <c r="Z304" s="413">
        <f>VLOOKUP(A304,'2021-22'!$A$6:$D$317,4,0)</f>
        <v>94237.5</v>
      </c>
      <c r="AA304" s="413">
        <f>VLOOKUP(A304,'2021-22'!$A$6:$E$317,5,0)</f>
        <v>11947108.050000001</v>
      </c>
      <c r="AB304" s="387">
        <f t="shared" si="35"/>
        <v>12041345.550000001</v>
      </c>
      <c r="AC304" s="382"/>
      <c r="AD304" s="416">
        <v>1047</v>
      </c>
      <c r="AE304" s="413">
        <v>77995.179999999993</v>
      </c>
      <c r="AF304" s="413">
        <v>13964533.25</v>
      </c>
      <c r="AG304" s="387">
        <f t="shared" si="36"/>
        <v>14042528.43</v>
      </c>
      <c r="AH304" s="557"/>
      <c r="AI304" s="387">
        <f>IFERROR(VLOOKUP(A304,'23-24 child count'!$C$4:$Y$317,23,0),0)</f>
        <v>1105</v>
      </c>
      <c r="AJ304" s="387">
        <f>VLOOKUP(A304,'23-24 state &amp; local'!$A$5:$D$316,4,0)</f>
        <v>66202.94</v>
      </c>
      <c r="AK304" s="387">
        <f>VLOOKUP(A304,'23-24 state &amp; local'!$A$5:$E$316,5,0)</f>
        <v>15080307.26</v>
      </c>
      <c r="AL304" s="387">
        <f t="shared" si="32"/>
        <v>15146510.199999999</v>
      </c>
      <c r="AM304" s="382"/>
    </row>
    <row r="305" spans="1:39" ht="15.75" hidden="1" thickBot="1" x14ac:dyDescent="0.3">
      <c r="A305" s="375" t="s">
        <v>788</v>
      </c>
      <c r="B305" s="375" t="s">
        <v>221</v>
      </c>
      <c r="C305" s="448" t="s">
        <v>1208</v>
      </c>
      <c r="E305" s="461">
        <v>720</v>
      </c>
      <c r="F305" s="468">
        <f>IFERROR(VLOOKUP(A305,'2017-18'!$A$6:$F$315,6,0),0)</f>
        <v>0</v>
      </c>
      <c r="G305" s="468">
        <f>IFERROR(VLOOKUP(A305,'2017-18'!$A$6:$D$315,4,0),0)</f>
        <v>6258938.1299999999</v>
      </c>
      <c r="H305" s="468">
        <f t="shared" si="33"/>
        <v>6258938.1299999999</v>
      </c>
      <c r="I305" s="382"/>
      <c r="J305" s="462">
        <v>737</v>
      </c>
      <c r="K305" s="468">
        <f>IFERROR(VLOOKUP(A305,'2018-19'!$A$6:$F$318,6,0),0)</f>
        <v>0</v>
      </c>
      <c r="L305" s="468">
        <f>IFERROR(VLOOKUP(A305,'2018-19'!$A$6:$D$318,4,0),0)</f>
        <v>7953418.9000000004</v>
      </c>
      <c r="M305" s="468">
        <f t="shared" si="34"/>
        <v>7953418.9000000004</v>
      </c>
      <c r="N305" s="382"/>
      <c r="O305" s="452">
        <v>732</v>
      </c>
      <c r="P305" s="387">
        <v>889559.83</v>
      </c>
      <c r="Q305" s="387">
        <v>7012534.6200000001</v>
      </c>
      <c r="R305" s="387">
        <v>7902094.4500000002</v>
      </c>
      <c r="S305" s="382"/>
      <c r="T305" s="375">
        <f>VLOOKUP(A305,'Nov 2020 cc'!$B$3:$D$317,3,0)</f>
        <v>759</v>
      </c>
      <c r="U305" s="387">
        <v>0</v>
      </c>
      <c r="V305" s="387">
        <v>7626166.4900000002</v>
      </c>
      <c r="W305" s="387">
        <v>7626166.4900000002</v>
      </c>
      <c r="X305" s="382"/>
      <c r="Y305" s="375">
        <v>771</v>
      </c>
      <c r="Z305" s="413">
        <f>VLOOKUP(A305,'2021-22'!$A$6:$D$317,4,0)</f>
        <v>0</v>
      </c>
      <c r="AA305" s="413">
        <f>VLOOKUP(A305,'2021-22'!$A$6:$E$317,5,0)</f>
        <v>7691266.79</v>
      </c>
      <c r="AB305" s="387">
        <f t="shared" si="35"/>
        <v>7691266.79</v>
      </c>
      <c r="AC305" s="382"/>
      <c r="AD305" s="416">
        <v>776</v>
      </c>
      <c r="AE305" s="413">
        <v>0</v>
      </c>
      <c r="AF305" s="413">
        <v>8751645.1799999997</v>
      </c>
      <c r="AG305" s="387">
        <f t="shared" si="36"/>
        <v>8751645.1799999997</v>
      </c>
      <c r="AH305" s="557"/>
      <c r="AI305" s="387">
        <f>IFERROR(VLOOKUP(A305,'23-24 child count'!$C$4:$Y$317,23,0),0)</f>
        <v>804</v>
      </c>
      <c r="AJ305" s="387">
        <f>VLOOKUP(A305,'23-24 state &amp; local'!$A$5:$D$316,4,0)</f>
        <v>0</v>
      </c>
      <c r="AK305" s="387">
        <f>VLOOKUP(A305,'23-24 state &amp; local'!$A$5:$E$316,5,0)</f>
        <v>9189491.3599999994</v>
      </c>
      <c r="AL305" s="387">
        <f t="shared" si="32"/>
        <v>9189491.3599999994</v>
      </c>
      <c r="AM305" s="382"/>
    </row>
    <row r="306" spans="1:39" ht="15.75" hidden="1" thickBot="1" x14ac:dyDescent="0.3">
      <c r="A306" s="375" t="s">
        <v>790</v>
      </c>
      <c r="B306" s="375" t="s">
        <v>194</v>
      </c>
      <c r="C306" s="448" t="s">
        <v>1209</v>
      </c>
      <c r="E306" s="461">
        <v>544</v>
      </c>
      <c r="F306" s="468">
        <f>IFERROR(VLOOKUP(A306,'2017-18'!$A$6:$F$315,6,0),0)</f>
        <v>407813.51</v>
      </c>
      <c r="G306" s="468">
        <f>IFERROR(VLOOKUP(A306,'2017-18'!$A$6:$D$315,4,0),0)</f>
        <v>4281684.79</v>
      </c>
      <c r="H306" s="468">
        <f t="shared" si="33"/>
        <v>4689498.3</v>
      </c>
      <c r="I306" s="382"/>
      <c r="J306" s="462">
        <v>524</v>
      </c>
      <c r="K306" s="468">
        <f>IFERROR(VLOOKUP(A306,'2018-19'!$A$6:$F$318,6,0),0)</f>
        <v>419740.98</v>
      </c>
      <c r="L306" s="468">
        <f>IFERROR(VLOOKUP(A306,'2018-19'!$A$6:$D$318,4,0),0)</f>
        <v>4320720.92</v>
      </c>
      <c r="M306" s="468">
        <f t="shared" si="34"/>
        <v>4740461.9000000004</v>
      </c>
      <c r="N306" s="382"/>
      <c r="O306" s="452">
        <v>522</v>
      </c>
      <c r="P306" s="387">
        <v>0</v>
      </c>
      <c r="Q306" s="387">
        <v>4777639.29</v>
      </c>
      <c r="R306" s="387">
        <v>4777639.29</v>
      </c>
      <c r="S306" s="382"/>
      <c r="T306" s="375">
        <f>VLOOKUP(A306,'Nov 2020 cc'!$B$3:$D$317,3,0)</f>
        <v>451</v>
      </c>
      <c r="U306" s="387">
        <v>0</v>
      </c>
      <c r="V306" s="387">
        <v>4800566.2</v>
      </c>
      <c r="W306" s="387">
        <v>4800566.2</v>
      </c>
      <c r="X306" s="382"/>
      <c r="Y306" s="375">
        <v>471</v>
      </c>
      <c r="Z306" s="413">
        <f>VLOOKUP(A306,'2021-22'!$A$6:$D$317,4,0)</f>
        <v>0</v>
      </c>
      <c r="AA306" s="413">
        <f>VLOOKUP(A306,'2021-22'!$A$6:$E$317,5,0)</f>
        <v>5138274.38</v>
      </c>
      <c r="AB306" s="387">
        <f t="shared" si="35"/>
        <v>5138274.38</v>
      </c>
      <c r="AC306" s="382"/>
      <c r="AD306" s="416">
        <v>526</v>
      </c>
      <c r="AE306" s="413">
        <v>0</v>
      </c>
      <c r="AF306" s="413">
        <v>6056715.1500000004</v>
      </c>
      <c r="AG306" s="387">
        <f t="shared" si="36"/>
        <v>6056715.1500000004</v>
      </c>
      <c r="AH306" s="557"/>
      <c r="AI306" s="387">
        <f>IFERROR(VLOOKUP(A306,'23-24 child count'!$C$4:$Y$317,23,0),0)</f>
        <v>521</v>
      </c>
      <c r="AJ306" s="387">
        <f>VLOOKUP(A306,'23-24 state &amp; local'!$A$5:$D$316,4,0)</f>
        <v>0</v>
      </c>
      <c r="AK306" s="387">
        <f>VLOOKUP(A306,'23-24 state &amp; local'!$A$5:$E$316,5,0)</f>
        <v>6731834.9199999999</v>
      </c>
      <c r="AL306" s="387">
        <f t="shared" si="32"/>
        <v>6731834.9199999999</v>
      </c>
      <c r="AM306" s="382"/>
    </row>
    <row r="307" spans="1:39" ht="15.75" hidden="1" thickBot="1" x14ac:dyDescent="0.3">
      <c r="A307" s="375" t="s">
        <v>1169</v>
      </c>
      <c r="C307" s="448" t="s">
        <v>1170</v>
      </c>
      <c r="D307" s="375" t="s">
        <v>1372</v>
      </c>
      <c r="E307" s="461"/>
      <c r="F307" s="468">
        <f>IFERROR(VLOOKUP(A307,'2017-18'!$A$6:$F$315,6,0),0)</f>
        <v>0</v>
      </c>
      <c r="G307" s="468">
        <f>IFERROR(VLOOKUP(A307,'2017-18'!$A$6:$D$315,4,0),0)</f>
        <v>0</v>
      </c>
      <c r="H307" s="468">
        <f t="shared" si="33"/>
        <v>0</v>
      </c>
      <c r="I307" s="382"/>
      <c r="J307" s="462"/>
      <c r="K307" s="468">
        <f>IFERROR(VLOOKUP(A307,'2018-19'!$A$6:$F$318,6,0),0)</f>
        <v>0</v>
      </c>
      <c r="L307" s="468">
        <f>IFERROR(VLOOKUP(A307,'2018-19'!$A$6:$D$318,4,0),0)</f>
        <v>0</v>
      </c>
      <c r="M307" s="468">
        <f t="shared" si="34"/>
        <v>0</v>
      </c>
      <c r="N307" s="382"/>
      <c r="O307" s="452">
        <v>0</v>
      </c>
      <c r="S307" s="382"/>
      <c r="T307" s="375">
        <v>0</v>
      </c>
      <c r="U307" s="387">
        <v>0</v>
      </c>
      <c r="V307" s="387">
        <v>0</v>
      </c>
      <c r="W307" s="387">
        <v>0</v>
      </c>
      <c r="X307" s="382"/>
      <c r="Y307" s="375">
        <v>3</v>
      </c>
      <c r="Z307" s="413">
        <f>VLOOKUP(A307,'2021-22'!$A$6:$D$317,4,0)</f>
        <v>0</v>
      </c>
      <c r="AA307" s="413">
        <f>VLOOKUP(A307,'2021-22'!$A$6:$E$317,5,0)</f>
        <v>96810.49</v>
      </c>
      <c r="AB307" s="387">
        <f t="shared" si="35"/>
        <v>96810.49</v>
      </c>
      <c r="AC307" s="382"/>
      <c r="AD307" s="416">
        <v>10</v>
      </c>
      <c r="AE307" s="413">
        <v>0</v>
      </c>
      <c r="AF307" s="413">
        <v>117581.89</v>
      </c>
      <c r="AG307" s="387">
        <f t="shared" si="36"/>
        <v>117581.89</v>
      </c>
      <c r="AH307" s="557"/>
      <c r="AI307" s="387">
        <f>IFERROR(VLOOKUP(A307,'23-24 child count'!$C$4:$Y$317,23,0),0)</f>
        <v>16</v>
      </c>
      <c r="AJ307" s="387">
        <f>VLOOKUP(A307,'23-24 state &amp; local'!$A$5:$D$316,4,0)</f>
        <v>0</v>
      </c>
      <c r="AK307" s="387">
        <f>VLOOKUP(A307,'23-24 state &amp; local'!$A$5:$E$316,5,0)</f>
        <v>182960.9</v>
      </c>
      <c r="AL307" s="387">
        <f t="shared" si="32"/>
        <v>182960.9</v>
      </c>
      <c r="AM307" s="382"/>
    </row>
    <row r="308" spans="1:39" ht="15.75" hidden="1" thickBot="1" x14ac:dyDescent="0.3">
      <c r="A308" s="375" t="s">
        <v>792</v>
      </c>
      <c r="B308" s="375" t="s">
        <v>189</v>
      </c>
      <c r="C308" s="448" t="s">
        <v>793</v>
      </c>
      <c r="E308" s="461">
        <v>78</v>
      </c>
      <c r="F308" s="468">
        <f>IFERROR(VLOOKUP(A308,'2017-18'!$A$6:$F$315,6,0),0)</f>
        <v>0</v>
      </c>
      <c r="G308" s="468">
        <f>IFERROR(VLOOKUP(A308,'2017-18'!$A$6:$D$315,4,0),0)</f>
        <v>373309.15</v>
      </c>
      <c r="H308" s="468">
        <f t="shared" si="33"/>
        <v>373309.15</v>
      </c>
      <c r="I308" s="382"/>
      <c r="J308" s="462">
        <v>74</v>
      </c>
      <c r="K308" s="468">
        <f>IFERROR(VLOOKUP(A308,'2018-19'!$A$6:$F$318,6,0),0)</f>
        <v>0</v>
      </c>
      <c r="L308" s="468">
        <f>IFERROR(VLOOKUP(A308,'2018-19'!$A$6:$D$318,4,0),0)</f>
        <v>461179.19</v>
      </c>
      <c r="M308" s="468">
        <f t="shared" si="34"/>
        <v>461179.19</v>
      </c>
      <c r="N308" s="382"/>
      <c r="O308" s="452">
        <v>64</v>
      </c>
      <c r="P308" s="387">
        <v>4369.38</v>
      </c>
      <c r="Q308" s="387">
        <v>534343.06000000006</v>
      </c>
      <c r="R308" s="387">
        <v>538712.44000000006</v>
      </c>
      <c r="S308" s="382"/>
      <c r="T308" s="375">
        <f>VLOOKUP(A308,'Nov 2020 cc'!$B$3:$D$317,3,0)</f>
        <v>57</v>
      </c>
      <c r="U308" s="387">
        <v>4185.79</v>
      </c>
      <c r="V308" s="387">
        <v>534754.49</v>
      </c>
      <c r="W308" s="387">
        <v>538940.28</v>
      </c>
      <c r="X308" s="382"/>
      <c r="Y308" s="375">
        <v>63</v>
      </c>
      <c r="Z308" s="413">
        <f>VLOOKUP(A308,'2021-22'!$A$6:$D$317,4,0)</f>
        <v>5546.32</v>
      </c>
      <c r="AA308" s="413">
        <f>VLOOKUP(A308,'2021-22'!$A$6:$E$317,5,0)</f>
        <v>646315.86</v>
      </c>
      <c r="AB308" s="387">
        <f t="shared" si="35"/>
        <v>651862.17999999993</v>
      </c>
      <c r="AC308" s="382"/>
      <c r="AD308" s="416">
        <v>72</v>
      </c>
      <c r="AE308" s="413">
        <v>3694.14</v>
      </c>
      <c r="AF308" s="413">
        <v>717632.41</v>
      </c>
      <c r="AG308" s="387">
        <f t="shared" si="36"/>
        <v>721326.55</v>
      </c>
      <c r="AH308" s="557"/>
      <c r="AI308" s="387">
        <f>IFERROR(VLOOKUP(A308,'23-24 child count'!$C$4:$Y$317,23,0),0)</f>
        <v>61</v>
      </c>
      <c r="AJ308" s="387">
        <f>VLOOKUP(A308,'23-24 state &amp; local'!$A$5:$D$316,4,0)</f>
        <v>5276.21</v>
      </c>
      <c r="AK308" s="387">
        <f>VLOOKUP(A308,'23-24 state &amp; local'!$A$5:$E$316,5,0)</f>
        <v>863717.01</v>
      </c>
      <c r="AL308" s="387">
        <f t="shared" si="32"/>
        <v>868993.22</v>
      </c>
      <c r="AM308" s="382"/>
    </row>
    <row r="309" spans="1:39" ht="15.75" hidden="1" thickBot="1" x14ac:dyDescent="0.3">
      <c r="A309" s="375" t="s">
        <v>794</v>
      </c>
      <c r="B309" s="375" t="s">
        <v>205</v>
      </c>
      <c r="C309" s="448" t="s">
        <v>795</v>
      </c>
      <c r="E309" s="461">
        <v>509</v>
      </c>
      <c r="F309" s="468">
        <f>IFERROR(VLOOKUP(A309,'2017-18'!$A$6:$F$315,6,0),0)</f>
        <v>61458.12</v>
      </c>
      <c r="G309" s="468">
        <f>IFERROR(VLOOKUP(A309,'2017-18'!$A$6:$D$315,4,0),0)</f>
        <v>5583808.0499999998</v>
      </c>
      <c r="H309" s="468">
        <f t="shared" si="33"/>
        <v>5645266.1699999999</v>
      </c>
      <c r="I309" s="382"/>
      <c r="J309" s="462">
        <v>536</v>
      </c>
      <c r="K309" s="468">
        <f>IFERROR(VLOOKUP(A309,'2018-19'!$A$6:$F$318,6,0),0)</f>
        <v>62944.17</v>
      </c>
      <c r="L309" s="468">
        <f>IFERROR(VLOOKUP(A309,'2018-19'!$A$6:$D$318,4,0),0)</f>
        <v>6284651.7300000004</v>
      </c>
      <c r="M309" s="468">
        <f t="shared" si="34"/>
        <v>6347595.9000000004</v>
      </c>
      <c r="N309" s="382"/>
      <c r="O309" s="452">
        <v>575</v>
      </c>
      <c r="P309" s="387">
        <v>81435.41</v>
      </c>
      <c r="Q309" s="387">
        <v>6758950.5599999996</v>
      </c>
      <c r="R309" s="387">
        <v>6840385.9699999997</v>
      </c>
      <c r="S309" s="382"/>
      <c r="T309" s="375">
        <f>VLOOKUP(A309,'Nov 2020 cc'!$B$3:$D$317,3,0)</f>
        <v>553</v>
      </c>
      <c r="U309" s="387">
        <v>1041076.67</v>
      </c>
      <c r="V309" s="387">
        <v>6196495.3399999999</v>
      </c>
      <c r="W309" s="387">
        <v>7237572.0099999998</v>
      </c>
      <c r="X309" s="382"/>
      <c r="Y309" s="375">
        <v>602</v>
      </c>
      <c r="Z309" s="413">
        <f>VLOOKUP(A309,'2021-22'!$A$6:$D$317,4,0)</f>
        <v>1017509.53</v>
      </c>
      <c r="AA309" s="413">
        <f>VLOOKUP(A309,'2021-22'!$A$6:$E$317,5,0)</f>
        <v>6767012.71</v>
      </c>
      <c r="AB309" s="387">
        <f t="shared" si="35"/>
        <v>7784522.2400000002</v>
      </c>
      <c r="AC309" s="382"/>
      <c r="AD309" s="416">
        <v>618</v>
      </c>
      <c r="AE309" s="413">
        <v>997421.14</v>
      </c>
      <c r="AF309" s="413">
        <v>7392093.9199999999</v>
      </c>
      <c r="AG309" s="387">
        <f t="shared" si="36"/>
        <v>8389515.0600000005</v>
      </c>
      <c r="AH309" s="557"/>
      <c r="AI309" s="387">
        <f>IFERROR(VLOOKUP(A309,'23-24 child count'!$C$4:$Y$317,23,0),0)</f>
        <v>617</v>
      </c>
      <c r="AJ309" s="387">
        <f>VLOOKUP(A309,'23-24 state &amp; local'!$A$5:$D$316,4,0)</f>
        <v>442097.22</v>
      </c>
      <c r="AK309" s="387">
        <f>VLOOKUP(A309,'23-24 state &amp; local'!$A$5:$E$316,5,0)</f>
        <v>8378336.3700000001</v>
      </c>
      <c r="AL309" s="387">
        <f t="shared" si="32"/>
        <v>8820433.5899999999</v>
      </c>
      <c r="AM309" s="382"/>
    </row>
    <row r="310" spans="1:39" ht="15.75" hidden="1" thickBot="1" x14ac:dyDescent="0.3">
      <c r="A310" s="375" t="s">
        <v>796</v>
      </c>
      <c r="B310" s="375" t="s">
        <v>210</v>
      </c>
      <c r="C310" s="448" t="s">
        <v>797</v>
      </c>
      <c r="D310" s="375" t="s">
        <v>819</v>
      </c>
      <c r="E310" s="461">
        <v>196</v>
      </c>
      <c r="F310" s="468">
        <f>IFERROR(VLOOKUP(A310,'2017-18'!$A$6:$F$315,6,0),0)</f>
        <v>0</v>
      </c>
      <c r="G310" s="468">
        <f>IFERROR(VLOOKUP(A310,'2017-18'!$A$6:$D$315,4,0),0)</f>
        <v>1618411.6</v>
      </c>
      <c r="H310" s="468">
        <f t="shared" si="33"/>
        <v>1618411.6</v>
      </c>
      <c r="I310" s="382"/>
      <c r="J310" s="462">
        <v>212</v>
      </c>
      <c r="K310" s="468">
        <f>IFERROR(VLOOKUP(A310,'2018-19'!$A$6:$F$318,6,0),0)</f>
        <v>0</v>
      </c>
      <c r="L310" s="468">
        <f>IFERROR(VLOOKUP(A310,'2018-19'!$A$6:$D$318,4,0),0)</f>
        <v>1904819.57</v>
      </c>
      <c r="M310" s="468">
        <f t="shared" si="34"/>
        <v>1904819.57</v>
      </c>
      <c r="N310" s="382"/>
      <c r="O310" s="452">
        <v>196</v>
      </c>
      <c r="P310" s="387">
        <v>0</v>
      </c>
      <c r="Q310" s="387">
        <v>1832874.95</v>
      </c>
      <c r="R310" s="387">
        <v>1832874.95</v>
      </c>
      <c r="S310" s="382"/>
      <c r="T310" s="375">
        <f>VLOOKUP(A310,'Nov 2020 cc'!$B$3:$D$317,3,0)</f>
        <v>168</v>
      </c>
      <c r="U310" s="387">
        <v>0</v>
      </c>
      <c r="V310" s="387">
        <v>1606299.87</v>
      </c>
      <c r="W310" s="387">
        <v>1606299.87</v>
      </c>
      <c r="X310" s="382"/>
      <c r="Y310" s="375">
        <v>147</v>
      </c>
      <c r="Z310" s="413">
        <f>VLOOKUP(A310,'2021-22'!$A$6:$D$317,4,0)</f>
        <v>0</v>
      </c>
      <c r="AA310" s="413">
        <f>VLOOKUP(A310,'2021-22'!$A$6:$E$317,5,0)</f>
        <v>1402419.12</v>
      </c>
      <c r="AB310" s="387">
        <f t="shared" si="35"/>
        <v>1402419.12</v>
      </c>
      <c r="AC310" s="382"/>
      <c r="AD310" s="416">
        <v>147</v>
      </c>
      <c r="AE310" s="413">
        <v>0</v>
      </c>
      <c r="AF310" s="413">
        <v>1544072.37</v>
      </c>
      <c r="AG310" s="387">
        <f t="shared" si="36"/>
        <v>1544072.37</v>
      </c>
      <c r="AH310" s="557"/>
      <c r="AI310" s="387">
        <f>IFERROR(VLOOKUP(A310,'23-24 child count'!$C$4:$Y$317,23,0),0)</f>
        <v>155</v>
      </c>
      <c r="AJ310" s="387">
        <f>VLOOKUP(A310,'23-24 state &amp; local'!$A$5:$D$316,4,0)</f>
        <v>0</v>
      </c>
      <c r="AK310" s="387">
        <f>VLOOKUP(A310,'23-24 state &amp; local'!$A$5:$E$316,5,0)</f>
        <v>1960639.99</v>
      </c>
      <c r="AL310" s="387">
        <f t="shared" si="32"/>
        <v>1960639.99</v>
      </c>
      <c r="AM310" s="382"/>
    </row>
    <row r="311" spans="1:39" ht="15.75" hidden="1" thickBot="1" x14ac:dyDescent="0.3">
      <c r="A311" s="375" t="s">
        <v>247</v>
      </c>
      <c r="C311" s="448" t="s">
        <v>1182</v>
      </c>
      <c r="D311" s="375" t="s">
        <v>1372</v>
      </c>
      <c r="E311" s="461"/>
      <c r="F311" s="468">
        <f>IFERROR(VLOOKUP(A311,'2017-18'!$A$6:$F$315,6,0),0)</f>
        <v>0</v>
      </c>
      <c r="G311" s="468">
        <f>IFERROR(VLOOKUP(A311,'2017-18'!$A$6:$D$315,4,0),0)</f>
        <v>0</v>
      </c>
      <c r="H311" s="468">
        <f t="shared" si="33"/>
        <v>0</v>
      </c>
      <c r="I311" s="382"/>
      <c r="J311" s="462"/>
      <c r="K311" s="468">
        <f>IFERROR(VLOOKUP(A311,'2018-19'!$A$6:$F$318,6,0),0)</f>
        <v>0</v>
      </c>
      <c r="L311" s="468">
        <f>IFERROR(VLOOKUP(A311,'2018-19'!$A$6:$D$318,4,0),0)</f>
        <v>0</v>
      </c>
      <c r="M311" s="468">
        <f t="shared" si="34"/>
        <v>0</v>
      </c>
      <c r="N311" s="382"/>
      <c r="O311" s="452">
        <v>0</v>
      </c>
      <c r="S311" s="382"/>
      <c r="T311" s="375">
        <v>0</v>
      </c>
      <c r="U311" s="387">
        <v>0</v>
      </c>
      <c r="V311" s="387">
        <v>0</v>
      </c>
      <c r="W311" s="387">
        <v>0</v>
      </c>
      <c r="X311" s="382"/>
      <c r="Y311" s="375">
        <v>19</v>
      </c>
      <c r="Z311" s="413">
        <f>VLOOKUP(A311,'2021-22'!$A$6:$D$317,4,0)</f>
        <v>0</v>
      </c>
      <c r="AA311" s="413">
        <f>VLOOKUP(A311,'2021-22'!$A$6:$E$317,5,0)</f>
        <v>167203.29</v>
      </c>
      <c r="AB311" s="387">
        <f t="shared" si="35"/>
        <v>167203.29</v>
      </c>
      <c r="AC311" s="382"/>
      <c r="AD311" s="416">
        <v>25</v>
      </c>
      <c r="AE311" s="413">
        <v>0</v>
      </c>
      <c r="AF311" s="413">
        <v>251016.01</v>
      </c>
      <c r="AG311" s="387">
        <f t="shared" si="36"/>
        <v>251016.01</v>
      </c>
      <c r="AH311" s="557"/>
      <c r="AI311" s="387">
        <f>IFERROR(VLOOKUP(A311,'23-24 child count'!$C$4:$Y$317,23,0),0)</f>
        <v>26</v>
      </c>
      <c r="AJ311" s="387">
        <f>VLOOKUP(A311,'23-24 state &amp; local'!$A$5:$D$316,4,0)</f>
        <v>0</v>
      </c>
      <c r="AK311" s="387">
        <f>VLOOKUP(A311,'23-24 state &amp; local'!$A$5:$E$316,5,0)</f>
        <v>434751.85</v>
      </c>
      <c r="AL311" s="387">
        <f t="shared" si="32"/>
        <v>434751.85</v>
      </c>
      <c r="AM311" s="382"/>
    </row>
    <row r="312" spans="1:39" ht="15.75" hidden="1" thickBot="1" x14ac:dyDescent="0.3">
      <c r="A312" s="375" t="s">
        <v>798</v>
      </c>
      <c r="B312" s="375" t="s">
        <v>194</v>
      </c>
      <c r="C312" s="448" t="s">
        <v>799</v>
      </c>
      <c r="E312" s="461">
        <v>42</v>
      </c>
      <c r="F312" s="468">
        <f>IFERROR(VLOOKUP(A312,'2017-18'!$A$6:$F$315,6,0),0)</f>
        <v>0</v>
      </c>
      <c r="G312" s="468">
        <f>IFERROR(VLOOKUP(A312,'2017-18'!$A$6:$D$315,4,0),0)</f>
        <v>344358.99</v>
      </c>
      <c r="H312" s="468">
        <f t="shared" si="33"/>
        <v>344358.99</v>
      </c>
      <c r="I312" s="382"/>
      <c r="J312" s="462">
        <v>34</v>
      </c>
      <c r="K312" s="468">
        <f>IFERROR(VLOOKUP(A312,'2018-19'!$A$6:$F$318,6,0),0)</f>
        <v>26800</v>
      </c>
      <c r="L312" s="468">
        <f>IFERROR(VLOOKUP(A312,'2018-19'!$A$6:$D$318,4,0),0)</f>
        <v>296694.2</v>
      </c>
      <c r="M312" s="468">
        <f t="shared" si="34"/>
        <v>323494.2</v>
      </c>
      <c r="N312" s="382"/>
      <c r="O312" s="452">
        <v>40</v>
      </c>
      <c r="P312" s="387">
        <v>14631.29</v>
      </c>
      <c r="Q312" s="387">
        <v>343320.72</v>
      </c>
      <c r="R312" s="387">
        <v>357952.00999999995</v>
      </c>
      <c r="S312" s="382"/>
      <c r="T312" s="375">
        <f>VLOOKUP(A312,'Nov 2020 cc'!$B$3:$D$317,3,0)</f>
        <v>41</v>
      </c>
      <c r="U312" s="387">
        <v>62927.68</v>
      </c>
      <c r="V312" s="387">
        <v>322550.84999999998</v>
      </c>
      <c r="W312" s="387">
        <v>385478.52999999997</v>
      </c>
      <c r="X312" s="382"/>
      <c r="Y312" s="375">
        <v>39</v>
      </c>
      <c r="Z312" s="413">
        <f>VLOOKUP(A312,'2021-22'!$A$6:$D$317,4,0)</f>
        <v>71525.399999999994</v>
      </c>
      <c r="AA312" s="413">
        <f>VLOOKUP(A312,'2021-22'!$A$6:$E$317,5,0)</f>
        <v>339171.98</v>
      </c>
      <c r="AB312" s="387">
        <f t="shared" si="35"/>
        <v>410697.38</v>
      </c>
      <c r="AC312" s="382"/>
      <c r="AD312" s="416">
        <v>40</v>
      </c>
      <c r="AE312" s="413">
        <v>72000</v>
      </c>
      <c r="AF312" s="413">
        <v>355992.67</v>
      </c>
      <c r="AG312" s="387">
        <f t="shared" si="36"/>
        <v>427992.67</v>
      </c>
      <c r="AH312" s="557"/>
      <c r="AI312" s="387">
        <f>IFERROR(VLOOKUP(A312,'23-24 child count'!$C$4:$Y$317,23,0),0)</f>
        <v>41</v>
      </c>
      <c r="AJ312" s="387">
        <f>VLOOKUP(A312,'23-24 state &amp; local'!$A$5:$D$316,4,0)</f>
        <v>59465.85</v>
      </c>
      <c r="AK312" s="387">
        <f>VLOOKUP(A312,'23-24 state &amp; local'!$A$5:$E$316,5,0)</f>
        <v>400275.71</v>
      </c>
      <c r="AL312" s="387">
        <f t="shared" si="32"/>
        <v>459741.56</v>
      </c>
      <c r="AM312" s="382"/>
    </row>
    <row r="313" spans="1:39" ht="15.75" hidden="1" thickBot="1" x14ac:dyDescent="0.3">
      <c r="A313" s="375" t="s">
        <v>800</v>
      </c>
      <c r="B313" s="375" t="s">
        <v>189</v>
      </c>
      <c r="C313" s="448" t="s">
        <v>801</v>
      </c>
      <c r="E313" s="461">
        <v>46</v>
      </c>
      <c r="F313" s="468">
        <f>IFERROR(VLOOKUP(A313,'2017-18'!$A$6:$F$315,6,0),0)</f>
        <v>59010.43</v>
      </c>
      <c r="G313" s="468">
        <f>IFERROR(VLOOKUP(A313,'2017-18'!$A$6:$D$315,4,0),0)</f>
        <v>347430.85</v>
      </c>
      <c r="H313" s="468">
        <f t="shared" si="33"/>
        <v>406441.27999999997</v>
      </c>
      <c r="I313" s="382"/>
      <c r="J313" s="462">
        <v>48</v>
      </c>
      <c r="K313" s="468">
        <f>IFERROR(VLOOKUP(A313,'2018-19'!$A$6:$F$318,6,0),0)</f>
        <v>57819.4</v>
      </c>
      <c r="L313" s="468">
        <f>IFERROR(VLOOKUP(A313,'2018-19'!$A$6:$D$318,4,0),0)</f>
        <v>483958.16</v>
      </c>
      <c r="M313" s="468">
        <f t="shared" si="34"/>
        <v>541777.55999999994</v>
      </c>
      <c r="N313" s="382"/>
      <c r="O313" s="452">
        <v>55</v>
      </c>
      <c r="P313" s="387">
        <v>138250.09</v>
      </c>
      <c r="Q313" s="387">
        <v>528511.44999999995</v>
      </c>
      <c r="R313" s="387">
        <v>666761.53999999992</v>
      </c>
      <c r="S313" s="382"/>
      <c r="T313" s="375">
        <f>VLOOKUP(A313,'Nov 2020 cc'!$B$3:$D$317,3,0)</f>
        <v>44</v>
      </c>
      <c r="U313" s="387">
        <v>0</v>
      </c>
      <c r="V313" s="387">
        <v>756151.07</v>
      </c>
      <c r="W313" s="387">
        <v>756151.07</v>
      </c>
      <c r="X313" s="382"/>
      <c r="Y313" s="375">
        <v>42</v>
      </c>
      <c r="Z313" s="413">
        <f>VLOOKUP(A313,'2021-22'!$A$6:$D$317,4,0)</f>
        <v>138251.09</v>
      </c>
      <c r="AA313" s="413">
        <f>VLOOKUP(A313,'2021-22'!$A$6:$E$317,5,0)</f>
        <v>497941.78</v>
      </c>
      <c r="AB313" s="387">
        <f t="shared" si="35"/>
        <v>636192.87</v>
      </c>
      <c r="AC313" s="382"/>
      <c r="AD313" s="416">
        <v>45</v>
      </c>
      <c r="AE313" s="413">
        <v>138251.09</v>
      </c>
      <c r="AF313" s="413">
        <v>490145.15</v>
      </c>
      <c r="AG313" s="387">
        <f t="shared" si="36"/>
        <v>628396.24</v>
      </c>
      <c r="AH313" s="557"/>
      <c r="AI313" s="387">
        <f>IFERROR(VLOOKUP(A313,'23-24 child count'!$C$4:$Y$317,23,0),0)</f>
        <v>52</v>
      </c>
      <c r="AJ313" s="387">
        <f>VLOOKUP(A313,'23-24 state &amp; local'!$A$5:$D$316,4,0)</f>
        <v>0</v>
      </c>
      <c r="AK313" s="387">
        <f>VLOOKUP(A313,'23-24 state &amp; local'!$A$5:$E$316,5,0)</f>
        <v>808346.81</v>
      </c>
      <c r="AL313" s="387">
        <f t="shared" si="32"/>
        <v>808346.81</v>
      </c>
      <c r="AM313" s="382"/>
    </row>
    <row r="314" spans="1:39" ht="15.75" hidden="1" thickBot="1" x14ac:dyDescent="0.3">
      <c r="A314" s="598" t="s">
        <v>1426</v>
      </c>
      <c r="B314" s="599"/>
      <c r="C314" s="600" t="s">
        <v>1428</v>
      </c>
      <c r="D314" s="599"/>
      <c r="E314" s="601"/>
      <c r="F314" s="602"/>
      <c r="G314" s="602"/>
      <c r="H314" s="602"/>
      <c r="I314" s="599"/>
      <c r="J314" s="599"/>
      <c r="K314" s="602">
        <f>IFERROR(VLOOKUP(A314,'2018-19'!$A$6:$F$318,6,0),0)</f>
        <v>0</v>
      </c>
      <c r="L314" s="602">
        <f>IFERROR(VLOOKUP(A314,'2018-19'!$A$6:$D$318,4,0),0)</f>
        <v>109555.28</v>
      </c>
      <c r="M314" s="602">
        <f t="shared" si="34"/>
        <v>109555.28</v>
      </c>
      <c r="N314" s="599"/>
      <c r="O314" s="603"/>
      <c r="P314" s="602"/>
      <c r="Q314" s="602"/>
      <c r="R314" s="602"/>
      <c r="S314" s="599"/>
      <c r="T314" s="599">
        <f>VLOOKUP(A314,'Nov 2020 cc'!$B$3:$D$317,3,0)</f>
        <v>17</v>
      </c>
      <c r="U314" s="602"/>
      <c r="V314" s="602"/>
      <c r="W314" s="602"/>
      <c r="X314" s="599"/>
      <c r="Y314" s="599"/>
      <c r="Z314" s="602">
        <v>0</v>
      </c>
      <c r="AA314" s="602">
        <v>0</v>
      </c>
      <c r="AB314" s="602"/>
      <c r="AC314" s="599"/>
      <c r="AD314" s="604"/>
      <c r="AE314" s="602"/>
      <c r="AF314" s="602"/>
      <c r="AG314" s="602"/>
      <c r="AH314" s="605"/>
      <c r="AI314" s="602">
        <f>IFERROR(VLOOKUP(A314,'23-24 child count'!$C$4:$Y$317,23,0),0)</f>
        <v>0</v>
      </c>
      <c r="AJ314" s="602">
        <v>0</v>
      </c>
      <c r="AK314" s="602">
        <v>0</v>
      </c>
      <c r="AL314" s="572">
        <f t="shared" si="32"/>
        <v>0</v>
      </c>
      <c r="AM314" s="599"/>
    </row>
    <row r="315" spans="1:39" ht="15.75" hidden="1" thickBot="1" x14ac:dyDescent="0.3">
      <c r="A315" s="375" t="s">
        <v>802</v>
      </c>
      <c r="B315" s="375" t="s">
        <v>231</v>
      </c>
      <c r="C315" s="448" t="s">
        <v>803</v>
      </c>
      <c r="E315" s="461">
        <v>8</v>
      </c>
      <c r="F315" s="468">
        <f>IFERROR(VLOOKUP(A315,'2017-18'!$A$6:$F$315,6,0),0)</f>
        <v>86515.4</v>
      </c>
      <c r="G315" s="468">
        <f>IFERROR(VLOOKUP(A315,'2017-18'!$A$6:$D$315,4,0),0)</f>
        <v>62040.31</v>
      </c>
      <c r="H315" s="468">
        <f t="shared" si="33"/>
        <v>148555.71</v>
      </c>
      <c r="I315" s="382"/>
      <c r="J315" s="462">
        <v>15</v>
      </c>
      <c r="K315" s="468">
        <f>IFERROR(VLOOKUP(A315,'2018-19'!$A$6:$F$318,6,0),0)</f>
        <v>48917.17</v>
      </c>
      <c r="L315" s="468">
        <f>IFERROR(VLOOKUP(A315,'2018-19'!$A$6:$D$318,4,0),0)</f>
        <v>131663.35</v>
      </c>
      <c r="M315" s="468">
        <f t="shared" si="34"/>
        <v>180580.52000000002</v>
      </c>
      <c r="N315" s="382"/>
      <c r="O315" s="452">
        <v>15</v>
      </c>
      <c r="P315" s="387">
        <v>0</v>
      </c>
      <c r="Q315" s="387">
        <v>143905.16</v>
      </c>
      <c r="R315" s="387">
        <v>143905.16</v>
      </c>
      <c r="S315" s="382"/>
      <c r="T315" s="375">
        <f>VLOOKUP(A315,'Nov 2020 cc'!$B$3:$D$317,3,0)</f>
        <v>17</v>
      </c>
      <c r="U315" s="387">
        <v>51120.51</v>
      </c>
      <c r="V315" s="387">
        <v>172042.33</v>
      </c>
      <c r="W315" s="387">
        <v>223162.84</v>
      </c>
      <c r="X315" s="382"/>
      <c r="Y315" s="375">
        <v>15</v>
      </c>
      <c r="Z315" s="413">
        <f>VLOOKUP(A315,'2021-22'!$A$6:$D$317,4,0)</f>
        <v>39504.22</v>
      </c>
      <c r="AA315" s="413">
        <f>VLOOKUP(A315,'2021-22'!$A$6:$E$317,5,0)</f>
        <v>155425.10999999999</v>
      </c>
      <c r="AB315" s="387">
        <f t="shared" si="35"/>
        <v>194929.33</v>
      </c>
      <c r="AC315" s="382"/>
      <c r="AD315" s="416">
        <v>18</v>
      </c>
      <c r="AE315" s="413">
        <v>73984.990000000005</v>
      </c>
      <c r="AF315" s="413">
        <v>178597.38</v>
      </c>
      <c r="AG315" s="387">
        <f t="shared" si="36"/>
        <v>252582.37</v>
      </c>
      <c r="AH315" s="557"/>
      <c r="AI315" s="387">
        <f>IFERROR(VLOOKUP(A315,'23-24 child count'!$C$4:$Y$317,23,0),0)</f>
        <v>16</v>
      </c>
      <c r="AJ315" s="387">
        <f>VLOOKUP(A315,'23-24 state &amp; local'!$A$5:$D$316,4,0)</f>
        <v>55511.74</v>
      </c>
      <c r="AK315" s="387">
        <f>VLOOKUP(A315,'23-24 state &amp; local'!$A$5:$E$316,5,0)</f>
        <v>207210.51</v>
      </c>
      <c r="AL315" s="387">
        <f t="shared" si="32"/>
        <v>262722.25</v>
      </c>
      <c r="AM315" s="382"/>
    </row>
    <row r="316" spans="1:39" ht="15.75" hidden="1" thickBot="1" x14ac:dyDescent="0.3">
      <c r="A316" s="375" t="s">
        <v>804</v>
      </c>
      <c r="B316" s="375" t="s">
        <v>189</v>
      </c>
      <c r="C316" s="448" t="s">
        <v>805</v>
      </c>
      <c r="E316" s="461">
        <v>145</v>
      </c>
      <c r="F316" s="468">
        <f>IFERROR(VLOOKUP(A316,'2017-18'!$A$6:$F$315,6,0),0)</f>
        <v>0</v>
      </c>
      <c r="G316" s="468">
        <f>IFERROR(VLOOKUP(A316,'2017-18'!$A$6:$D$315,4,0),0)</f>
        <v>1027437.67</v>
      </c>
      <c r="H316" s="468">
        <f t="shared" si="33"/>
        <v>1027437.67</v>
      </c>
      <c r="I316" s="382"/>
      <c r="J316" s="462">
        <v>148</v>
      </c>
      <c r="K316" s="468">
        <f>IFERROR(VLOOKUP(A316,'2018-19'!$A$6:$F$318,6,0),0)</f>
        <v>0</v>
      </c>
      <c r="L316" s="468">
        <f>IFERROR(VLOOKUP(A316,'2018-19'!$A$6:$D$318,4,0),0)</f>
        <v>1140078.18</v>
      </c>
      <c r="M316" s="468">
        <f t="shared" si="34"/>
        <v>1140078.18</v>
      </c>
      <c r="N316" s="382"/>
      <c r="O316" s="452">
        <v>141</v>
      </c>
      <c r="P316" s="387">
        <v>0</v>
      </c>
      <c r="Q316" s="387">
        <v>1515043.31</v>
      </c>
      <c r="R316" s="387">
        <v>1515043.31</v>
      </c>
      <c r="S316" s="382"/>
      <c r="T316" s="375">
        <f>VLOOKUP(A316,'Nov 2020 cc'!$B$3:$D$317,3,0)</f>
        <v>126</v>
      </c>
      <c r="U316" s="387">
        <v>0</v>
      </c>
      <c r="V316" s="387">
        <v>1659079.2</v>
      </c>
      <c r="W316" s="387">
        <v>1659079.2</v>
      </c>
      <c r="X316" s="382"/>
      <c r="Y316" s="375">
        <v>110</v>
      </c>
      <c r="Z316" s="413">
        <f>VLOOKUP(A316,'2021-22'!$A$6:$D$317,4,0)</f>
        <v>0</v>
      </c>
      <c r="AA316" s="413">
        <f>VLOOKUP(A316,'2021-22'!$A$6:$E$317,5,0)</f>
        <v>1575457.8</v>
      </c>
      <c r="AB316" s="387">
        <f t="shared" si="35"/>
        <v>1575457.8</v>
      </c>
      <c r="AC316" s="382"/>
      <c r="AD316" s="416">
        <v>116</v>
      </c>
      <c r="AE316" s="413">
        <v>0</v>
      </c>
      <c r="AF316" s="413">
        <v>1507535.45</v>
      </c>
      <c r="AG316" s="387">
        <f t="shared" si="36"/>
        <v>1507535.45</v>
      </c>
      <c r="AH316" s="557"/>
      <c r="AI316" s="387">
        <f>IFERROR(VLOOKUP(A316,'23-24 child count'!$C$4:$Y$317,23,0),0)</f>
        <v>122</v>
      </c>
      <c r="AJ316" s="387">
        <f>VLOOKUP(A316,'23-24 state &amp; local'!$A$5:$D$316,4,0)</f>
        <v>0</v>
      </c>
      <c r="AK316" s="387">
        <f>VLOOKUP(A316,'23-24 state &amp; local'!$A$5:$E$316,5,0)</f>
        <v>1754895.73</v>
      </c>
      <c r="AL316" s="387">
        <f t="shared" si="32"/>
        <v>1754895.73</v>
      </c>
      <c r="AM316" s="382"/>
    </row>
    <row r="317" spans="1:39" ht="15.75" hidden="1" thickBot="1" x14ac:dyDescent="0.3">
      <c r="A317" s="375" t="s">
        <v>806</v>
      </c>
      <c r="B317" s="375" t="s">
        <v>189</v>
      </c>
      <c r="C317" s="448" t="s">
        <v>807</v>
      </c>
      <c r="E317" s="461">
        <v>18</v>
      </c>
      <c r="F317" s="468">
        <f>IFERROR(VLOOKUP(A317,'2017-18'!$A$6:$F$315,6,0),0)</f>
        <v>0</v>
      </c>
      <c r="G317" s="468">
        <f>IFERROR(VLOOKUP(A317,'2017-18'!$A$6:$D$315,4,0),0)</f>
        <v>129541.37</v>
      </c>
      <c r="H317" s="468">
        <f t="shared" si="33"/>
        <v>129541.37</v>
      </c>
      <c r="I317" s="382"/>
      <c r="J317" s="462">
        <v>12</v>
      </c>
      <c r="K317" s="468">
        <f>IFERROR(VLOOKUP(A317,'2018-19'!$A$6:$F$318,6,0),0)</f>
        <v>0</v>
      </c>
      <c r="L317" s="468">
        <f>IFERROR(VLOOKUP(A317,'2018-19'!$A$6:$D$318,4,0),0)</f>
        <v>122338.64</v>
      </c>
      <c r="M317" s="468">
        <f t="shared" si="34"/>
        <v>122338.64</v>
      </c>
      <c r="N317" s="382"/>
      <c r="O317" s="452">
        <v>27</v>
      </c>
      <c r="P317" s="387">
        <v>0</v>
      </c>
      <c r="Q317" s="387">
        <v>204245.45</v>
      </c>
      <c r="R317" s="387">
        <v>204245.45</v>
      </c>
      <c r="S317" s="382"/>
      <c r="T317" s="375">
        <f>VLOOKUP(A317,'Nov 2020 cc'!$B$3:$D$317,3,0)</f>
        <v>25</v>
      </c>
      <c r="U317" s="387">
        <v>0</v>
      </c>
      <c r="V317" s="387">
        <v>204031.16</v>
      </c>
      <c r="W317" s="387">
        <v>204031.16</v>
      </c>
      <c r="X317" s="382"/>
      <c r="Y317" s="375">
        <v>18</v>
      </c>
      <c r="Z317" s="413">
        <f>VLOOKUP(A317,'2021-22'!$A$6:$D$317,4,0)</f>
        <v>0</v>
      </c>
      <c r="AA317" s="413">
        <f>VLOOKUP(A317,'2021-22'!$A$6:$E$317,5,0)</f>
        <v>230823.85</v>
      </c>
      <c r="AB317" s="387">
        <f t="shared" ref="AB317:AB324" si="37">Z317+AA317</f>
        <v>230823.85</v>
      </c>
      <c r="AC317" s="382"/>
      <c r="AD317" s="416">
        <v>22</v>
      </c>
      <c r="AE317" s="413">
        <v>0</v>
      </c>
      <c r="AF317" s="413">
        <v>219897.42</v>
      </c>
      <c r="AG317" s="387">
        <f t="shared" ref="AG317:AG324" si="38">AE317+AF317</f>
        <v>219897.42</v>
      </c>
      <c r="AH317" s="557"/>
      <c r="AI317" s="387">
        <f>IFERROR(VLOOKUP(A317,'23-24 child count'!$C$4:$Y$317,23,0),0)</f>
        <v>21</v>
      </c>
      <c r="AJ317" s="387">
        <f>VLOOKUP(A317,'23-24 state &amp; local'!$A$5:$D$316,4,0)</f>
        <v>0</v>
      </c>
      <c r="AK317" s="387">
        <f>VLOOKUP(A317,'23-24 state &amp; local'!$A$5:$E$316,5,0)</f>
        <v>264456.58</v>
      </c>
      <c r="AL317" s="387">
        <f t="shared" si="32"/>
        <v>264456.58</v>
      </c>
      <c r="AM317" s="382"/>
    </row>
    <row r="318" spans="1:39" ht="15.75" hidden="1" thickBot="1" x14ac:dyDescent="0.3">
      <c r="A318" s="599" t="s">
        <v>651</v>
      </c>
      <c r="B318" s="599" t="s">
        <v>210</v>
      </c>
      <c r="C318" s="600" t="s">
        <v>652</v>
      </c>
      <c r="D318" s="599"/>
      <c r="E318" s="601"/>
      <c r="F318" s="602"/>
      <c r="G318" s="602"/>
      <c r="H318" s="602"/>
      <c r="I318" s="599"/>
      <c r="J318" s="599"/>
      <c r="K318" s="602"/>
      <c r="L318" s="602"/>
      <c r="M318" s="602"/>
      <c r="N318" s="599"/>
      <c r="O318" s="603"/>
      <c r="P318" s="602"/>
      <c r="Q318" s="602"/>
      <c r="R318" s="602"/>
      <c r="S318" s="599"/>
      <c r="T318" s="599"/>
      <c r="U318" s="602"/>
      <c r="V318" s="602"/>
      <c r="W318" s="602"/>
      <c r="X318" s="599"/>
      <c r="Y318" s="599"/>
      <c r="Z318" s="602"/>
      <c r="AA318" s="602"/>
      <c r="AB318" s="602"/>
      <c r="AC318" s="599"/>
      <c r="AD318" s="604"/>
      <c r="AE318" s="602"/>
      <c r="AF318" s="602"/>
      <c r="AG318" s="602"/>
      <c r="AH318" s="605"/>
      <c r="AI318" s="602"/>
      <c r="AJ318" s="602">
        <v>0</v>
      </c>
      <c r="AK318" s="602">
        <v>0</v>
      </c>
      <c r="AL318" s="572">
        <f t="shared" si="32"/>
        <v>0</v>
      </c>
      <c r="AM318" s="599"/>
    </row>
    <row r="319" spans="1:39" ht="15.75" hidden="1" thickBot="1" x14ac:dyDescent="0.3">
      <c r="A319" s="599" t="s">
        <v>653</v>
      </c>
      <c r="B319" s="599" t="s">
        <v>210</v>
      </c>
      <c r="C319" s="600" t="s">
        <v>654</v>
      </c>
      <c r="D319" s="599"/>
      <c r="E319" s="601"/>
      <c r="F319" s="602"/>
      <c r="G319" s="602"/>
      <c r="H319" s="602"/>
      <c r="I319" s="599"/>
      <c r="J319" s="599"/>
      <c r="K319" s="602"/>
      <c r="L319" s="602"/>
      <c r="M319" s="602"/>
      <c r="N319" s="599"/>
      <c r="O319" s="603"/>
      <c r="P319" s="602"/>
      <c r="Q319" s="602"/>
      <c r="R319" s="602"/>
      <c r="S319" s="599"/>
      <c r="T319" s="599"/>
      <c r="U319" s="602"/>
      <c r="V319" s="602"/>
      <c r="W319" s="602"/>
      <c r="X319" s="599"/>
      <c r="Y319" s="599"/>
      <c r="Z319" s="602"/>
      <c r="AA319" s="602"/>
      <c r="AB319" s="602"/>
      <c r="AC319" s="599"/>
      <c r="AD319" s="604"/>
      <c r="AE319" s="602"/>
      <c r="AF319" s="602"/>
      <c r="AG319" s="602"/>
      <c r="AH319" s="605"/>
      <c r="AI319" s="602"/>
      <c r="AJ319" s="602">
        <v>0</v>
      </c>
      <c r="AK319" s="602">
        <v>0</v>
      </c>
      <c r="AL319" s="572">
        <f t="shared" si="32"/>
        <v>0</v>
      </c>
      <c r="AM319" s="599"/>
    </row>
    <row r="320" spans="1:39" ht="15.75" hidden="1" thickBot="1" x14ac:dyDescent="0.3">
      <c r="A320" s="375" t="s">
        <v>808</v>
      </c>
      <c r="B320" s="375" t="s">
        <v>210</v>
      </c>
      <c r="C320" s="448" t="s">
        <v>809</v>
      </c>
      <c r="D320" s="375" t="s">
        <v>819</v>
      </c>
      <c r="E320" s="461">
        <v>9</v>
      </c>
      <c r="F320" s="468">
        <f>IFERROR(VLOOKUP(A320,'2017-18'!$A$6:$F$315,6,0),0)</f>
        <v>0</v>
      </c>
      <c r="G320" s="468">
        <f>IFERROR(VLOOKUP(A320,'2017-18'!$A$6:$D$315,4,0),0)</f>
        <v>74590.100000000006</v>
      </c>
      <c r="H320" s="468">
        <f t="shared" si="33"/>
        <v>74590.100000000006</v>
      </c>
      <c r="I320" s="382"/>
      <c r="J320" s="462">
        <v>11</v>
      </c>
      <c r="K320" s="468">
        <f>IFERROR(VLOOKUP(A320,'2018-19'!$A$6:$F$318,6,0),0)</f>
        <v>0</v>
      </c>
      <c r="L320" s="468">
        <f>IFERROR(VLOOKUP(A320,'2018-19'!$A$6:$D$318,4,0),0)</f>
        <v>96369.81</v>
      </c>
      <c r="M320" s="468">
        <f t="shared" si="34"/>
        <v>96369.81</v>
      </c>
      <c r="N320" s="382"/>
      <c r="O320" s="452">
        <v>10</v>
      </c>
      <c r="P320" s="387">
        <v>0</v>
      </c>
      <c r="Q320" s="387">
        <v>85680.07</v>
      </c>
      <c r="R320" s="387">
        <v>85680.07</v>
      </c>
      <c r="S320" s="382"/>
      <c r="T320" s="375">
        <f>VLOOKUP(A320,'Nov 2020 cc'!$B$3:$D$317,3,0)</f>
        <v>7</v>
      </c>
      <c r="U320" s="387">
        <v>0</v>
      </c>
      <c r="V320" s="387">
        <v>78424.41</v>
      </c>
      <c r="W320" s="387">
        <v>78424.41</v>
      </c>
      <c r="X320" s="382"/>
      <c r="Y320" s="375">
        <v>7</v>
      </c>
      <c r="Z320" s="413">
        <f>VLOOKUP(A320,'2021-22'!$A$6:$D$317,4,0)</f>
        <v>0</v>
      </c>
      <c r="AA320" s="413">
        <f>VLOOKUP(A320,'2021-22'!$A$6:$E$317,5,0)</f>
        <v>53332.76</v>
      </c>
      <c r="AB320" s="387">
        <f t="shared" si="37"/>
        <v>53332.76</v>
      </c>
      <c r="AC320" s="382"/>
      <c r="AD320" s="416">
        <v>5</v>
      </c>
      <c r="AE320" s="413">
        <v>0</v>
      </c>
      <c r="AF320" s="413">
        <v>79462.36</v>
      </c>
      <c r="AG320" s="387">
        <f t="shared" si="38"/>
        <v>79462.36</v>
      </c>
      <c r="AH320" s="557"/>
      <c r="AI320" s="387">
        <f>IFERROR(VLOOKUP(A320,'23-24 child count'!$C$4:$Y$317,23,0),0)</f>
        <v>14</v>
      </c>
      <c r="AJ320" s="387">
        <f>VLOOKUP(A320,'23-24 state &amp; local'!$A$5:$D$316,4,0)</f>
        <v>0</v>
      </c>
      <c r="AK320" s="387">
        <f>VLOOKUP(A320,'23-24 state &amp; local'!$A$5:$E$316,5,0)</f>
        <v>191459.61</v>
      </c>
      <c r="AL320" s="387">
        <f t="shared" si="32"/>
        <v>191459.61</v>
      </c>
      <c r="AM320" s="382"/>
    </row>
    <row r="321" spans="1:39" ht="15.75" hidden="1" thickBot="1" x14ac:dyDescent="0.3">
      <c r="A321" s="375" t="s">
        <v>810</v>
      </c>
      <c r="B321" s="375" t="s">
        <v>210</v>
      </c>
      <c r="C321" s="448" t="s">
        <v>811</v>
      </c>
      <c r="E321" s="461">
        <v>297</v>
      </c>
      <c r="F321" s="468">
        <f>IFERROR(VLOOKUP(A321,'2017-18'!$A$6:$F$315,6,0),0)</f>
        <v>517456.42</v>
      </c>
      <c r="G321" s="468">
        <f>IFERROR(VLOOKUP(A321,'2017-18'!$A$6:$D$315,4,0),0)</f>
        <v>3037763.51</v>
      </c>
      <c r="H321" s="468">
        <f t="shared" si="33"/>
        <v>3555219.9299999997</v>
      </c>
      <c r="I321" s="382"/>
      <c r="J321" s="462">
        <v>322</v>
      </c>
      <c r="K321" s="468">
        <f>IFERROR(VLOOKUP(A321,'2018-19'!$A$6:$F$318,6,0),0)</f>
        <v>384770.06</v>
      </c>
      <c r="L321" s="468">
        <f>IFERROR(VLOOKUP(A321,'2018-19'!$A$6:$D$318,4,0),0)</f>
        <v>3627941.58</v>
      </c>
      <c r="M321" s="468">
        <f t="shared" si="34"/>
        <v>4012711.64</v>
      </c>
      <c r="N321" s="382"/>
      <c r="O321" s="452">
        <v>322</v>
      </c>
      <c r="P321" s="387">
        <v>330987.96000000002</v>
      </c>
      <c r="Q321" s="387">
        <v>4056485</v>
      </c>
      <c r="R321" s="387">
        <v>4387472.96</v>
      </c>
      <c r="S321" s="382"/>
      <c r="T321" s="375">
        <f>VLOOKUP(A321,'Nov 2020 cc'!$B$3:$D$317,3,0)</f>
        <v>315</v>
      </c>
      <c r="U321" s="387">
        <v>371213.6</v>
      </c>
      <c r="V321" s="387">
        <v>4368486</v>
      </c>
      <c r="W321" s="387">
        <v>4739699.5999999996</v>
      </c>
      <c r="X321" s="382"/>
      <c r="Y321" s="375">
        <v>337</v>
      </c>
      <c r="Z321" s="413">
        <f>VLOOKUP(A321,'2021-22'!$A$6:$D$317,4,0)</f>
        <v>373565.69</v>
      </c>
      <c r="AA321" s="413">
        <f>VLOOKUP(A321,'2021-22'!$A$6:$E$317,5,0)</f>
        <v>3599658.08</v>
      </c>
      <c r="AB321" s="387">
        <f t="shared" si="37"/>
        <v>3973223.77</v>
      </c>
      <c r="AC321" s="382"/>
      <c r="AD321" s="416">
        <v>348</v>
      </c>
      <c r="AE321" s="413">
        <v>550882.63</v>
      </c>
      <c r="AF321" s="413">
        <v>4999171.68</v>
      </c>
      <c r="AG321" s="387">
        <f t="shared" si="38"/>
        <v>5550054.3099999996</v>
      </c>
      <c r="AH321" s="557"/>
      <c r="AI321" s="387">
        <f>IFERROR(VLOOKUP(A321,'23-24 child count'!$C$4:$Y$317,23,0),0)</f>
        <v>381</v>
      </c>
      <c r="AJ321" s="387">
        <f>VLOOKUP(A321,'23-24 state &amp; local'!$A$5:$D$316,4,0)</f>
        <v>289802.27</v>
      </c>
      <c r="AK321" s="387">
        <f>VLOOKUP(A321,'23-24 state &amp; local'!$A$5:$E$316,5,0)</f>
        <v>5573461</v>
      </c>
      <c r="AL321" s="387">
        <f t="shared" si="32"/>
        <v>5863263.2699999996</v>
      </c>
      <c r="AM321" s="382"/>
    </row>
    <row r="322" spans="1:39" ht="15.75" hidden="1" thickBot="1" x14ac:dyDescent="0.3">
      <c r="A322" s="375" t="s">
        <v>812</v>
      </c>
      <c r="B322" s="375" t="s">
        <v>221</v>
      </c>
      <c r="C322" s="448" t="s">
        <v>813</v>
      </c>
      <c r="E322" s="461">
        <v>2141</v>
      </c>
      <c r="F322" s="468">
        <f>IFERROR(VLOOKUP(A322,'2017-18'!$A$6:$F$315,6,0),0)</f>
        <v>1048009</v>
      </c>
      <c r="G322" s="468">
        <f>IFERROR(VLOOKUP(A322,'2017-18'!$A$6:$D$315,4,0),0)</f>
        <v>23328850.719999999</v>
      </c>
      <c r="H322" s="468">
        <f t="shared" si="33"/>
        <v>24376859.719999999</v>
      </c>
      <c r="I322" s="382"/>
      <c r="J322" s="462">
        <v>2033</v>
      </c>
      <c r="K322" s="468">
        <f>IFERROR(VLOOKUP(A322,'2018-19'!$A$6:$F$318,6,0),0)</f>
        <v>5299720.8499999996</v>
      </c>
      <c r="L322" s="468">
        <f>IFERROR(VLOOKUP(A322,'2018-19'!$A$6:$D$318,4,0),0)</f>
        <v>22149581.870000001</v>
      </c>
      <c r="M322" s="468">
        <f t="shared" si="34"/>
        <v>27449302.719999999</v>
      </c>
      <c r="N322" s="382"/>
      <c r="O322" s="452">
        <v>2241</v>
      </c>
      <c r="P322" s="387">
        <v>6102056.54</v>
      </c>
      <c r="Q322" s="387">
        <v>22926981.940000001</v>
      </c>
      <c r="R322" s="387">
        <v>29029038.48</v>
      </c>
      <c r="S322" s="382"/>
      <c r="T322" s="375">
        <f>VLOOKUP(A322,'Nov 2020 cc'!$B$3:$D$317,3,0)</f>
        <v>2159</v>
      </c>
      <c r="U322" s="387">
        <v>7061921.29</v>
      </c>
      <c r="V322" s="387">
        <v>22550013</v>
      </c>
      <c r="W322" s="387">
        <v>29611934.289999999</v>
      </c>
      <c r="X322" s="382"/>
      <c r="Y322" s="375">
        <v>2219</v>
      </c>
      <c r="Z322" s="413">
        <f>VLOOKUP(A322,'2021-22'!$A$6:$D$317,4,0)</f>
        <v>5221918.3</v>
      </c>
      <c r="AA322" s="413">
        <f>VLOOKUP(A322,'2021-22'!$A$6:$E$317,5,0)</f>
        <v>27070471.640000001</v>
      </c>
      <c r="AB322" s="387">
        <f t="shared" si="37"/>
        <v>32292389.940000001</v>
      </c>
      <c r="AC322" s="382"/>
      <c r="AD322" s="416">
        <v>2229</v>
      </c>
      <c r="AE322" s="413">
        <v>5221919.3</v>
      </c>
      <c r="AF322" s="413">
        <v>32066142.920000002</v>
      </c>
      <c r="AG322" s="387">
        <f t="shared" si="38"/>
        <v>37288062.219999999</v>
      </c>
      <c r="AH322" s="557"/>
      <c r="AI322" s="387">
        <f>IFERROR(VLOOKUP(A322,'23-24 child count'!$C$4:$Y$317,23,0),0)</f>
        <v>2376</v>
      </c>
      <c r="AJ322" s="387">
        <f>VLOOKUP(A322,'23-24 state &amp; local'!$A$5:$D$316,4,0)</f>
        <v>5222419.3</v>
      </c>
      <c r="AK322" s="387">
        <f>VLOOKUP(A322,'23-24 state &amp; local'!$A$5:$E$316,5,0)</f>
        <v>33015324.789999999</v>
      </c>
      <c r="AL322" s="387">
        <f t="shared" si="32"/>
        <v>38237744.089999996</v>
      </c>
      <c r="AM322" s="382"/>
    </row>
    <row r="323" spans="1:39" ht="15.75" hidden="1" thickBot="1" x14ac:dyDescent="0.3">
      <c r="A323" s="375" t="s">
        <v>814</v>
      </c>
      <c r="B323" s="375" t="s">
        <v>189</v>
      </c>
      <c r="C323" s="448" t="s">
        <v>815</v>
      </c>
      <c r="E323" s="461">
        <v>754</v>
      </c>
      <c r="F323" s="468">
        <f>IFERROR(VLOOKUP(A323,'2017-18'!$A$6:$F$315,6,0),0)</f>
        <v>539795.36</v>
      </c>
      <c r="G323" s="468">
        <f>IFERROR(VLOOKUP(A323,'2017-18'!$A$6:$D$315,4,0),0)</f>
        <v>7188679.3399999999</v>
      </c>
      <c r="H323" s="468">
        <f t="shared" si="33"/>
        <v>7728474.7000000002</v>
      </c>
      <c r="I323" s="382"/>
      <c r="J323" s="462">
        <v>794</v>
      </c>
      <c r="K323" s="468">
        <f>IFERROR(VLOOKUP(A323,'2018-19'!$A$6:$F$318,6,0),0)</f>
        <v>1074760</v>
      </c>
      <c r="L323" s="468">
        <f>IFERROR(VLOOKUP(A323,'2018-19'!$A$6:$D$318,4,0),0)</f>
        <v>8030414.8099999996</v>
      </c>
      <c r="M323" s="468">
        <f t="shared" si="34"/>
        <v>9105174.8099999987</v>
      </c>
      <c r="N323" s="382"/>
      <c r="O323" s="452">
        <v>840</v>
      </c>
      <c r="P323" s="387">
        <v>1412356.11</v>
      </c>
      <c r="Q323" s="387">
        <v>9150030.0099999998</v>
      </c>
      <c r="R323" s="387">
        <v>10562386.119999999</v>
      </c>
      <c r="S323" s="382"/>
      <c r="T323" s="375">
        <f>VLOOKUP(A323,'Nov 2020 cc'!$B$3:$D$317,3,0)</f>
        <v>816</v>
      </c>
      <c r="U323" s="387">
        <v>2326820.2799999998</v>
      </c>
      <c r="V323" s="387">
        <v>9392760.0399999991</v>
      </c>
      <c r="W323" s="387">
        <v>11719580.319999998</v>
      </c>
      <c r="X323" s="382"/>
      <c r="Y323" s="375">
        <v>788</v>
      </c>
      <c r="Z323" s="413">
        <f>VLOOKUP(A323,'2021-22'!$A$6:$D$317,4,0)</f>
        <v>2318718.5099999998</v>
      </c>
      <c r="AA323" s="413">
        <f>VLOOKUP(A323,'2021-22'!$A$6:$E$317,5,0)</f>
        <v>9615772.0399999991</v>
      </c>
      <c r="AB323" s="387">
        <f t="shared" si="37"/>
        <v>11934490.549999999</v>
      </c>
      <c r="AC323" s="382"/>
      <c r="AD323" s="416">
        <v>833</v>
      </c>
      <c r="AE323" s="413">
        <v>2319000</v>
      </c>
      <c r="AF323" s="413">
        <v>11829705.310000001</v>
      </c>
      <c r="AG323" s="387">
        <f t="shared" si="38"/>
        <v>14148705.310000001</v>
      </c>
      <c r="AH323" s="557"/>
      <c r="AI323" s="387">
        <f>IFERROR(VLOOKUP(A323,'23-24 child count'!$C$4:$Y$317,23,0),0)</f>
        <v>923</v>
      </c>
      <c r="AJ323" s="387">
        <f>VLOOKUP(A323,'23-24 state &amp; local'!$A$5:$D$316,4,0)</f>
        <v>1538316.24</v>
      </c>
      <c r="AK323" s="387">
        <f>VLOOKUP(A323,'23-24 state &amp; local'!$A$5:$E$316,5,0)</f>
        <v>14230822.619999999</v>
      </c>
      <c r="AL323" s="387">
        <f t="shared" si="32"/>
        <v>15769138.859999999</v>
      </c>
      <c r="AM323" s="382"/>
    </row>
    <row r="324" spans="1:39" ht="15.75" hidden="1" thickBot="1" x14ac:dyDescent="0.3">
      <c r="A324" s="395" t="s">
        <v>816</v>
      </c>
      <c r="B324" s="395" t="s">
        <v>221</v>
      </c>
      <c r="C324" s="450" t="s">
        <v>817</v>
      </c>
      <c r="D324" s="395"/>
      <c r="E324" s="463">
        <v>112</v>
      </c>
      <c r="F324" s="469">
        <f>IFERROR(VLOOKUP(A324,'2017-18'!$A$6:$F$315,6,0),0)</f>
        <v>0</v>
      </c>
      <c r="G324" s="469">
        <f>IFERROR(VLOOKUP(A324,'2017-18'!$A$6:$D$315,4,0),0)</f>
        <v>1100183.71</v>
      </c>
      <c r="H324" s="469">
        <f t="shared" si="33"/>
        <v>1100183.71</v>
      </c>
      <c r="I324" s="396"/>
      <c r="J324" s="464">
        <v>147</v>
      </c>
      <c r="K324" s="469">
        <f>IFERROR(VLOOKUP(A324,'2018-19'!$A$6:$F$318,6,0),0)</f>
        <v>0</v>
      </c>
      <c r="L324" s="469">
        <f>IFERROR(VLOOKUP(A324,'2018-19'!$A$6:$D$318,4,0),0)</f>
        <v>1367216.16</v>
      </c>
      <c r="M324" s="469">
        <f t="shared" si="34"/>
        <v>1367216.16</v>
      </c>
      <c r="N324" s="396"/>
      <c r="O324" s="454">
        <v>149</v>
      </c>
      <c r="P324" s="397">
        <v>0</v>
      </c>
      <c r="Q324" s="397">
        <v>1423862.59</v>
      </c>
      <c r="R324" s="397">
        <v>1423862.59</v>
      </c>
      <c r="S324" s="396"/>
      <c r="T324" s="375">
        <f>VLOOKUP(A324,'Nov 2020 cc'!$B$3:$D$317,3,0)</f>
        <v>147</v>
      </c>
      <c r="U324" s="397">
        <v>0</v>
      </c>
      <c r="V324" s="397">
        <v>1429921.39</v>
      </c>
      <c r="W324" s="397">
        <v>1429921.39</v>
      </c>
      <c r="X324" s="396"/>
      <c r="Y324" s="395">
        <v>134</v>
      </c>
      <c r="Z324" s="414">
        <f>VLOOKUP(A324,'2021-22'!$A$6:$D$317,4,0)</f>
        <v>0</v>
      </c>
      <c r="AA324" s="414">
        <f>VLOOKUP(A324,'2021-22'!$A$6:$E$317,5,0)</f>
        <v>1335765.49</v>
      </c>
      <c r="AB324" s="397">
        <f t="shared" si="37"/>
        <v>1335765.49</v>
      </c>
      <c r="AC324" s="396"/>
      <c r="AD324" s="419">
        <v>157</v>
      </c>
      <c r="AE324" s="414">
        <v>0</v>
      </c>
      <c r="AF324" s="414">
        <v>1696580.64</v>
      </c>
      <c r="AG324" s="397">
        <f t="shared" si="38"/>
        <v>1696580.64</v>
      </c>
      <c r="AH324" s="559"/>
      <c r="AI324" s="397">
        <f>IFERROR(VLOOKUP(A324,'23-24 child count'!$C$4:$Y$317,23,0),0)</f>
        <v>166</v>
      </c>
      <c r="AJ324" s="397">
        <f>VLOOKUP(A324,'23-24 state &amp; local'!$A$5:$D$316,4,0)</f>
        <v>0</v>
      </c>
      <c r="AK324" s="397">
        <f>VLOOKUP(A324,'23-24 state &amp; local'!$A$5:$E$316,5,0)</f>
        <v>1753449.67</v>
      </c>
      <c r="AL324" s="397">
        <f t="shared" si="32"/>
        <v>1753449.67</v>
      </c>
      <c r="AM324" s="396"/>
    </row>
    <row r="325" spans="1:39" s="429" customFormat="1" ht="12.75" thickTop="1" x14ac:dyDescent="0.2">
      <c r="A325" s="426"/>
      <c r="B325" s="426"/>
      <c r="C325" s="427" t="s">
        <v>1260</v>
      </c>
      <c r="D325" s="426"/>
      <c r="E325" s="428">
        <f>SUM(E4:E324)</f>
        <v>144765</v>
      </c>
      <c r="F325" s="384">
        <f>SUM(F4:F324)</f>
        <v>234907183.67000002</v>
      </c>
      <c r="G325" s="384">
        <f>SUM(G4:G324)</f>
        <v>1373252780.2299998</v>
      </c>
      <c r="H325" s="384">
        <f>SUM(H4:H324)</f>
        <v>1608159963.9000006</v>
      </c>
      <c r="I325" s="430"/>
      <c r="J325" s="428">
        <f>SUM(J4:J324)</f>
        <v>148856</v>
      </c>
      <c r="K325" s="384">
        <f>SUM(K4:K324)</f>
        <v>225253156.06999996</v>
      </c>
      <c r="L325" s="384">
        <f>SUM(L4:L324)</f>
        <v>1662668670.8100021</v>
      </c>
      <c r="M325" s="384">
        <f>SUM(M4:M324)</f>
        <v>1887921826.8800013</v>
      </c>
      <c r="N325" s="430"/>
      <c r="O325" s="455">
        <f>SUM(O4:O324)</f>
        <v>152340</v>
      </c>
      <c r="P325" s="384">
        <f>SUM(P4:P324)</f>
        <v>241959784.20000008</v>
      </c>
      <c r="Q325" s="384">
        <f>SUM(Q4:Q324)</f>
        <v>1831429715.6699984</v>
      </c>
      <c r="R325" s="384">
        <f>SUM(R4:R324)</f>
        <v>2073389499.8699973</v>
      </c>
      <c r="S325" s="430"/>
      <c r="T325" s="455">
        <f>SUBTOTAL(9,T4:T324)</f>
        <v>7329</v>
      </c>
      <c r="U325" s="384">
        <f>SUBTOTAL(9,U4:U324)</f>
        <v>78381326.969999999</v>
      </c>
      <c r="V325" s="384">
        <f>SUBTOTAL(9,V4:V324)</f>
        <v>94735663.989999995</v>
      </c>
      <c r="W325" s="384">
        <f>SUBTOTAL(9,W4:W324)</f>
        <v>173116990.95999998</v>
      </c>
      <c r="X325" s="430"/>
      <c r="Y325" s="428">
        <f>SUBTOTAL(9,Y4:Y324)</f>
        <v>7099</v>
      </c>
      <c r="Z325" s="384">
        <f>SUM(Z4:Z324)</f>
        <v>342204011.53999996</v>
      </c>
      <c r="AA325" s="384">
        <f>SUBTOTAL(9,AA4:AA324)</f>
        <v>95826689.569999993</v>
      </c>
      <c r="AB325" s="384">
        <f>SUBTOTAL(9,AB4:AB324)</f>
        <v>174040460.33999997</v>
      </c>
      <c r="AC325" s="430"/>
      <c r="AD325" s="455">
        <f>SUBTOTAL(9,AD4:AD324)</f>
        <v>7433</v>
      </c>
      <c r="AE325" s="428">
        <f>SUBTOTAL(9,AE4:AE324)</f>
        <v>41052490.939999998</v>
      </c>
      <c r="AF325" s="428">
        <f>SUBTOTAL(9,AF4:AF324)</f>
        <v>154193463.15000001</v>
      </c>
      <c r="AG325" s="428">
        <f>SUBTOTAL(9,AG4:AG324)</f>
        <v>195245954.09</v>
      </c>
      <c r="AH325" s="570"/>
      <c r="AI325" s="455">
        <f>SUBTOTAL(9,$AI$4:$AI$324)</f>
        <v>7957</v>
      </c>
      <c r="AJ325" s="428">
        <f t="shared" ref="AJ325:AL325" si="39">SUBTOTAL(9,AJ4:AJ324)</f>
        <v>91383948.079999998</v>
      </c>
      <c r="AK325" s="428">
        <f>SUM(9,AK4:AK324)</f>
        <v>2411306380.0299988</v>
      </c>
      <c r="AL325" s="428">
        <f t="shared" si="39"/>
        <v>229050970.02999997</v>
      </c>
      <c r="AM325" s="558"/>
    </row>
    <row r="326" spans="1:39" s="384" customFormat="1" x14ac:dyDescent="0.2">
      <c r="A326" s="375"/>
      <c r="B326" s="375"/>
      <c r="C326" s="375"/>
      <c r="D326" s="375"/>
      <c r="E326" s="376"/>
      <c r="F326" s="387"/>
      <c r="G326" s="387"/>
      <c r="H326" s="387"/>
      <c r="I326" s="375"/>
      <c r="J326" s="375"/>
      <c r="K326" s="387"/>
      <c r="L326" s="387"/>
      <c r="M326" s="387"/>
      <c r="N326" s="375"/>
      <c r="O326" s="452"/>
      <c r="P326" s="387"/>
      <c r="Q326" s="387"/>
      <c r="R326" s="387"/>
      <c r="S326" s="375"/>
      <c r="T326" s="375"/>
      <c r="U326" s="387"/>
      <c r="V326" s="387"/>
      <c r="W326" s="387"/>
      <c r="X326" s="375"/>
      <c r="Y326" s="375"/>
      <c r="Z326" s="387"/>
      <c r="AA326" s="387"/>
      <c r="AB326" s="387"/>
      <c r="AC326" s="375"/>
      <c r="AD326" s="375"/>
      <c r="AE326" s="398"/>
      <c r="AF326" s="398"/>
      <c r="AG326" s="398"/>
    </row>
  </sheetData>
  <autoFilter ref="A2:AG324" xr:uid="{00000000-0001-0000-2B00-000000000000}">
    <filterColumn colId="2">
      <filters>
        <filter val="SEATTLE"/>
      </filters>
    </filterColumn>
  </autoFilter>
  <sortState xmlns:xlrd2="http://schemas.microsoft.com/office/spreadsheetml/2017/richdata2" ref="A4:AG324">
    <sortCondition ref="C4:C324"/>
  </sortState>
  <pageMargins left="0.7" right="0.7" top="0.75" bottom="0.75" header="0.3" footer="0.3"/>
  <pageSetup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69DC-1B6F-4317-A13F-8D337FA3C762}">
  <dimension ref="A1:XFD1396"/>
  <sheetViews>
    <sheetView zoomScale="85" zoomScaleNormal="85" workbookViewId="0">
      <pane xSplit="3" ySplit="4" topLeftCell="BB5" activePane="bottomRight" state="frozen"/>
      <selection activeCell="BJ9" sqref="BJ9"/>
      <selection pane="topRight" activeCell="BJ9" sqref="BJ9"/>
      <selection pane="bottomLeft" activeCell="BJ9" sqref="BJ9"/>
      <selection pane="bottomRight" activeCell="BJ9" sqref="BJ9"/>
    </sheetView>
  </sheetViews>
  <sheetFormatPr defaultColWidth="8.85546875" defaultRowHeight="15" x14ac:dyDescent="0.25"/>
  <cols>
    <col min="1" max="1" width="7.140625" style="343" bestFit="1" customWidth="1"/>
    <col min="2" max="2" width="27.28515625" style="510" customWidth="1"/>
    <col min="3" max="3" width="3.140625" style="343" hidden="1" customWidth="1"/>
    <col min="4" max="4" width="18.5703125" style="436" hidden="1" customWidth="1"/>
    <col min="5" max="5" width="17.42578125" style="343" hidden="1" customWidth="1"/>
    <col min="6" max="6" width="3.140625" style="343" hidden="1" customWidth="1"/>
    <col min="7" max="7" width="22.140625" style="436" hidden="1" customWidth="1"/>
    <col min="8" max="8" width="16.140625" style="343" hidden="1" customWidth="1"/>
    <col min="9" max="9" width="3.140625" style="343" hidden="1" customWidth="1"/>
    <col min="10" max="10" width="16.140625" style="436" hidden="1" customWidth="1"/>
    <col min="11" max="11" width="19.42578125" style="343" hidden="1" customWidth="1"/>
    <col min="12" max="12" width="6" style="343" hidden="1" customWidth="1"/>
    <col min="13" max="13" width="18.5703125" style="436" hidden="1" customWidth="1"/>
    <col min="14" max="14" width="15" style="343" hidden="1" customWidth="1"/>
    <col min="15" max="15" width="5.28515625" style="343" hidden="1" customWidth="1"/>
    <col min="16" max="16" width="24.85546875" style="343" hidden="1" customWidth="1"/>
    <col min="17" max="17" width="5.28515625" style="343" hidden="1" customWidth="1"/>
    <col min="18" max="18" width="18.5703125" style="509" hidden="1" customWidth="1"/>
    <col min="19" max="19" width="17" style="513" hidden="1" customWidth="1"/>
    <col min="20" max="20" width="6.28515625" style="511" hidden="1" customWidth="1"/>
    <col min="21" max="21" width="16.7109375" style="509" hidden="1" customWidth="1"/>
    <col min="22" max="22" width="19.140625" style="513" hidden="1" customWidth="1"/>
    <col min="23" max="23" width="6.140625" style="511" hidden="1" customWidth="1"/>
    <col min="24" max="24" width="13.140625" style="509" hidden="1" customWidth="1"/>
    <col min="25" max="25" width="15.28515625" style="513" hidden="1" customWidth="1"/>
    <col min="26" max="26" width="3.140625" style="511" hidden="1" customWidth="1"/>
    <col min="27" max="27" width="18" style="509" hidden="1" customWidth="1"/>
    <col min="28" max="28" width="18.85546875" style="513" hidden="1" customWidth="1"/>
    <col min="29" max="29" width="5.28515625" style="511" hidden="1" customWidth="1"/>
    <col min="30" max="30" width="22.85546875" style="343" hidden="1" customWidth="1"/>
    <col min="31" max="31" width="4.7109375" style="511" hidden="1" customWidth="1"/>
    <col min="32" max="32" width="18.5703125" style="509" hidden="1" customWidth="1"/>
    <col min="33" max="33" width="17" style="513" hidden="1" customWidth="1"/>
    <col min="34" max="34" width="6.42578125" style="511" hidden="1" customWidth="1"/>
    <col min="35" max="35" width="19.140625" style="509" hidden="1" customWidth="1"/>
    <col min="36" max="36" width="19.140625" style="513" hidden="1" customWidth="1"/>
    <col min="37" max="37" width="5.42578125" style="511" hidden="1" customWidth="1"/>
    <col min="38" max="38" width="20" style="509" hidden="1" customWidth="1"/>
    <col min="39" max="39" width="15.28515625" style="513" hidden="1" customWidth="1"/>
    <col min="40" max="40" width="4.85546875" style="511" hidden="1" customWidth="1"/>
    <col min="41" max="41" width="20.28515625" style="509" hidden="1" customWidth="1"/>
    <col min="42" max="42" width="18.85546875" style="513" hidden="1" customWidth="1"/>
    <col min="43" max="43" width="5.28515625" style="511" hidden="1" customWidth="1"/>
    <col min="44" max="44" width="19.42578125" style="515" hidden="1" customWidth="1"/>
    <col min="45" max="45" width="4.42578125" style="511" hidden="1" customWidth="1"/>
    <col min="46" max="46" width="16.5703125" style="509" customWidth="1"/>
    <col min="47" max="47" width="15.7109375" style="513" customWidth="1"/>
    <col min="48" max="48" width="6.42578125" style="511" customWidth="1"/>
    <col min="49" max="49" width="16.7109375" style="509" customWidth="1"/>
    <col min="50" max="50" width="19.140625" style="513" customWidth="1"/>
    <col min="51" max="51" width="5.42578125" style="511" customWidth="1"/>
    <col min="52" max="52" width="16.7109375" style="509" customWidth="1"/>
    <col min="53" max="53" width="15.28515625" style="513" customWidth="1"/>
    <col min="54" max="54" width="5" style="511" customWidth="1"/>
    <col min="55" max="55" width="16.7109375" style="509" customWidth="1"/>
    <col min="56" max="56" width="18.85546875" style="513" customWidth="1"/>
    <col min="57" max="57" width="5.28515625" style="511" customWidth="1"/>
    <col min="58" max="58" width="25.7109375" style="515" customWidth="1"/>
    <col min="59" max="59" width="16.5703125" style="645" customWidth="1"/>
    <col min="60" max="60" width="15.7109375" style="632" customWidth="1"/>
    <col min="61" max="61" width="6.42578125" style="634" customWidth="1"/>
    <col min="62" max="62" width="16.7109375" style="645" customWidth="1"/>
    <col min="63" max="63" width="19.140625" style="632" customWidth="1"/>
    <col min="64" max="64" width="5.42578125" style="634" customWidth="1"/>
    <col min="65" max="65" width="16.7109375" style="645" customWidth="1"/>
    <col min="66" max="66" width="21.5703125" style="632" customWidth="1"/>
    <col min="67" max="67" width="5" style="634" customWidth="1"/>
    <col min="68" max="68" width="16.7109375" style="645" customWidth="1"/>
    <col min="69" max="69" width="18.85546875" style="632" customWidth="1"/>
    <col min="70" max="70" width="5.28515625" style="634" customWidth="1"/>
    <col min="71" max="71" width="29.28515625" style="515" bestFit="1" customWidth="1"/>
    <col min="72" max="16384" width="8.85546875" style="343"/>
  </cols>
  <sheetData>
    <row r="1" spans="1:71" x14ac:dyDescent="0.25">
      <c r="A1" s="685" t="s">
        <v>1134</v>
      </c>
      <c r="B1" s="685"/>
      <c r="D1" s="514"/>
      <c r="G1" s="514"/>
      <c r="J1" s="514"/>
      <c r="M1" s="514"/>
      <c r="R1" s="514"/>
      <c r="S1" s="343"/>
      <c r="T1" s="343"/>
      <c r="U1" s="514"/>
      <c r="V1" s="343"/>
      <c r="W1" s="343"/>
      <c r="X1" s="514"/>
      <c r="Y1" s="343"/>
      <c r="Z1" s="343"/>
      <c r="AA1" s="514"/>
      <c r="AB1" s="343"/>
      <c r="AC1" s="343"/>
      <c r="AE1" s="343"/>
      <c r="AF1" s="514"/>
      <c r="AG1" s="343"/>
      <c r="AH1" s="343"/>
      <c r="AI1" s="514"/>
      <c r="AJ1" s="343"/>
      <c r="AK1" s="343"/>
      <c r="AL1" s="514"/>
      <c r="AM1" s="343"/>
      <c r="AN1" s="343"/>
      <c r="AO1" s="514"/>
      <c r="AP1" s="343"/>
      <c r="AQ1" s="343"/>
      <c r="AS1" s="343"/>
      <c r="AT1" s="514"/>
      <c r="AU1" s="343"/>
      <c r="AV1" s="343"/>
      <c r="AW1" s="514"/>
      <c r="AX1" s="343"/>
      <c r="AY1" s="343"/>
      <c r="AZ1" s="514"/>
      <c r="BA1" s="343"/>
      <c r="BB1" s="343"/>
      <c r="BC1" s="514"/>
      <c r="BD1" s="343"/>
      <c r="BE1" s="343"/>
      <c r="BG1" s="636"/>
      <c r="BH1" s="515"/>
      <c r="BI1" s="515"/>
      <c r="BJ1" s="636"/>
      <c r="BK1" s="515"/>
      <c r="BL1" s="515"/>
      <c r="BM1" s="636"/>
      <c r="BN1" s="515"/>
      <c r="BO1" s="515"/>
      <c r="BP1" s="636"/>
      <c r="BQ1" s="515"/>
      <c r="BR1" s="515"/>
    </row>
    <row r="2" spans="1:71" s="520" customFormat="1" ht="18.75" x14ac:dyDescent="0.3">
      <c r="A2" s="516">
        <v>1</v>
      </c>
      <c r="B2" s="517">
        <v>2</v>
      </c>
      <c r="C2" s="516">
        <v>3</v>
      </c>
      <c r="D2" s="516">
        <v>4</v>
      </c>
      <c r="E2" s="516">
        <v>5</v>
      </c>
      <c r="F2" s="516">
        <v>6</v>
      </c>
      <c r="G2" s="518">
        <v>7</v>
      </c>
      <c r="H2" s="516">
        <v>8</v>
      </c>
      <c r="I2" s="516">
        <v>9</v>
      </c>
      <c r="J2" s="518">
        <v>10</v>
      </c>
      <c r="K2" s="516">
        <v>11</v>
      </c>
      <c r="L2" s="516">
        <v>12</v>
      </c>
      <c r="M2" s="518">
        <v>13</v>
      </c>
      <c r="N2" s="516">
        <v>14</v>
      </c>
      <c r="O2" s="516">
        <v>15</v>
      </c>
      <c r="P2" s="516">
        <v>16</v>
      </c>
      <c r="Q2" s="516">
        <v>17</v>
      </c>
      <c r="R2" s="518">
        <v>18</v>
      </c>
      <c r="S2" s="516">
        <v>19</v>
      </c>
      <c r="T2" s="516">
        <v>20</v>
      </c>
      <c r="U2" s="518">
        <v>21</v>
      </c>
      <c r="V2" s="516">
        <v>22</v>
      </c>
      <c r="W2" s="516">
        <v>23</v>
      </c>
      <c r="X2" s="518">
        <v>24</v>
      </c>
      <c r="Y2" s="516">
        <v>25</v>
      </c>
      <c r="Z2" s="516">
        <v>26</v>
      </c>
      <c r="AA2" s="519">
        <v>27</v>
      </c>
      <c r="AB2" s="516">
        <v>28</v>
      </c>
      <c r="AC2" s="516">
        <v>29</v>
      </c>
      <c r="AD2" s="518">
        <v>30</v>
      </c>
      <c r="AE2" s="516">
        <v>31</v>
      </c>
      <c r="AF2" s="516">
        <v>32</v>
      </c>
      <c r="AG2" s="518">
        <v>33</v>
      </c>
      <c r="AH2" s="516">
        <v>34</v>
      </c>
      <c r="AI2" s="516">
        <v>35</v>
      </c>
      <c r="AJ2" s="518">
        <v>36</v>
      </c>
      <c r="AK2" s="516">
        <v>37</v>
      </c>
      <c r="AL2" s="516">
        <v>38</v>
      </c>
      <c r="AM2" s="518">
        <v>39</v>
      </c>
      <c r="AN2" s="516">
        <v>40</v>
      </c>
      <c r="AO2" s="516">
        <v>41</v>
      </c>
      <c r="AP2" s="518">
        <v>42</v>
      </c>
      <c r="AQ2" s="516">
        <v>43</v>
      </c>
      <c r="AR2" s="516">
        <v>44</v>
      </c>
      <c r="AS2" s="518">
        <v>45</v>
      </c>
      <c r="AT2" s="518">
        <v>46</v>
      </c>
      <c r="AU2" s="516">
        <v>47</v>
      </c>
      <c r="AV2" s="516">
        <v>48</v>
      </c>
      <c r="AW2" s="518">
        <v>49</v>
      </c>
      <c r="AX2" s="518">
        <v>50</v>
      </c>
      <c r="AY2" s="516">
        <v>51</v>
      </c>
      <c r="AZ2" s="516">
        <v>52</v>
      </c>
      <c r="BA2" s="518">
        <v>53</v>
      </c>
      <c r="BB2" s="518">
        <v>54</v>
      </c>
      <c r="BC2" s="516">
        <v>55</v>
      </c>
      <c r="BD2" s="516">
        <v>56</v>
      </c>
      <c r="BE2" s="518">
        <v>57</v>
      </c>
      <c r="BF2" s="518">
        <v>58</v>
      </c>
      <c r="BG2" s="518">
        <v>59</v>
      </c>
      <c r="BH2" s="516">
        <v>60</v>
      </c>
      <c r="BI2" s="516">
        <v>61</v>
      </c>
      <c r="BJ2" s="518">
        <v>62</v>
      </c>
      <c r="BK2" s="518">
        <v>63</v>
      </c>
      <c r="BL2" s="516">
        <v>64</v>
      </c>
      <c r="BM2" s="516">
        <v>65</v>
      </c>
      <c r="BN2" s="518">
        <v>66</v>
      </c>
      <c r="BO2" s="518">
        <v>67</v>
      </c>
      <c r="BP2" s="516">
        <v>68</v>
      </c>
      <c r="BQ2" s="516">
        <v>69</v>
      </c>
      <c r="BR2" s="518">
        <v>70</v>
      </c>
      <c r="BS2" s="518">
        <v>71</v>
      </c>
    </row>
    <row r="3" spans="1:71" ht="51" customHeight="1" x14ac:dyDescent="0.25">
      <c r="C3" s="521"/>
      <c r="D3" s="687" t="s">
        <v>833</v>
      </c>
      <c r="E3" s="687"/>
      <c r="F3" s="521"/>
      <c r="G3" s="687" t="s">
        <v>833</v>
      </c>
      <c r="H3" s="687"/>
      <c r="I3" s="521"/>
      <c r="J3" s="687" t="s">
        <v>833</v>
      </c>
      <c r="K3" s="687"/>
      <c r="L3" s="521"/>
      <c r="M3" s="688" t="s">
        <v>833</v>
      </c>
      <c r="N3" s="688"/>
      <c r="O3" s="521"/>
      <c r="P3" s="523" t="s">
        <v>1154</v>
      </c>
      <c r="Q3" s="521"/>
      <c r="R3" s="684" t="s">
        <v>1153</v>
      </c>
      <c r="S3" s="684"/>
      <c r="T3" s="521"/>
      <c r="U3" s="684" t="s">
        <v>1153</v>
      </c>
      <c r="V3" s="684"/>
      <c r="W3" s="521"/>
      <c r="X3" s="684" t="s">
        <v>1153</v>
      </c>
      <c r="Y3" s="684"/>
      <c r="Z3" s="521"/>
      <c r="AA3" s="686" t="s">
        <v>1153</v>
      </c>
      <c r="AB3" s="686"/>
      <c r="AC3" s="521"/>
      <c r="AD3" s="523" t="s">
        <v>1155</v>
      </c>
      <c r="AE3" s="521"/>
      <c r="AF3" s="684" t="s">
        <v>1261</v>
      </c>
      <c r="AG3" s="684"/>
      <c r="AH3" s="521"/>
      <c r="AI3" s="684" t="s">
        <v>1261</v>
      </c>
      <c r="AJ3" s="684"/>
      <c r="AK3" s="521"/>
      <c r="AL3" s="684" t="s">
        <v>1261</v>
      </c>
      <c r="AM3" s="684"/>
      <c r="AN3" s="521"/>
      <c r="AO3" s="686" t="s">
        <v>1261</v>
      </c>
      <c r="AP3" s="686"/>
      <c r="AQ3" s="521"/>
      <c r="AR3" s="523" t="s">
        <v>1262</v>
      </c>
      <c r="AS3" s="521"/>
      <c r="AT3" s="684" t="s">
        <v>1348</v>
      </c>
      <c r="AU3" s="684"/>
      <c r="AV3" s="521"/>
      <c r="AW3" s="684" t="s">
        <v>1348</v>
      </c>
      <c r="AX3" s="684"/>
      <c r="AY3" s="521"/>
      <c r="AZ3" s="684" t="s">
        <v>1348</v>
      </c>
      <c r="BA3" s="684"/>
      <c r="BB3" s="521"/>
      <c r="BC3" s="686" t="s">
        <v>1348</v>
      </c>
      <c r="BD3" s="686"/>
      <c r="BE3" s="521"/>
      <c r="BF3" s="523" t="s">
        <v>1375</v>
      </c>
      <c r="BG3" s="684" t="s">
        <v>1493</v>
      </c>
      <c r="BH3" s="684"/>
      <c r="BI3" s="521"/>
      <c r="BJ3" s="684" t="s">
        <v>1493</v>
      </c>
      <c r="BK3" s="684"/>
      <c r="BL3" s="521"/>
      <c r="BM3" s="684" t="s">
        <v>1493</v>
      </c>
      <c r="BN3" s="684"/>
      <c r="BO3" s="521"/>
      <c r="BP3" s="684" t="s">
        <v>1493</v>
      </c>
      <c r="BQ3" s="684"/>
      <c r="BR3" s="521"/>
      <c r="BS3" s="523" t="s">
        <v>1492</v>
      </c>
    </row>
    <row r="4" spans="1:71" s="522" customFormat="1" ht="45" x14ac:dyDescent="0.25">
      <c r="A4" s="522" t="s">
        <v>185</v>
      </c>
      <c r="B4" s="522" t="s">
        <v>187</v>
      </c>
      <c r="C4" s="525"/>
      <c r="D4" s="526" t="s">
        <v>834</v>
      </c>
      <c r="E4" s="522" t="s">
        <v>117</v>
      </c>
      <c r="F4" s="525"/>
      <c r="G4" s="526" t="s">
        <v>836</v>
      </c>
      <c r="H4" s="522" t="s">
        <v>117</v>
      </c>
      <c r="I4" s="525"/>
      <c r="J4" s="526" t="s">
        <v>837</v>
      </c>
      <c r="K4" s="522" t="s">
        <v>117</v>
      </c>
      <c r="L4" s="525"/>
      <c r="M4" s="526" t="s">
        <v>838</v>
      </c>
      <c r="N4" s="522" t="s">
        <v>117</v>
      </c>
      <c r="O4" s="525"/>
      <c r="P4" s="523" t="s">
        <v>839</v>
      </c>
      <c r="Q4" s="525"/>
      <c r="R4" s="527" t="s">
        <v>834</v>
      </c>
      <c r="S4" s="524" t="s">
        <v>117</v>
      </c>
      <c r="T4" s="525"/>
      <c r="U4" s="527" t="s">
        <v>836</v>
      </c>
      <c r="V4" s="524" t="s">
        <v>117</v>
      </c>
      <c r="W4" s="525"/>
      <c r="X4" s="527" t="s">
        <v>837</v>
      </c>
      <c r="Y4" s="524" t="s">
        <v>117</v>
      </c>
      <c r="Z4" s="525"/>
      <c r="AA4" s="527" t="s">
        <v>838</v>
      </c>
      <c r="AB4" s="524" t="s">
        <v>117</v>
      </c>
      <c r="AC4" s="525"/>
      <c r="AD4" s="523" t="s">
        <v>839</v>
      </c>
      <c r="AE4" s="525"/>
      <c r="AF4" s="527" t="s">
        <v>834</v>
      </c>
      <c r="AG4" s="524" t="s">
        <v>117</v>
      </c>
      <c r="AH4" s="525"/>
      <c r="AI4" s="527" t="s">
        <v>836</v>
      </c>
      <c r="AJ4" s="524" t="s">
        <v>117</v>
      </c>
      <c r="AK4" s="525"/>
      <c r="AL4" s="527" t="s">
        <v>837</v>
      </c>
      <c r="AM4" s="524" t="s">
        <v>117</v>
      </c>
      <c r="AN4" s="525"/>
      <c r="AO4" s="527" t="s">
        <v>838</v>
      </c>
      <c r="AP4" s="524" t="s">
        <v>117</v>
      </c>
      <c r="AQ4" s="525"/>
      <c r="AR4" s="523" t="s">
        <v>839</v>
      </c>
      <c r="AS4" s="525"/>
      <c r="AT4" s="527" t="s">
        <v>834</v>
      </c>
      <c r="AU4" s="524" t="s">
        <v>117</v>
      </c>
      <c r="AV4" s="525"/>
      <c r="AW4" s="527" t="s">
        <v>836</v>
      </c>
      <c r="AX4" s="524" t="s">
        <v>117</v>
      </c>
      <c r="AY4" s="525"/>
      <c r="AZ4" s="527" t="s">
        <v>837</v>
      </c>
      <c r="BA4" s="524" t="s">
        <v>117</v>
      </c>
      <c r="BB4" s="525"/>
      <c r="BC4" s="527" t="s">
        <v>838</v>
      </c>
      <c r="BD4" s="524" t="s">
        <v>117</v>
      </c>
      <c r="BE4" s="525"/>
      <c r="BF4" s="523" t="s">
        <v>839</v>
      </c>
      <c r="BG4" s="527" t="s">
        <v>834</v>
      </c>
      <c r="BH4" s="524" t="s">
        <v>117</v>
      </c>
      <c r="BI4" s="525"/>
      <c r="BJ4" s="527" t="s">
        <v>836</v>
      </c>
      <c r="BK4" s="524" t="s">
        <v>117</v>
      </c>
      <c r="BL4" s="525"/>
      <c r="BM4" s="527" t="s">
        <v>837</v>
      </c>
      <c r="BN4" s="524" t="s">
        <v>117</v>
      </c>
      <c r="BO4" s="525"/>
      <c r="BP4" s="527" t="s">
        <v>838</v>
      </c>
      <c r="BQ4" s="524" t="s">
        <v>117</v>
      </c>
      <c r="BR4" s="525"/>
      <c r="BS4" s="523" t="s">
        <v>839</v>
      </c>
    </row>
    <row r="5" spans="1:71" s="522" customFormat="1" x14ac:dyDescent="0.25">
      <c r="D5" s="528">
        <f>SUBTOTAL(9,$D$6:$D$317)</f>
        <v>241959784.20000008</v>
      </c>
      <c r="G5" s="528">
        <f>SUBTOTAL(9,G6:G317)</f>
        <v>2059197224.7099974</v>
      </c>
      <c r="J5" s="528">
        <f>SUBTOTAL(9,J6:J317)</f>
        <v>171510.01269974018</v>
      </c>
      <c r="M5" s="528">
        <f>SUBTOTAL(9,M6:M317)</f>
        <v>3417797.4025542168</v>
      </c>
      <c r="R5" s="528">
        <f>SUBTOTAL(9,R6:R317)</f>
        <v>310244355.97000015</v>
      </c>
      <c r="U5" s="528">
        <f>SUBTOTAL(9,U6:U317)</f>
        <v>2137486903.5500002</v>
      </c>
      <c r="X5" s="528">
        <f>SUBTOTAL(9,X6:X317)</f>
        <v>210728.92307111673</v>
      </c>
      <c r="AA5" s="528">
        <f>SUBTOTAL(9,AA6:AA317)</f>
        <v>3679412.7552838214</v>
      </c>
      <c r="AF5" s="528">
        <f>SUBTOTAL(9,AF6:AF317)</f>
        <v>342204011.53999996</v>
      </c>
      <c r="AI5" s="528">
        <f>SUBTOTAL(9,AI6:AI317)</f>
        <v>2212113578.269999</v>
      </c>
      <c r="AL5" s="528">
        <f>SUBTOTAL(9,AL6:AL317)</f>
        <v>249138.00783928006</v>
      </c>
      <c r="AO5" s="528">
        <f>SUBTOTAL(9,AO6:AO317)</f>
        <v>4044025.0644408232</v>
      </c>
      <c r="AT5" s="528">
        <f>SUBTOTAL(9,AT6:AT317)</f>
        <v>361707768.53999996</v>
      </c>
      <c r="AW5" s="528">
        <f>SUBTOTAL(9,AW6:AW317)</f>
        <v>2480128138.5100007</v>
      </c>
      <c r="AZ5" s="528">
        <f>SUBTOTAL(9,AZ6:AZ317)</f>
        <v>315139.7112862427</v>
      </c>
      <c r="BC5" s="528">
        <f>SUBTOTAL(9,BC6:BC317)</f>
        <v>4091136.1079311636</v>
      </c>
      <c r="BG5" s="654">
        <f>SUBTOTAL(9,BG6:BG317)</f>
        <v>372304278.02000004</v>
      </c>
      <c r="BJ5" s="528">
        <f>SUBTOTAL(9,BJ6:BJ317)</f>
        <v>2781907675.2699981</v>
      </c>
      <c r="BM5" s="528" t="e">
        <f>SUBTOTAL(9,BM6:BM317)</f>
        <v>#DIV/0!</v>
      </c>
      <c r="BP5" s="528" t="e">
        <f>SUBTOTAL(9,BP6:BP317)</f>
        <v>#DIV/0!</v>
      </c>
    </row>
    <row r="6" spans="1:71" x14ac:dyDescent="0.25">
      <c r="A6" s="343" t="s">
        <v>188</v>
      </c>
      <c r="B6" s="510" t="s">
        <v>831</v>
      </c>
      <c r="C6" s="511"/>
      <c r="D6" s="444">
        <v>0</v>
      </c>
      <c r="E6" s="343" t="s">
        <v>835</v>
      </c>
      <c r="F6" s="511"/>
      <c r="G6" s="444">
        <v>6530149.4400000004</v>
      </c>
      <c r="H6" s="343" t="s">
        <v>835</v>
      </c>
      <c r="I6" s="511"/>
      <c r="J6" s="444">
        <v>0</v>
      </c>
      <c r="K6" s="343" t="s">
        <v>835</v>
      </c>
      <c r="L6" s="511"/>
      <c r="M6" s="444">
        <v>11297.836401384084</v>
      </c>
      <c r="N6" s="343" t="s">
        <v>835</v>
      </c>
      <c r="O6" s="511"/>
      <c r="P6" s="512" t="str">
        <f t="shared" ref="P6:P32" si="0">IF(AND(E6="Did not Meet",H6="Did not Meet",K6="Did not Meet", N6="Did not Meet"),"Did not Meet","Met")</f>
        <v>Met</v>
      </c>
      <c r="Q6" s="511"/>
      <c r="R6" s="444">
        <f>VLOOKUP(A6,'2020-21'!$A$6:$F$319,6,0)</f>
        <v>0</v>
      </c>
      <c r="S6" s="513" t="str">
        <f t="shared" ref="S6:S69" si="1">IF(R6&gt;=D6,"Met","Did not Meet")</f>
        <v>Met</v>
      </c>
      <c r="U6" s="444">
        <f>VLOOKUP(A6,'2020-21'!$A$6:$G$319,7,0)</f>
        <v>5072277.54</v>
      </c>
      <c r="V6" s="513" t="str">
        <f t="shared" ref="V6:V69" si="2">IF(U6&gt;=G6,"Met","Did not Meet")</f>
        <v>Did not Meet</v>
      </c>
      <c r="X6" s="444">
        <f>VLOOKUP(A6,'2020-21'!$A$6:$F$319,6,0)/VLOOKUP(A6,'42. SEA or LEA Worksheet'!$A$4:$T$324,20,0)</f>
        <v>0</v>
      </c>
      <c r="Y6" s="513" t="str">
        <f t="shared" ref="Y6:Y69" si="3">IF(X6&gt;=J6,"Met","Did not Meet")</f>
        <v>Met</v>
      </c>
      <c r="AA6" s="444">
        <f>VLOOKUP(A6,'42. SEA or LEA Worksheet'!$A$4:$W$324,23,0)/VLOOKUP(compliance!A6,'42. SEA or LEA Worksheet'!$A$4:$T$324,20,0)</f>
        <v>9410.5334693877558</v>
      </c>
      <c r="AB6" s="513" t="str">
        <f t="shared" ref="AB6:AB69" si="4">IF(AA6&gt;=M6,"Met","Did not Meet")</f>
        <v>Did not Meet</v>
      </c>
      <c r="AD6" s="512" t="str">
        <f t="shared" ref="AD6:AD37" si="5">IF(AND(S6="Did not Meet",V6="Did not Meet", Y6="Did not Meet",AB6="Did not Meet"),"Did not Meet","Met")</f>
        <v>Met</v>
      </c>
      <c r="AF6" s="444">
        <f>VLOOKUP(A6,'42. SEA or LEA Worksheet'!$A$4:$Z$324,26,0)</f>
        <v>78927.69</v>
      </c>
      <c r="AG6" s="513" t="str">
        <f t="shared" ref="AG6:AG69" si="6">IF(AF6&gt;=R6,"Met","Did not Meet")</f>
        <v>Met</v>
      </c>
      <c r="AI6" s="444">
        <f>VLOOKUP(A6,'42. SEA or LEA Worksheet'!$A$4:$AB$324,28,0)</f>
        <v>5430149.2300000004</v>
      </c>
      <c r="AJ6" s="513" t="str">
        <f t="shared" ref="AJ6:AJ69" si="7">IF(AI6&gt;=U6,"Met","Did not Meet")</f>
        <v>Met</v>
      </c>
      <c r="AL6" s="444">
        <f>VLOOKUP(compliance!A6,'42. SEA or LEA Worksheet'!$A$4:$AB$324,26,0)/VLOOKUP(compliance!A6,'42. SEA or LEA Worksheet'!$A$4:$Y$324,25,0)</f>
        <v>145.6230442804428</v>
      </c>
      <c r="AM6" s="513" t="str">
        <f t="shared" ref="AM6:AM69" si="8">IF(AL6&gt;=X6,"Met","Did not Meet")</f>
        <v>Met</v>
      </c>
      <c r="AO6" s="444">
        <f>VLOOKUP(A6,'42. SEA or LEA Worksheet'!$A$4:$AB$324,28,0)/VLOOKUP(compliance!A6,'42. SEA or LEA Worksheet'!$A$4:$Y$324,25,0)</f>
        <v>10018.725516605167</v>
      </c>
      <c r="AP6" s="513" t="str">
        <f t="shared" ref="AP6:AP69" si="9">IF(AO6&gt;=AA6,"Met","Did not Meet")</f>
        <v>Met</v>
      </c>
      <c r="AR6" s="512" t="str">
        <f t="shared" ref="AR6:AR37" si="10">IF(AND(AG6="Did not Meet",AJ6="Did not Meet", AM6="Did not Meet",AP6="Did not Meet"),"Did not Meet","Met")</f>
        <v>Met</v>
      </c>
      <c r="AT6" s="444">
        <f>VLOOKUP(A6,'42. SEA or LEA Worksheet'!$A$4:$AE$324,31,0)</f>
        <v>0</v>
      </c>
      <c r="AU6" s="513" t="str">
        <f t="shared" ref="AU6:AU37" si="11">IF(AT6&gt;=AF6,"Met","Did not Meet")</f>
        <v>Did not Meet</v>
      </c>
      <c r="AW6" s="444">
        <f>VLOOKUP(A6,'42. SEA or LEA Worksheet'!$A$4:$AG$324,33,0)</f>
        <v>6956223.5700000003</v>
      </c>
      <c r="AX6" s="513" t="str">
        <f t="shared" ref="AX6:AX38" si="12">IF(AW6&gt;=AI6,"Met","Did not Meet")</f>
        <v>Met</v>
      </c>
      <c r="AZ6" s="444">
        <f>VLOOKUP(A6,'42. SEA or LEA Worksheet'!$A$4:$AG$324,31,0)/VLOOKUP(A6,'42. SEA or LEA Worksheet'!$A$4:$AD$324,30,0)</f>
        <v>0</v>
      </c>
      <c r="BA6" s="513" t="str">
        <f t="shared" ref="BA6:BA37" si="13">IF(AZ6&gt;=AL6,"Met","Did not Meet")</f>
        <v>Did not Meet</v>
      </c>
      <c r="BC6" s="444">
        <f>VLOOKUP(A6,'42. SEA or LEA Worksheet'!$A$4:$AG$324,33,0)/VLOOKUP(A6,'42. SEA or LEA Worksheet'!$A$4:$AD$324,30,0)</f>
        <v>11790.209440677967</v>
      </c>
      <c r="BD6" s="513" t="str">
        <f t="shared" ref="BD6:BD38" si="14">IF(BC6&gt;=AO6,"Met","Did not Meet")</f>
        <v>Met</v>
      </c>
      <c r="BF6" s="512" t="str">
        <f t="shared" ref="BF6:BF16" si="15">IF(AND(AU6="Did not Meet",AX6="Did not Meet", BA6="Did not Meet",BD6="Did not Meet"),"Did not Meet","Met")</f>
        <v>Met</v>
      </c>
      <c r="BG6" s="637">
        <f>VLOOKUP(A6,'42. SEA or LEA Worksheet'!$A$4:$AM$324,36,0)</f>
        <v>293512.7</v>
      </c>
      <c r="BH6" s="638" t="str">
        <f t="shared" ref="BH6:BH37" si="16">IF(BG6&gt;=AT6,"Met","Did not Meet")</f>
        <v>Met</v>
      </c>
      <c r="BI6" s="639"/>
      <c r="BJ6" s="637">
        <f>VLOOKUP(A6,'42. SEA or LEA Worksheet'!$A$4:$AM$324,38,0)</f>
        <v>8686013.1799999997</v>
      </c>
      <c r="BK6" s="638" t="str">
        <f t="shared" ref="BK6:BK37" si="17">IF(BJ6&gt;=AW6,"Met","Did not Meet")</f>
        <v>Met</v>
      </c>
      <c r="BM6" s="631">
        <f>VLOOKUP(A6,'42. SEA or LEA Worksheet'!$A$4:$AL$324,36,0)/VLOOKUP(A6,'42. SEA or LEA Worksheet'!$A$4:$AL$324,35,0)</f>
        <v>478.81353996737357</v>
      </c>
      <c r="BN6" s="632" t="str">
        <f t="shared" ref="BN6:BN37" si="18">IF(BM6&gt;=AY6,"Met","Did not Meet")</f>
        <v>Met</v>
      </c>
      <c r="BP6" s="631">
        <f>VLOOKUP(A6,'42. SEA or LEA Worksheet'!$A$4:$AL$324,38,0)/VLOOKUP(A6,'42. SEA or LEA Worksheet'!$A$4:$AL$324,35,0)</f>
        <v>14169.678923327896</v>
      </c>
      <c r="BQ6" s="632" t="str">
        <f t="shared" ref="BQ6:BQ37" si="19">IF(BP6&gt;=BB6,"Met","Did not Meet")</f>
        <v>Met</v>
      </c>
      <c r="BS6" s="620" t="str">
        <f t="shared" ref="BS6:BS16" si="20">IF(AND(BH6="Did not Meet",BK6="Did not Meet", BN6="Did not Meet",BQ6="Did not Meet"),"Did not Meet","Met")</f>
        <v>Met</v>
      </c>
    </row>
    <row r="7" spans="1:71" x14ac:dyDescent="0.25">
      <c r="A7" s="343" t="s">
        <v>191</v>
      </c>
      <c r="B7" s="510" t="s">
        <v>832</v>
      </c>
      <c r="C7" s="511"/>
      <c r="D7" s="444">
        <v>0</v>
      </c>
      <c r="E7" s="343" t="s">
        <v>835</v>
      </c>
      <c r="F7" s="511"/>
      <c r="G7" s="444">
        <v>812780.45</v>
      </c>
      <c r="H7" s="343" t="s">
        <v>835</v>
      </c>
      <c r="I7" s="511"/>
      <c r="J7" s="444">
        <v>0</v>
      </c>
      <c r="K7" s="343" t="s">
        <v>835</v>
      </c>
      <c r="L7" s="511"/>
      <c r="M7" s="444">
        <v>13109.362096774194</v>
      </c>
      <c r="N7" s="343" t="s">
        <v>835</v>
      </c>
      <c r="O7" s="511"/>
      <c r="P7" s="512" t="str">
        <f t="shared" si="0"/>
        <v>Met</v>
      </c>
      <c r="Q7" s="511"/>
      <c r="R7" s="444">
        <f>VLOOKUP(A7,'2020-21'!$A$6:$F$319,6,0)</f>
        <v>0</v>
      </c>
      <c r="S7" s="513" t="str">
        <f t="shared" si="1"/>
        <v>Met</v>
      </c>
      <c r="U7" s="444">
        <f>VLOOKUP(A7,'2020-21'!$A$6:$G$319,7,0)</f>
        <v>784195.14</v>
      </c>
      <c r="V7" s="513" t="str">
        <f t="shared" si="2"/>
        <v>Did not Meet</v>
      </c>
      <c r="X7" s="444">
        <f>VLOOKUP(A7,'2020-21'!$A$6:$F$319,6,0)/VLOOKUP(A7,'42. SEA or LEA Worksheet'!$A$4:$T$324,20,0)</f>
        <v>0</v>
      </c>
      <c r="Y7" s="513" t="str">
        <f t="shared" si="3"/>
        <v>Met</v>
      </c>
      <c r="AA7" s="444">
        <f>VLOOKUP(A7,'42. SEA or LEA Worksheet'!$A$4:$W$324,23,0)/VLOOKUP(compliance!A7,'42. SEA or LEA Worksheet'!$A$4:$T$324,20,0)</f>
        <v>12855.658032786885</v>
      </c>
      <c r="AB7" s="513" t="str">
        <f t="shared" si="4"/>
        <v>Did not Meet</v>
      </c>
      <c r="AD7" s="512" t="str">
        <f t="shared" si="5"/>
        <v>Met</v>
      </c>
      <c r="AF7" s="444">
        <f>VLOOKUP(A7,'42. SEA or LEA Worksheet'!$A$4:$Z$324,26,0)</f>
        <v>0</v>
      </c>
      <c r="AG7" s="513" t="str">
        <f t="shared" si="6"/>
        <v>Met</v>
      </c>
      <c r="AI7" s="444">
        <f>VLOOKUP(A7,'42. SEA or LEA Worksheet'!$A$4:$AB$324,28,0)</f>
        <v>1013413.06</v>
      </c>
      <c r="AJ7" s="513" t="str">
        <f t="shared" si="7"/>
        <v>Met</v>
      </c>
      <c r="AL7" s="444">
        <f>VLOOKUP(compliance!A7,'42. SEA or LEA Worksheet'!$A$4:$AB$324,26,0)/VLOOKUP(compliance!A7,'42. SEA or LEA Worksheet'!$A$4:$Y$324,25,0)</f>
        <v>0</v>
      </c>
      <c r="AM7" s="513" t="str">
        <f t="shared" si="8"/>
        <v>Met</v>
      </c>
      <c r="AO7" s="444">
        <f>VLOOKUP(A7,'42. SEA or LEA Worksheet'!$A$4:$AB$324,28,0)/VLOOKUP(compliance!A7,'42. SEA or LEA Worksheet'!$A$4:$Y$324,25,0)</f>
        <v>13512.174133333334</v>
      </c>
      <c r="AP7" s="513" t="str">
        <f t="shared" si="9"/>
        <v>Met</v>
      </c>
      <c r="AR7" s="512" t="str">
        <f t="shared" si="10"/>
        <v>Met</v>
      </c>
      <c r="AT7" s="444">
        <f>VLOOKUP(A7,'42. SEA or LEA Worksheet'!$A$4:$AE$324,31,0)</f>
        <v>0</v>
      </c>
      <c r="AU7" s="513" t="str">
        <f t="shared" si="11"/>
        <v>Met</v>
      </c>
      <c r="AW7" s="444">
        <f>VLOOKUP(A7,'42. SEA or LEA Worksheet'!$A$4:$AG$324,33,0)</f>
        <v>946027.08</v>
      </c>
      <c r="AX7" s="513" t="str">
        <f t="shared" si="12"/>
        <v>Did not Meet</v>
      </c>
      <c r="AZ7" s="444">
        <f>VLOOKUP(A7,'42. SEA or LEA Worksheet'!$A$4:$AG$324,31,0)/VLOOKUP(A7,'42. SEA or LEA Worksheet'!$A$4:$AD$324,30,0)</f>
        <v>0</v>
      </c>
      <c r="BA7" s="513" t="str">
        <f t="shared" si="13"/>
        <v>Met</v>
      </c>
      <c r="BC7" s="444">
        <f>VLOOKUP(A7,'42. SEA or LEA Worksheet'!$A$4:$AG$324,33,0)/VLOOKUP(A7,'42. SEA or LEA Worksheet'!$A$4:$AD$324,30,0)</f>
        <v>11825.3385</v>
      </c>
      <c r="BD7" s="513" t="str">
        <f t="shared" si="14"/>
        <v>Did not Meet</v>
      </c>
      <c r="BF7" s="512" t="str">
        <f t="shared" si="15"/>
        <v>Met</v>
      </c>
      <c r="BG7" s="637">
        <f>VLOOKUP(A7,'42. SEA or LEA Worksheet'!$A$4:$AM$324,36,0)</f>
        <v>0</v>
      </c>
      <c r="BH7" s="638" t="str">
        <f t="shared" si="16"/>
        <v>Met</v>
      </c>
      <c r="BI7" s="639"/>
      <c r="BJ7" s="637">
        <f>VLOOKUP(A7,'42. SEA or LEA Worksheet'!$A$4:$AM$324,38,0)</f>
        <v>1009981.75</v>
      </c>
      <c r="BK7" s="638" t="str">
        <f t="shared" si="17"/>
        <v>Met</v>
      </c>
      <c r="BM7" s="631">
        <f>VLOOKUP(A7,'42. SEA or LEA Worksheet'!$A$4:$AL$324,36,0)/VLOOKUP(A7,'42. SEA or LEA Worksheet'!$A$4:$AL$324,35,0)</f>
        <v>0</v>
      </c>
      <c r="BN7" s="632" t="str">
        <f t="shared" si="18"/>
        <v>Met</v>
      </c>
      <c r="BP7" s="631">
        <f>VLOOKUP(A7,'42. SEA or LEA Worksheet'!$A$4:$AL$324,38,0)/VLOOKUP(A7,'42. SEA or LEA Worksheet'!$A$4:$AL$324,35,0)</f>
        <v>13835.366438356165</v>
      </c>
      <c r="BQ7" s="632" t="str">
        <f t="shared" si="19"/>
        <v>Met</v>
      </c>
      <c r="BS7" s="620" t="str">
        <f t="shared" si="20"/>
        <v>Met</v>
      </c>
    </row>
    <row r="8" spans="1:71" x14ac:dyDescent="0.25">
      <c r="A8" s="343" t="s">
        <v>193</v>
      </c>
      <c r="B8" s="510" t="s">
        <v>1135</v>
      </c>
      <c r="C8" s="511"/>
      <c r="D8" s="444">
        <v>0</v>
      </c>
      <c r="E8" s="343" t="s">
        <v>835</v>
      </c>
      <c r="F8" s="511"/>
      <c r="G8" s="444">
        <v>116138.98</v>
      </c>
      <c r="H8" s="343" t="s">
        <v>880</v>
      </c>
      <c r="I8" s="511"/>
      <c r="J8" s="444">
        <v>0</v>
      </c>
      <c r="K8" s="343" t="s">
        <v>856</v>
      </c>
      <c r="L8" s="511"/>
      <c r="M8" s="444">
        <v>7742.5986666666668</v>
      </c>
      <c r="N8" s="343" t="s">
        <v>856</v>
      </c>
      <c r="O8" s="511"/>
      <c r="P8" s="512" t="str">
        <f t="shared" si="0"/>
        <v>Met</v>
      </c>
      <c r="Q8" s="511"/>
      <c r="R8" s="444">
        <f>VLOOKUP(A8,'2020-21'!$A$6:$F$319,6,0)</f>
        <v>0</v>
      </c>
      <c r="S8" s="513" t="str">
        <f t="shared" si="1"/>
        <v>Met</v>
      </c>
      <c r="U8" s="444">
        <f>VLOOKUP(A8,'2020-21'!$A$6:$G$319,7,0)</f>
        <v>86062.69</v>
      </c>
      <c r="V8" s="513" t="str">
        <f t="shared" si="2"/>
        <v>Did not Meet</v>
      </c>
      <c r="X8" s="444">
        <f>VLOOKUP(A8,'2020-21'!$A$6:$F$319,6,0)/VLOOKUP(A8,'42. SEA or LEA Worksheet'!$A$4:$T$324,20,0)</f>
        <v>0</v>
      </c>
      <c r="Y8" s="513" t="str">
        <f t="shared" si="3"/>
        <v>Met</v>
      </c>
      <c r="AA8" s="444">
        <f>VLOOKUP(A8,'42. SEA or LEA Worksheet'!$A$4:$W$324,23,0)/VLOOKUP(compliance!A8,'42. SEA or LEA Worksheet'!$A$4:$T$324,20,0)</f>
        <v>7171.8908333333338</v>
      </c>
      <c r="AB8" s="513" t="str">
        <f t="shared" si="4"/>
        <v>Did not Meet</v>
      </c>
      <c r="AD8" s="512" t="str">
        <f t="shared" si="5"/>
        <v>Met</v>
      </c>
      <c r="AF8" s="444">
        <f>VLOOKUP(A8,'42. SEA or LEA Worksheet'!$A$4:$Z$324,26,0)</f>
        <v>0</v>
      </c>
      <c r="AG8" s="513" t="str">
        <f t="shared" si="6"/>
        <v>Met</v>
      </c>
      <c r="AI8" s="444">
        <f>VLOOKUP(A8,'42. SEA or LEA Worksheet'!$A$4:$AB$324,28,0)</f>
        <v>139830.92000000001</v>
      </c>
      <c r="AJ8" s="513" t="str">
        <f t="shared" si="7"/>
        <v>Met</v>
      </c>
      <c r="AL8" s="444">
        <f>VLOOKUP(compliance!A8,'42. SEA or LEA Worksheet'!$A$4:$AB$324,26,0)/VLOOKUP(compliance!A8,'42. SEA or LEA Worksheet'!$A$4:$Y$324,25,0)</f>
        <v>0</v>
      </c>
      <c r="AM8" s="513" t="str">
        <f t="shared" si="8"/>
        <v>Met</v>
      </c>
      <c r="AO8" s="444">
        <f>VLOOKUP(A8,'42. SEA or LEA Worksheet'!$A$4:$AB$324,28,0)/VLOOKUP(compliance!A8,'42. SEA or LEA Worksheet'!$A$4:$Y$324,25,0)</f>
        <v>8739.4325000000008</v>
      </c>
      <c r="AP8" s="513" t="str">
        <f t="shared" si="9"/>
        <v>Met</v>
      </c>
      <c r="AR8" s="512" t="str">
        <f t="shared" si="10"/>
        <v>Met</v>
      </c>
      <c r="AT8" s="444">
        <f>VLOOKUP(A8,'42. SEA or LEA Worksheet'!$A$4:$AE$324,31,0)</f>
        <v>0</v>
      </c>
      <c r="AU8" s="513" t="str">
        <f t="shared" si="11"/>
        <v>Met</v>
      </c>
      <c r="AW8" s="444">
        <f>VLOOKUP(A8,'42. SEA or LEA Worksheet'!$A$4:$AG$324,33,0)</f>
        <v>134485.62</v>
      </c>
      <c r="AX8" s="513" t="str">
        <f t="shared" si="12"/>
        <v>Did not Meet</v>
      </c>
      <c r="AZ8" s="444">
        <f>VLOOKUP(A8,'42. SEA or LEA Worksheet'!$A$4:$AG$324,31,0)/VLOOKUP(A8,'42. SEA or LEA Worksheet'!$A$4:$AD$324,30,0)</f>
        <v>0</v>
      </c>
      <c r="BA8" s="513" t="str">
        <f t="shared" si="13"/>
        <v>Met</v>
      </c>
      <c r="BC8" s="444">
        <f>VLOOKUP(A8,'42. SEA or LEA Worksheet'!$A$4:$AG$324,33,0)/VLOOKUP(A8,'42. SEA or LEA Worksheet'!$A$4:$AD$324,30,0)</f>
        <v>6724.2809999999999</v>
      </c>
      <c r="BD8" s="513" t="str">
        <f t="shared" si="14"/>
        <v>Did not Meet</v>
      </c>
      <c r="BF8" s="512" t="str">
        <f t="shared" si="15"/>
        <v>Met</v>
      </c>
      <c r="BG8" s="637">
        <f>VLOOKUP(A8,'42. SEA or LEA Worksheet'!$A$4:$AM$324,36,0)</f>
        <v>0</v>
      </c>
      <c r="BH8" s="638" t="str">
        <f t="shared" si="16"/>
        <v>Met</v>
      </c>
      <c r="BI8" s="639"/>
      <c r="BJ8" s="637">
        <f>VLOOKUP(A8,'42. SEA or LEA Worksheet'!$A$4:$AM$324,38,0)</f>
        <v>152611.96</v>
      </c>
      <c r="BK8" s="638" t="str">
        <f t="shared" si="17"/>
        <v>Met</v>
      </c>
      <c r="BM8" s="631">
        <f>VLOOKUP(A8,'42. SEA or LEA Worksheet'!$A$4:$AL$324,36,0)/VLOOKUP(A8,'42. SEA or LEA Worksheet'!$A$4:$AL$324,35,0)</f>
        <v>0</v>
      </c>
      <c r="BN8" s="632" t="str">
        <f t="shared" si="18"/>
        <v>Met</v>
      </c>
      <c r="BP8" s="631">
        <f>VLOOKUP(A8,'42. SEA or LEA Worksheet'!$A$4:$AL$324,38,0)/VLOOKUP(A8,'42. SEA or LEA Worksheet'!$A$4:$AL$324,35,0)</f>
        <v>8478.442222222222</v>
      </c>
      <c r="BQ8" s="632" t="str">
        <f t="shared" si="19"/>
        <v>Met</v>
      </c>
      <c r="BS8" s="620" t="str">
        <f t="shared" si="20"/>
        <v>Met</v>
      </c>
    </row>
    <row r="9" spans="1:71" x14ac:dyDescent="0.25">
      <c r="A9" s="343" t="s">
        <v>196</v>
      </c>
      <c r="B9" s="510" t="s">
        <v>840</v>
      </c>
      <c r="C9" s="511"/>
      <c r="D9" s="444">
        <v>0</v>
      </c>
      <c r="E9" s="343" t="s">
        <v>856</v>
      </c>
      <c r="F9" s="511"/>
      <c r="G9" s="444">
        <v>4341661.9400000004</v>
      </c>
      <c r="H9" s="343" t="s">
        <v>835</v>
      </c>
      <c r="I9" s="511"/>
      <c r="J9" s="444">
        <v>0</v>
      </c>
      <c r="K9" s="343" t="s">
        <v>856</v>
      </c>
      <c r="L9" s="511"/>
      <c r="M9" s="444">
        <v>13960.327781350483</v>
      </c>
      <c r="N9" s="343" t="s">
        <v>856</v>
      </c>
      <c r="O9" s="511"/>
      <c r="P9" s="512" t="str">
        <f t="shared" si="0"/>
        <v>Met</v>
      </c>
      <c r="Q9" s="511"/>
      <c r="R9" s="444">
        <f>VLOOKUP(A9,'2020-21'!$A$6:$F$319,6,0)</f>
        <v>0</v>
      </c>
      <c r="S9" s="513" t="str">
        <f t="shared" si="1"/>
        <v>Met</v>
      </c>
      <c r="U9" s="444">
        <f>VLOOKUP(A9,'2020-21'!$A$6:$G$319,7,0)</f>
        <v>4112687.36</v>
      </c>
      <c r="V9" s="513" t="str">
        <f t="shared" si="2"/>
        <v>Did not Meet</v>
      </c>
      <c r="X9" s="444">
        <f>VLOOKUP(A9,'2020-21'!$A$6:$F$319,6,0)/VLOOKUP(A9,'42. SEA or LEA Worksheet'!$A$4:$T$324,20,0)</f>
        <v>0</v>
      </c>
      <c r="Y9" s="513" t="str">
        <f t="shared" si="3"/>
        <v>Met</v>
      </c>
      <c r="AA9" s="444">
        <f>VLOOKUP(A9,'42. SEA or LEA Worksheet'!$A$4:$W$324,23,0)/VLOOKUP(compliance!A9,'42. SEA or LEA Worksheet'!$A$4:$T$324,20,0)</f>
        <v>12462.68896969697</v>
      </c>
      <c r="AB9" s="513" t="str">
        <f t="shared" si="4"/>
        <v>Did not Meet</v>
      </c>
      <c r="AD9" s="512" t="str">
        <f t="shared" si="5"/>
        <v>Met</v>
      </c>
      <c r="AF9" s="444">
        <f>VLOOKUP(A9,'42. SEA or LEA Worksheet'!$A$4:$Z$324,26,0)</f>
        <v>0</v>
      </c>
      <c r="AG9" s="513" t="str">
        <f t="shared" si="6"/>
        <v>Met</v>
      </c>
      <c r="AI9" s="444">
        <f>VLOOKUP(A9,'42. SEA or LEA Worksheet'!$A$4:$AB$324,28,0)</f>
        <v>4245954.6900000004</v>
      </c>
      <c r="AJ9" s="513" t="str">
        <f t="shared" si="7"/>
        <v>Met</v>
      </c>
      <c r="AL9" s="444">
        <f>VLOOKUP(compliance!A9,'42. SEA or LEA Worksheet'!$A$4:$AB$324,26,0)/VLOOKUP(compliance!A9,'42. SEA or LEA Worksheet'!$A$4:$Y$324,25,0)</f>
        <v>0</v>
      </c>
      <c r="AM9" s="513" t="str">
        <f t="shared" si="8"/>
        <v>Met</v>
      </c>
      <c r="AO9" s="444">
        <f>VLOOKUP(A9,'42. SEA or LEA Worksheet'!$A$4:$AB$324,28,0)/VLOOKUP(compliance!A9,'42. SEA or LEA Worksheet'!$A$4:$Y$324,25,0)</f>
        <v>13310.202789968653</v>
      </c>
      <c r="AP9" s="513" t="str">
        <f t="shared" si="9"/>
        <v>Met</v>
      </c>
      <c r="AR9" s="512" t="str">
        <f t="shared" si="10"/>
        <v>Met</v>
      </c>
      <c r="AT9" s="444">
        <f>VLOOKUP(A9,'42. SEA or LEA Worksheet'!$A$4:$AE$324,31,0)</f>
        <v>0</v>
      </c>
      <c r="AU9" s="513" t="str">
        <f t="shared" si="11"/>
        <v>Met</v>
      </c>
      <c r="AW9" s="444">
        <f>VLOOKUP(A9,'42. SEA or LEA Worksheet'!$A$4:$AG$324,33,0)</f>
        <v>5105596.5</v>
      </c>
      <c r="AX9" s="513" t="str">
        <f t="shared" si="12"/>
        <v>Met</v>
      </c>
      <c r="AZ9" s="444">
        <f>VLOOKUP(A9,'42. SEA or LEA Worksheet'!$A$4:$AG$324,31,0)/VLOOKUP(A9,'42. SEA or LEA Worksheet'!$A$4:$AD$324,30,0)</f>
        <v>0</v>
      </c>
      <c r="BA9" s="513" t="str">
        <f t="shared" si="13"/>
        <v>Met</v>
      </c>
      <c r="BC9" s="444">
        <f>VLOOKUP(A9,'42. SEA or LEA Worksheet'!$A$4:$AG$324,33,0)/VLOOKUP(A9,'42. SEA or LEA Worksheet'!$A$4:$AD$324,30,0)</f>
        <v>16156.950949367088</v>
      </c>
      <c r="BD9" s="513" t="str">
        <f t="shared" si="14"/>
        <v>Met</v>
      </c>
      <c r="BF9" s="512" t="str">
        <f t="shared" si="15"/>
        <v>Met</v>
      </c>
      <c r="BG9" s="637">
        <f>VLOOKUP(A9,'42. SEA or LEA Worksheet'!$A$4:$AM$324,36,0)</f>
        <v>0</v>
      </c>
      <c r="BH9" s="638" t="str">
        <f t="shared" si="16"/>
        <v>Met</v>
      </c>
      <c r="BI9" s="639"/>
      <c r="BJ9" s="637">
        <f>VLOOKUP(A9,'42. SEA or LEA Worksheet'!$A$4:$AM$324,38,0)</f>
        <v>5454829.9000000004</v>
      </c>
      <c r="BK9" s="638" t="str">
        <f t="shared" si="17"/>
        <v>Met</v>
      </c>
      <c r="BM9" s="631">
        <f>VLOOKUP(A9,'42. SEA or LEA Worksheet'!$A$4:$AL$324,36,0)/VLOOKUP(A9,'42. SEA or LEA Worksheet'!$A$4:$AL$324,35,0)</f>
        <v>0</v>
      </c>
      <c r="BN9" s="632" t="str">
        <f t="shared" si="18"/>
        <v>Met</v>
      </c>
      <c r="BP9" s="631">
        <f>VLOOKUP(A9,'42. SEA or LEA Worksheet'!$A$4:$AL$324,38,0)/VLOOKUP(A9,'42. SEA or LEA Worksheet'!$A$4:$AL$324,35,0)</f>
        <v>13740.125692695216</v>
      </c>
      <c r="BQ9" s="632" t="str">
        <f t="shared" si="19"/>
        <v>Met</v>
      </c>
      <c r="BS9" s="620" t="str">
        <f t="shared" si="20"/>
        <v>Met</v>
      </c>
    </row>
    <row r="10" spans="1:71" x14ac:dyDescent="0.25">
      <c r="A10" s="343" t="s">
        <v>199</v>
      </c>
      <c r="B10" s="510" t="s">
        <v>841</v>
      </c>
      <c r="C10" s="511"/>
      <c r="D10" s="444">
        <v>49556.2</v>
      </c>
      <c r="E10" s="343" t="s">
        <v>835</v>
      </c>
      <c r="F10" s="511"/>
      <c r="G10" s="444">
        <v>10919718.129999999</v>
      </c>
      <c r="H10" s="343" t="s">
        <v>835</v>
      </c>
      <c r="I10" s="511"/>
      <c r="J10" s="444">
        <v>61.029802955665019</v>
      </c>
      <c r="K10" s="343" t="s">
        <v>856</v>
      </c>
      <c r="L10" s="511"/>
      <c r="M10" s="444">
        <v>13447.928731527092</v>
      </c>
      <c r="N10" s="343" t="s">
        <v>835</v>
      </c>
      <c r="O10" s="511"/>
      <c r="P10" s="512" t="str">
        <f t="shared" si="0"/>
        <v>Met</v>
      </c>
      <c r="Q10" s="511"/>
      <c r="R10" s="444">
        <f>VLOOKUP(A10,'2020-21'!$A$6:$F$319,6,0)</f>
        <v>101002</v>
      </c>
      <c r="S10" s="513" t="str">
        <f t="shared" si="1"/>
        <v>Met</v>
      </c>
      <c r="U10" s="444">
        <f>VLOOKUP(A10,'2020-21'!$A$6:$G$319,7,0)</f>
        <v>12149525.16</v>
      </c>
      <c r="V10" s="513" t="str">
        <f t="shared" si="2"/>
        <v>Met</v>
      </c>
      <c r="X10" s="444">
        <f>VLOOKUP(A10,'2020-21'!$A$6:$F$319,6,0)/VLOOKUP(A10,'42. SEA or LEA Worksheet'!$A$4:$T$324,20,0)</f>
        <v>124.23370233702337</v>
      </c>
      <c r="Y10" s="513" t="str">
        <f t="shared" si="3"/>
        <v>Met</v>
      </c>
      <c r="AA10" s="444">
        <f>VLOOKUP(A10,'42. SEA or LEA Worksheet'!$A$4:$W$324,23,0)/VLOOKUP(compliance!A10,'42. SEA or LEA Worksheet'!$A$4:$T$324,20,0)</f>
        <v>14944.065387453875</v>
      </c>
      <c r="AB10" s="513" t="str">
        <f t="shared" si="4"/>
        <v>Met</v>
      </c>
      <c r="AD10" s="512" t="str">
        <f t="shared" si="5"/>
        <v>Met</v>
      </c>
      <c r="AF10" s="444">
        <f>VLOOKUP(A10,'42. SEA or LEA Worksheet'!$A$4:$Z$324,26,0)</f>
        <v>142893.70000000001</v>
      </c>
      <c r="AG10" s="513" t="str">
        <f t="shared" si="6"/>
        <v>Met</v>
      </c>
      <c r="AI10" s="444">
        <f>VLOOKUP(A10,'42. SEA or LEA Worksheet'!$A$4:$AB$324,28,0)</f>
        <v>12174750.119999999</v>
      </c>
      <c r="AJ10" s="513" t="str">
        <f t="shared" si="7"/>
        <v>Met</v>
      </c>
      <c r="AL10" s="444">
        <f>VLOOKUP(compliance!A10,'42. SEA or LEA Worksheet'!$A$4:$AB$324,26,0)/VLOOKUP(compliance!A10,'42. SEA or LEA Worksheet'!$A$4:$Y$324,25,0)</f>
        <v>174.04835566382462</v>
      </c>
      <c r="AM10" s="513" t="str">
        <f t="shared" si="8"/>
        <v>Met</v>
      </c>
      <c r="AO10" s="444">
        <f>VLOOKUP(A10,'42. SEA or LEA Worksheet'!$A$4:$AB$324,28,0)/VLOOKUP(compliance!A10,'42. SEA or LEA Worksheet'!$A$4:$Y$324,25,0)</f>
        <v>14829.171887941533</v>
      </c>
      <c r="AP10" s="513" t="str">
        <f t="shared" si="9"/>
        <v>Did not Meet</v>
      </c>
      <c r="AR10" s="512" t="str">
        <f t="shared" si="10"/>
        <v>Met</v>
      </c>
      <c r="AT10" s="444">
        <f>VLOOKUP(A10,'42. SEA or LEA Worksheet'!$A$4:$AE$324,31,0)</f>
        <v>144110.23000000001</v>
      </c>
      <c r="AU10" s="513" t="str">
        <f t="shared" si="11"/>
        <v>Met</v>
      </c>
      <c r="AW10" s="444">
        <f>VLOOKUP(A10,'42. SEA or LEA Worksheet'!$A$4:$AG$324,33,0)</f>
        <v>13612902.720000001</v>
      </c>
      <c r="AX10" s="513" t="str">
        <f t="shared" si="12"/>
        <v>Met</v>
      </c>
      <c r="AZ10" s="444">
        <f>VLOOKUP(A10,'42. SEA or LEA Worksheet'!$A$4:$AG$324,31,0)/VLOOKUP(A10,'42. SEA or LEA Worksheet'!$A$4:$AD$324,30,0)</f>
        <v>168.35307242990655</v>
      </c>
      <c r="BA10" s="513" t="str">
        <f t="shared" si="13"/>
        <v>Did not Meet</v>
      </c>
      <c r="BC10" s="444">
        <f>VLOOKUP(A10,'42. SEA or LEA Worksheet'!$A$4:$AG$324,33,0)/VLOOKUP(A10,'42. SEA or LEA Worksheet'!$A$4:$AD$324,30,0)</f>
        <v>15902.923738317757</v>
      </c>
      <c r="BD10" s="513" t="str">
        <f t="shared" si="14"/>
        <v>Met</v>
      </c>
      <c r="BF10" s="512" t="str">
        <f t="shared" si="15"/>
        <v>Met</v>
      </c>
      <c r="BG10" s="637">
        <f>VLOOKUP(A10,'42. SEA or LEA Worksheet'!$A$4:$AM$324,36,0)</f>
        <v>147326.57</v>
      </c>
      <c r="BH10" s="638" t="str">
        <f t="shared" si="16"/>
        <v>Met</v>
      </c>
      <c r="BI10" s="639"/>
      <c r="BJ10" s="637">
        <f>VLOOKUP(A10,'42. SEA or LEA Worksheet'!$A$4:$AM$324,38,0)</f>
        <v>15341326.26</v>
      </c>
      <c r="BK10" s="638" t="str">
        <f t="shared" si="17"/>
        <v>Met</v>
      </c>
      <c r="BM10" s="631">
        <f>VLOOKUP(A10,'42. SEA or LEA Worksheet'!$A$4:$AL$324,36,0)/VLOOKUP(A10,'42. SEA or LEA Worksheet'!$A$4:$AL$324,35,0)</f>
        <v>159.79020607375273</v>
      </c>
      <c r="BN10" s="632" t="str">
        <f t="shared" si="18"/>
        <v>Met</v>
      </c>
      <c r="BP10" s="631">
        <f>VLOOKUP(A10,'42. SEA or LEA Worksheet'!$A$4:$AL$324,38,0)/VLOOKUP(A10,'42. SEA or LEA Worksheet'!$A$4:$AL$324,35,0)</f>
        <v>16639.182494577006</v>
      </c>
      <c r="BQ10" s="632" t="str">
        <f t="shared" si="19"/>
        <v>Met</v>
      </c>
      <c r="BS10" s="620" t="str">
        <f t="shared" si="20"/>
        <v>Met</v>
      </c>
    </row>
    <row r="11" spans="1:71" x14ac:dyDescent="0.25">
      <c r="A11" s="343" t="s">
        <v>201</v>
      </c>
      <c r="B11" s="510" t="s">
        <v>842</v>
      </c>
      <c r="C11" s="511"/>
      <c r="D11" s="444">
        <v>0</v>
      </c>
      <c r="E11" s="343" t="s">
        <v>856</v>
      </c>
      <c r="F11" s="511"/>
      <c r="G11" s="444">
        <v>844513</v>
      </c>
      <c r="H11" s="343" t="s">
        <v>835</v>
      </c>
      <c r="I11" s="511"/>
      <c r="J11" s="444">
        <v>0</v>
      </c>
      <c r="K11" s="343" t="s">
        <v>856</v>
      </c>
      <c r="L11" s="511"/>
      <c r="M11" s="444">
        <v>9280.3626373626375</v>
      </c>
      <c r="N11" s="343" t="s">
        <v>856</v>
      </c>
      <c r="O11" s="511"/>
      <c r="P11" s="512" t="str">
        <f t="shared" si="0"/>
        <v>Met</v>
      </c>
      <c r="Q11" s="511"/>
      <c r="R11" s="444">
        <f>VLOOKUP(A11,'2020-21'!$A$6:$F$319,6,0)</f>
        <v>4126.05</v>
      </c>
      <c r="S11" s="513" t="str">
        <f t="shared" si="1"/>
        <v>Met</v>
      </c>
      <c r="U11" s="444">
        <f>VLOOKUP(A11,'2020-21'!$A$6:$G$319,7,0)</f>
        <v>875680.07000000007</v>
      </c>
      <c r="V11" s="513" t="str">
        <f t="shared" si="2"/>
        <v>Met</v>
      </c>
      <c r="X11" s="444">
        <f>VLOOKUP(A11,'2020-21'!$A$6:$F$319,6,0)/VLOOKUP(A11,'42. SEA or LEA Worksheet'!$A$4:$T$324,20,0)</f>
        <v>46.360112359550563</v>
      </c>
      <c r="Y11" s="513" t="str">
        <f t="shared" si="3"/>
        <v>Met</v>
      </c>
      <c r="AA11" s="444">
        <f>VLOOKUP(A11,'42. SEA or LEA Worksheet'!$A$4:$W$324,23,0)/VLOOKUP(compliance!A11,'42. SEA or LEA Worksheet'!$A$4:$T$324,20,0)</f>
        <v>9839.1019101123602</v>
      </c>
      <c r="AB11" s="513" t="str">
        <f t="shared" si="4"/>
        <v>Met</v>
      </c>
      <c r="AD11" s="512" t="str">
        <f t="shared" si="5"/>
        <v>Met</v>
      </c>
      <c r="AF11" s="444">
        <f>VLOOKUP(A11,'42. SEA or LEA Worksheet'!$A$4:$Z$324,26,0)</f>
        <v>0</v>
      </c>
      <c r="AG11" s="513" t="str">
        <f t="shared" si="6"/>
        <v>Did not Meet</v>
      </c>
      <c r="AI11" s="444">
        <f>VLOOKUP(A11,'42. SEA or LEA Worksheet'!$A$4:$AB$324,28,0)</f>
        <v>866117.05</v>
      </c>
      <c r="AJ11" s="513" t="str">
        <f t="shared" si="7"/>
        <v>Did not Meet</v>
      </c>
      <c r="AL11" s="444">
        <f>VLOOKUP(compliance!A11,'42. SEA or LEA Worksheet'!$A$4:$AB$324,26,0)/VLOOKUP(compliance!A11,'42. SEA or LEA Worksheet'!$A$4:$Y$324,25,0)</f>
        <v>0</v>
      </c>
      <c r="AM11" s="513" t="str">
        <f t="shared" si="8"/>
        <v>Did not Meet</v>
      </c>
      <c r="AO11" s="444">
        <f>VLOOKUP(A11,'42. SEA or LEA Worksheet'!$A$4:$AB$324,28,0)/VLOOKUP(compliance!A11,'42. SEA or LEA Worksheet'!$A$4:$Y$324,25,0)</f>
        <v>9955.3683908045987</v>
      </c>
      <c r="AP11" s="513" t="str">
        <f t="shared" si="9"/>
        <v>Met</v>
      </c>
      <c r="AR11" s="512" t="str">
        <f t="shared" si="10"/>
        <v>Met</v>
      </c>
      <c r="AT11" s="444">
        <f>VLOOKUP(A11,'42. SEA or LEA Worksheet'!$A$4:$AE$324,31,0)</f>
        <v>0</v>
      </c>
      <c r="AU11" s="513" t="str">
        <f t="shared" si="11"/>
        <v>Met</v>
      </c>
      <c r="AW11" s="444">
        <f>VLOOKUP(A11,'42. SEA or LEA Worksheet'!$A$4:$AG$324,33,0)</f>
        <v>890404.38</v>
      </c>
      <c r="AX11" s="513" t="str">
        <f t="shared" si="12"/>
        <v>Met</v>
      </c>
      <c r="AZ11" s="444">
        <f>VLOOKUP(A11,'42. SEA or LEA Worksheet'!$A$4:$AG$324,31,0)/VLOOKUP(A11,'42. SEA or LEA Worksheet'!$A$4:$AD$324,30,0)</f>
        <v>0</v>
      </c>
      <c r="BA11" s="513" t="str">
        <f t="shared" si="13"/>
        <v>Met</v>
      </c>
      <c r="BC11" s="444">
        <f>VLOOKUP(A11,'42. SEA or LEA Worksheet'!$A$4:$AG$324,33,0)/VLOOKUP(A11,'42. SEA or LEA Worksheet'!$A$4:$AD$324,30,0)</f>
        <v>9275.0456250000007</v>
      </c>
      <c r="BD11" s="513" t="str">
        <f t="shared" si="14"/>
        <v>Did not Meet</v>
      </c>
      <c r="BF11" s="512" t="str">
        <f t="shared" si="15"/>
        <v>Met</v>
      </c>
      <c r="BG11" s="637">
        <f>VLOOKUP(A11,'42. SEA or LEA Worksheet'!$A$4:$AM$324,36,0)</f>
        <v>0</v>
      </c>
      <c r="BH11" s="638" t="str">
        <f t="shared" si="16"/>
        <v>Met</v>
      </c>
      <c r="BI11" s="639"/>
      <c r="BJ11" s="637">
        <f>VLOOKUP(A11,'42. SEA or LEA Worksheet'!$A$4:$AM$324,38,0)</f>
        <v>1042523.59</v>
      </c>
      <c r="BK11" s="638" t="str">
        <f t="shared" si="17"/>
        <v>Met</v>
      </c>
      <c r="BM11" s="631">
        <f>VLOOKUP(A11,'42. SEA or LEA Worksheet'!$A$4:$AL$324,36,0)/VLOOKUP(A11,'42. SEA or LEA Worksheet'!$A$4:$AL$324,35,0)</f>
        <v>0</v>
      </c>
      <c r="BN11" s="632" t="str">
        <f t="shared" si="18"/>
        <v>Met</v>
      </c>
      <c r="BP11" s="631">
        <f>VLOOKUP(A11,'42. SEA or LEA Worksheet'!$A$4:$AL$324,38,0)/VLOOKUP(A11,'42. SEA or LEA Worksheet'!$A$4:$AL$324,35,0)</f>
        <v>11331.778152173913</v>
      </c>
      <c r="BQ11" s="632" t="str">
        <f t="shared" si="19"/>
        <v>Met</v>
      </c>
      <c r="BS11" s="620" t="str">
        <f t="shared" si="20"/>
        <v>Met</v>
      </c>
    </row>
    <row r="12" spans="1:71" x14ac:dyDescent="0.25">
      <c r="A12" s="343" t="s">
        <v>204</v>
      </c>
      <c r="B12" s="510" t="s">
        <v>843</v>
      </c>
      <c r="C12" s="511"/>
      <c r="D12" s="444">
        <v>3693946.46</v>
      </c>
      <c r="E12" s="343" t="s">
        <v>856</v>
      </c>
      <c r="F12" s="511"/>
      <c r="G12" s="444">
        <v>29663824.880000003</v>
      </c>
      <c r="H12" s="343" t="s">
        <v>835</v>
      </c>
      <c r="I12" s="511"/>
      <c r="J12" s="444">
        <v>1877.0053150406504</v>
      </c>
      <c r="K12" s="343" t="s">
        <v>856</v>
      </c>
      <c r="L12" s="511"/>
      <c r="M12" s="444">
        <v>15073.081747967481</v>
      </c>
      <c r="N12" s="343" t="s">
        <v>835</v>
      </c>
      <c r="O12" s="511"/>
      <c r="P12" s="512" t="str">
        <f t="shared" si="0"/>
        <v>Met</v>
      </c>
      <c r="Q12" s="511"/>
      <c r="R12" s="444">
        <f>VLOOKUP(A12,'2020-21'!$A$6:$F$319,6,0)</f>
        <v>6917692.9500000002</v>
      </c>
      <c r="S12" s="513" t="str">
        <f t="shared" si="1"/>
        <v>Met</v>
      </c>
      <c r="U12" s="444">
        <f>VLOOKUP(A12,'2020-21'!$A$6:$G$319,7,0)</f>
        <v>32219116.620000001</v>
      </c>
      <c r="V12" s="513" t="str">
        <f t="shared" si="2"/>
        <v>Met</v>
      </c>
      <c r="X12" s="444">
        <f>VLOOKUP(A12,'2020-21'!$A$6:$F$319,6,0)/VLOOKUP(A12,'42. SEA or LEA Worksheet'!$A$4:$T$324,20,0)</f>
        <v>3621.8287696335078</v>
      </c>
      <c r="Y12" s="513" t="str">
        <f t="shared" si="3"/>
        <v>Met</v>
      </c>
      <c r="AA12" s="444">
        <f>VLOOKUP(A12,'42. SEA or LEA Worksheet'!$A$4:$W$324,23,0)/VLOOKUP(compliance!A12,'42. SEA or LEA Worksheet'!$A$4:$T$324,20,0)</f>
        <v>16868.647445026178</v>
      </c>
      <c r="AB12" s="513" t="str">
        <f t="shared" si="4"/>
        <v>Met</v>
      </c>
      <c r="AD12" s="512" t="str">
        <f t="shared" si="5"/>
        <v>Met</v>
      </c>
      <c r="AF12" s="444">
        <f>VLOOKUP(A12,'42. SEA or LEA Worksheet'!$A$4:$Z$324,26,0)</f>
        <v>8245391</v>
      </c>
      <c r="AG12" s="513" t="str">
        <f t="shared" si="6"/>
        <v>Met</v>
      </c>
      <c r="AI12" s="444">
        <f>VLOOKUP(A12,'42. SEA or LEA Worksheet'!$A$4:$AB$324,28,0)</f>
        <v>33273691.870000001</v>
      </c>
      <c r="AJ12" s="513" t="str">
        <f t="shared" si="7"/>
        <v>Met</v>
      </c>
      <c r="AL12" s="444">
        <f>VLOOKUP(compliance!A12,'42. SEA or LEA Worksheet'!$A$4:$AB$324,26,0)/VLOOKUP(compliance!A12,'42. SEA or LEA Worksheet'!$A$4:$Y$324,25,0)</f>
        <v>4328.2892388451446</v>
      </c>
      <c r="AM12" s="513" t="str">
        <f t="shared" si="8"/>
        <v>Met</v>
      </c>
      <c r="AO12" s="444">
        <f>VLOOKUP(A12,'42. SEA or LEA Worksheet'!$A$4:$AB$324,28,0)/VLOOKUP(compliance!A12,'42. SEA or LEA Worksheet'!$A$4:$Y$324,25,0)</f>
        <v>17466.504918635172</v>
      </c>
      <c r="AP12" s="513" t="str">
        <f t="shared" si="9"/>
        <v>Met</v>
      </c>
      <c r="AR12" s="512" t="str">
        <f t="shared" si="10"/>
        <v>Met</v>
      </c>
      <c r="AT12" s="444">
        <f>VLOOKUP(A12,'42. SEA or LEA Worksheet'!$A$4:$AE$324,31,0)</f>
        <v>10018435.32</v>
      </c>
      <c r="AU12" s="513" t="str">
        <f t="shared" si="11"/>
        <v>Met</v>
      </c>
      <c r="AW12" s="444">
        <f>VLOOKUP(A12,'42. SEA or LEA Worksheet'!$A$4:$AG$324,33,0)</f>
        <v>39141961.030000001</v>
      </c>
      <c r="AX12" s="513" t="str">
        <f t="shared" si="12"/>
        <v>Met</v>
      </c>
      <c r="AZ12" s="444">
        <f>VLOOKUP(A12,'42. SEA or LEA Worksheet'!$A$4:$AG$324,31,0)/VLOOKUP(A12,'42. SEA or LEA Worksheet'!$A$4:$AD$324,30,0)</f>
        <v>4957.1674022761008</v>
      </c>
      <c r="BA12" s="513" t="str">
        <f t="shared" si="13"/>
        <v>Met</v>
      </c>
      <c r="BC12" s="444">
        <f>VLOOKUP(A12,'42. SEA or LEA Worksheet'!$A$4:$AG$324,33,0)/VLOOKUP(A12,'42. SEA or LEA Worksheet'!$A$4:$AD$324,30,0)</f>
        <v>19367.620499752597</v>
      </c>
      <c r="BD12" s="513" t="str">
        <f t="shared" si="14"/>
        <v>Met</v>
      </c>
      <c r="BF12" s="512" t="str">
        <f t="shared" si="15"/>
        <v>Met</v>
      </c>
      <c r="BG12" s="637">
        <f>VLOOKUP(A12,'42. SEA or LEA Worksheet'!$A$4:$AM$324,36,0)</f>
        <v>8589785.2599999998</v>
      </c>
      <c r="BH12" s="638" t="str">
        <f t="shared" si="16"/>
        <v>Did not Meet</v>
      </c>
      <c r="BI12" s="639"/>
      <c r="BJ12" s="637">
        <f>VLOOKUP(A12,'42. SEA or LEA Worksheet'!$A$4:$AM$324,38,0)</f>
        <v>41589941.829999998</v>
      </c>
      <c r="BK12" s="638" t="str">
        <f t="shared" si="17"/>
        <v>Met</v>
      </c>
      <c r="BM12" s="631">
        <f>VLOOKUP(A12,'42. SEA or LEA Worksheet'!$A$4:$AL$324,36,0)/VLOOKUP(A12,'42. SEA or LEA Worksheet'!$A$4:$AL$324,35,0)</f>
        <v>4055.6115486307835</v>
      </c>
      <c r="BN12" s="632" t="str">
        <f t="shared" si="18"/>
        <v>Met</v>
      </c>
      <c r="BP12" s="631">
        <f>VLOOKUP(A12,'42. SEA or LEA Worksheet'!$A$4:$AL$324,38,0)/VLOOKUP(A12,'42. SEA or LEA Worksheet'!$A$4:$AL$324,35,0)</f>
        <v>19636.422016052878</v>
      </c>
      <c r="BQ12" s="632" t="str">
        <f t="shared" si="19"/>
        <v>Met</v>
      </c>
      <c r="BS12" s="620" t="str">
        <f t="shared" si="20"/>
        <v>Met</v>
      </c>
    </row>
    <row r="13" spans="1:71" x14ac:dyDescent="0.25">
      <c r="A13" s="343" t="s">
        <v>207</v>
      </c>
      <c r="B13" s="510" t="s">
        <v>844</v>
      </c>
      <c r="C13" s="511"/>
      <c r="D13" s="444">
        <v>60420</v>
      </c>
      <c r="E13" s="343" t="s">
        <v>856</v>
      </c>
      <c r="F13" s="511"/>
      <c r="G13" s="444">
        <v>8090553.2999999998</v>
      </c>
      <c r="H13" s="343" t="s">
        <v>835</v>
      </c>
      <c r="I13" s="511"/>
      <c r="J13" s="444">
        <v>133.08370044052865</v>
      </c>
      <c r="K13" s="343" t="s">
        <v>856</v>
      </c>
      <c r="L13" s="511"/>
      <c r="M13" s="444">
        <v>17820.601982378856</v>
      </c>
      <c r="N13" s="343" t="s">
        <v>835</v>
      </c>
      <c r="O13" s="511"/>
      <c r="P13" s="512" t="str">
        <f t="shared" si="0"/>
        <v>Met</v>
      </c>
      <c r="Q13" s="511"/>
      <c r="R13" s="444">
        <f>VLOOKUP(A13,'2020-21'!$A$6:$F$319,6,0)</f>
        <v>3640</v>
      </c>
      <c r="S13" s="513" t="str">
        <f t="shared" si="1"/>
        <v>Did not Meet</v>
      </c>
      <c r="U13" s="444">
        <f>VLOOKUP(A13,'2020-21'!$A$6:$G$319,7,0)</f>
        <v>8098295.0700000003</v>
      </c>
      <c r="V13" s="513" t="str">
        <f t="shared" si="2"/>
        <v>Met</v>
      </c>
      <c r="X13" s="444">
        <f>VLOOKUP(A13,'2020-21'!$A$6:$F$319,6,0)/VLOOKUP(A13,'42. SEA or LEA Worksheet'!$A$4:$T$324,20,0)</f>
        <v>8.3105022831050235</v>
      </c>
      <c r="Y13" s="513" t="str">
        <f t="shared" si="3"/>
        <v>Did not Meet</v>
      </c>
      <c r="AA13" s="444">
        <f>VLOOKUP(A13,'42. SEA or LEA Worksheet'!$A$4:$W$324,23,0)/VLOOKUP(compliance!A13,'42. SEA or LEA Worksheet'!$A$4:$T$324,20,0)</f>
        <v>18489.258150684931</v>
      </c>
      <c r="AB13" s="513" t="str">
        <f t="shared" si="4"/>
        <v>Met</v>
      </c>
      <c r="AD13" s="512" t="str">
        <f t="shared" si="5"/>
        <v>Met</v>
      </c>
      <c r="AF13" s="444">
        <f>VLOOKUP(A13,'42. SEA or LEA Worksheet'!$A$4:$Z$324,26,0)</f>
        <v>2171499.04</v>
      </c>
      <c r="AG13" s="513" t="str">
        <f t="shared" si="6"/>
        <v>Met</v>
      </c>
      <c r="AI13" s="444">
        <f>VLOOKUP(A13,'42. SEA or LEA Worksheet'!$A$4:$AB$324,28,0)</f>
        <v>8504005.0700000003</v>
      </c>
      <c r="AJ13" s="513" t="str">
        <f t="shared" si="7"/>
        <v>Met</v>
      </c>
      <c r="AL13" s="444">
        <f>VLOOKUP(compliance!A13,'42. SEA or LEA Worksheet'!$A$4:$AB$324,26,0)/VLOOKUP(compliance!A13,'42. SEA or LEA Worksheet'!$A$4:$Y$324,25,0)</f>
        <v>4847.0960714285711</v>
      </c>
      <c r="AM13" s="513" t="str">
        <f t="shared" si="8"/>
        <v>Met</v>
      </c>
      <c r="AO13" s="444">
        <f>VLOOKUP(A13,'42. SEA or LEA Worksheet'!$A$4:$AB$324,28,0)/VLOOKUP(compliance!A13,'42. SEA or LEA Worksheet'!$A$4:$Y$324,25,0)</f>
        <v>18982.154174107145</v>
      </c>
      <c r="AP13" s="513" t="str">
        <f t="shared" si="9"/>
        <v>Met</v>
      </c>
      <c r="AR13" s="512" t="str">
        <f t="shared" si="10"/>
        <v>Met</v>
      </c>
      <c r="AT13" s="444">
        <f>VLOOKUP(A13,'42. SEA or LEA Worksheet'!$A$4:$AE$324,31,0)</f>
        <v>2570993.3199999998</v>
      </c>
      <c r="AU13" s="513" t="str">
        <f t="shared" si="11"/>
        <v>Met</v>
      </c>
      <c r="AW13" s="444">
        <f>VLOOKUP(A13,'42. SEA or LEA Worksheet'!$A$4:$AG$324,33,0)</f>
        <v>9746515.4299999997</v>
      </c>
      <c r="AX13" s="513" t="str">
        <f t="shared" si="12"/>
        <v>Met</v>
      </c>
      <c r="AZ13" s="444">
        <f>VLOOKUP(A13,'42. SEA or LEA Worksheet'!$A$4:$AG$324,31,0)/VLOOKUP(A13,'42. SEA or LEA Worksheet'!$A$4:$AD$324,30,0)</f>
        <v>5613.5225327510916</v>
      </c>
      <c r="BA13" s="513" t="str">
        <f t="shared" si="13"/>
        <v>Met</v>
      </c>
      <c r="BC13" s="444">
        <f>VLOOKUP(A13,'42. SEA or LEA Worksheet'!$A$4:$AG$324,33,0)/VLOOKUP(A13,'42. SEA or LEA Worksheet'!$A$4:$AD$324,30,0)</f>
        <v>21280.601375545852</v>
      </c>
      <c r="BD13" s="513" t="str">
        <f t="shared" si="14"/>
        <v>Met</v>
      </c>
      <c r="BF13" s="512" t="str">
        <f t="shared" si="15"/>
        <v>Met</v>
      </c>
      <c r="BG13" s="637">
        <f>VLOOKUP(A13,'42. SEA or LEA Worksheet'!$A$4:$AM$324,36,0)</f>
        <v>1866884.09</v>
      </c>
      <c r="BH13" s="638" t="str">
        <f t="shared" si="16"/>
        <v>Did not Meet</v>
      </c>
      <c r="BI13" s="639"/>
      <c r="BJ13" s="637">
        <f>VLOOKUP(A13,'42. SEA or LEA Worksheet'!$A$4:$AM$324,38,0)</f>
        <v>9928176.3800000008</v>
      </c>
      <c r="BK13" s="638" t="str">
        <f t="shared" si="17"/>
        <v>Met</v>
      </c>
      <c r="BM13" s="631">
        <f>VLOOKUP(A13,'42. SEA or LEA Worksheet'!$A$4:$AL$324,36,0)/VLOOKUP(A13,'42. SEA or LEA Worksheet'!$A$4:$AL$324,35,0)</f>
        <v>4076.1661353711793</v>
      </c>
      <c r="BN13" s="632" t="str">
        <f t="shared" si="18"/>
        <v>Met</v>
      </c>
      <c r="BP13" s="631">
        <f>VLOOKUP(A13,'42. SEA or LEA Worksheet'!$A$4:$AL$324,38,0)/VLOOKUP(A13,'42. SEA or LEA Worksheet'!$A$4:$AL$324,35,0)</f>
        <v>21677.241004366813</v>
      </c>
      <c r="BQ13" s="632" t="str">
        <f t="shared" si="19"/>
        <v>Met</v>
      </c>
      <c r="BS13" s="620" t="str">
        <f t="shared" si="20"/>
        <v>Met</v>
      </c>
    </row>
    <row r="14" spans="1:71" x14ac:dyDescent="0.25">
      <c r="A14" s="343" t="s">
        <v>209</v>
      </c>
      <c r="B14" s="510" t="s">
        <v>845</v>
      </c>
      <c r="C14" s="511"/>
      <c r="D14" s="444">
        <v>1610450.13</v>
      </c>
      <c r="E14" s="343" t="s">
        <v>856</v>
      </c>
      <c r="F14" s="511"/>
      <c r="G14" s="444">
        <v>22354950.209999997</v>
      </c>
      <c r="H14" s="343" t="s">
        <v>835</v>
      </c>
      <c r="I14" s="511"/>
      <c r="J14" s="444">
        <v>850.29045934530086</v>
      </c>
      <c r="K14" s="343" t="s">
        <v>856</v>
      </c>
      <c r="L14" s="511"/>
      <c r="M14" s="444">
        <v>11803.036013727558</v>
      </c>
      <c r="N14" s="343" t="s">
        <v>835</v>
      </c>
      <c r="O14" s="511"/>
      <c r="P14" s="512" t="str">
        <f t="shared" si="0"/>
        <v>Met</v>
      </c>
      <c r="Q14" s="511"/>
      <c r="R14" s="444">
        <f>VLOOKUP(A14,'2020-21'!$A$6:$F$319,6,0)</f>
        <v>3221053.31</v>
      </c>
      <c r="S14" s="513" t="str">
        <f t="shared" si="1"/>
        <v>Met</v>
      </c>
      <c r="U14" s="444">
        <f>VLOOKUP(A14,'2020-21'!$A$6:$G$319,7,0)</f>
        <v>21766008.099999998</v>
      </c>
      <c r="V14" s="513" t="str">
        <f t="shared" si="2"/>
        <v>Did not Meet</v>
      </c>
      <c r="X14" s="444">
        <f>VLOOKUP(A14,'2020-21'!$A$6:$F$319,6,0)/VLOOKUP(A14,'42. SEA or LEA Worksheet'!$A$4:$T$324,20,0)</f>
        <v>1854.3772654001152</v>
      </c>
      <c r="Y14" s="513" t="str">
        <f t="shared" si="3"/>
        <v>Met</v>
      </c>
      <c r="AA14" s="444">
        <f>VLOOKUP(A14,'42. SEA or LEA Worksheet'!$A$4:$W$324,23,0)/VLOOKUP(compliance!A14,'42. SEA or LEA Worksheet'!$A$4:$T$324,20,0)</f>
        <v>12530.804893494529</v>
      </c>
      <c r="AB14" s="513" t="str">
        <f t="shared" si="4"/>
        <v>Met</v>
      </c>
      <c r="AD14" s="512" t="str">
        <f t="shared" si="5"/>
        <v>Met</v>
      </c>
      <c r="AF14" s="444">
        <f>VLOOKUP(A14,'42. SEA or LEA Worksheet'!$A$4:$Z$324,26,0)</f>
        <v>3692114.25</v>
      </c>
      <c r="AG14" s="513" t="str">
        <f t="shared" si="6"/>
        <v>Met</v>
      </c>
      <c r="AI14" s="444">
        <f>VLOOKUP(A14,'42. SEA or LEA Worksheet'!$A$4:$AB$324,28,0)</f>
        <v>22287924.420000002</v>
      </c>
      <c r="AJ14" s="513" t="str">
        <f t="shared" si="7"/>
        <v>Met</v>
      </c>
      <c r="AL14" s="444">
        <f>VLOOKUP(compliance!A14,'42. SEA or LEA Worksheet'!$A$4:$AB$324,26,0)/VLOOKUP(compliance!A14,'42. SEA or LEA Worksheet'!$A$4:$Y$324,25,0)</f>
        <v>2245.8115875912408</v>
      </c>
      <c r="AM14" s="513" t="str">
        <f t="shared" si="8"/>
        <v>Met</v>
      </c>
      <c r="AO14" s="444">
        <f>VLOOKUP(A14,'42. SEA or LEA Worksheet'!$A$4:$AB$324,28,0)/VLOOKUP(compliance!A14,'42. SEA or LEA Worksheet'!$A$4:$Y$324,25,0)</f>
        <v>13557.131642335768</v>
      </c>
      <c r="AP14" s="513" t="str">
        <f t="shared" si="9"/>
        <v>Met</v>
      </c>
      <c r="AR14" s="512" t="str">
        <f t="shared" si="10"/>
        <v>Met</v>
      </c>
      <c r="AT14" s="444">
        <f>VLOOKUP(A14,'42. SEA or LEA Worksheet'!$A$4:$AE$324,31,0)</f>
        <v>2810881.68</v>
      </c>
      <c r="AU14" s="513" t="str">
        <f t="shared" si="11"/>
        <v>Did not Meet</v>
      </c>
      <c r="AW14" s="444">
        <f>VLOOKUP(A14,'42. SEA or LEA Worksheet'!$A$4:$AG$324,33,0)</f>
        <v>24179486.739999998</v>
      </c>
      <c r="AX14" s="513" t="str">
        <f t="shared" si="12"/>
        <v>Met</v>
      </c>
      <c r="AZ14" s="444">
        <f>VLOOKUP(A14,'42. SEA or LEA Worksheet'!$A$4:$AG$324,31,0)/VLOOKUP(A14,'42. SEA or LEA Worksheet'!$A$4:$AD$324,30,0)</f>
        <v>1654.4330076515598</v>
      </c>
      <c r="BA14" s="513" t="str">
        <f t="shared" si="13"/>
        <v>Did not Meet</v>
      </c>
      <c r="BC14" s="444">
        <f>VLOOKUP(A14,'42. SEA or LEA Worksheet'!$A$4:$AG$324,33,0)/VLOOKUP(A14,'42. SEA or LEA Worksheet'!$A$4:$AD$324,30,0)</f>
        <v>14231.599022954679</v>
      </c>
      <c r="BD14" s="513" t="str">
        <f t="shared" si="14"/>
        <v>Met</v>
      </c>
      <c r="BF14" s="512" t="str">
        <f t="shared" si="15"/>
        <v>Met</v>
      </c>
      <c r="BG14" s="637">
        <f>VLOOKUP(A14,'42. SEA or LEA Worksheet'!$A$4:$AM$324,36,0)</f>
        <v>3081604.83</v>
      </c>
      <c r="BH14" s="638" t="str">
        <f t="shared" si="16"/>
        <v>Met</v>
      </c>
      <c r="BI14" s="639"/>
      <c r="BJ14" s="637">
        <f>VLOOKUP(A14,'42. SEA or LEA Worksheet'!$A$4:$AM$324,38,0)</f>
        <v>29175921.460000001</v>
      </c>
      <c r="BK14" s="638" t="str">
        <f t="shared" si="17"/>
        <v>Met</v>
      </c>
      <c r="BM14" s="631">
        <f>VLOOKUP(A14,'42. SEA or LEA Worksheet'!$A$4:$AL$324,36,0)/VLOOKUP(A14,'42. SEA or LEA Worksheet'!$A$4:$AL$324,35,0)</f>
        <v>1715.8156069042316</v>
      </c>
      <c r="BN14" s="632" t="str">
        <f t="shared" si="18"/>
        <v>Met</v>
      </c>
      <c r="BP14" s="631">
        <f>VLOOKUP(A14,'42. SEA or LEA Worksheet'!$A$4:$AL$324,38,0)/VLOOKUP(A14,'42. SEA or LEA Worksheet'!$A$4:$AL$324,35,0)</f>
        <v>16244.94513363029</v>
      </c>
      <c r="BQ14" s="632" t="str">
        <f t="shared" si="19"/>
        <v>Met</v>
      </c>
      <c r="BS14" s="620" t="str">
        <f t="shared" si="20"/>
        <v>Met</v>
      </c>
    </row>
    <row r="15" spans="1:71" x14ac:dyDescent="0.25">
      <c r="A15" s="343" t="s">
        <v>212</v>
      </c>
      <c r="B15" s="510" t="s">
        <v>846</v>
      </c>
      <c r="C15" s="511"/>
      <c r="D15" s="444">
        <v>327011.34999999998</v>
      </c>
      <c r="E15" s="343" t="s">
        <v>856</v>
      </c>
      <c r="F15" s="511"/>
      <c r="G15" s="444">
        <v>45107480.690000005</v>
      </c>
      <c r="H15" s="343" t="s">
        <v>835</v>
      </c>
      <c r="I15" s="511"/>
      <c r="J15" s="444">
        <v>174.59228510411103</v>
      </c>
      <c r="K15" s="343" t="s">
        <v>856</v>
      </c>
      <c r="L15" s="511"/>
      <c r="M15" s="444">
        <v>24083.011580352377</v>
      </c>
      <c r="N15" s="343" t="s">
        <v>835</v>
      </c>
      <c r="O15" s="511"/>
      <c r="P15" s="512" t="str">
        <f t="shared" si="0"/>
        <v>Met</v>
      </c>
      <c r="Q15" s="511"/>
      <c r="R15" s="444">
        <f>VLOOKUP(A15,'2020-21'!$A$6:$F$319,6,0)</f>
        <v>1601067.92</v>
      </c>
      <c r="S15" s="513" t="str">
        <f t="shared" si="1"/>
        <v>Met</v>
      </c>
      <c r="U15" s="444">
        <f>VLOOKUP(A15,'2020-21'!$A$6:$G$319,7,0)</f>
        <v>48983880.950000003</v>
      </c>
      <c r="V15" s="513" t="str">
        <f t="shared" si="2"/>
        <v>Met</v>
      </c>
      <c r="X15" s="444">
        <f>VLOOKUP(A15,'2020-21'!$A$6:$F$319,6,0)/VLOOKUP(A15,'42. SEA or LEA Worksheet'!$A$4:$T$324,20,0)</f>
        <v>878.2599670872188</v>
      </c>
      <c r="Y15" s="513" t="str">
        <f t="shared" si="3"/>
        <v>Met</v>
      </c>
      <c r="AA15" s="444">
        <f>VLOOKUP(A15,'42. SEA or LEA Worksheet'!$A$4:$W$324,23,0)/VLOOKUP(compliance!A15,'42. SEA or LEA Worksheet'!$A$4:$T$324,20,0)</f>
        <v>26869.929210093254</v>
      </c>
      <c r="AB15" s="513" t="str">
        <f t="shared" si="4"/>
        <v>Met</v>
      </c>
      <c r="AD15" s="512" t="str">
        <f t="shared" si="5"/>
        <v>Met</v>
      </c>
      <c r="AF15" s="444">
        <f>VLOOKUP(A15,'42. SEA or LEA Worksheet'!$A$4:$Z$324,26,0)</f>
        <v>1619516.22</v>
      </c>
      <c r="AG15" s="513" t="str">
        <f t="shared" si="6"/>
        <v>Met</v>
      </c>
      <c r="AI15" s="444">
        <f>VLOOKUP(A15,'42. SEA or LEA Worksheet'!$A$4:$AB$324,28,0)</f>
        <v>51416741.869999997</v>
      </c>
      <c r="AJ15" s="513" t="str">
        <f t="shared" si="7"/>
        <v>Met</v>
      </c>
      <c r="AL15" s="444">
        <f>VLOOKUP(compliance!A15,'42. SEA or LEA Worksheet'!$A$4:$AB$324,26,0)/VLOOKUP(compliance!A15,'42. SEA or LEA Worksheet'!$A$4:$Y$324,25,0)</f>
        <v>945.42686514886168</v>
      </c>
      <c r="AM15" s="513" t="str">
        <f t="shared" si="8"/>
        <v>Met</v>
      </c>
      <c r="AO15" s="444">
        <f>VLOOKUP(A15,'42. SEA or LEA Worksheet'!$A$4:$AB$324,28,0)/VLOOKUP(compliance!A15,'42. SEA or LEA Worksheet'!$A$4:$Y$324,25,0)</f>
        <v>30015.611132516053</v>
      </c>
      <c r="AP15" s="513" t="str">
        <f t="shared" si="9"/>
        <v>Met</v>
      </c>
      <c r="AR15" s="512" t="str">
        <f t="shared" si="10"/>
        <v>Met</v>
      </c>
      <c r="AT15" s="444">
        <f>VLOOKUP(A15,'42. SEA or LEA Worksheet'!$A$4:$AE$324,31,0)</f>
        <v>13372138.779999999</v>
      </c>
      <c r="AU15" s="513" t="str">
        <f t="shared" si="11"/>
        <v>Met</v>
      </c>
      <c r="AW15" s="444">
        <f>VLOOKUP(A15,'42. SEA or LEA Worksheet'!$A$4:$AG$324,33,0)</f>
        <v>60835058.280000001</v>
      </c>
      <c r="AX15" s="513" t="str">
        <f t="shared" si="12"/>
        <v>Met</v>
      </c>
      <c r="AZ15" s="444">
        <f>VLOOKUP(A15,'42. SEA or LEA Worksheet'!$A$4:$AG$324,31,0)/VLOOKUP(A15,'42. SEA or LEA Worksheet'!$A$4:$AD$324,30,0)</f>
        <v>7347.3289999999997</v>
      </c>
      <c r="BA15" s="513" t="str">
        <f t="shared" si="13"/>
        <v>Met</v>
      </c>
      <c r="BC15" s="444">
        <f>VLOOKUP(A15,'42. SEA or LEA Worksheet'!$A$4:$AG$324,33,0)/VLOOKUP(A15,'42. SEA or LEA Worksheet'!$A$4:$AD$324,30,0)</f>
        <v>33425.856197802197</v>
      </c>
      <c r="BD15" s="513" t="str">
        <f t="shared" si="14"/>
        <v>Met</v>
      </c>
      <c r="BF15" s="512" t="str">
        <f t="shared" si="15"/>
        <v>Met</v>
      </c>
      <c r="BG15" s="637">
        <f>VLOOKUP(A15,'42. SEA or LEA Worksheet'!$A$4:$AM$324,36,0)</f>
        <v>13567401.720000001</v>
      </c>
      <c r="BH15" s="638" t="str">
        <f t="shared" si="16"/>
        <v>Met</v>
      </c>
      <c r="BI15" s="639"/>
      <c r="BJ15" s="637">
        <f>VLOOKUP(A15,'42. SEA or LEA Worksheet'!$A$4:$AM$324,38,0)</f>
        <v>70056745.879999995</v>
      </c>
      <c r="BK15" s="638" t="str">
        <f t="shared" si="17"/>
        <v>Met</v>
      </c>
      <c r="BM15" s="631">
        <f>VLOOKUP(A15,'42. SEA or LEA Worksheet'!$A$4:$AL$324,36,0)/VLOOKUP(A15,'42. SEA or LEA Worksheet'!$A$4:$AL$324,35,0)</f>
        <v>6563.8131204644415</v>
      </c>
      <c r="BN15" s="632" t="str">
        <f t="shared" si="18"/>
        <v>Met</v>
      </c>
      <c r="BP15" s="631">
        <f>VLOOKUP(A15,'42. SEA or LEA Worksheet'!$A$4:$AL$324,38,0)/VLOOKUP(A15,'42. SEA or LEA Worksheet'!$A$4:$AL$324,35,0)</f>
        <v>33892.958819545231</v>
      </c>
      <c r="BQ15" s="632" t="str">
        <f t="shared" si="19"/>
        <v>Met</v>
      </c>
      <c r="BS15" s="620" t="str">
        <f t="shared" si="20"/>
        <v>Met</v>
      </c>
    </row>
    <row r="16" spans="1:71" x14ac:dyDescent="0.25">
      <c r="A16" s="343" t="s">
        <v>214</v>
      </c>
      <c r="B16" s="510" t="s">
        <v>847</v>
      </c>
      <c r="C16" s="511"/>
      <c r="D16" s="444">
        <v>3149706.69</v>
      </c>
      <c r="E16" s="343" t="s">
        <v>856</v>
      </c>
      <c r="F16" s="511"/>
      <c r="G16" s="444">
        <v>23138778.66</v>
      </c>
      <c r="H16" s="343" t="s">
        <v>835</v>
      </c>
      <c r="I16" s="511"/>
      <c r="J16" s="444">
        <v>1863.7317692307693</v>
      </c>
      <c r="K16" s="343" t="s">
        <v>856</v>
      </c>
      <c r="L16" s="511"/>
      <c r="M16" s="444">
        <v>13691.585005917161</v>
      </c>
      <c r="N16" s="343" t="s">
        <v>835</v>
      </c>
      <c r="O16" s="511"/>
      <c r="P16" s="512" t="str">
        <f t="shared" si="0"/>
        <v>Met</v>
      </c>
      <c r="Q16" s="511"/>
      <c r="R16" s="444">
        <f>VLOOKUP(A16,'2020-21'!$A$6:$F$319,6,0)</f>
        <v>6366014.1699999999</v>
      </c>
      <c r="S16" s="513" t="str">
        <f t="shared" si="1"/>
        <v>Met</v>
      </c>
      <c r="U16" s="444">
        <f>VLOOKUP(A16,'2020-21'!$A$6:$G$319,7,0)</f>
        <v>25600512.039999999</v>
      </c>
      <c r="V16" s="513" t="str">
        <f t="shared" si="2"/>
        <v>Met</v>
      </c>
      <c r="X16" s="444">
        <f>VLOOKUP(A16,'2020-21'!$A$6:$F$319,6,0)/VLOOKUP(A16,'42. SEA or LEA Worksheet'!$A$4:$T$324,20,0)</f>
        <v>3722.8153040935672</v>
      </c>
      <c r="Y16" s="513" t="str">
        <f t="shared" si="3"/>
        <v>Met</v>
      </c>
      <c r="AA16" s="444">
        <f>VLOOKUP(A16,'42. SEA or LEA Worksheet'!$A$4:$W$324,23,0)/VLOOKUP(compliance!A16,'42. SEA or LEA Worksheet'!$A$4:$T$324,20,0)</f>
        <v>14971.059672514619</v>
      </c>
      <c r="AB16" s="513" t="str">
        <f t="shared" si="4"/>
        <v>Met</v>
      </c>
      <c r="AD16" s="512" t="str">
        <f t="shared" si="5"/>
        <v>Met</v>
      </c>
      <c r="AF16" s="444">
        <f>VLOOKUP(A16,'42. SEA or LEA Worksheet'!$A$4:$Z$324,26,0)</f>
        <v>7623142.1200000001</v>
      </c>
      <c r="AG16" s="513" t="str">
        <f t="shared" si="6"/>
        <v>Met</v>
      </c>
      <c r="AI16" s="444">
        <f>VLOOKUP(A16,'42. SEA or LEA Worksheet'!$A$4:$AB$324,28,0)</f>
        <v>28409590.060000002</v>
      </c>
      <c r="AJ16" s="513" t="str">
        <f t="shared" si="7"/>
        <v>Met</v>
      </c>
      <c r="AL16" s="444">
        <f>VLOOKUP(compliance!A16,'42. SEA or LEA Worksheet'!$A$4:$AB$324,26,0)/VLOOKUP(compliance!A16,'42. SEA or LEA Worksheet'!$A$4:$Y$324,25,0)</f>
        <v>4376.0861768082668</v>
      </c>
      <c r="AM16" s="513" t="str">
        <f t="shared" si="8"/>
        <v>Met</v>
      </c>
      <c r="AO16" s="444">
        <f>VLOOKUP(A16,'42. SEA or LEA Worksheet'!$A$4:$AB$324,28,0)/VLOOKUP(compliance!A16,'42. SEA or LEA Worksheet'!$A$4:$Y$324,25,0)</f>
        <v>16308.605086107924</v>
      </c>
      <c r="AP16" s="513" t="str">
        <f t="shared" si="9"/>
        <v>Met</v>
      </c>
      <c r="AR16" s="512" t="str">
        <f t="shared" si="10"/>
        <v>Met</v>
      </c>
      <c r="AT16" s="444">
        <f>VLOOKUP(A16,'42. SEA or LEA Worksheet'!$A$4:$AE$324,31,0)</f>
        <v>8881264.5500000007</v>
      </c>
      <c r="AU16" s="513" t="str">
        <f t="shared" si="11"/>
        <v>Met</v>
      </c>
      <c r="AW16" s="444">
        <f>VLOOKUP(A16,'42. SEA or LEA Worksheet'!$A$4:$AG$324,33,0)</f>
        <v>29943800.890000001</v>
      </c>
      <c r="AX16" s="513" t="str">
        <f t="shared" si="12"/>
        <v>Met</v>
      </c>
      <c r="AZ16" s="444">
        <f>VLOOKUP(A16,'42. SEA or LEA Worksheet'!$A$4:$AG$324,31,0)/VLOOKUP(A16,'42. SEA or LEA Worksheet'!$A$4:$AD$324,30,0)</f>
        <v>4978.2873038116595</v>
      </c>
      <c r="BA16" s="513" t="str">
        <f t="shared" si="13"/>
        <v>Met</v>
      </c>
      <c r="BC16" s="444">
        <f>VLOOKUP(A16,'42. SEA or LEA Worksheet'!$A$4:$AG$324,33,0)/VLOOKUP(A16,'42. SEA or LEA Worksheet'!$A$4:$AD$324,30,0)</f>
        <v>16784.641754484306</v>
      </c>
      <c r="BD16" s="513" t="str">
        <f t="shared" si="14"/>
        <v>Met</v>
      </c>
      <c r="BF16" s="512" t="str">
        <f t="shared" si="15"/>
        <v>Met</v>
      </c>
      <c r="BG16" s="637">
        <f>VLOOKUP(A16,'42. SEA or LEA Worksheet'!$A$4:$AM$324,36,0)</f>
        <v>7531975.1100000003</v>
      </c>
      <c r="BH16" s="638" t="str">
        <f t="shared" si="16"/>
        <v>Did not Meet</v>
      </c>
      <c r="BI16" s="639"/>
      <c r="BJ16" s="637">
        <f>VLOOKUP(A16,'42. SEA or LEA Worksheet'!$A$4:$AM$324,38,0)</f>
        <v>32286983.620000001</v>
      </c>
      <c r="BK16" s="638" t="str">
        <f t="shared" si="17"/>
        <v>Met</v>
      </c>
      <c r="BM16" s="631">
        <f>VLOOKUP(A16,'42. SEA or LEA Worksheet'!$A$4:$AL$324,36,0)/VLOOKUP(A16,'42. SEA or LEA Worksheet'!$A$4:$AL$324,35,0)</f>
        <v>3997.8636464968154</v>
      </c>
      <c r="BN16" s="632" t="str">
        <f t="shared" si="18"/>
        <v>Met</v>
      </c>
      <c r="BP16" s="631">
        <f>VLOOKUP(A16,'42. SEA or LEA Worksheet'!$A$4:$AL$324,38,0)/VLOOKUP(A16,'42. SEA or LEA Worksheet'!$A$4:$AL$324,35,0)</f>
        <v>17137.464766454352</v>
      </c>
      <c r="BQ16" s="632" t="str">
        <f t="shared" si="19"/>
        <v>Met</v>
      </c>
      <c r="BS16" s="620" t="str">
        <f t="shared" si="20"/>
        <v>Met</v>
      </c>
    </row>
    <row r="17" spans="1:71" x14ac:dyDescent="0.25">
      <c r="A17" s="343" t="s">
        <v>216</v>
      </c>
      <c r="B17" s="510" t="s">
        <v>848</v>
      </c>
      <c r="C17" s="511"/>
      <c r="D17" s="444">
        <v>0</v>
      </c>
      <c r="E17" s="343" t="s">
        <v>835</v>
      </c>
      <c r="F17" s="511"/>
      <c r="G17" s="444">
        <v>3374.5</v>
      </c>
      <c r="H17" s="343" t="s">
        <v>856</v>
      </c>
      <c r="I17" s="511"/>
      <c r="J17" s="444">
        <v>0</v>
      </c>
      <c r="K17" s="343" t="s">
        <v>835</v>
      </c>
      <c r="L17" s="511"/>
      <c r="M17" s="444">
        <v>3374.5</v>
      </c>
      <c r="N17" s="343" t="s">
        <v>856</v>
      </c>
      <c r="O17" s="511"/>
      <c r="P17" s="512" t="str">
        <f t="shared" si="0"/>
        <v>Met</v>
      </c>
      <c r="Q17" s="511"/>
      <c r="R17" s="444">
        <f>VLOOKUP(A17,'2020-21'!$A$6:$F$319,6,0)</f>
        <v>0</v>
      </c>
      <c r="S17" s="513" t="str">
        <f t="shared" si="1"/>
        <v>Met</v>
      </c>
      <c r="U17" s="444">
        <f>VLOOKUP(A17,'2020-21'!$A$6:$G$319,7,0)</f>
        <v>9299.5</v>
      </c>
      <c r="V17" s="513" t="str">
        <f t="shared" si="2"/>
        <v>Met</v>
      </c>
      <c r="X17" s="444">
        <f>VLOOKUP(A17,'2020-21'!$A$6:$F$319,6,0)/VLOOKUP(A17,'42. SEA or LEA Worksheet'!$A$4:$T$324,20,0)</f>
        <v>0</v>
      </c>
      <c r="Y17" s="513" t="str">
        <f t="shared" si="3"/>
        <v>Met</v>
      </c>
      <c r="AA17" s="444">
        <f>VLOOKUP(A17,'42. SEA or LEA Worksheet'!$A$4:$W$324,23,0)/VLOOKUP(compliance!A17,'42. SEA or LEA Worksheet'!$A$4:$T$324,20,0)</f>
        <v>9299.5</v>
      </c>
      <c r="AB17" s="513" t="str">
        <f t="shared" si="4"/>
        <v>Met</v>
      </c>
      <c r="AD17" s="512" t="str">
        <f t="shared" si="5"/>
        <v>Met</v>
      </c>
      <c r="AF17" s="444">
        <f>VLOOKUP(A17,'42. SEA or LEA Worksheet'!$A$4:$Z$324,26,0)</f>
        <v>0</v>
      </c>
      <c r="AG17" s="513" t="str">
        <f t="shared" si="6"/>
        <v>Met</v>
      </c>
      <c r="AI17" s="444">
        <f>VLOOKUP(A17,'42. SEA or LEA Worksheet'!$A$4:$AB$324,28,0)</f>
        <v>0</v>
      </c>
      <c r="AJ17" s="513" t="str">
        <f t="shared" si="7"/>
        <v>Did not Meet</v>
      </c>
      <c r="AL17" s="444">
        <v>0</v>
      </c>
      <c r="AM17" s="513" t="str">
        <f t="shared" si="8"/>
        <v>Met</v>
      </c>
      <c r="AO17" s="444">
        <v>0</v>
      </c>
      <c r="AP17" s="513" t="str">
        <f t="shared" si="9"/>
        <v>Did not Meet</v>
      </c>
      <c r="AR17" s="512" t="str">
        <f t="shared" si="10"/>
        <v>Met</v>
      </c>
      <c r="AT17" s="444">
        <f>VLOOKUP(A17,'42. SEA or LEA Worksheet'!$A$4:$AE$324,31,0)</f>
        <v>0</v>
      </c>
      <c r="AU17" s="513" t="str">
        <f t="shared" si="11"/>
        <v>Met</v>
      </c>
      <c r="AW17" s="444">
        <f>VLOOKUP(A17,'42. SEA or LEA Worksheet'!$A$4:$AG$324,33,0)</f>
        <v>0</v>
      </c>
      <c r="AX17" s="513" t="str">
        <f t="shared" si="12"/>
        <v>Met</v>
      </c>
      <c r="AZ17" s="444">
        <v>0</v>
      </c>
      <c r="BA17" s="513" t="str">
        <f t="shared" si="13"/>
        <v>Met</v>
      </c>
      <c r="BC17" s="444">
        <v>0</v>
      </c>
      <c r="BD17" s="513" t="str">
        <f t="shared" si="14"/>
        <v>Met</v>
      </c>
      <c r="BF17" s="512" t="s">
        <v>1373</v>
      </c>
      <c r="BG17" s="637">
        <f>VLOOKUP(A17,'42. SEA or LEA Worksheet'!$A$4:$AM$324,36,0)</f>
        <v>0</v>
      </c>
      <c r="BH17" s="638" t="str">
        <f t="shared" si="16"/>
        <v>Met</v>
      </c>
      <c r="BI17" s="639"/>
      <c r="BJ17" s="637">
        <f>VLOOKUP(A17,'42. SEA or LEA Worksheet'!$A$4:$AM$324,38,0)</f>
        <v>0</v>
      </c>
      <c r="BK17" s="638" t="str">
        <f t="shared" si="17"/>
        <v>Met</v>
      </c>
      <c r="BM17" s="631" t="e">
        <f>VLOOKUP(A17,'42. SEA or LEA Worksheet'!$A$4:$AL$324,36,0)/VLOOKUP(A17,'42. SEA or LEA Worksheet'!$A$4:$AL$324,35,0)</f>
        <v>#DIV/0!</v>
      </c>
      <c r="BN17" s="632" t="e">
        <f t="shared" si="18"/>
        <v>#DIV/0!</v>
      </c>
      <c r="BP17" s="631" t="e">
        <f>VLOOKUP(A17,'42. SEA or LEA Worksheet'!$A$4:$AL$324,38,0)/VLOOKUP(A17,'42. SEA or LEA Worksheet'!$A$4:$AL$324,35,0)</f>
        <v>#DIV/0!</v>
      </c>
      <c r="BQ17" s="632" t="e">
        <f t="shared" si="19"/>
        <v>#DIV/0!</v>
      </c>
      <c r="BS17" s="620" t="s">
        <v>1373</v>
      </c>
    </row>
    <row r="18" spans="1:71" x14ac:dyDescent="0.25">
      <c r="A18" s="343" t="s">
        <v>218</v>
      </c>
      <c r="B18" s="510" t="s">
        <v>849</v>
      </c>
      <c r="C18" s="511"/>
      <c r="D18" s="444">
        <v>787625.56</v>
      </c>
      <c r="E18" s="343" t="s">
        <v>856</v>
      </c>
      <c r="F18" s="511"/>
      <c r="G18" s="444">
        <v>34039022.049999997</v>
      </c>
      <c r="H18" s="343" t="s">
        <v>835</v>
      </c>
      <c r="I18" s="511"/>
      <c r="J18" s="444">
        <v>279.7959360568384</v>
      </c>
      <c r="K18" s="343" t="s">
        <v>856</v>
      </c>
      <c r="L18" s="511"/>
      <c r="M18" s="444">
        <v>12092.014937833037</v>
      </c>
      <c r="N18" s="343" t="s">
        <v>856</v>
      </c>
      <c r="O18" s="511"/>
      <c r="P18" s="512" t="str">
        <f t="shared" si="0"/>
        <v>Met</v>
      </c>
      <c r="Q18" s="511"/>
      <c r="R18" s="444">
        <f>VLOOKUP(A18,'2020-21'!$A$6:$F$319,6,0)</f>
        <v>4111161.8</v>
      </c>
      <c r="S18" s="513" t="str">
        <f t="shared" si="1"/>
        <v>Met</v>
      </c>
      <c r="U18" s="444">
        <f>VLOOKUP(A18,'2020-21'!$A$6:$G$319,7,0)</f>
        <v>36016643.359999999</v>
      </c>
      <c r="V18" s="513" t="str">
        <f t="shared" si="2"/>
        <v>Met</v>
      </c>
      <c r="X18" s="444">
        <f>VLOOKUP(A18,'2020-21'!$A$6:$F$319,6,0)/VLOOKUP(A18,'42. SEA or LEA Worksheet'!$A$4:$T$324,20,0)</f>
        <v>1524.9116468842728</v>
      </c>
      <c r="Y18" s="513" t="str">
        <f t="shared" si="3"/>
        <v>Met</v>
      </c>
      <c r="AA18" s="444">
        <f>VLOOKUP(A18,'42. SEA or LEA Worksheet'!$A$4:$W$324,23,0)/VLOOKUP(compliance!A18,'42. SEA or LEA Worksheet'!$A$4:$T$324,20,0)</f>
        <v>13359.289080118695</v>
      </c>
      <c r="AB18" s="513" t="str">
        <f t="shared" si="4"/>
        <v>Met</v>
      </c>
      <c r="AD18" s="512" t="str">
        <f t="shared" si="5"/>
        <v>Met</v>
      </c>
      <c r="AF18" s="444">
        <f>VLOOKUP(A18,'42. SEA or LEA Worksheet'!$A$4:$Z$324,26,0)</f>
        <v>3888785.54</v>
      </c>
      <c r="AG18" s="513" t="str">
        <f t="shared" si="6"/>
        <v>Did not Meet</v>
      </c>
      <c r="AI18" s="444">
        <f>VLOOKUP(A18,'42. SEA or LEA Worksheet'!$A$4:$AB$324,28,0)</f>
        <v>36020206.230000004</v>
      </c>
      <c r="AJ18" s="513" t="str">
        <f t="shared" si="7"/>
        <v>Met</v>
      </c>
      <c r="AL18" s="444">
        <f>VLOOKUP(compliance!A18,'42. SEA or LEA Worksheet'!$A$4:$AB$324,26,0)/VLOOKUP(compliance!A18,'42. SEA or LEA Worksheet'!$A$4:$Y$324,25,0)</f>
        <v>1416.1637072104879</v>
      </c>
      <c r="AM18" s="513" t="str">
        <f t="shared" si="8"/>
        <v>Did not Meet</v>
      </c>
      <c r="AO18" s="444">
        <f>VLOOKUP(A18,'42. SEA or LEA Worksheet'!$A$4:$AB$324,28,0)/VLOOKUP(compliance!A18,'42. SEA or LEA Worksheet'!$A$4:$Y$324,25,0)</f>
        <v>13117.336573197379</v>
      </c>
      <c r="AP18" s="513" t="str">
        <f t="shared" si="9"/>
        <v>Did not Meet</v>
      </c>
      <c r="AR18" s="512" t="str">
        <f t="shared" si="10"/>
        <v>Met</v>
      </c>
      <c r="AT18" s="444">
        <f>VLOOKUP(A18,'42. SEA or LEA Worksheet'!$A$4:$AE$324,31,0)</f>
        <v>3007149.05</v>
      </c>
      <c r="AU18" s="513" t="str">
        <f t="shared" si="11"/>
        <v>Did not Meet</v>
      </c>
      <c r="AW18" s="444">
        <f>VLOOKUP(A18,'42. SEA or LEA Worksheet'!$A$4:$AG$324,33,0)</f>
        <v>39605519.439999998</v>
      </c>
      <c r="AX18" s="513" t="str">
        <f t="shared" si="12"/>
        <v>Met</v>
      </c>
      <c r="AZ18" s="444">
        <f>VLOOKUP(A18,'42. SEA or LEA Worksheet'!$A$4:$AG$324,31,0)/VLOOKUP(A18,'42. SEA or LEA Worksheet'!$A$4:$AD$324,30,0)</f>
        <v>1052.1865115465359</v>
      </c>
      <c r="BA18" s="513" t="str">
        <f t="shared" si="13"/>
        <v>Did not Meet</v>
      </c>
      <c r="BC18" s="444">
        <f>VLOOKUP(A18,'42. SEA or LEA Worksheet'!$A$4:$AG$324,33,0)/VLOOKUP(A18,'42. SEA or LEA Worksheet'!$A$4:$AD$324,30,0)</f>
        <v>13857.774471658502</v>
      </c>
      <c r="BD18" s="513" t="str">
        <f t="shared" si="14"/>
        <v>Met</v>
      </c>
      <c r="BF18" s="512" t="str">
        <f t="shared" ref="BF18:BF32" si="21">IF(AND(AU18="Did not Meet",AX18="Did not Meet", BA18="Did not Meet",BD18="Did not Meet"),"Did not Meet","Met")</f>
        <v>Met</v>
      </c>
      <c r="BG18" s="637">
        <f>VLOOKUP(A18,'42. SEA or LEA Worksheet'!$A$4:$AM$324,36,0)</f>
        <v>145643.92000000001</v>
      </c>
      <c r="BH18" s="638" t="str">
        <f t="shared" si="16"/>
        <v>Did not Meet</v>
      </c>
      <c r="BI18" s="639"/>
      <c r="BJ18" s="637">
        <f>VLOOKUP(A18,'42. SEA or LEA Worksheet'!$A$4:$AM$324,38,0)</f>
        <v>45101939.200000003</v>
      </c>
      <c r="BK18" s="638" t="str">
        <f t="shared" si="17"/>
        <v>Met</v>
      </c>
      <c r="BM18" s="631">
        <f>VLOOKUP(A18,'42. SEA or LEA Worksheet'!$A$4:$AL$324,36,0)/VLOOKUP(A18,'42. SEA or LEA Worksheet'!$A$4:$AL$324,35,0)</f>
        <v>48.067300330033007</v>
      </c>
      <c r="BN18" s="632" t="str">
        <f t="shared" si="18"/>
        <v>Met</v>
      </c>
      <c r="BP18" s="631">
        <f>VLOOKUP(A18,'42. SEA or LEA Worksheet'!$A$4:$AL$324,38,0)/VLOOKUP(A18,'42. SEA or LEA Worksheet'!$A$4:$AL$324,35,0)</f>
        <v>14885.128448844885</v>
      </c>
      <c r="BQ18" s="632" t="str">
        <f t="shared" si="19"/>
        <v>Met</v>
      </c>
      <c r="BS18" s="620" t="str">
        <f t="shared" ref="BS18:BS32" si="22">IF(AND(BH18="Did not Meet",BK18="Did not Meet", BN18="Did not Meet",BQ18="Did not Meet"),"Did not Meet","Met")</f>
        <v>Met</v>
      </c>
    </row>
    <row r="19" spans="1:71" x14ac:dyDescent="0.25">
      <c r="A19" s="343" t="s">
        <v>220</v>
      </c>
      <c r="B19" s="510" t="s">
        <v>850</v>
      </c>
      <c r="C19" s="511"/>
      <c r="D19" s="444">
        <v>0</v>
      </c>
      <c r="E19" s="343" t="s">
        <v>835</v>
      </c>
      <c r="F19" s="511"/>
      <c r="G19" s="444">
        <v>124561.15</v>
      </c>
      <c r="H19" s="343" t="s">
        <v>835</v>
      </c>
      <c r="I19" s="511"/>
      <c r="J19" s="444">
        <v>0</v>
      </c>
      <c r="K19" s="343" t="s">
        <v>835</v>
      </c>
      <c r="L19" s="511"/>
      <c r="M19" s="444">
        <v>7785.0718749999996</v>
      </c>
      <c r="N19" s="343" t="s">
        <v>856</v>
      </c>
      <c r="O19" s="511"/>
      <c r="P19" s="512" t="str">
        <f t="shared" si="0"/>
        <v>Met</v>
      </c>
      <c r="Q19" s="511"/>
      <c r="R19" s="444">
        <f>VLOOKUP(A19,'2020-21'!$A$6:$F$319,6,0)</f>
        <v>0</v>
      </c>
      <c r="S19" s="513" t="str">
        <f t="shared" si="1"/>
        <v>Met</v>
      </c>
      <c r="U19" s="444">
        <f>VLOOKUP(A19,'2020-21'!$A$6:$G$319,7,0)</f>
        <v>178889.17</v>
      </c>
      <c r="V19" s="513" t="str">
        <f t="shared" si="2"/>
        <v>Met</v>
      </c>
      <c r="X19" s="444">
        <v>0</v>
      </c>
      <c r="Y19" s="513" t="str">
        <f t="shared" si="3"/>
        <v>Met</v>
      </c>
      <c r="AA19" s="444">
        <f>VLOOKUP(A19,'42. SEA or LEA Worksheet'!$A$4:$W$324,23,0)/VLOOKUP(compliance!A19,'42. SEA or LEA Worksheet'!$A$4:$T$324,20,0)</f>
        <v>9938.2872222222231</v>
      </c>
      <c r="AB19" s="513" t="str">
        <f t="shared" si="4"/>
        <v>Met</v>
      </c>
      <c r="AD19" s="512" t="str">
        <f t="shared" si="5"/>
        <v>Met</v>
      </c>
      <c r="AF19" s="444">
        <f>VLOOKUP(A19,'42. SEA or LEA Worksheet'!$A$4:$Z$324,26,0)</f>
        <v>0</v>
      </c>
      <c r="AG19" s="513" t="str">
        <f t="shared" si="6"/>
        <v>Met</v>
      </c>
      <c r="AI19" s="444">
        <f>VLOOKUP(A19,'42. SEA or LEA Worksheet'!$A$4:$AB$324,28,0)</f>
        <v>175546.63</v>
      </c>
      <c r="AJ19" s="513" t="str">
        <f t="shared" si="7"/>
        <v>Did not Meet</v>
      </c>
      <c r="AL19" s="444">
        <f>VLOOKUP(compliance!A19,'42. SEA or LEA Worksheet'!$A$4:$AB$324,26,0)/VLOOKUP(compliance!A19,'42. SEA or LEA Worksheet'!$A$4:$Y$324,25,0)</f>
        <v>0</v>
      </c>
      <c r="AM19" s="513" t="str">
        <f t="shared" si="8"/>
        <v>Met</v>
      </c>
      <c r="AO19" s="444">
        <f>VLOOKUP(A19,'42. SEA or LEA Worksheet'!$A$4:$AB$324,28,0)/VLOOKUP(compliance!A19,'42. SEA or LEA Worksheet'!$A$4:$Y$324,25,0)</f>
        <v>8359.3633333333328</v>
      </c>
      <c r="AP19" s="513" t="str">
        <f t="shared" si="9"/>
        <v>Did not Meet</v>
      </c>
      <c r="AR19" s="512" t="str">
        <f t="shared" si="10"/>
        <v>Met</v>
      </c>
      <c r="AT19" s="444">
        <f>VLOOKUP(A19,'42. SEA or LEA Worksheet'!$A$4:$AE$324,31,0)</f>
        <v>0</v>
      </c>
      <c r="AU19" s="513" t="str">
        <f t="shared" si="11"/>
        <v>Met</v>
      </c>
      <c r="AW19" s="444">
        <f>VLOOKUP(A19,'42. SEA or LEA Worksheet'!$A$4:$AG$324,33,0)</f>
        <v>185611.17</v>
      </c>
      <c r="AX19" s="513" t="str">
        <f t="shared" si="12"/>
        <v>Met</v>
      </c>
      <c r="AZ19" s="444">
        <f>VLOOKUP(A19,'42. SEA or LEA Worksheet'!$A$4:$AG$324,31,0)/VLOOKUP(A19,'42. SEA or LEA Worksheet'!$A$4:$AD$324,30,0)</f>
        <v>0</v>
      </c>
      <c r="BA19" s="513" t="str">
        <f t="shared" si="13"/>
        <v>Met</v>
      </c>
      <c r="BC19" s="444">
        <f>VLOOKUP(A19,'42. SEA or LEA Worksheet'!$A$4:$AG$324,33,0)/VLOOKUP(A19,'42. SEA or LEA Worksheet'!$A$4:$AD$324,30,0)</f>
        <v>10311.731666666667</v>
      </c>
      <c r="BD19" s="513" t="str">
        <f t="shared" si="14"/>
        <v>Met</v>
      </c>
      <c r="BF19" s="512" t="str">
        <f t="shared" si="21"/>
        <v>Met</v>
      </c>
      <c r="BG19" s="637">
        <f>VLOOKUP(A19,'42. SEA or LEA Worksheet'!$A$4:$AM$324,36,0)</f>
        <v>0</v>
      </c>
      <c r="BH19" s="638" t="str">
        <f t="shared" si="16"/>
        <v>Met</v>
      </c>
      <c r="BI19" s="639"/>
      <c r="BJ19" s="637">
        <f>VLOOKUP(A19,'42. SEA or LEA Worksheet'!$A$4:$AM$324,38,0)</f>
        <v>180532.39</v>
      </c>
      <c r="BK19" s="638" t="str">
        <f t="shared" si="17"/>
        <v>Did not Meet</v>
      </c>
      <c r="BM19" s="631">
        <f>VLOOKUP(A19,'42. SEA or LEA Worksheet'!$A$4:$AL$324,36,0)/VLOOKUP(A19,'42. SEA or LEA Worksheet'!$A$4:$AL$324,35,0)</f>
        <v>0</v>
      </c>
      <c r="BN19" s="632" t="str">
        <f t="shared" si="18"/>
        <v>Met</v>
      </c>
      <c r="BP19" s="631">
        <f>VLOOKUP(A19,'42. SEA or LEA Worksheet'!$A$4:$AL$324,38,0)/VLOOKUP(A19,'42. SEA or LEA Worksheet'!$A$4:$AL$324,35,0)</f>
        <v>11283.274375000001</v>
      </c>
      <c r="BQ19" s="632" t="str">
        <f t="shared" si="19"/>
        <v>Met</v>
      </c>
      <c r="BS19" s="620" t="str">
        <f t="shared" si="22"/>
        <v>Met</v>
      </c>
    </row>
    <row r="20" spans="1:71" x14ac:dyDescent="0.25">
      <c r="A20" s="343" t="s">
        <v>223</v>
      </c>
      <c r="B20" s="510" t="s">
        <v>851</v>
      </c>
      <c r="C20" s="511"/>
      <c r="D20" s="444">
        <v>22494.27</v>
      </c>
      <c r="E20" s="343" t="s">
        <v>835</v>
      </c>
      <c r="F20" s="511"/>
      <c r="G20" s="444">
        <v>4601403.55</v>
      </c>
      <c r="H20" s="343" t="s">
        <v>835</v>
      </c>
      <c r="I20" s="511"/>
      <c r="J20" s="444">
        <v>61.459754098360655</v>
      </c>
      <c r="K20" s="343" t="s">
        <v>835</v>
      </c>
      <c r="L20" s="511"/>
      <c r="M20" s="444">
        <v>12572.140846994535</v>
      </c>
      <c r="N20" s="343" t="s">
        <v>835</v>
      </c>
      <c r="O20" s="511"/>
      <c r="P20" s="512" t="str">
        <f t="shared" si="0"/>
        <v>Met</v>
      </c>
      <c r="Q20" s="511"/>
      <c r="R20" s="444">
        <f>VLOOKUP(A20,'2020-21'!$A$6:$F$319,6,0)</f>
        <v>0</v>
      </c>
      <c r="S20" s="513" t="str">
        <f t="shared" si="1"/>
        <v>Did not Meet</v>
      </c>
      <c r="U20" s="444">
        <f>VLOOKUP(A20,'2020-21'!$A$6:$G$319,7,0)</f>
        <v>4548412.3899999997</v>
      </c>
      <c r="V20" s="513" t="str">
        <f t="shared" si="2"/>
        <v>Did not Meet</v>
      </c>
      <c r="X20" s="444">
        <f>VLOOKUP(A20,'2020-21'!$A$6:$F$319,6,0)/VLOOKUP(A20,'42. SEA or LEA Worksheet'!$A$4:$T$324,20,0)</f>
        <v>0</v>
      </c>
      <c r="Y20" s="513" t="str">
        <f t="shared" si="3"/>
        <v>Did not Meet</v>
      </c>
      <c r="AA20" s="444">
        <f>VLOOKUP(A20,'42. SEA or LEA Worksheet'!$A$4:$W$324,23,0)/VLOOKUP(compliance!A20,'42. SEA or LEA Worksheet'!$A$4:$T$324,20,0)</f>
        <v>13618.00116766467</v>
      </c>
      <c r="AB20" s="513" t="str">
        <f t="shared" si="4"/>
        <v>Met</v>
      </c>
      <c r="AD20" s="512" t="str">
        <f t="shared" si="5"/>
        <v>Met</v>
      </c>
      <c r="AF20" s="444">
        <f>VLOOKUP(A20,'42. SEA or LEA Worksheet'!$A$4:$Z$324,26,0)</f>
        <v>19093</v>
      </c>
      <c r="AG20" s="513" t="str">
        <f t="shared" si="6"/>
        <v>Met</v>
      </c>
      <c r="AI20" s="444">
        <f>VLOOKUP(A20,'42. SEA or LEA Worksheet'!$A$4:$AB$324,28,0)</f>
        <v>5185305.97</v>
      </c>
      <c r="AJ20" s="513" t="str">
        <f t="shared" si="7"/>
        <v>Met</v>
      </c>
      <c r="AL20" s="444">
        <f>VLOOKUP(compliance!A20,'42. SEA or LEA Worksheet'!$A$4:$AB$324,26,0)/VLOOKUP(compliance!A20,'42. SEA or LEA Worksheet'!$A$4:$Y$324,25,0)</f>
        <v>60.420886075949369</v>
      </c>
      <c r="AM20" s="513" t="str">
        <f t="shared" si="8"/>
        <v>Met</v>
      </c>
      <c r="AO20" s="444">
        <f>VLOOKUP(A20,'42. SEA or LEA Worksheet'!$A$4:$AB$324,28,0)/VLOOKUP(compliance!A20,'42. SEA or LEA Worksheet'!$A$4:$Y$324,25,0)</f>
        <v>16409.196107594937</v>
      </c>
      <c r="AP20" s="513" t="str">
        <f t="shared" si="9"/>
        <v>Met</v>
      </c>
      <c r="AR20" s="512" t="str">
        <f t="shared" si="10"/>
        <v>Met</v>
      </c>
      <c r="AT20" s="444">
        <f>VLOOKUP(A20,'42. SEA or LEA Worksheet'!$A$4:$AE$324,31,0)</f>
        <v>71451</v>
      </c>
      <c r="AU20" s="513" t="str">
        <f t="shared" si="11"/>
        <v>Met</v>
      </c>
      <c r="AW20" s="444">
        <f>VLOOKUP(A20,'42. SEA or LEA Worksheet'!$A$4:$AG$324,33,0)</f>
        <v>5568265.1600000001</v>
      </c>
      <c r="AX20" s="513" t="str">
        <f t="shared" si="12"/>
        <v>Met</v>
      </c>
      <c r="AZ20" s="444">
        <f>VLOOKUP(A20,'42. SEA or LEA Worksheet'!$A$4:$AG$324,31,0)/VLOOKUP(A20,'42. SEA or LEA Worksheet'!$A$4:$AD$324,30,0)</f>
        <v>218.50458715596329</v>
      </c>
      <c r="BA20" s="513" t="str">
        <f t="shared" si="13"/>
        <v>Met</v>
      </c>
      <c r="BC20" s="444">
        <f>VLOOKUP(A20,'42. SEA or LEA Worksheet'!$A$4:$AG$324,33,0)/VLOOKUP(A20,'42. SEA or LEA Worksheet'!$A$4:$AD$324,30,0)</f>
        <v>17028.333822629971</v>
      </c>
      <c r="BD20" s="513" t="str">
        <f t="shared" si="14"/>
        <v>Met</v>
      </c>
      <c r="BF20" s="512" t="str">
        <f t="shared" si="21"/>
        <v>Met</v>
      </c>
      <c r="BG20" s="637">
        <f>VLOOKUP(A20,'42. SEA or LEA Worksheet'!$A$4:$AM$324,36,0)</f>
        <v>71452</v>
      </c>
      <c r="BH20" s="638" t="str">
        <f t="shared" si="16"/>
        <v>Met</v>
      </c>
      <c r="BI20" s="639"/>
      <c r="BJ20" s="637">
        <f>VLOOKUP(A20,'42. SEA or LEA Worksheet'!$A$4:$AM$324,38,0)</f>
        <v>5801118.7000000002</v>
      </c>
      <c r="BK20" s="638" t="str">
        <f t="shared" si="17"/>
        <v>Met</v>
      </c>
      <c r="BM20" s="631">
        <f>VLOOKUP(A20,'42. SEA or LEA Worksheet'!$A$4:$AL$324,36,0)/VLOOKUP(A20,'42. SEA or LEA Worksheet'!$A$4:$AL$324,35,0)</f>
        <v>208.92397660818713</v>
      </c>
      <c r="BN20" s="632" t="str">
        <f t="shared" si="18"/>
        <v>Met</v>
      </c>
      <c r="BP20" s="631">
        <f>VLOOKUP(A20,'42. SEA or LEA Worksheet'!$A$4:$AL$324,38,0)/VLOOKUP(A20,'42. SEA or LEA Worksheet'!$A$4:$AL$324,35,0)</f>
        <v>16962.335380116958</v>
      </c>
      <c r="BQ20" s="632" t="str">
        <f t="shared" si="19"/>
        <v>Met</v>
      </c>
      <c r="BS20" s="620" t="str">
        <f t="shared" si="22"/>
        <v>Met</v>
      </c>
    </row>
    <row r="21" spans="1:71" x14ac:dyDescent="0.25">
      <c r="A21" s="343" t="s">
        <v>225</v>
      </c>
      <c r="B21" s="510" t="s">
        <v>852</v>
      </c>
      <c r="C21" s="511"/>
      <c r="D21" s="444">
        <v>0</v>
      </c>
      <c r="E21" s="343" t="s">
        <v>856</v>
      </c>
      <c r="F21" s="511"/>
      <c r="G21" s="444">
        <v>247785.02</v>
      </c>
      <c r="H21" s="343" t="s">
        <v>856</v>
      </c>
      <c r="I21" s="511"/>
      <c r="J21" s="444">
        <v>0</v>
      </c>
      <c r="K21" s="343" t="s">
        <v>856</v>
      </c>
      <c r="L21" s="511"/>
      <c r="M21" s="444">
        <v>12389.251</v>
      </c>
      <c r="N21" s="343" t="s">
        <v>835</v>
      </c>
      <c r="O21" s="511"/>
      <c r="P21" s="512" t="str">
        <f t="shared" si="0"/>
        <v>Met</v>
      </c>
      <c r="Q21" s="511"/>
      <c r="R21" s="444">
        <f>VLOOKUP(A21,'2020-21'!$A$6:$F$319,6,0)</f>
        <v>0</v>
      </c>
      <c r="S21" s="513" t="str">
        <f t="shared" si="1"/>
        <v>Met</v>
      </c>
      <c r="U21" s="444">
        <f>VLOOKUP(A21,'2020-21'!$A$6:$G$319,7,0)</f>
        <v>342618.34</v>
      </c>
      <c r="V21" s="513" t="str">
        <f t="shared" si="2"/>
        <v>Met</v>
      </c>
      <c r="X21" s="444">
        <f>VLOOKUP(A21,'2020-21'!$A$6:$F$319,6,0)/VLOOKUP(A21,'42. SEA or LEA Worksheet'!$A$4:$T$324,20,0)</f>
        <v>0</v>
      </c>
      <c r="Y21" s="513" t="str">
        <f t="shared" si="3"/>
        <v>Met</v>
      </c>
      <c r="AA21" s="444">
        <f>VLOOKUP(A21,'42. SEA or LEA Worksheet'!$A$4:$W$324,23,0)/VLOOKUP(compliance!A21,'42. SEA or LEA Worksheet'!$A$4:$T$324,20,0)</f>
        <v>18032.544210526317</v>
      </c>
      <c r="AB21" s="513" t="str">
        <f t="shared" si="4"/>
        <v>Met</v>
      </c>
      <c r="AD21" s="512" t="str">
        <f t="shared" si="5"/>
        <v>Met</v>
      </c>
      <c r="AF21" s="444">
        <f>VLOOKUP(A21,'42. SEA or LEA Worksheet'!$A$4:$Z$324,26,0)</f>
        <v>0</v>
      </c>
      <c r="AG21" s="513" t="str">
        <f t="shared" si="6"/>
        <v>Met</v>
      </c>
      <c r="AI21" s="444">
        <f>VLOOKUP(A21,'42. SEA or LEA Worksheet'!$A$4:$AB$324,28,0)</f>
        <v>346238.34</v>
      </c>
      <c r="AJ21" s="513" t="str">
        <f t="shared" si="7"/>
        <v>Met</v>
      </c>
      <c r="AL21" s="444">
        <f>VLOOKUP(compliance!A21,'42. SEA or LEA Worksheet'!$A$4:$AB$324,26,0)/VLOOKUP(compliance!A21,'42. SEA or LEA Worksheet'!$A$4:$Y$324,25,0)</f>
        <v>0</v>
      </c>
      <c r="AM21" s="513" t="str">
        <f t="shared" si="8"/>
        <v>Met</v>
      </c>
      <c r="AO21" s="444">
        <f>VLOOKUP(A21,'42. SEA or LEA Worksheet'!$A$4:$AB$324,28,0)/VLOOKUP(compliance!A21,'42. SEA or LEA Worksheet'!$A$4:$Y$324,25,0)</f>
        <v>16487.54</v>
      </c>
      <c r="AP21" s="513" t="str">
        <f t="shared" si="9"/>
        <v>Did not Meet</v>
      </c>
      <c r="AR21" s="512" t="str">
        <f t="shared" si="10"/>
        <v>Met</v>
      </c>
      <c r="AT21" s="444">
        <f>VLOOKUP(A21,'42. SEA or LEA Worksheet'!$A$4:$AE$324,31,0)</f>
        <v>0</v>
      </c>
      <c r="AU21" s="513" t="str">
        <f t="shared" si="11"/>
        <v>Met</v>
      </c>
      <c r="AW21" s="444">
        <f>VLOOKUP(A21,'42. SEA or LEA Worksheet'!$A$4:$AG$324,33,0)</f>
        <v>259287.03</v>
      </c>
      <c r="AX21" s="513" t="str">
        <f t="shared" si="12"/>
        <v>Did not Meet</v>
      </c>
      <c r="AZ21" s="444">
        <f>VLOOKUP(A21,'42. SEA or LEA Worksheet'!$A$4:$AG$324,31,0)/VLOOKUP(A21,'42. SEA or LEA Worksheet'!$A$4:$AD$324,30,0)</f>
        <v>0</v>
      </c>
      <c r="BA21" s="513" t="str">
        <f t="shared" si="13"/>
        <v>Met</v>
      </c>
      <c r="BC21" s="444">
        <f>VLOOKUP(A21,'42. SEA or LEA Worksheet'!$A$4:$AG$324,33,0)/VLOOKUP(A21,'42. SEA or LEA Worksheet'!$A$4:$AD$324,30,0)</f>
        <v>12347.001428571428</v>
      </c>
      <c r="BD21" s="513" t="str">
        <f t="shared" si="14"/>
        <v>Did not Meet</v>
      </c>
      <c r="BF21" s="512" t="str">
        <f t="shared" si="21"/>
        <v>Met</v>
      </c>
      <c r="BG21" s="637">
        <f>VLOOKUP(A21,'42. SEA or LEA Worksheet'!$A$4:$AM$324,36,0)</f>
        <v>0</v>
      </c>
      <c r="BH21" s="638" t="str">
        <f t="shared" si="16"/>
        <v>Met</v>
      </c>
      <c r="BI21" s="639"/>
      <c r="BJ21" s="637">
        <f>VLOOKUP(A21,'42. SEA or LEA Worksheet'!$A$4:$AM$324,38,0)</f>
        <v>482935.36</v>
      </c>
      <c r="BK21" s="638" t="str">
        <f t="shared" si="17"/>
        <v>Met</v>
      </c>
      <c r="BM21" s="631">
        <f>VLOOKUP(A21,'42. SEA or LEA Worksheet'!$A$4:$AL$324,36,0)/VLOOKUP(A21,'42. SEA or LEA Worksheet'!$A$4:$AL$324,35,0)</f>
        <v>0</v>
      </c>
      <c r="BN21" s="632" t="str">
        <f t="shared" si="18"/>
        <v>Met</v>
      </c>
      <c r="BP21" s="631">
        <f>VLOOKUP(A21,'42. SEA or LEA Worksheet'!$A$4:$AL$324,38,0)/VLOOKUP(A21,'42. SEA or LEA Worksheet'!$A$4:$AL$324,35,0)</f>
        <v>11231.05488372093</v>
      </c>
      <c r="BQ21" s="632" t="str">
        <f t="shared" si="19"/>
        <v>Met</v>
      </c>
      <c r="BS21" s="620" t="str">
        <f t="shared" si="22"/>
        <v>Met</v>
      </c>
    </row>
    <row r="22" spans="1:71" x14ac:dyDescent="0.25">
      <c r="A22" s="343" t="s">
        <v>227</v>
      </c>
      <c r="B22" s="510" t="s">
        <v>853</v>
      </c>
      <c r="C22" s="511"/>
      <c r="D22" s="444">
        <v>0</v>
      </c>
      <c r="E22" s="343" t="s">
        <v>856</v>
      </c>
      <c r="F22" s="511"/>
      <c r="G22" s="444">
        <v>9621710.0800000001</v>
      </c>
      <c r="H22" s="343" t="s">
        <v>835</v>
      </c>
      <c r="I22" s="511"/>
      <c r="J22" s="444">
        <v>0</v>
      </c>
      <c r="K22" s="343" t="s">
        <v>856</v>
      </c>
      <c r="L22" s="511"/>
      <c r="M22" s="444">
        <v>13162.394090287278</v>
      </c>
      <c r="N22" s="343" t="s">
        <v>835</v>
      </c>
      <c r="O22" s="511"/>
      <c r="P22" s="512" t="str">
        <f t="shared" si="0"/>
        <v>Met</v>
      </c>
      <c r="Q22" s="511"/>
      <c r="R22" s="444">
        <f>VLOOKUP(A22,'2020-21'!$A$6:$F$319,6,0)</f>
        <v>469.09</v>
      </c>
      <c r="S22" s="513" t="str">
        <f t="shared" si="1"/>
        <v>Met</v>
      </c>
      <c r="U22" s="444">
        <f>VLOOKUP(A22,'2020-21'!$A$6:$G$319,7,0)</f>
        <v>9570469.0899999999</v>
      </c>
      <c r="V22" s="513" t="str">
        <f t="shared" si="2"/>
        <v>Did not Meet</v>
      </c>
      <c r="X22" s="444">
        <f>VLOOKUP(A22,'2020-21'!$A$6:$F$319,6,0)/VLOOKUP(A22,'42. SEA or LEA Worksheet'!$A$4:$T$324,20,0)</f>
        <v>0.64524071526822557</v>
      </c>
      <c r="Y22" s="513" t="str">
        <f t="shared" si="3"/>
        <v>Met</v>
      </c>
      <c r="AA22" s="444">
        <f>VLOOKUP(A22,'42. SEA or LEA Worksheet'!$A$4:$W$324,23,0)/VLOOKUP(compliance!A22,'42. SEA or LEA Worksheet'!$A$4:$T$324,20,0)</f>
        <v>13164.331623108665</v>
      </c>
      <c r="AB22" s="513" t="str">
        <f t="shared" si="4"/>
        <v>Met</v>
      </c>
      <c r="AD22" s="512" t="str">
        <f t="shared" si="5"/>
        <v>Met</v>
      </c>
      <c r="AF22" s="444">
        <f>VLOOKUP(A22,'42. SEA or LEA Worksheet'!$A$4:$Z$324,26,0)</f>
        <v>0</v>
      </c>
      <c r="AG22" s="513" t="str">
        <f t="shared" si="6"/>
        <v>Did not Meet</v>
      </c>
      <c r="AI22" s="444">
        <f>VLOOKUP(A22,'42. SEA or LEA Worksheet'!$A$4:$AB$324,28,0)</f>
        <v>10066719.17</v>
      </c>
      <c r="AJ22" s="513" t="str">
        <f t="shared" si="7"/>
        <v>Met</v>
      </c>
      <c r="AL22" s="444">
        <f>VLOOKUP(compliance!A22,'42. SEA or LEA Worksheet'!$A$4:$AB$324,26,0)/VLOOKUP(compliance!A22,'42. SEA or LEA Worksheet'!$A$4:$Y$324,25,0)</f>
        <v>0</v>
      </c>
      <c r="AM22" s="513" t="str">
        <f t="shared" si="8"/>
        <v>Did not Meet</v>
      </c>
      <c r="AO22" s="444">
        <f>VLOOKUP(A22,'42. SEA or LEA Worksheet'!$A$4:$AB$324,28,0)/VLOOKUP(compliance!A22,'42. SEA or LEA Worksheet'!$A$4:$Y$324,25,0)</f>
        <v>14319.657425320056</v>
      </c>
      <c r="AP22" s="513" t="str">
        <f t="shared" si="9"/>
        <v>Met</v>
      </c>
      <c r="AR22" s="512" t="str">
        <f t="shared" si="10"/>
        <v>Met</v>
      </c>
      <c r="AT22" s="444">
        <f>VLOOKUP(A22,'42. SEA or LEA Worksheet'!$A$4:$AE$324,31,0)</f>
        <v>0</v>
      </c>
      <c r="AU22" s="513" t="str">
        <f t="shared" si="11"/>
        <v>Met</v>
      </c>
      <c r="AW22" s="444">
        <f>VLOOKUP(A22,'42. SEA or LEA Worksheet'!$A$4:$AG$324,33,0)</f>
        <v>11957569.27</v>
      </c>
      <c r="AX22" s="513" t="str">
        <f t="shared" si="12"/>
        <v>Met</v>
      </c>
      <c r="AZ22" s="444">
        <f>VLOOKUP(A22,'42. SEA or LEA Worksheet'!$A$4:$AG$324,31,0)/VLOOKUP(A22,'42. SEA or LEA Worksheet'!$A$4:$AD$324,30,0)</f>
        <v>0</v>
      </c>
      <c r="BA22" s="513" t="str">
        <f t="shared" si="13"/>
        <v>Met</v>
      </c>
      <c r="BC22" s="444">
        <f>VLOOKUP(A22,'42. SEA or LEA Worksheet'!$A$4:$AG$324,33,0)/VLOOKUP(A22,'42. SEA or LEA Worksheet'!$A$4:$AD$324,30,0)</f>
        <v>16357.823898768809</v>
      </c>
      <c r="BD22" s="513" t="str">
        <f t="shared" si="14"/>
        <v>Met</v>
      </c>
      <c r="BF22" s="512" t="str">
        <f t="shared" si="21"/>
        <v>Met</v>
      </c>
      <c r="BG22" s="637">
        <f>VLOOKUP(A22,'42. SEA or LEA Worksheet'!$A$4:$AM$324,36,0)</f>
        <v>3586531.83</v>
      </c>
      <c r="BH22" s="638" t="str">
        <f t="shared" si="16"/>
        <v>Met</v>
      </c>
      <c r="BI22" s="639"/>
      <c r="BJ22" s="637">
        <f>VLOOKUP(A22,'42. SEA or LEA Worksheet'!$A$4:$AM$324,38,0)</f>
        <v>12967548.57</v>
      </c>
      <c r="BK22" s="638" t="str">
        <f t="shared" si="17"/>
        <v>Met</v>
      </c>
      <c r="BM22" s="631">
        <f>VLOOKUP(A22,'42. SEA or LEA Worksheet'!$A$4:$AL$324,36,0)/VLOOKUP(A22,'42. SEA or LEA Worksheet'!$A$4:$AL$324,35,0)</f>
        <v>4477.5678277153556</v>
      </c>
      <c r="BN22" s="632" t="str">
        <f t="shared" si="18"/>
        <v>Met</v>
      </c>
      <c r="BP22" s="631">
        <f>VLOOKUP(A22,'42. SEA or LEA Worksheet'!$A$4:$AL$324,38,0)/VLOOKUP(A22,'42. SEA or LEA Worksheet'!$A$4:$AL$324,35,0)</f>
        <v>16189.199213483147</v>
      </c>
      <c r="BQ22" s="632" t="str">
        <f t="shared" si="19"/>
        <v>Met</v>
      </c>
      <c r="BS22" s="620" t="str">
        <f t="shared" si="22"/>
        <v>Met</v>
      </c>
    </row>
    <row r="23" spans="1:71" x14ac:dyDescent="0.25">
      <c r="A23" s="343" t="s">
        <v>230</v>
      </c>
      <c r="B23" s="510" t="s">
        <v>854</v>
      </c>
      <c r="C23" s="511"/>
      <c r="D23" s="444">
        <v>287551.35999999999</v>
      </c>
      <c r="E23" s="343" t="s">
        <v>835</v>
      </c>
      <c r="F23" s="511"/>
      <c r="G23" s="444">
        <v>1384123.2399999998</v>
      </c>
      <c r="H23" s="343" t="s">
        <v>835</v>
      </c>
      <c r="I23" s="511"/>
      <c r="J23" s="444">
        <v>2544.7023008849555</v>
      </c>
      <c r="K23" s="343" t="s">
        <v>835</v>
      </c>
      <c r="L23" s="511"/>
      <c r="M23" s="444">
        <v>12248.878230088494</v>
      </c>
      <c r="N23" s="343" t="s">
        <v>856</v>
      </c>
      <c r="O23" s="511"/>
      <c r="P23" s="512" t="str">
        <f t="shared" si="0"/>
        <v>Met</v>
      </c>
      <c r="Q23" s="511"/>
      <c r="R23" s="444">
        <f>VLOOKUP(A23,'2020-21'!$A$6:$F$319,6,0)</f>
        <v>205549.8</v>
      </c>
      <c r="S23" s="513" t="str">
        <f t="shared" si="1"/>
        <v>Did not Meet</v>
      </c>
      <c r="U23" s="444">
        <f>VLOOKUP(A23,'2020-21'!$A$6:$G$319,7,0)</f>
        <v>1272232.6600000001</v>
      </c>
      <c r="V23" s="513" t="str">
        <f t="shared" si="2"/>
        <v>Did not Meet</v>
      </c>
      <c r="X23" s="444">
        <f>VLOOKUP(A23,'2020-21'!$A$6:$F$319,6,0)/VLOOKUP(A23,'42. SEA or LEA Worksheet'!$A$4:$T$324,20,0)</f>
        <v>1995.6291262135921</v>
      </c>
      <c r="Y23" s="513" t="str">
        <f t="shared" si="3"/>
        <v>Did not Meet</v>
      </c>
      <c r="AA23" s="444">
        <f>VLOOKUP(A23,'42. SEA or LEA Worksheet'!$A$4:$W$324,23,0)/VLOOKUP(compliance!A23,'42. SEA or LEA Worksheet'!$A$4:$T$324,20,0)</f>
        <v>12351.773398058254</v>
      </c>
      <c r="AB23" s="513" t="str">
        <f t="shared" si="4"/>
        <v>Met</v>
      </c>
      <c r="AD23" s="512" t="str">
        <f t="shared" si="5"/>
        <v>Met</v>
      </c>
      <c r="AF23" s="444">
        <f>VLOOKUP(A23,'42. SEA or LEA Worksheet'!$A$4:$Z$324,26,0)</f>
        <v>178040.32000000001</v>
      </c>
      <c r="AG23" s="513" t="str">
        <f t="shared" si="6"/>
        <v>Did not Meet</v>
      </c>
      <c r="AI23" s="444">
        <f>VLOOKUP(A23,'42. SEA or LEA Worksheet'!$A$4:$AB$324,28,0)</f>
        <v>1282912.4000000001</v>
      </c>
      <c r="AJ23" s="513" t="str">
        <f t="shared" si="7"/>
        <v>Met</v>
      </c>
      <c r="AL23" s="444">
        <f>VLOOKUP(compliance!A23,'42. SEA or LEA Worksheet'!$A$4:$AB$324,26,0)/VLOOKUP(compliance!A23,'42. SEA or LEA Worksheet'!$A$4:$Y$324,25,0)</f>
        <v>1618.5483636363638</v>
      </c>
      <c r="AM23" s="513" t="str">
        <f t="shared" si="8"/>
        <v>Did not Meet</v>
      </c>
      <c r="AO23" s="444">
        <f>VLOOKUP(A23,'42. SEA or LEA Worksheet'!$A$4:$AB$324,28,0)/VLOOKUP(compliance!A23,'42. SEA or LEA Worksheet'!$A$4:$Y$324,25,0)</f>
        <v>11662.840000000002</v>
      </c>
      <c r="AP23" s="513" t="str">
        <f t="shared" si="9"/>
        <v>Did not Meet</v>
      </c>
      <c r="AR23" s="512" t="str">
        <f t="shared" si="10"/>
        <v>Met</v>
      </c>
      <c r="AT23" s="444">
        <f>VLOOKUP(A23,'42. SEA or LEA Worksheet'!$A$4:$AE$324,31,0)</f>
        <v>64716.95</v>
      </c>
      <c r="AU23" s="513" t="str">
        <f t="shared" si="11"/>
        <v>Did not Meet</v>
      </c>
      <c r="AW23" s="444">
        <f>VLOOKUP(A23,'42. SEA or LEA Worksheet'!$A$4:$AG$324,33,0)</f>
        <v>1328561.01</v>
      </c>
      <c r="AX23" s="513" t="str">
        <f t="shared" si="12"/>
        <v>Met</v>
      </c>
      <c r="AZ23" s="444">
        <f>VLOOKUP(A23,'42. SEA or LEA Worksheet'!$A$4:$AG$324,31,0)/VLOOKUP(A23,'42. SEA or LEA Worksheet'!$A$4:$AD$324,30,0)</f>
        <v>588.33590909090901</v>
      </c>
      <c r="BA23" s="513" t="str">
        <f t="shared" si="13"/>
        <v>Did not Meet</v>
      </c>
      <c r="BC23" s="444">
        <f>VLOOKUP(A23,'42. SEA or LEA Worksheet'!$A$4:$AG$324,33,0)/VLOOKUP(A23,'42. SEA or LEA Worksheet'!$A$4:$AD$324,30,0)</f>
        <v>12077.827363636363</v>
      </c>
      <c r="BD23" s="513" t="str">
        <f t="shared" si="14"/>
        <v>Met</v>
      </c>
      <c r="BF23" s="512" t="str">
        <f t="shared" si="21"/>
        <v>Met</v>
      </c>
      <c r="BG23" s="637">
        <f>VLOOKUP(A23,'42. SEA or LEA Worksheet'!$A$4:$AM$324,36,0)</f>
        <v>0</v>
      </c>
      <c r="BH23" s="638" t="str">
        <f t="shared" si="16"/>
        <v>Did not Meet</v>
      </c>
      <c r="BI23" s="639"/>
      <c r="BJ23" s="637">
        <f>VLOOKUP(A23,'42. SEA or LEA Worksheet'!$A$4:$AM$324,38,0)</f>
        <v>1372812.28</v>
      </c>
      <c r="BK23" s="638" t="str">
        <f t="shared" si="17"/>
        <v>Met</v>
      </c>
      <c r="BM23" s="631">
        <f>VLOOKUP(A23,'42. SEA or LEA Worksheet'!$A$4:$AL$324,36,0)/VLOOKUP(A23,'42. SEA or LEA Worksheet'!$A$4:$AL$324,35,0)</f>
        <v>0</v>
      </c>
      <c r="BN23" s="632" t="str">
        <f t="shared" si="18"/>
        <v>Met</v>
      </c>
      <c r="BP23" s="631">
        <f>VLOOKUP(A23,'42. SEA or LEA Worksheet'!$A$4:$AL$324,38,0)/VLOOKUP(A23,'42. SEA or LEA Worksheet'!$A$4:$AL$324,35,0)</f>
        <v>11733.438290598291</v>
      </c>
      <c r="BQ23" s="632" t="str">
        <f t="shared" si="19"/>
        <v>Met</v>
      </c>
      <c r="BS23" s="620" t="str">
        <f t="shared" si="22"/>
        <v>Met</v>
      </c>
    </row>
    <row r="24" spans="1:71" x14ac:dyDescent="0.25">
      <c r="A24" s="343" t="s">
        <v>233</v>
      </c>
      <c r="B24" s="510" t="s">
        <v>855</v>
      </c>
      <c r="C24" s="511"/>
      <c r="D24" s="444">
        <v>133484.91</v>
      </c>
      <c r="E24" s="343" t="s">
        <v>835</v>
      </c>
      <c r="F24" s="511"/>
      <c r="G24" s="444">
        <v>839139</v>
      </c>
      <c r="H24" s="343" t="s">
        <v>835</v>
      </c>
      <c r="I24" s="511"/>
      <c r="J24" s="444">
        <v>1828.5604109589042</v>
      </c>
      <c r="K24" s="343" t="s">
        <v>835</v>
      </c>
      <c r="L24" s="511"/>
      <c r="M24" s="444">
        <v>11495.054794520547</v>
      </c>
      <c r="N24" s="343" t="s">
        <v>835</v>
      </c>
      <c r="O24" s="511"/>
      <c r="P24" s="512" t="str">
        <f t="shared" si="0"/>
        <v>Met</v>
      </c>
      <c r="Q24" s="511"/>
      <c r="R24" s="444">
        <f>VLOOKUP(A24,'2020-21'!$A$6:$F$319,6,0)</f>
        <v>39604.36</v>
      </c>
      <c r="S24" s="513" t="str">
        <f t="shared" si="1"/>
        <v>Did not Meet</v>
      </c>
      <c r="U24" s="444">
        <f>VLOOKUP(A24,'2020-21'!$A$6:$G$319,7,0)</f>
        <v>844582.55999999994</v>
      </c>
      <c r="V24" s="513" t="str">
        <f t="shared" si="2"/>
        <v>Met</v>
      </c>
      <c r="X24" s="444">
        <f>VLOOKUP(A24,'2020-21'!$A$6:$F$319,6,0)/VLOOKUP(A24,'42. SEA or LEA Worksheet'!$A$4:$T$324,20,0)</f>
        <v>507.74820512820514</v>
      </c>
      <c r="Y24" s="513" t="str">
        <f t="shared" si="3"/>
        <v>Did not Meet</v>
      </c>
      <c r="AA24" s="444">
        <f>VLOOKUP(A24,'42. SEA or LEA Worksheet'!$A$4:$W$324,23,0)/VLOOKUP(compliance!A24,'42. SEA or LEA Worksheet'!$A$4:$T$324,20,0)</f>
        <v>10827.981538461538</v>
      </c>
      <c r="AB24" s="513" t="str">
        <f t="shared" si="4"/>
        <v>Did not Meet</v>
      </c>
      <c r="AD24" s="512" t="str">
        <f t="shared" si="5"/>
        <v>Met</v>
      </c>
      <c r="AF24" s="444">
        <f>VLOOKUP(A24,'42. SEA or LEA Worksheet'!$A$4:$Z$324,26,0)</f>
        <v>32607.79</v>
      </c>
      <c r="AG24" s="513" t="str">
        <f t="shared" si="6"/>
        <v>Did not Meet</v>
      </c>
      <c r="AI24" s="444">
        <f>VLOOKUP(A24,'42. SEA or LEA Worksheet'!$A$4:$AB$324,28,0)</f>
        <v>790367.39</v>
      </c>
      <c r="AJ24" s="513" t="str">
        <f t="shared" si="7"/>
        <v>Did not Meet</v>
      </c>
      <c r="AL24" s="444">
        <f>VLOOKUP(compliance!A24,'42. SEA or LEA Worksheet'!$A$4:$AB$324,26,0)/VLOOKUP(compliance!A24,'42. SEA or LEA Worksheet'!$A$4:$Y$324,25,0)</f>
        <v>440.64581081081081</v>
      </c>
      <c r="AM24" s="513" t="str">
        <f t="shared" si="8"/>
        <v>Did not Meet</v>
      </c>
      <c r="AO24" s="444">
        <f>VLOOKUP(A24,'42. SEA or LEA Worksheet'!$A$4:$AB$324,28,0)/VLOOKUP(compliance!A24,'42. SEA or LEA Worksheet'!$A$4:$Y$324,25,0)</f>
        <v>10680.640405405406</v>
      </c>
      <c r="AP24" s="513" t="str">
        <f t="shared" si="9"/>
        <v>Did not Meet</v>
      </c>
      <c r="AR24" s="512" t="str">
        <f t="shared" si="10"/>
        <v>Did not Meet</v>
      </c>
      <c r="AT24" s="444">
        <f>VLOOKUP(A24,'42. SEA or LEA Worksheet'!$A$4:$AE$324,31,0)</f>
        <v>0</v>
      </c>
      <c r="AU24" s="513" t="str">
        <f t="shared" si="11"/>
        <v>Did not Meet</v>
      </c>
      <c r="AW24" s="444">
        <f>VLOOKUP(A24,'42. SEA or LEA Worksheet'!$A$4:$AG$324,33,0)</f>
        <v>913726.32</v>
      </c>
      <c r="AX24" s="513" t="str">
        <f t="shared" si="12"/>
        <v>Met</v>
      </c>
      <c r="AZ24" s="444">
        <f>VLOOKUP(A24,'42. SEA or LEA Worksheet'!$A$4:$AG$324,31,0)/VLOOKUP(A24,'42. SEA or LEA Worksheet'!$A$4:$AD$324,30,0)</f>
        <v>0</v>
      </c>
      <c r="BA24" s="513" t="str">
        <f t="shared" si="13"/>
        <v>Did not Meet</v>
      </c>
      <c r="BC24" s="444">
        <f>VLOOKUP(A24,'42. SEA or LEA Worksheet'!$A$4:$AG$324,33,0)/VLOOKUP(A24,'42. SEA or LEA Worksheet'!$A$4:$AD$324,30,0)</f>
        <v>11008.750843373493</v>
      </c>
      <c r="BD24" s="513" t="str">
        <f t="shared" si="14"/>
        <v>Met</v>
      </c>
      <c r="BF24" s="512" t="str">
        <f t="shared" si="21"/>
        <v>Met</v>
      </c>
      <c r="BG24" s="637">
        <f>VLOOKUP(A24,'42. SEA or LEA Worksheet'!$A$4:$AM$324,36,0)</f>
        <v>60768.78</v>
      </c>
      <c r="BH24" s="638" t="str">
        <f t="shared" si="16"/>
        <v>Met</v>
      </c>
      <c r="BI24" s="639"/>
      <c r="BJ24" s="637">
        <f>VLOOKUP(A24,'42. SEA or LEA Worksheet'!$A$4:$AM$324,38,0)</f>
        <v>1085180.32</v>
      </c>
      <c r="BK24" s="638" t="str">
        <f t="shared" si="17"/>
        <v>Met</v>
      </c>
      <c r="BM24" s="631">
        <f>VLOOKUP(A24,'42. SEA or LEA Worksheet'!$A$4:$AL$324,36,0)/VLOOKUP(A24,'42. SEA or LEA Worksheet'!$A$4:$AL$324,35,0)</f>
        <v>706.61372093023249</v>
      </c>
      <c r="BN24" s="632" t="str">
        <f t="shared" si="18"/>
        <v>Met</v>
      </c>
      <c r="BP24" s="631">
        <f>VLOOKUP(A24,'42. SEA or LEA Worksheet'!$A$4:$AL$324,38,0)/VLOOKUP(A24,'42. SEA or LEA Worksheet'!$A$4:$AL$324,35,0)</f>
        <v>12618.375813953489</v>
      </c>
      <c r="BQ24" s="632" t="str">
        <f t="shared" si="19"/>
        <v>Met</v>
      </c>
      <c r="BS24" s="620" t="str">
        <f t="shared" si="22"/>
        <v>Met</v>
      </c>
    </row>
    <row r="25" spans="1:71" x14ac:dyDescent="0.25">
      <c r="A25" s="343" t="s">
        <v>235</v>
      </c>
      <c r="B25" s="510" t="s">
        <v>1136</v>
      </c>
      <c r="C25" s="511"/>
      <c r="D25" s="444">
        <v>0</v>
      </c>
      <c r="E25" s="343" t="s">
        <v>856</v>
      </c>
      <c r="F25" s="511"/>
      <c r="G25" s="444">
        <v>101463.83</v>
      </c>
      <c r="H25" s="343" t="s">
        <v>835</v>
      </c>
      <c r="I25" s="511"/>
      <c r="J25" s="444">
        <v>0</v>
      </c>
      <c r="K25" s="343" t="s">
        <v>856</v>
      </c>
      <c r="L25" s="511"/>
      <c r="M25" s="444">
        <v>6764.2553333333335</v>
      </c>
      <c r="N25" s="343" t="s">
        <v>835</v>
      </c>
      <c r="O25" s="511"/>
      <c r="P25" s="512" t="str">
        <f t="shared" si="0"/>
        <v>Met</v>
      </c>
      <c r="Q25" s="511"/>
      <c r="R25" s="444">
        <f>VLOOKUP(A25,'2020-21'!$A$6:$F$319,6,0)</f>
        <v>2</v>
      </c>
      <c r="S25" s="513" t="str">
        <f t="shared" si="1"/>
        <v>Met</v>
      </c>
      <c r="U25" s="444">
        <f>VLOOKUP(A25,'2020-21'!$A$6:$G$319,7,0)</f>
        <v>83801.98</v>
      </c>
      <c r="V25" s="513" t="str">
        <f t="shared" si="2"/>
        <v>Did not Meet</v>
      </c>
      <c r="X25" s="444">
        <f>VLOOKUP(A25,'2020-21'!$A$6:$F$319,6,0)/VLOOKUP(A25,'42. SEA or LEA Worksheet'!$A$4:$T$324,20,0)</f>
        <v>0.18181818181818182</v>
      </c>
      <c r="Y25" s="513" t="str">
        <f t="shared" si="3"/>
        <v>Met</v>
      </c>
      <c r="AA25" s="444">
        <f>VLOOKUP(A25,'42. SEA or LEA Worksheet'!$A$4:$W$324,23,0)/VLOOKUP(compliance!A25,'42. SEA or LEA Worksheet'!$A$4:$T$324,20,0)</f>
        <v>7618.3618181818174</v>
      </c>
      <c r="AB25" s="513" t="str">
        <f t="shared" si="4"/>
        <v>Met</v>
      </c>
      <c r="AD25" s="512" t="str">
        <f t="shared" si="5"/>
        <v>Met</v>
      </c>
      <c r="AF25" s="444">
        <f>VLOOKUP(A25,'42. SEA or LEA Worksheet'!$A$4:$Z$324,26,0)</f>
        <v>2</v>
      </c>
      <c r="AG25" s="513" t="str">
        <f t="shared" si="6"/>
        <v>Met</v>
      </c>
      <c r="AI25" s="444">
        <f>VLOOKUP(A25,'42. SEA or LEA Worksheet'!$A$4:$AB$324,28,0)</f>
        <v>102377.48</v>
      </c>
      <c r="AJ25" s="513" t="str">
        <f t="shared" si="7"/>
        <v>Met</v>
      </c>
      <c r="AL25" s="444">
        <f>VLOOKUP(compliance!A25,'42. SEA or LEA Worksheet'!$A$4:$AB$324,26,0)/VLOOKUP(compliance!A25,'42. SEA or LEA Worksheet'!$A$4:$Y$324,25,0)</f>
        <v>0.25</v>
      </c>
      <c r="AM25" s="513" t="str">
        <f t="shared" si="8"/>
        <v>Met</v>
      </c>
      <c r="AO25" s="444">
        <f>VLOOKUP(A25,'42. SEA or LEA Worksheet'!$A$4:$AB$324,28,0)/VLOOKUP(compliance!A25,'42. SEA or LEA Worksheet'!$A$4:$Y$324,25,0)</f>
        <v>12797.184999999999</v>
      </c>
      <c r="AP25" s="513" t="str">
        <f t="shared" si="9"/>
        <v>Met</v>
      </c>
      <c r="AR25" s="512" t="str">
        <f t="shared" si="10"/>
        <v>Met</v>
      </c>
      <c r="AT25" s="444">
        <f>VLOOKUP(A25,'42. SEA or LEA Worksheet'!$A$4:$AE$324,31,0)</f>
        <v>2</v>
      </c>
      <c r="AU25" s="513" t="str">
        <f t="shared" si="11"/>
        <v>Met</v>
      </c>
      <c r="AW25" s="444">
        <f>VLOOKUP(A25,'42. SEA or LEA Worksheet'!$A$4:$AG$324,33,0)</f>
        <v>112085.92</v>
      </c>
      <c r="AX25" s="513" t="str">
        <f t="shared" si="12"/>
        <v>Met</v>
      </c>
      <c r="AZ25" s="444">
        <f>VLOOKUP(A25,'42. SEA or LEA Worksheet'!$A$4:$AG$324,31,0)/VLOOKUP(A25,'42. SEA or LEA Worksheet'!$A$4:$AD$324,30,0)</f>
        <v>0.25</v>
      </c>
      <c r="BA25" s="513" t="str">
        <f t="shared" si="13"/>
        <v>Met</v>
      </c>
      <c r="BC25" s="444">
        <f>VLOOKUP(A25,'42. SEA or LEA Worksheet'!$A$4:$AG$324,33,0)/VLOOKUP(A25,'42. SEA or LEA Worksheet'!$A$4:$AD$324,30,0)</f>
        <v>14010.74</v>
      </c>
      <c r="BD25" s="513" t="str">
        <f t="shared" si="14"/>
        <v>Met</v>
      </c>
      <c r="BF25" s="512" t="str">
        <f t="shared" si="21"/>
        <v>Met</v>
      </c>
      <c r="BG25" s="637">
        <f>VLOOKUP(A25,'42. SEA or LEA Worksheet'!$A$4:$AM$324,36,0)</f>
        <v>2</v>
      </c>
      <c r="BH25" s="638" t="str">
        <f t="shared" si="16"/>
        <v>Met</v>
      </c>
      <c r="BI25" s="639"/>
      <c r="BJ25" s="637">
        <f>VLOOKUP(A25,'42. SEA or LEA Worksheet'!$A$4:$AM$324,38,0)</f>
        <v>112114.46</v>
      </c>
      <c r="BK25" s="638" t="str">
        <f t="shared" si="17"/>
        <v>Met</v>
      </c>
      <c r="BM25" s="631">
        <f>VLOOKUP(A25,'42. SEA or LEA Worksheet'!$A$4:$AL$324,36,0)/VLOOKUP(A25,'42. SEA or LEA Worksheet'!$A$4:$AL$324,35,0)</f>
        <v>0.2</v>
      </c>
      <c r="BN25" s="632" t="str">
        <f t="shared" si="18"/>
        <v>Met</v>
      </c>
      <c r="BP25" s="631">
        <f>VLOOKUP(A25,'42. SEA or LEA Worksheet'!$A$4:$AL$324,38,0)/VLOOKUP(A25,'42. SEA or LEA Worksheet'!$A$4:$AL$324,35,0)</f>
        <v>11211.446</v>
      </c>
      <c r="BQ25" s="632" t="str">
        <f t="shared" si="19"/>
        <v>Met</v>
      </c>
      <c r="BS25" s="620" t="str">
        <f t="shared" si="22"/>
        <v>Met</v>
      </c>
    </row>
    <row r="26" spans="1:71" x14ac:dyDescent="0.25">
      <c r="A26" s="343" t="s">
        <v>237</v>
      </c>
      <c r="B26" s="510" t="s">
        <v>857</v>
      </c>
      <c r="C26" s="511"/>
      <c r="D26" s="444">
        <v>0</v>
      </c>
      <c r="E26" s="343" t="s">
        <v>856</v>
      </c>
      <c r="F26" s="511"/>
      <c r="G26" s="444">
        <v>7214217.8600000003</v>
      </c>
      <c r="H26" s="343" t="s">
        <v>835</v>
      </c>
      <c r="I26" s="511"/>
      <c r="J26" s="444">
        <v>0</v>
      </c>
      <c r="K26" s="343" t="s">
        <v>856</v>
      </c>
      <c r="L26" s="511"/>
      <c r="M26" s="444">
        <v>13741.367352380954</v>
      </c>
      <c r="N26" s="343" t="s">
        <v>835</v>
      </c>
      <c r="O26" s="511"/>
      <c r="P26" s="512" t="str">
        <f t="shared" si="0"/>
        <v>Met</v>
      </c>
      <c r="Q26" s="511"/>
      <c r="R26" s="444">
        <f>VLOOKUP(A26,'2020-21'!$A$6:$F$319,6,0)</f>
        <v>0</v>
      </c>
      <c r="S26" s="513" t="str">
        <f t="shared" si="1"/>
        <v>Met</v>
      </c>
      <c r="U26" s="444">
        <f>VLOOKUP(A26,'2020-21'!$A$6:$G$319,7,0)</f>
        <v>7514100.2699999996</v>
      </c>
      <c r="V26" s="513" t="str">
        <f t="shared" si="2"/>
        <v>Met</v>
      </c>
      <c r="X26" s="444">
        <f>VLOOKUP(A26,'2020-21'!$A$6:$F$319,6,0)/VLOOKUP(A26,'42. SEA or LEA Worksheet'!$A$4:$T$324,20,0)</f>
        <v>0</v>
      </c>
      <c r="Y26" s="513" t="str">
        <f t="shared" si="3"/>
        <v>Met</v>
      </c>
      <c r="AA26" s="444">
        <f>VLOOKUP(A26,'42. SEA or LEA Worksheet'!$A$4:$W$324,23,0)/VLOOKUP(compliance!A26,'42. SEA or LEA Worksheet'!$A$4:$T$324,20,0)</f>
        <v>14850.000533596836</v>
      </c>
      <c r="AB26" s="513" t="str">
        <f t="shared" si="4"/>
        <v>Met</v>
      </c>
      <c r="AD26" s="512" t="str">
        <f t="shared" si="5"/>
        <v>Met</v>
      </c>
      <c r="AF26" s="444">
        <f>VLOOKUP(A26,'42. SEA or LEA Worksheet'!$A$4:$Z$324,26,0)</f>
        <v>0</v>
      </c>
      <c r="AG26" s="513" t="str">
        <f t="shared" si="6"/>
        <v>Met</v>
      </c>
      <c r="AI26" s="444">
        <f>VLOOKUP(A26,'42. SEA or LEA Worksheet'!$A$4:$AB$324,28,0)</f>
        <v>7736881.7400000002</v>
      </c>
      <c r="AJ26" s="513" t="str">
        <f t="shared" si="7"/>
        <v>Met</v>
      </c>
      <c r="AL26" s="444">
        <f>VLOOKUP(compliance!A26,'42. SEA or LEA Worksheet'!$A$4:$AB$324,26,0)/VLOOKUP(compliance!A26,'42. SEA or LEA Worksheet'!$A$4:$Y$324,25,0)</f>
        <v>0</v>
      </c>
      <c r="AM26" s="513" t="str">
        <f t="shared" si="8"/>
        <v>Met</v>
      </c>
      <c r="AO26" s="444">
        <f>VLOOKUP(A26,'42. SEA or LEA Worksheet'!$A$4:$AB$324,28,0)/VLOOKUP(compliance!A26,'42. SEA or LEA Worksheet'!$A$4:$Y$324,25,0)</f>
        <v>15170.356352941177</v>
      </c>
      <c r="AP26" s="513" t="str">
        <f t="shared" si="9"/>
        <v>Met</v>
      </c>
      <c r="AR26" s="512" t="str">
        <f t="shared" si="10"/>
        <v>Met</v>
      </c>
      <c r="AT26" s="444">
        <f>VLOOKUP(A26,'42. SEA or LEA Worksheet'!$A$4:$AE$324,31,0)</f>
        <v>0</v>
      </c>
      <c r="AU26" s="513" t="str">
        <f t="shared" si="11"/>
        <v>Met</v>
      </c>
      <c r="AW26" s="444">
        <f>VLOOKUP(A26,'42. SEA or LEA Worksheet'!$A$4:$AG$324,33,0)</f>
        <v>9168983.5500000007</v>
      </c>
      <c r="AX26" s="513" t="str">
        <f t="shared" si="12"/>
        <v>Met</v>
      </c>
      <c r="AZ26" s="444">
        <f>VLOOKUP(A26,'42. SEA or LEA Worksheet'!$A$4:$AG$324,31,0)/VLOOKUP(A26,'42. SEA or LEA Worksheet'!$A$4:$AD$324,30,0)</f>
        <v>0</v>
      </c>
      <c r="BA26" s="513" t="str">
        <f t="shared" si="13"/>
        <v>Met</v>
      </c>
      <c r="BC26" s="444">
        <f>VLOOKUP(A26,'42. SEA or LEA Worksheet'!$A$4:$AG$324,33,0)/VLOOKUP(A26,'42. SEA or LEA Worksheet'!$A$4:$AD$324,30,0)</f>
        <v>16580.440415913203</v>
      </c>
      <c r="BD26" s="513" t="str">
        <f t="shared" si="14"/>
        <v>Met</v>
      </c>
      <c r="BF26" s="512" t="str">
        <f t="shared" si="21"/>
        <v>Met</v>
      </c>
      <c r="BG26" s="637">
        <f>VLOOKUP(A26,'42. SEA or LEA Worksheet'!$A$4:$AM$324,36,0)</f>
        <v>0</v>
      </c>
      <c r="BH26" s="638" t="str">
        <f t="shared" si="16"/>
        <v>Met</v>
      </c>
      <c r="BI26" s="639"/>
      <c r="BJ26" s="637">
        <f>VLOOKUP(A26,'42. SEA or LEA Worksheet'!$A$4:$AM$324,38,0)</f>
        <v>9207540.0600000005</v>
      </c>
      <c r="BK26" s="638" t="str">
        <f t="shared" si="17"/>
        <v>Met</v>
      </c>
      <c r="BM26" s="631">
        <f>VLOOKUP(A26,'42. SEA or LEA Worksheet'!$A$4:$AL$324,36,0)/VLOOKUP(A26,'42. SEA or LEA Worksheet'!$A$4:$AL$324,35,0)</f>
        <v>0</v>
      </c>
      <c r="BN26" s="632" t="str">
        <f t="shared" si="18"/>
        <v>Met</v>
      </c>
      <c r="BP26" s="631">
        <f>VLOOKUP(A26,'42. SEA or LEA Worksheet'!$A$4:$AL$324,38,0)/VLOOKUP(A26,'42. SEA or LEA Worksheet'!$A$4:$AL$324,35,0)</f>
        <v>16267.738621908127</v>
      </c>
      <c r="BQ26" s="632" t="str">
        <f t="shared" si="19"/>
        <v>Met</v>
      </c>
      <c r="BS26" s="620" t="str">
        <f t="shared" si="22"/>
        <v>Met</v>
      </c>
    </row>
    <row r="27" spans="1:71" x14ac:dyDescent="0.25">
      <c r="A27" s="343" t="s">
        <v>239</v>
      </c>
      <c r="B27" s="510" t="s">
        <v>858</v>
      </c>
      <c r="C27" s="511"/>
      <c r="D27" s="444">
        <v>1770263.67</v>
      </c>
      <c r="E27" s="343" t="s">
        <v>856</v>
      </c>
      <c r="F27" s="511"/>
      <c r="G27" s="444">
        <v>11805676.67</v>
      </c>
      <c r="H27" s="343" t="s">
        <v>835</v>
      </c>
      <c r="I27" s="511"/>
      <c r="J27" s="444">
        <v>2232.3627616645649</v>
      </c>
      <c r="K27" s="343" t="s">
        <v>856</v>
      </c>
      <c r="L27" s="511"/>
      <c r="M27" s="444">
        <v>14887.36023959647</v>
      </c>
      <c r="N27" s="343" t="s">
        <v>835</v>
      </c>
      <c r="O27" s="511"/>
      <c r="P27" s="512" t="str">
        <f t="shared" si="0"/>
        <v>Met</v>
      </c>
      <c r="Q27" s="511"/>
      <c r="R27" s="444">
        <f>VLOOKUP(A27,'2020-21'!$A$6:$F$319,6,0)</f>
        <v>1776362.76</v>
      </c>
      <c r="S27" s="513" t="str">
        <f t="shared" si="1"/>
        <v>Met</v>
      </c>
      <c r="U27" s="444">
        <f>VLOOKUP(A27,'2020-21'!$A$6:$G$319,7,0)</f>
        <v>11500200.09</v>
      </c>
      <c r="V27" s="513" t="str">
        <f t="shared" si="2"/>
        <v>Did not Meet</v>
      </c>
      <c r="X27" s="444">
        <f>VLOOKUP(A27,'2020-21'!$A$6:$F$319,6,0)/VLOOKUP(A27,'42. SEA or LEA Worksheet'!$A$4:$T$324,20,0)</f>
        <v>2268.6625287356323</v>
      </c>
      <c r="Y27" s="513" t="str">
        <f t="shared" si="3"/>
        <v>Met</v>
      </c>
      <c r="AA27" s="444">
        <f>VLOOKUP(A27,'42. SEA or LEA Worksheet'!$A$4:$W$324,23,0)/VLOOKUP(compliance!A27,'42. SEA or LEA Worksheet'!$A$4:$T$324,20,0)</f>
        <v>14687.356436781609</v>
      </c>
      <c r="AB27" s="513" t="str">
        <f t="shared" si="4"/>
        <v>Did not Meet</v>
      </c>
      <c r="AD27" s="512" t="str">
        <f t="shared" si="5"/>
        <v>Met</v>
      </c>
      <c r="AF27" s="444">
        <f>VLOOKUP(A27,'42. SEA or LEA Worksheet'!$A$4:$Z$324,26,0)</f>
        <v>2169512.08</v>
      </c>
      <c r="AG27" s="513" t="str">
        <f t="shared" si="6"/>
        <v>Met</v>
      </c>
      <c r="AI27" s="444">
        <f>VLOOKUP(A27,'42. SEA or LEA Worksheet'!$A$4:$AB$324,28,0)</f>
        <v>12067826.23</v>
      </c>
      <c r="AJ27" s="513" t="str">
        <f t="shared" si="7"/>
        <v>Met</v>
      </c>
      <c r="AL27" s="444">
        <f>VLOOKUP(compliance!A27,'42. SEA or LEA Worksheet'!$A$4:$AB$324,26,0)/VLOOKUP(compliance!A27,'42. SEA or LEA Worksheet'!$A$4:$Y$324,25,0)</f>
        <v>2817.5481558441561</v>
      </c>
      <c r="AM27" s="513" t="str">
        <f t="shared" si="8"/>
        <v>Met</v>
      </c>
      <c r="AO27" s="444">
        <f>VLOOKUP(A27,'42. SEA or LEA Worksheet'!$A$4:$AB$324,28,0)/VLOOKUP(compliance!A27,'42. SEA or LEA Worksheet'!$A$4:$Y$324,25,0)</f>
        <v>15672.501597402597</v>
      </c>
      <c r="AP27" s="513" t="str">
        <f t="shared" si="9"/>
        <v>Met</v>
      </c>
      <c r="AR27" s="512" t="str">
        <f t="shared" si="10"/>
        <v>Met</v>
      </c>
      <c r="AT27" s="444">
        <f>VLOOKUP(A27,'42. SEA or LEA Worksheet'!$A$4:$AE$324,31,0)</f>
        <v>2139718.0699999998</v>
      </c>
      <c r="AU27" s="513" t="str">
        <f t="shared" si="11"/>
        <v>Did not Meet</v>
      </c>
      <c r="AW27" s="444">
        <f>VLOOKUP(A27,'42. SEA or LEA Worksheet'!$A$4:$AG$324,33,0)</f>
        <v>13583045.540000001</v>
      </c>
      <c r="AX27" s="513" t="str">
        <f t="shared" si="12"/>
        <v>Met</v>
      </c>
      <c r="AZ27" s="444">
        <f>VLOOKUP(A27,'42. SEA or LEA Worksheet'!$A$4:$AG$324,31,0)/VLOOKUP(A27,'42. SEA or LEA Worksheet'!$A$4:$AD$324,30,0)</f>
        <v>2490.9407101280558</v>
      </c>
      <c r="BA27" s="513" t="str">
        <f t="shared" si="13"/>
        <v>Did not Meet</v>
      </c>
      <c r="BC27" s="444">
        <f>VLOOKUP(A27,'42. SEA or LEA Worksheet'!$A$4:$AG$324,33,0)/VLOOKUP(A27,'42. SEA or LEA Worksheet'!$A$4:$AD$324,30,0)</f>
        <v>15812.625774155997</v>
      </c>
      <c r="BD27" s="513" t="str">
        <f t="shared" si="14"/>
        <v>Met</v>
      </c>
      <c r="BF27" s="512" t="str">
        <f t="shared" si="21"/>
        <v>Met</v>
      </c>
      <c r="BG27" s="637">
        <f>VLOOKUP(A27,'42. SEA or LEA Worksheet'!$A$4:$AM$324,36,0)</f>
        <v>2715183.46</v>
      </c>
      <c r="BH27" s="638" t="str">
        <f t="shared" si="16"/>
        <v>Met</v>
      </c>
      <c r="BI27" s="639"/>
      <c r="BJ27" s="637">
        <f>VLOOKUP(A27,'42. SEA or LEA Worksheet'!$A$4:$AM$324,38,0)</f>
        <v>16865885.969999999</v>
      </c>
      <c r="BK27" s="638" t="str">
        <f t="shared" si="17"/>
        <v>Met</v>
      </c>
      <c r="BM27" s="631">
        <f>VLOOKUP(A27,'42. SEA or LEA Worksheet'!$A$4:$AL$324,36,0)/VLOOKUP(A27,'42. SEA or LEA Worksheet'!$A$4:$AL$324,35,0)</f>
        <v>2993.5870562293276</v>
      </c>
      <c r="BN27" s="632" t="str">
        <f t="shared" si="18"/>
        <v>Met</v>
      </c>
      <c r="BP27" s="631">
        <f>VLOOKUP(A27,'42. SEA or LEA Worksheet'!$A$4:$AL$324,38,0)/VLOOKUP(A27,'42. SEA or LEA Worksheet'!$A$4:$AL$324,35,0)</f>
        <v>18595.243627342887</v>
      </c>
      <c r="BQ27" s="632" t="str">
        <f t="shared" si="19"/>
        <v>Met</v>
      </c>
      <c r="BS27" s="620" t="str">
        <f t="shared" si="22"/>
        <v>Met</v>
      </c>
    </row>
    <row r="28" spans="1:71" x14ac:dyDescent="0.25">
      <c r="A28" s="343" t="s">
        <v>241</v>
      </c>
      <c r="B28" s="510" t="s">
        <v>859</v>
      </c>
      <c r="C28" s="511"/>
      <c r="D28" s="444">
        <v>0</v>
      </c>
      <c r="E28" s="343" t="s">
        <v>856</v>
      </c>
      <c r="F28" s="511"/>
      <c r="G28" s="444">
        <v>1314538.57</v>
      </c>
      <c r="H28" s="343" t="s">
        <v>835</v>
      </c>
      <c r="I28" s="511"/>
      <c r="J28" s="444">
        <v>0</v>
      </c>
      <c r="K28" s="343" t="s">
        <v>856</v>
      </c>
      <c r="L28" s="511"/>
      <c r="M28" s="444">
        <v>16639.728734177217</v>
      </c>
      <c r="N28" s="343" t="s">
        <v>856</v>
      </c>
      <c r="O28" s="511"/>
      <c r="P28" s="512" t="str">
        <f t="shared" si="0"/>
        <v>Met</v>
      </c>
      <c r="Q28" s="511"/>
      <c r="R28" s="444">
        <f>VLOOKUP(A28,'2020-21'!$A$6:$F$319,6,0)</f>
        <v>0</v>
      </c>
      <c r="S28" s="513" t="str">
        <f t="shared" si="1"/>
        <v>Met</v>
      </c>
      <c r="U28" s="444">
        <f>VLOOKUP(A28,'2020-21'!$A$6:$G$319,7,0)</f>
        <v>1322377.52</v>
      </c>
      <c r="V28" s="513" t="str">
        <f t="shared" si="2"/>
        <v>Met</v>
      </c>
      <c r="X28" s="444">
        <f>VLOOKUP(A28,'2020-21'!$A$6:$F$319,6,0)/VLOOKUP(A28,'42. SEA or LEA Worksheet'!$A$4:$T$324,20,0)</f>
        <v>0</v>
      </c>
      <c r="Y28" s="513" t="str">
        <f t="shared" si="3"/>
        <v>Met</v>
      </c>
      <c r="AA28" s="444">
        <f>VLOOKUP(A28,'42. SEA or LEA Worksheet'!$A$4:$W$324,23,0)/VLOOKUP(compliance!A28,'42. SEA or LEA Worksheet'!$A$4:$T$324,20,0)</f>
        <v>16953.557948717949</v>
      </c>
      <c r="AB28" s="513" t="str">
        <f t="shared" si="4"/>
        <v>Met</v>
      </c>
      <c r="AD28" s="512" t="str">
        <f t="shared" si="5"/>
        <v>Met</v>
      </c>
      <c r="AF28" s="444">
        <f>VLOOKUP(A28,'42. SEA or LEA Worksheet'!$A$4:$Z$324,26,0)</f>
        <v>345228.24</v>
      </c>
      <c r="AG28" s="513" t="str">
        <f t="shared" si="6"/>
        <v>Met</v>
      </c>
      <c r="AI28" s="444">
        <f>VLOOKUP(A28,'42. SEA or LEA Worksheet'!$A$4:$AB$324,28,0)</f>
        <v>1207556.0899999999</v>
      </c>
      <c r="AJ28" s="513" t="str">
        <f t="shared" si="7"/>
        <v>Did not Meet</v>
      </c>
      <c r="AL28" s="444">
        <f>VLOOKUP(compliance!A28,'42. SEA or LEA Worksheet'!$A$4:$AB$324,26,0)/VLOOKUP(compliance!A28,'42. SEA or LEA Worksheet'!$A$4:$Y$324,25,0)</f>
        <v>4603.0432000000001</v>
      </c>
      <c r="AM28" s="513" t="str">
        <f t="shared" si="8"/>
        <v>Met</v>
      </c>
      <c r="AO28" s="444">
        <f>VLOOKUP(A28,'42. SEA or LEA Worksheet'!$A$4:$AB$324,28,0)/VLOOKUP(compliance!A28,'42. SEA or LEA Worksheet'!$A$4:$Y$324,25,0)</f>
        <v>16100.747866666665</v>
      </c>
      <c r="AP28" s="513" t="str">
        <f t="shared" si="9"/>
        <v>Did not Meet</v>
      </c>
      <c r="AR28" s="512" t="str">
        <f t="shared" si="10"/>
        <v>Met</v>
      </c>
      <c r="AT28" s="444">
        <f>VLOOKUP(A28,'42. SEA or LEA Worksheet'!$A$4:$AE$324,31,0)</f>
        <v>601500.4</v>
      </c>
      <c r="AU28" s="513" t="str">
        <f t="shared" si="11"/>
        <v>Met</v>
      </c>
      <c r="AW28" s="444">
        <f>VLOOKUP(A28,'42. SEA or LEA Worksheet'!$A$4:$AG$324,33,0)</f>
        <v>1428214.79</v>
      </c>
      <c r="AX28" s="513" t="str">
        <f t="shared" si="12"/>
        <v>Met</v>
      </c>
      <c r="AZ28" s="444">
        <f>VLOOKUP(A28,'42. SEA or LEA Worksheet'!$A$4:$AG$324,31,0)/VLOOKUP(A28,'42. SEA or LEA Worksheet'!$A$4:$AD$324,30,0)</f>
        <v>7711.54358974359</v>
      </c>
      <c r="BA28" s="513" t="str">
        <f t="shared" si="13"/>
        <v>Met</v>
      </c>
      <c r="BC28" s="444">
        <f>VLOOKUP(A28,'42. SEA or LEA Worksheet'!$A$4:$AG$324,33,0)/VLOOKUP(A28,'42. SEA or LEA Worksheet'!$A$4:$AD$324,30,0)</f>
        <v>18310.446025641028</v>
      </c>
      <c r="BD28" s="513" t="str">
        <f t="shared" si="14"/>
        <v>Met</v>
      </c>
      <c r="BF28" s="512" t="str">
        <f t="shared" si="21"/>
        <v>Met</v>
      </c>
      <c r="BG28" s="637">
        <f>VLOOKUP(A28,'42. SEA or LEA Worksheet'!$A$4:$AM$324,36,0)</f>
        <v>687827.76</v>
      </c>
      <c r="BH28" s="638" t="str">
        <f t="shared" si="16"/>
        <v>Met</v>
      </c>
      <c r="BI28" s="639"/>
      <c r="BJ28" s="637">
        <f>VLOOKUP(A28,'42. SEA or LEA Worksheet'!$A$4:$AM$324,38,0)</f>
        <v>1750759.78</v>
      </c>
      <c r="BK28" s="638" t="str">
        <f t="shared" si="17"/>
        <v>Met</v>
      </c>
      <c r="BM28" s="631">
        <f>VLOOKUP(A28,'42. SEA or LEA Worksheet'!$A$4:$AL$324,36,0)/VLOOKUP(A28,'42. SEA or LEA Worksheet'!$A$4:$AL$324,35,0)</f>
        <v>8818.3046153846153</v>
      </c>
      <c r="BN28" s="632" t="str">
        <f t="shared" si="18"/>
        <v>Met</v>
      </c>
      <c r="BP28" s="631">
        <f>VLOOKUP(A28,'42. SEA or LEA Worksheet'!$A$4:$AL$324,38,0)/VLOOKUP(A28,'42. SEA or LEA Worksheet'!$A$4:$AL$324,35,0)</f>
        <v>22445.638205128205</v>
      </c>
      <c r="BQ28" s="632" t="str">
        <f t="shared" si="19"/>
        <v>Met</v>
      </c>
      <c r="BS28" s="620" t="str">
        <f t="shared" si="22"/>
        <v>Met</v>
      </c>
    </row>
    <row r="29" spans="1:71" x14ac:dyDescent="0.25">
      <c r="A29" s="343" t="s">
        <v>243</v>
      </c>
      <c r="B29" s="510" t="s">
        <v>860</v>
      </c>
      <c r="C29" s="511"/>
      <c r="D29" s="444">
        <v>0</v>
      </c>
      <c r="E29" s="343" t="s">
        <v>835</v>
      </c>
      <c r="F29" s="511"/>
      <c r="G29" s="444">
        <v>313511.59999999998</v>
      </c>
      <c r="H29" s="343" t="s">
        <v>835</v>
      </c>
      <c r="I29" s="511"/>
      <c r="J29" s="444">
        <v>0</v>
      </c>
      <c r="K29" s="343" t="s">
        <v>835</v>
      </c>
      <c r="L29" s="511"/>
      <c r="M29" s="444">
        <v>13062.983333333332</v>
      </c>
      <c r="N29" s="343" t="s">
        <v>835</v>
      </c>
      <c r="O29" s="511"/>
      <c r="P29" s="512" t="str">
        <f t="shared" si="0"/>
        <v>Met</v>
      </c>
      <c r="Q29" s="511"/>
      <c r="R29" s="444">
        <f>VLOOKUP(A29,'2020-21'!$A$6:$F$319,6,0)</f>
        <v>0</v>
      </c>
      <c r="S29" s="513" t="str">
        <f t="shared" si="1"/>
        <v>Met</v>
      </c>
      <c r="U29" s="444">
        <f>VLOOKUP(A29,'2020-21'!$A$6:$G$319,7,0)</f>
        <v>266687.75</v>
      </c>
      <c r="V29" s="513" t="str">
        <f t="shared" si="2"/>
        <v>Did not Meet</v>
      </c>
      <c r="X29" s="444">
        <f>VLOOKUP(A29,'2020-21'!$A$6:$F$319,6,0)/VLOOKUP(A29,'42. SEA or LEA Worksheet'!$A$4:$T$324,20,0)</f>
        <v>0</v>
      </c>
      <c r="Y29" s="513" t="str">
        <f t="shared" si="3"/>
        <v>Met</v>
      </c>
      <c r="AA29" s="444">
        <f>VLOOKUP(A29,'42. SEA or LEA Worksheet'!$A$4:$W$324,23,0)/VLOOKUP(compliance!A29,'42. SEA or LEA Worksheet'!$A$4:$T$324,20,0)</f>
        <v>9196.1293103448279</v>
      </c>
      <c r="AB29" s="513" t="str">
        <f t="shared" si="4"/>
        <v>Did not Meet</v>
      </c>
      <c r="AD29" s="512" t="str">
        <f t="shared" si="5"/>
        <v>Met</v>
      </c>
      <c r="AF29" s="444">
        <f>VLOOKUP(A29,'42. SEA or LEA Worksheet'!$A$4:$Z$324,26,0)</f>
        <v>0</v>
      </c>
      <c r="AG29" s="513" t="str">
        <f t="shared" si="6"/>
        <v>Met</v>
      </c>
      <c r="AI29" s="444">
        <f>VLOOKUP(A29,'42. SEA or LEA Worksheet'!$A$4:$AB$324,28,0)</f>
        <v>226291.05</v>
      </c>
      <c r="AJ29" s="513" t="str">
        <f t="shared" si="7"/>
        <v>Did not Meet</v>
      </c>
      <c r="AL29" s="444">
        <f>VLOOKUP(compliance!A29,'42. SEA or LEA Worksheet'!$A$4:$AB$324,26,0)/VLOOKUP(compliance!A29,'42. SEA or LEA Worksheet'!$A$4:$Y$324,25,0)</f>
        <v>0</v>
      </c>
      <c r="AM29" s="513" t="str">
        <f t="shared" si="8"/>
        <v>Met</v>
      </c>
      <c r="AO29" s="444">
        <f>VLOOKUP(A29,'42. SEA or LEA Worksheet'!$A$4:$AB$324,28,0)/VLOOKUP(compliance!A29,'42. SEA or LEA Worksheet'!$A$4:$Y$324,25,0)</f>
        <v>8381.15</v>
      </c>
      <c r="AP29" s="513" t="str">
        <f t="shared" si="9"/>
        <v>Did not Meet</v>
      </c>
      <c r="AR29" s="512" t="str">
        <f t="shared" si="10"/>
        <v>Met</v>
      </c>
      <c r="AT29" s="444">
        <f>VLOOKUP(A29,'42. SEA or LEA Worksheet'!$A$4:$AE$324,31,0)</f>
        <v>0</v>
      </c>
      <c r="AU29" s="513" t="str">
        <f t="shared" si="11"/>
        <v>Met</v>
      </c>
      <c r="AW29" s="444">
        <f>VLOOKUP(A29,'42. SEA or LEA Worksheet'!$A$4:$AG$324,33,0)</f>
        <v>345480.24</v>
      </c>
      <c r="AX29" s="513" t="str">
        <f t="shared" si="12"/>
        <v>Met</v>
      </c>
      <c r="AZ29" s="444">
        <f>VLOOKUP(A29,'42. SEA or LEA Worksheet'!$A$4:$AG$324,31,0)/VLOOKUP(A29,'42. SEA or LEA Worksheet'!$A$4:$AD$324,30,0)</f>
        <v>0</v>
      </c>
      <c r="BA29" s="513" t="str">
        <f t="shared" si="13"/>
        <v>Met</v>
      </c>
      <c r="BC29" s="444">
        <f>VLOOKUP(A29,'42. SEA or LEA Worksheet'!$A$4:$AG$324,33,0)/VLOOKUP(A29,'42. SEA or LEA Worksheet'!$A$4:$AD$324,30,0)</f>
        <v>11913.111724137931</v>
      </c>
      <c r="BD29" s="513" t="str">
        <f t="shared" si="14"/>
        <v>Met</v>
      </c>
      <c r="BF29" s="512" t="str">
        <f t="shared" si="21"/>
        <v>Met</v>
      </c>
      <c r="BG29" s="637">
        <f>VLOOKUP(A29,'42. SEA or LEA Worksheet'!$A$4:$AM$324,36,0)</f>
        <v>0</v>
      </c>
      <c r="BH29" s="638" t="str">
        <f t="shared" si="16"/>
        <v>Met</v>
      </c>
      <c r="BI29" s="639"/>
      <c r="BJ29" s="637">
        <f>VLOOKUP(A29,'42. SEA or LEA Worksheet'!$A$4:$AM$324,38,0)</f>
        <v>360763.05</v>
      </c>
      <c r="BK29" s="638" t="str">
        <f t="shared" si="17"/>
        <v>Met</v>
      </c>
      <c r="BM29" s="631">
        <f>VLOOKUP(A29,'42. SEA or LEA Worksheet'!$A$4:$AL$324,36,0)/VLOOKUP(A29,'42. SEA or LEA Worksheet'!$A$4:$AL$324,35,0)</f>
        <v>0</v>
      </c>
      <c r="BN29" s="632" t="str">
        <f t="shared" si="18"/>
        <v>Met</v>
      </c>
      <c r="BP29" s="631">
        <f>VLOOKUP(A29,'42. SEA or LEA Worksheet'!$A$4:$AL$324,38,0)/VLOOKUP(A29,'42. SEA or LEA Worksheet'!$A$4:$AL$324,35,0)</f>
        <v>12025.434999999999</v>
      </c>
      <c r="BQ29" s="632" t="str">
        <f t="shared" si="19"/>
        <v>Met</v>
      </c>
      <c r="BS29" s="620" t="str">
        <f t="shared" si="22"/>
        <v>Met</v>
      </c>
    </row>
    <row r="30" spans="1:71" x14ac:dyDescent="0.25">
      <c r="A30" s="343" t="s">
        <v>245</v>
      </c>
      <c r="B30" s="510" t="s">
        <v>861</v>
      </c>
      <c r="C30" s="511"/>
      <c r="D30" s="444">
        <v>0</v>
      </c>
      <c r="E30" s="343" t="s">
        <v>835</v>
      </c>
      <c r="F30" s="511"/>
      <c r="G30" s="444">
        <v>1972042.95</v>
      </c>
      <c r="H30" s="343" t="s">
        <v>835</v>
      </c>
      <c r="I30" s="511"/>
      <c r="J30" s="444">
        <v>0</v>
      </c>
      <c r="K30" s="343" t="s">
        <v>835</v>
      </c>
      <c r="L30" s="511"/>
      <c r="M30" s="444">
        <v>13694.742708333333</v>
      </c>
      <c r="N30" s="343" t="s">
        <v>835</v>
      </c>
      <c r="O30" s="511"/>
      <c r="P30" s="512" t="str">
        <f t="shared" si="0"/>
        <v>Met</v>
      </c>
      <c r="Q30" s="511"/>
      <c r="R30" s="444">
        <f>VLOOKUP(A30,'2020-21'!$A$6:$F$319,6,0)</f>
        <v>23027.02</v>
      </c>
      <c r="S30" s="513" t="str">
        <f t="shared" si="1"/>
        <v>Met</v>
      </c>
      <c r="U30" s="444">
        <f>VLOOKUP(A30,'2020-21'!$A$6:$G$319,7,0)</f>
        <v>1588862.2</v>
      </c>
      <c r="V30" s="513" t="str">
        <f t="shared" si="2"/>
        <v>Did not Meet</v>
      </c>
      <c r="X30" s="444">
        <f>VLOOKUP(A30,'2020-21'!$A$6:$F$319,6,0)/VLOOKUP(A30,'42. SEA or LEA Worksheet'!$A$4:$T$324,20,0)</f>
        <v>195.1442372881356</v>
      </c>
      <c r="Y30" s="513" t="str">
        <f t="shared" si="3"/>
        <v>Met</v>
      </c>
      <c r="AA30" s="444">
        <f>VLOOKUP(A30,'42. SEA or LEA Worksheet'!$A$4:$W$324,23,0)/VLOOKUP(compliance!A30,'42. SEA or LEA Worksheet'!$A$4:$T$324,20,0)</f>
        <v>13464.933898305084</v>
      </c>
      <c r="AB30" s="513" t="str">
        <f t="shared" si="4"/>
        <v>Did not Meet</v>
      </c>
      <c r="AD30" s="512" t="str">
        <f t="shared" si="5"/>
        <v>Met</v>
      </c>
      <c r="AF30" s="444">
        <f>VLOOKUP(A30,'42. SEA or LEA Worksheet'!$A$4:$Z$324,26,0)</f>
        <v>50000</v>
      </c>
      <c r="AG30" s="513" t="str">
        <f t="shared" si="6"/>
        <v>Met</v>
      </c>
      <c r="AI30" s="444">
        <f>VLOOKUP(A30,'42. SEA or LEA Worksheet'!$A$4:$AB$324,28,0)</f>
        <v>1750582.33</v>
      </c>
      <c r="AJ30" s="513" t="str">
        <f t="shared" si="7"/>
        <v>Met</v>
      </c>
      <c r="AL30" s="444">
        <f>VLOOKUP(compliance!A30,'42. SEA or LEA Worksheet'!$A$4:$AB$324,26,0)/VLOOKUP(compliance!A30,'42. SEA or LEA Worksheet'!$A$4:$Y$324,25,0)</f>
        <v>454.54545454545456</v>
      </c>
      <c r="AM30" s="513" t="str">
        <f t="shared" si="8"/>
        <v>Met</v>
      </c>
      <c r="AO30" s="444">
        <f>VLOOKUP(A30,'42. SEA or LEA Worksheet'!$A$4:$AB$324,28,0)/VLOOKUP(compliance!A30,'42. SEA or LEA Worksheet'!$A$4:$Y$324,25,0)</f>
        <v>15914.384818181819</v>
      </c>
      <c r="AP30" s="513" t="str">
        <f t="shared" si="9"/>
        <v>Met</v>
      </c>
      <c r="AR30" s="512" t="str">
        <f t="shared" si="10"/>
        <v>Met</v>
      </c>
      <c r="AT30" s="444">
        <f>VLOOKUP(A30,'42. SEA or LEA Worksheet'!$A$4:$AE$324,31,0)</f>
        <v>75000</v>
      </c>
      <c r="AU30" s="513" t="str">
        <f t="shared" si="11"/>
        <v>Met</v>
      </c>
      <c r="AW30" s="444">
        <f>VLOOKUP(A30,'42. SEA or LEA Worksheet'!$A$4:$AG$324,33,0)</f>
        <v>1948841.24</v>
      </c>
      <c r="AX30" s="513" t="str">
        <f t="shared" si="12"/>
        <v>Met</v>
      </c>
      <c r="AZ30" s="444">
        <f>VLOOKUP(A30,'42. SEA or LEA Worksheet'!$A$4:$AG$324,31,0)/VLOOKUP(A30,'42. SEA or LEA Worksheet'!$A$4:$AD$324,30,0)</f>
        <v>604.83870967741939</v>
      </c>
      <c r="BA30" s="513" t="str">
        <f t="shared" si="13"/>
        <v>Met</v>
      </c>
      <c r="BC30" s="444">
        <f>VLOOKUP(A30,'42. SEA or LEA Worksheet'!$A$4:$AG$324,33,0)/VLOOKUP(A30,'42. SEA or LEA Worksheet'!$A$4:$AD$324,30,0)</f>
        <v>15716.461612903226</v>
      </c>
      <c r="BD30" s="513" t="str">
        <f t="shared" si="14"/>
        <v>Did not Meet</v>
      </c>
      <c r="BF30" s="512" t="str">
        <f t="shared" si="21"/>
        <v>Met</v>
      </c>
      <c r="BG30" s="637">
        <f>VLOOKUP(A30,'42. SEA or LEA Worksheet'!$A$4:$AM$324,36,0)</f>
        <v>567529.1</v>
      </c>
      <c r="BH30" s="638" t="str">
        <f t="shared" si="16"/>
        <v>Met</v>
      </c>
      <c r="BI30" s="639"/>
      <c r="BJ30" s="637">
        <f>VLOOKUP(A30,'42. SEA or LEA Worksheet'!$A$4:$AM$324,38,0)</f>
        <v>2397979.1</v>
      </c>
      <c r="BK30" s="638" t="str">
        <f t="shared" si="17"/>
        <v>Met</v>
      </c>
      <c r="BM30" s="631">
        <f>VLOOKUP(A30,'42. SEA or LEA Worksheet'!$A$4:$AL$324,36,0)/VLOOKUP(A30,'42. SEA or LEA Worksheet'!$A$4:$AL$324,35,0)</f>
        <v>4112.5297101449278</v>
      </c>
      <c r="BN30" s="632" t="str">
        <f t="shared" si="18"/>
        <v>Met</v>
      </c>
      <c r="BP30" s="631">
        <f>VLOOKUP(A30,'42. SEA or LEA Worksheet'!$A$4:$AL$324,38,0)/VLOOKUP(A30,'42. SEA or LEA Worksheet'!$A$4:$AL$324,35,0)</f>
        <v>17376.660144927537</v>
      </c>
      <c r="BQ30" s="632" t="str">
        <f t="shared" si="19"/>
        <v>Met</v>
      </c>
      <c r="BS30" s="620" t="str">
        <f t="shared" si="22"/>
        <v>Met</v>
      </c>
    </row>
    <row r="31" spans="1:71" x14ac:dyDescent="0.25">
      <c r="A31" s="343" t="s">
        <v>248</v>
      </c>
      <c r="B31" s="510" t="s">
        <v>862</v>
      </c>
      <c r="C31" s="511"/>
      <c r="D31" s="444">
        <v>0</v>
      </c>
      <c r="E31" s="343" t="s">
        <v>856</v>
      </c>
      <c r="F31" s="511"/>
      <c r="G31" s="444">
        <v>2171219.31</v>
      </c>
      <c r="H31" s="343" t="s">
        <v>835</v>
      </c>
      <c r="I31" s="511"/>
      <c r="J31" s="444">
        <v>0</v>
      </c>
      <c r="K31" s="343" t="s">
        <v>856</v>
      </c>
      <c r="L31" s="511"/>
      <c r="M31" s="444">
        <v>10241.600518867925</v>
      </c>
      <c r="N31" s="343" t="s">
        <v>835</v>
      </c>
      <c r="O31" s="511"/>
      <c r="P31" s="512" t="str">
        <f t="shared" si="0"/>
        <v>Met</v>
      </c>
      <c r="Q31" s="511"/>
      <c r="R31" s="444">
        <f>VLOOKUP(A31,'2020-21'!$A$6:$F$319,6,0)</f>
        <v>0</v>
      </c>
      <c r="S31" s="513" t="str">
        <f t="shared" si="1"/>
        <v>Met</v>
      </c>
      <c r="U31" s="444">
        <f>VLOOKUP(A31,'2020-21'!$A$6:$G$319,7,0)</f>
        <v>2179889.6</v>
      </c>
      <c r="V31" s="513" t="str">
        <f t="shared" si="2"/>
        <v>Met</v>
      </c>
      <c r="X31" s="444">
        <f>VLOOKUP(A31,'2020-21'!$A$6:$F$319,6,0)/VLOOKUP(A31,'42. SEA or LEA Worksheet'!$A$4:$T$324,20,0)</f>
        <v>0</v>
      </c>
      <c r="Y31" s="513" t="str">
        <f t="shared" si="3"/>
        <v>Met</v>
      </c>
      <c r="AA31" s="444">
        <f>VLOOKUP(A31,'42. SEA or LEA Worksheet'!$A$4:$W$324,23,0)/VLOOKUP(compliance!A31,'42. SEA or LEA Worksheet'!$A$4:$T$324,20,0)</f>
        <v>9819.3225225225233</v>
      </c>
      <c r="AB31" s="513" t="str">
        <f t="shared" si="4"/>
        <v>Did not Meet</v>
      </c>
      <c r="AD31" s="512" t="str">
        <f t="shared" si="5"/>
        <v>Met</v>
      </c>
      <c r="AF31" s="444">
        <f>VLOOKUP(A31,'42. SEA or LEA Worksheet'!$A$4:$Z$324,26,0)</f>
        <v>0</v>
      </c>
      <c r="AG31" s="513" t="str">
        <f t="shared" si="6"/>
        <v>Met</v>
      </c>
      <c r="AI31" s="444">
        <f>VLOOKUP(A31,'42. SEA or LEA Worksheet'!$A$4:$AB$324,28,0)</f>
        <v>2374096.1800000002</v>
      </c>
      <c r="AJ31" s="513" t="str">
        <f t="shared" si="7"/>
        <v>Met</v>
      </c>
      <c r="AL31" s="444">
        <f>VLOOKUP(compliance!A31,'42. SEA or LEA Worksheet'!$A$4:$AB$324,26,0)/VLOOKUP(compliance!A31,'42. SEA or LEA Worksheet'!$A$4:$Y$324,25,0)</f>
        <v>0</v>
      </c>
      <c r="AM31" s="513" t="str">
        <f t="shared" si="8"/>
        <v>Met</v>
      </c>
      <c r="AO31" s="444">
        <f>VLOOKUP(A31,'42. SEA or LEA Worksheet'!$A$4:$AB$324,28,0)/VLOOKUP(compliance!A31,'42. SEA or LEA Worksheet'!$A$4:$Y$324,25,0)</f>
        <v>11469.063671497586</v>
      </c>
      <c r="AP31" s="513" t="str">
        <f t="shared" si="9"/>
        <v>Met</v>
      </c>
      <c r="AR31" s="512" t="str">
        <f t="shared" si="10"/>
        <v>Met</v>
      </c>
      <c r="AT31" s="444">
        <f>VLOOKUP(A31,'42. SEA or LEA Worksheet'!$A$4:$AE$324,31,0)</f>
        <v>518318.29</v>
      </c>
      <c r="AU31" s="513" t="str">
        <f t="shared" si="11"/>
        <v>Met</v>
      </c>
      <c r="AW31" s="444">
        <f>VLOOKUP(A31,'42. SEA or LEA Worksheet'!$A$4:$AG$324,33,0)</f>
        <v>2644491.7800000003</v>
      </c>
      <c r="AX31" s="513" t="str">
        <f t="shared" si="12"/>
        <v>Met</v>
      </c>
      <c r="AZ31" s="444">
        <f>VLOOKUP(A31,'42. SEA or LEA Worksheet'!$A$4:$AG$324,31,0)/VLOOKUP(A31,'42. SEA or LEA Worksheet'!$A$4:$AD$324,30,0)</f>
        <v>2699.5744270833334</v>
      </c>
      <c r="BA31" s="513" t="str">
        <f t="shared" si="13"/>
        <v>Met</v>
      </c>
      <c r="BC31" s="444">
        <f>VLOOKUP(A31,'42. SEA or LEA Worksheet'!$A$4:$AG$324,33,0)/VLOOKUP(A31,'42. SEA or LEA Worksheet'!$A$4:$AD$324,30,0)</f>
        <v>13773.394687500002</v>
      </c>
      <c r="BD31" s="513" t="str">
        <f t="shared" si="14"/>
        <v>Met</v>
      </c>
      <c r="BF31" s="512" t="str">
        <f t="shared" si="21"/>
        <v>Met</v>
      </c>
      <c r="BG31" s="637">
        <f>VLOOKUP(A31,'42. SEA or LEA Worksheet'!$A$4:$AM$324,36,0)</f>
        <v>234222.33</v>
      </c>
      <c r="BH31" s="638" t="str">
        <f t="shared" si="16"/>
        <v>Did not Meet</v>
      </c>
      <c r="BI31" s="639"/>
      <c r="BJ31" s="637">
        <f>VLOOKUP(A31,'42. SEA or LEA Worksheet'!$A$4:$AM$324,38,0)</f>
        <v>2664476.81</v>
      </c>
      <c r="BK31" s="638" t="str">
        <f t="shared" si="17"/>
        <v>Met</v>
      </c>
      <c r="BM31" s="631">
        <f>VLOOKUP(A31,'42. SEA or LEA Worksheet'!$A$4:$AL$324,36,0)/VLOOKUP(A31,'42. SEA or LEA Worksheet'!$A$4:$AL$324,35,0)</f>
        <v>1245.8634574468085</v>
      </c>
      <c r="BN31" s="632" t="str">
        <f t="shared" si="18"/>
        <v>Met</v>
      </c>
      <c r="BP31" s="631">
        <f>VLOOKUP(A31,'42. SEA or LEA Worksheet'!$A$4:$AL$324,38,0)/VLOOKUP(A31,'42. SEA or LEA Worksheet'!$A$4:$AL$324,35,0)</f>
        <v>14172.748989361702</v>
      </c>
      <c r="BQ31" s="632" t="str">
        <f t="shared" si="19"/>
        <v>Met</v>
      </c>
      <c r="BS31" s="620" t="str">
        <f t="shared" si="22"/>
        <v>Met</v>
      </c>
    </row>
    <row r="32" spans="1:71" x14ac:dyDescent="0.25">
      <c r="A32" s="343" t="s">
        <v>250</v>
      </c>
      <c r="B32" s="510" t="s">
        <v>863</v>
      </c>
      <c r="C32" s="511"/>
      <c r="D32" s="444">
        <v>416184.18</v>
      </c>
      <c r="E32" s="343" t="s">
        <v>835</v>
      </c>
      <c r="F32" s="511"/>
      <c r="G32" s="444">
        <v>2905631.12</v>
      </c>
      <c r="H32" s="343" t="s">
        <v>835</v>
      </c>
      <c r="I32" s="511"/>
      <c r="J32" s="444">
        <v>1491.6995698924732</v>
      </c>
      <c r="K32" s="343" t="s">
        <v>835</v>
      </c>
      <c r="L32" s="511"/>
      <c r="M32" s="444">
        <v>10414.448458781362</v>
      </c>
      <c r="N32" s="343" t="s">
        <v>835</v>
      </c>
      <c r="O32" s="511"/>
      <c r="P32" s="512" t="str">
        <f t="shared" si="0"/>
        <v>Met</v>
      </c>
      <c r="Q32" s="511"/>
      <c r="R32" s="444">
        <f>VLOOKUP(A32,'2020-21'!$A$6:$F$319,6,0)</f>
        <v>170277.34</v>
      </c>
      <c r="S32" s="513" t="str">
        <f t="shared" si="1"/>
        <v>Did not Meet</v>
      </c>
      <c r="U32" s="444">
        <f>VLOOKUP(A32,'2020-21'!$A$6:$G$319,7,0)</f>
        <v>2585661.0099999998</v>
      </c>
      <c r="V32" s="513" t="str">
        <f t="shared" si="2"/>
        <v>Did not Meet</v>
      </c>
      <c r="X32" s="444">
        <f>VLOOKUP(A32,'2020-21'!$A$6:$F$319,6,0)/VLOOKUP(A32,'42. SEA or LEA Worksheet'!$A$4:$T$324,20,0)</f>
        <v>628.32966789667898</v>
      </c>
      <c r="Y32" s="513" t="str">
        <f t="shared" si="3"/>
        <v>Did not Meet</v>
      </c>
      <c r="AA32" s="444">
        <f>VLOOKUP(A32,'42. SEA or LEA Worksheet'!$A$4:$W$324,23,0)/VLOOKUP(compliance!A32,'42. SEA or LEA Worksheet'!$A$4:$T$324,20,0)</f>
        <v>9541.1845387453868</v>
      </c>
      <c r="AB32" s="513" t="str">
        <f t="shared" si="4"/>
        <v>Did not Meet</v>
      </c>
      <c r="AD32" s="512" t="str">
        <f t="shared" si="5"/>
        <v>Did not Meet</v>
      </c>
      <c r="AF32" s="444">
        <f>VLOOKUP(A32,'42. SEA or LEA Worksheet'!$A$4:$Z$324,26,0)</f>
        <v>397407.6</v>
      </c>
      <c r="AG32" s="513" t="str">
        <f t="shared" si="6"/>
        <v>Met</v>
      </c>
      <c r="AI32" s="444">
        <f>VLOOKUP(A32,'42. SEA or LEA Worksheet'!$A$4:$AB$324,28,0)</f>
        <v>2724125.47</v>
      </c>
      <c r="AJ32" s="513" t="str">
        <f t="shared" si="7"/>
        <v>Met</v>
      </c>
      <c r="AL32" s="444">
        <f>VLOOKUP(compliance!A32,'42. SEA or LEA Worksheet'!$A$4:$AB$324,26,0)/VLOOKUP(compliance!A32,'42. SEA or LEA Worksheet'!$A$4:$Y$324,25,0)</f>
        <v>1648.9941908713693</v>
      </c>
      <c r="AM32" s="513" t="str">
        <f t="shared" si="8"/>
        <v>Met</v>
      </c>
      <c r="AO32" s="444">
        <f>VLOOKUP(A32,'42. SEA or LEA Worksheet'!$A$4:$AB$324,28,0)/VLOOKUP(compliance!A32,'42. SEA or LEA Worksheet'!$A$4:$Y$324,25,0)</f>
        <v>11303.425186721992</v>
      </c>
      <c r="AP32" s="513" t="str">
        <f t="shared" si="9"/>
        <v>Met</v>
      </c>
      <c r="AR32" s="512" t="str">
        <f t="shared" si="10"/>
        <v>Met</v>
      </c>
      <c r="AT32" s="444">
        <f>VLOOKUP(A32,'42. SEA or LEA Worksheet'!$A$4:$AE$324,31,0)</f>
        <v>399157.77</v>
      </c>
      <c r="AU32" s="513" t="str">
        <f t="shared" si="11"/>
        <v>Met</v>
      </c>
      <c r="AW32" s="444">
        <f>VLOOKUP(A32,'42. SEA or LEA Worksheet'!$A$4:$AG$324,33,0)</f>
        <v>3060362.63</v>
      </c>
      <c r="AX32" s="513" t="str">
        <f t="shared" si="12"/>
        <v>Met</v>
      </c>
      <c r="AZ32" s="444">
        <f>VLOOKUP(A32,'42. SEA or LEA Worksheet'!$A$4:$AG$324,31,0)/VLOOKUP(A32,'42. SEA or LEA Worksheet'!$A$4:$AD$324,30,0)</f>
        <v>1649.4122727272727</v>
      </c>
      <c r="BA32" s="513" t="str">
        <f t="shared" si="13"/>
        <v>Met</v>
      </c>
      <c r="BC32" s="444">
        <f>VLOOKUP(A32,'42. SEA or LEA Worksheet'!$A$4:$AG$324,33,0)/VLOOKUP(A32,'42. SEA or LEA Worksheet'!$A$4:$AD$324,30,0)</f>
        <v>12646.126570247934</v>
      </c>
      <c r="BD32" s="513" t="str">
        <f t="shared" si="14"/>
        <v>Met</v>
      </c>
      <c r="BF32" s="512" t="str">
        <f t="shared" si="21"/>
        <v>Met</v>
      </c>
      <c r="BG32" s="637">
        <f>VLOOKUP(A32,'42. SEA or LEA Worksheet'!$A$4:$AM$324,36,0)</f>
        <v>122273.25</v>
      </c>
      <c r="BH32" s="638" t="str">
        <f t="shared" si="16"/>
        <v>Did not Meet</v>
      </c>
      <c r="BI32" s="639"/>
      <c r="BJ32" s="637">
        <f>VLOOKUP(A32,'42. SEA or LEA Worksheet'!$A$4:$AM$324,38,0)</f>
        <v>2988320.3</v>
      </c>
      <c r="BK32" s="638" t="str">
        <f t="shared" si="17"/>
        <v>Did not Meet</v>
      </c>
      <c r="BM32" s="631">
        <f>VLOOKUP(A32,'42. SEA or LEA Worksheet'!$A$4:$AL$324,36,0)/VLOOKUP(A32,'42. SEA or LEA Worksheet'!$A$4:$AL$324,35,0)</f>
        <v>545.86272321428567</v>
      </c>
      <c r="BN32" s="632" t="str">
        <f t="shared" si="18"/>
        <v>Met</v>
      </c>
      <c r="BP32" s="631">
        <f>VLOOKUP(A32,'42. SEA or LEA Worksheet'!$A$4:$AL$324,38,0)/VLOOKUP(A32,'42. SEA or LEA Worksheet'!$A$4:$AL$324,35,0)</f>
        <v>13340.715624999999</v>
      </c>
      <c r="BQ32" s="632" t="str">
        <f t="shared" si="19"/>
        <v>Met</v>
      </c>
      <c r="BS32" s="620" t="str">
        <f t="shared" si="22"/>
        <v>Met</v>
      </c>
    </row>
    <row r="33" spans="1:71" x14ac:dyDescent="0.25">
      <c r="A33" s="343" t="s">
        <v>252</v>
      </c>
      <c r="B33" s="510" t="s">
        <v>1300</v>
      </c>
      <c r="C33" s="511"/>
      <c r="D33" s="444">
        <v>0</v>
      </c>
      <c r="F33" s="511"/>
      <c r="G33" s="444">
        <v>0</v>
      </c>
      <c r="I33" s="511"/>
      <c r="J33" s="444">
        <v>0</v>
      </c>
      <c r="L33" s="511"/>
      <c r="M33" s="444">
        <v>0</v>
      </c>
      <c r="O33" s="511"/>
      <c r="P33" s="512"/>
      <c r="Q33" s="511"/>
      <c r="R33" s="444">
        <f>VLOOKUP(A33,'2020-21'!$A$6:$F$319,6,0)</f>
        <v>0</v>
      </c>
      <c r="S33" s="513" t="str">
        <f t="shared" si="1"/>
        <v>Met</v>
      </c>
      <c r="U33" s="444">
        <f>VLOOKUP(A33,'2020-21'!$A$6:$G$319,7,0)</f>
        <v>153461.20000000001</v>
      </c>
      <c r="V33" s="513" t="str">
        <f t="shared" si="2"/>
        <v>Met</v>
      </c>
      <c r="X33" s="444">
        <f>VLOOKUP(A33,'2020-21'!$A$6:$F$319,6,0)/VLOOKUP(A33,'42. SEA or LEA Worksheet'!$A$4:$T$324,20,0)</f>
        <v>0</v>
      </c>
      <c r="Y33" s="513" t="str">
        <f t="shared" si="3"/>
        <v>Met</v>
      </c>
      <c r="AA33" s="444">
        <f>VLOOKUP(A33,'42. SEA or LEA Worksheet'!$A$4:$W$324,23,0)/VLOOKUP(compliance!A33,'42. SEA or LEA Worksheet'!$A$4:$T$324,20,0)</f>
        <v>11804.707692307693</v>
      </c>
      <c r="AB33" s="513" t="str">
        <f t="shared" si="4"/>
        <v>Met</v>
      </c>
      <c r="AD33" s="512" t="str">
        <f t="shared" si="5"/>
        <v>Met</v>
      </c>
      <c r="AF33" s="444">
        <f>VLOOKUP(A33,'42. SEA or LEA Worksheet'!$A$4:$Z$324,26,0)</f>
        <v>0</v>
      </c>
      <c r="AG33" s="513" t="str">
        <f t="shared" si="6"/>
        <v>Met</v>
      </c>
      <c r="AI33" s="444">
        <f>VLOOKUP(A33,'42. SEA or LEA Worksheet'!$A$4:$AB$324,28,0)</f>
        <v>542833.36</v>
      </c>
      <c r="AJ33" s="513" t="str">
        <f t="shared" si="7"/>
        <v>Met</v>
      </c>
      <c r="AL33" s="444">
        <f>VLOOKUP(compliance!A33,'42. SEA or LEA Worksheet'!$A$4:$AB$324,26,0)/VLOOKUP(compliance!A33,'42. SEA or LEA Worksheet'!$A$4:$Y$324,25,0)</f>
        <v>0</v>
      </c>
      <c r="AM33" s="513" t="str">
        <f t="shared" si="8"/>
        <v>Met</v>
      </c>
      <c r="AO33" s="444">
        <f>VLOOKUP(A33,'42. SEA or LEA Worksheet'!$A$4:$AB$324,28,0)/VLOOKUP(compliance!A33,'42. SEA or LEA Worksheet'!$A$4:$Y$324,25,0)</f>
        <v>16963.5425</v>
      </c>
      <c r="AP33" s="513" t="str">
        <f t="shared" si="9"/>
        <v>Met</v>
      </c>
      <c r="AR33" s="512" t="str">
        <f t="shared" si="10"/>
        <v>Met</v>
      </c>
      <c r="AT33" s="444">
        <f>VLOOKUP(A33,'42. SEA or LEA Worksheet'!$A$4:$AE$324,31,0)</f>
        <v>0</v>
      </c>
      <c r="AU33" s="513" t="str">
        <f t="shared" si="11"/>
        <v>Met</v>
      </c>
      <c r="AW33" s="444">
        <f>VLOOKUP(A33,'42. SEA or LEA Worksheet'!$A$4:$AG$324,33,0)</f>
        <v>634546.01</v>
      </c>
      <c r="AX33" s="513" t="str">
        <f t="shared" si="12"/>
        <v>Met</v>
      </c>
      <c r="AZ33" s="444">
        <f>VLOOKUP(A33,'42. SEA or LEA Worksheet'!$A$4:$AG$324,31,0)/VLOOKUP(A33,'42. SEA or LEA Worksheet'!$A$4:$AD$324,30,0)</f>
        <v>0</v>
      </c>
      <c r="BA33" s="513" t="str">
        <f t="shared" si="13"/>
        <v>Met</v>
      </c>
      <c r="BC33" s="444">
        <f>VLOOKUP(A33,'42. SEA or LEA Worksheet'!$A$4:$AG$324,33,0)/VLOOKUP(A33,'42. SEA or LEA Worksheet'!$A$4:$AD$324,30,0)</f>
        <v>12202.807884615384</v>
      </c>
      <c r="BD33" s="513" t="str">
        <f t="shared" si="14"/>
        <v>Did not Meet</v>
      </c>
      <c r="BF33" s="512" t="str">
        <f>IF(AND(AU33="Did not Meet",AX33="Did not Meet", BA33="Did not Meet",BD33="Did not Meet",),"Did not Meet","Met")</f>
        <v>Met</v>
      </c>
      <c r="BG33" s="637">
        <f>VLOOKUP(A33,'42. SEA or LEA Worksheet'!$A$4:$AM$324,36,0)</f>
        <v>0</v>
      </c>
      <c r="BH33" s="638" t="str">
        <f t="shared" si="16"/>
        <v>Met</v>
      </c>
      <c r="BI33" s="639"/>
      <c r="BJ33" s="637">
        <f>VLOOKUP(A33,'42. SEA or LEA Worksheet'!$A$4:$AM$324,38,0)</f>
        <v>899727.66</v>
      </c>
      <c r="BK33" s="638" t="str">
        <f t="shared" si="17"/>
        <v>Met</v>
      </c>
      <c r="BM33" s="631">
        <f>VLOOKUP(A33,'42. SEA or LEA Worksheet'!$A$4:$AL$324,36,0)/VLOOKUP(A33,'42. SEA or LEA Worksheet'!$A$4:$AL$324,35,0)</f>
        <v>0</v>
      </c>
      <c r="BN33" s="632" t="str">
        <f t="shared" si="18"/>
        <v>Met</v>
      </c>
      <c r="BP33" s="631">
        <f>VLOOKUP(A33,'42. SEA or LEA Worksheet'!$A$4:$AL$324,38,0)/VLOOKUP(A33,'42. SEA or LEA Worksheet'!$A$4:$AL$324,35,0)</f>
        <v>14281.391428571429</v>
      </c>
      <c r="BQ33" s="632" t="str">
        <f t="shared" si="19"/>
        <v>Met</v>
      </c>
      <c r="BS33" s="620" t="str">
        <f>IF(AND(BH33="Did not Meet",BK33="Did not Meet", BN33="Did not Meet",BQ33="Did not Meet",),"Did not Meet","Met")</f>
        <v>Met</v>
      </c>
    </row>
    <row r="34" spans="1:71" x14ac:dyDescent="0.25">
      <c r="A34" s="343" t="s">
        <v>254</v>
      </c>
      <c r="B34" s="510" t="s">
        <v>864</v>
      </c>
      <c r="C34" s="511"/>
      <c r="D34" s="444">
        <v>0</v>
      </c>
      <c r="E34" s="343" t="s">
        <v>835</v>
      </c>
      <c r="F34" s="511"/>
      <c r="G34" s="444">
        <v>58500.81</v>
      </c>
      <c r="H34" s="343" t="s">
        <v>856</v>
      </c>
      <c r="I34" s="511"/>
      <c r="J34" s="444">
        <v>0</v>
      </c>
      <c r="K34" s="343" t="s">
        <v>835</v>
      </c>
      <c r="L34" s="511"/>
      <c r="M34" s="444">
        <v>9750.1350000000002</v>
      </c>
      <c r="N34" s="343" t="s">
        <v>856</v>
      </c>
      <c r="O34" s="511"/>
      <c r="P34" s="512" t="str">
        <f t="shared" ref="P34:P65" si="23">IF(AND(E34="Did not Meet",H34="Did not Meet",K34="Did not Meet", N34="Did not Meet"),"Did not Meet","Met")</f>
        <v>Met</v>
      </c>
      <c r="Q34" s="511"/>
      <c r="R34" s="444">
        <f>VLOOKUP(A34,'2020-21'!$A$6:$F$319,6,0)</f>
        <v>0</v>
      </c>
      <c r="S34" s="513" t="str">
        <f t="shared" si="1"/>
        <v>Met</v>
      </c>
      <c r="U34" s="444">
        <f>VLOOKUP(A34,'2020-21'!$A$6:$G$319,7,0)</f>
        <v>52981.96</v>
      </c>
      <c r="V34" s="513" t="str">
        <f t="shared" si="2"/>
        <v>Did not Meet</v>
      </c>
      <c r="X34" s="444">
        <v>0</v>
      </c>
      <c r="Y34" s="513" t="str">
        <f t="shared" si="3"/>
        <v>Met</v>
      </c>
      <c r="AA34" s="444">
        <f>VLOOKUP(A34,'42. SEA or LEA Worksheet'!$A$4:$W$324,23,0)/VLOOKUP(compliance!A34,'42. SEA or LEA Worksheet'!$A$4:$T$324,20,0)</f>
        <v>10596.392</v>
      </c>
      <c r="AB34" s="513" t="str">
        <f t="shared" si="4"/>
        <v>Met</v>
      </c>
      <c r="AD34" s="512" t="str">
        <f t="shared" si="5"/>
        <v>Met</v>
      </c>
      <c r="AF34" s="444">
        <f>VLOOKUP(A34,'42. SEA or LEA Worksheet'!$A$4:$Z$324,26,0)</f>
        <v>0</v>
      </c>
      <c r="AG34" s="513" t="str">
        <f t="shared" si="6"/>
        <v>Met</v>
      </c>
      <c r="AI34" s="444">
        <f>VLOOKUP(A34,'42. SEA or LEA Worksheet'!$A$4:$AB$324,28,0)</f>
        <v>71552.3</v>
      </c>
      <c r="AJ34" s="513" t="str">
        <f t="shared" si="7"/>
        <v>Met</v>
      </c>
      <c r="AL34" s="444">
        <f>VLOOKUP(compliance!A34,'42. SEA or LEA Worksheet'!$A$4:$AB$324,26,0)/VLOOKUP(compliance!A34,'42. SEA or LEA Worksheet'!$A$4:$Y$324,25,0)</f>
        <v>0</v>
      </c>
      <c r="AM34" s="513" t="str">
        <f t="shared" si="8"/>
        <v>Met</v>
      </c>
      <c r="AO34" s="444">
        <f>VLOOKUP(A34,'42. SEA or LEA Worksheet'!$A$4:$AB$324,28,0)/VLOOKUP(compliance!A34,'42. SEA or LEA Worksheet'!$A$4:$Y$324,25,0)</f>
        <v>8944.0375000000004</v>
      </c>
      <c r="AP34" s="513" t="str">
        <f t="shared" si="9"/>
        <v>Did not Meet</v>
      </c>
      <c r="AR34" s="512" t="str">
        <f t="shared" si="10"/>
        <v>Met</v>
      </c>
      <c r="AT34" s="444">
        <f>VLOOKUP(A34,'42. SEA or LEA Worksheet'!$A$4:$AE$324,31,0)</f>
        <v>0</v>
      </c>
      <c r="AU34" s="513" t="str">
        <f t="shared" si="11"/>
        <v>Met</v>
      </c>
      <c r="AW34" s="444">
        <f>VLOOKUP(A34,'42. SEA or LEA Worksheet'!$A$4:$AG$324,33,0)</f>
        <v>79399.399999999994</v>
      </c>
      <c r="AX34" s="513" t="str">
        <f t="shared" si="12"/>
        <v>Met</v>
      </c>
      <c r="AZ34" s="444">
        <f>VLOOKUP(A34,'42. SEA or LEA Worksheet'!$A$4:$AG$324,31,0)/VLOOKUP(A34,'42. SEA or LEA Worksheet'!$A$4:$AD$324,30,0)</f>
        <v>0</v>
      </c>
      <c r="BA34" s="513" t="str">
        <f t="shared" si="13"/>
        <v>Met</v>
      </c>
      <c r="BC34" s="444">
        <f>VLOOKUP(A34,'42. SEA or LEA Worksheet'!$A$4:$AG$324,33,0)/VLOOKUP(A34,'42. SEA or LEA Worksheet'!$A$4:$AD$324,30,0)</f>
        <v>9924.9249999999993</v>
      </c>
      <c r="BD34" s="513" t="str">
        <f t="shared" si="14"/>
        <v>Met</v>
      </c>
      <c r="BF34" s="512" t="str">
        <f>IF(AND(AU34="Did not Meet",AX34="Did not Meet", BA34="Did not Meet",BD34="Did not Meet"),"Did not Meet","Met")</f>
        <v>Met</v>
      </c>
      <c r="BG34" s="637">
        <f>VLOOKUP(A34,'42. SEA or LEA Worksheet'!$A$4:$AM$324,36,0)</f>
        <v>0</v>
      </c>
      <c r="BH34" s="638" t="str">
        <f t="shared" si="16"/>
        <v>Met</v>
      </c>
      <c r="BI34" s="639"/>
      <c r="BJ34" s="637">
        <f>VLOOKUP(A34,'42. SEA or LEA Worksheet'!$A$4:$AM$324,38,0)</f>
        <v>121307.23</v>
      </c>
      <c r="BK34" s="638" t="str">
        <f t="shared" si="17"/>
        <v>Met</v>
      </c>
      <c r="BM34" s="631">
        <f>VLOOKUP(A34,'42. SEA or LEA Worksheet'!$A$4:$AL$324,36,0)/VLOOKUP(A34,'42. SEA or LEA Worksheet'!$A$4:$AL$324,35,0)</f>
        <v>0</v>
      </c>
      <c r="BN34" s="632" t="str">
        <f t="shared" si="18"/>
        <v>Met</v>
      </c>
      <c r="BP34" s="631">
        <f>VLOOKUP(A34,'42. SEA or LEA Worksheet'!$A$4:$AL$324,38,0)/VLOOKUP(A34,'42. SEA or LEA Worksheet'!$A$4:$AL$324,35,0)</f>
        <v>13478.581111111111</v>
      </c>
      <c r="BQ34" s="632" t="str">
        <f t="shared" si="19"/>
        <v>Met</v>
      </c>
      <c r="BS34" s="620" t="str">
        <f>IF(AND(BH34="Did not Meet",BK34="Did not Meet", BN34="Did not Meet",BQ34="Did not Meet"),"Did not Meet","Met")</f>
        <v>Met</v>
      </c>
    </row>
    <row r="35" spans="1:71" x14ac:dyDescent="0.25">
      <c r="A35" s="343" t="s">
        <v>256</v>
      </c>
      <c r="B35" s="510" t="s">
        <v>865</v>
      </c>
      <c r="C35" s="511"/>
      <c r="D35" s="444">
        <v>13010</v>
      </c>
      <c r="E35" s="343" t="s">
        <v>856</v>
      </c>
      <c r="F35" s="511"/>
      <c r="G35" s="444">
        <v>23882257.82</v>
      </c>
      <c r="H35" s="343" t="s">
        <v>835</v>
      </c>
      <c r="I35" s="511"/>
      <c r="J35" s="444">
        <v>7.0976541189307145</v>
      </c>
      <c r="K35" s="343" t="s">
        <v>856</v>
      </c>
      <c r="L35" s="511"/>
      <c r="M35" s="444">
        <v>13029.05500272777</v>
      </c>
      <c r="N35" s="343" t="s">
        <v>856</v>
      </c>
      <c r="O35" s="511"/>
      <c r="P35" s="512" t="str">
        <f t="shared" si="23"/>
        <v>Met</v>
      </c>
      <c r="Q35" s="511"/>
      <c r="R35" s="444">
        <f>VLOOKUP(A35,'2020-21'!$A$6:$F$319,6,0)</f>
        <v>13011</v>
      </c>
      <c r="S35" s="513" t="str">
        <f t="shared" si="1"/>
        <v>Met</v>
      </c>
      <c r="U35" s="444">
        <f>VLOOKUP(A35,'2020-21'!$A$6:$G$319,7,0)</f>
        <v>21867246.420000002</v>
      </c>
      <c r="V35" s="513" t="str">
        <f t="shared" si="2"/>
        <v>Did not Meet</v>
      </c>
      <c r="X35" s="444">
        <f>VLOOKUP(A35,'2020-21'!$A$6:$F$319,6,0)/VLOOKUP(A35,'42. SEA or LEA Worksheet'!$A$4:$T$324,20,0)</f>
        <v>7.6445358401880137</v>
      </c>
      <c r="Y35" s="513" t="str">
        <f t="shared" si="3"/>
        <v>Met</v>
      </c>
      <c r="AA35" s="444">
        <f>VLOOKUP(A35,'42. SEA or LEA Worksheet'!$A$4:$W$324,23,0)/VLOOKUP(compliance!A35,'42. SEA or LEA Worksheet'!$A$4:$T$324,20,0)</f>
        <v>12847.970869565219</v>
      </c>
      <c r="AB35" s="513" t="str">
        <f t="shared" si="4"/>
        <v>Did not Meet</v>
      </c>
      <c r="AD35" s="512" t="str">
        <f t="shared" si="5"/>
        <v>Met</v>
      </c>
      <c r="AF35" s="444">
        <f>VLOOKUP(A35,'42. SEA or LEA Worksheet'!$A$4:$Z$324,26,0)</f>
        <v>148675.92000000001</v>
      </c>
      <c r="AG35" s="513" t="str">
        <f t="shared" si="6"/>
        <v>Met</v>
      </c>
      <c r="AI35" s="444">
        <f>VLOOKUP(A35,'42. SEA or LEA Worksheet'!$A$4:$AB$324,28,0)</f>
        <v>22030029.860000003</v>
      </c>
      <c r="AJ35" s="513" t="str">
        <f t="shared" si="7"/>
        <v>Met</v>
      </c>
      <c r="AL35" s="444">
        <f>VLOOKUP(compliance!A35,'42. SEA or LEA Worksheet'!$A$4:$AB$324,26,0)/VLOOKUP(compliance!A35,'42. SEA or LEA Worksheet'!$A$4:$Y$324,25,0)</f>
        <v>88.026003552397881</v>
      </c>
      <c r="AM35" s="513" t="str">
        <f t="shared" si="8"/>
        <v>Met</v>
      </c>
      <c r="AO35" s="444">
        <f>VLOOKUP(A35,'42. SEA or LEA Worksheet'!$A$4:$AB$324,28,0)/VLOOKUP(compliance!A35,'42. SEA or LEA Worksheet'!$A$4:$Y$324,25,0)</f>
        <v>13043.238519834224</v>
      </c>
      <c r="AP35" s="513" t="str">
        <f t="shared" si="9"/>
        <v>Met</v>
      </c>
      <c r="AR35" s="512" t="str">
        <f t="shared" si="10"/>
        <v>Met</v>
      </c>
      <c r="AT35" s="444">
        <f>VLOOKUP(A35,'42. SEA or LEA Worksheet'!$A$4:$AE$324,31,0)</f>
        <v>148676</v>
      </c>
      <c r="AU35" s="513" t="str">
        <f t="shared" si="11"/>
        <v>Met</v>
      </c>
      <c r="AW35" s="444">
        <f>VLOOKUP(A35,'42. SEA or LEA Worksheet'!$A$4:$AG$324,33,0)</f>
        <v>24355130.100000001</v>
      </c>
      <c r="AX35" s="513" t="str">
        <f t="shared" si="12"/>
        <v>Met</v>
      </c>
      <c r="AZ35" s="444">
        <f>VLOOKUP(A35,'42. SEA or LEA Worksheet'!$A$4:$AG$324,31,0)/VLOOKUP(A35,'42. SEA or LEA Worksheet'!$A$4:$AD$324,30,0)</f>
        <v>85.298909925415956</v>
      </c>
      <c r="BA35" s="513" t="str">
        <f t="shared" si="13"/>
        <v>Did not Meet</v>
      </c>
      <c r="BC35" s="444">
        <f>VLOOKUP(A35,'42. SEA or LEA Worksheet'!$A$4:$AG$324,33,0)/VLOOKUP(A35,'42. SEA or LEA Worksheet'!$A$4:$AD$324,30,0)</f>
        <v>13973.109638554217</v>
      </c>
      <c r="BD35" s="513" t="str">
        <f t="shared" si="14"/>
        <v>Met</v>
      </c>
      <c r="BF35" s="512" t="str">
        <f>IF(AND(AU35="Did not Meet",AX35="Did not Meet", BA35="Did not Meet",BD35="Did not Meet"),"Did not Meet","Met")</f>
        <v>Met</v>
      </c>
      <c r="BG35" s="637">
        <f>VLOOKUP(A35,'42. SEA or LEA Worksheet'!$A$4:$AM$324,36,0)</f>
        <v>148677</v>
      </c>
      <c r="BH35" s="638" t="str">
        <f t="shared" si="16"/>
        <v>Met</v>
      </c>
      <c r="BI35" s="639"/>
      <c r="BJ35" s="637">
        <f>VLOOKUP(A35,'42. SEA or LEA Worksheet'!$A$4:$AM$324,38,0)</f>
        <v>28479910.969999999</v>
      </c>
      <c r="BK35" s="638" t="str">
        <f t="shared" si="17"/>
        <v>Met</v>
      </c>
      <c r="BM35" s="631">
        <f>VLOOKUP(A35,'42. SEA or LEA Worksheet'!$A$4:$AL$324,36,0)/VLOOKUP(A35,'42. SEA or LEA Worksheet'!$A$4:$AL$324,35,0)</f>
        <v>82.644246803779879</v>
      </c>
      <c r="BN35" s="632" t="str">
        <f t="shared" si="18"/>
        <v>Met</v>
      </c>
      <c r="BP35" s="631">
        <f>VLOOKUP(A35,'42. SEA or LEA Worksheet'!$A$4:$AL$324,38,0)/VLOOKUP(A35,'42. SEA or LEA Worksheet'!$A$4:$AL$324,35,0)</f>
        <v>15830.96774319066</v>
      </c>
      <c r="BQ35" s="632" t="str">
        <f t="shared" si="19"/>
        <v>Met</v>
      </c>
      <c r="BS35" s="620" t="str">
        <f>IF(AND(BH35="Did not Meet",BK35="Did not Meet", BN35="Did not Meet",BQ35="Did not Meet"),"Did not Meet","Met")</f>
        <v>Met</v>
      </c>
    </row>
    <row r="36" spans="1:71" x14ac:dyDescent="0.25">
      <c r="A36" s="343" t="s">
        <v>258</v>
      </c>
      <c r="B36" s="510" t="s">
        <v>866</v>
      </c>
      <c r="C36" s="511"/>
      <c r="D36" s="444">
        <v>2454249.9700000002</v>
      </c>
      <c r="E36" s="343" t="s">
        <v>856</v>
      </c>
      <c r="F36" s="511"/>
      <c r="G36" s="444">
        <v>26529911.599999998</v>
      </c>
      <c r="H36" s="343" t="s">
        <v>835</v>
      </c>
      <c r="I36" s="511"/>
      <c r="J36" s="444">
        <v>1163.1516445497632</v>
      </c>
      <c r="K36" s="343" t="s">
        <v>856</v>
      </c>
      <c r="L36" s="511"/>
      <c r="M36" s="444">
        <v>12573.417819905213</v>
      </c>
      <c r="N36" s="343" t="s">
        <v>856</v>
      </c>
      <c r="O36" s="511"/>
      <c r="P36" s="512" t="str">
        <f t="shared" si="23"/>
        <v>Met</v>
      </c>
      <c r="Q36" s="511"/>
      <c r="R36" s="444">
        <f>VLOOKUP(A36,'2020-21'!$A$6:$F$319,6,0)</f>
        <v>4574099.55</v>
      </c>
      <c r="S36" s="513" t="str">
        <f t="shared" si="1"/>
        <v>Met</v>
      </c>
      <c r="U36" s="444">
        <f>VLOOKUP(A36,'2020-21'!$A$6:$G$319,7,0)</f>
        <v>28499668</v>
      </c>
      <c r="V36" s="513" t="str">
        <f t="shared" si="2"/>
        <v>Met</v>
      </c>
      <c r="X36" s="444">
        <f>VLOOKUP(A36,'2020-21'!$A$6:$F$319,6,0)/VLOOKUP(A36,'42. SEA or LEA Worksheet'!$A$4:$T$324,20,0)</f>
        <v>2211.8469777562864</v>
      </c>
      <c r="Y36" s="513" t="str">
        <f t="shared" si="3"/>
        <v>Met</v>
      </c>
      <c r="AA36" s="444">
        <f>VLOOKUP(A36,'42. SEA or LEA Worksheet'!$A$4:$W$324,23,0)/VLOOKUP(compliance!A36,'42. SEA or LEA Worksheet'!$A$4:$T$324,20,0)</f>
        <v>13781.270793036751</v>
      </c>
      <c r="AB36" s="513" t="str">
        <f t="shared" si="4"/>
        <v>Met</v>
      </c>
      <c r="AD36" s="512" t="str">
        <f t="shared" si="5"/>
        <v>Met</v>
      </c>
      <c r="AF36" s="444">
        <f>VLOOKUP(A36,'42. SEA or LEA Worksheet'!$A$4:$Z$324,26,0)</f>
        <v>3963561.35</v>
      </c>
      <c r="AG36" s="513" t="str">
        <f t="shared" si="6"/>
        <v>Did not Meet</v>
      </c>
      <c r="AI36" s="444">
        <f>VLOOKUP(A36,'42. SEA or LEA Worksheet'!$A$4:$AB$324,28,0)</f>
        <v>28973399.66</v>
      </c>
      <c r="AJ36" s="513" t="str">
        <f t="shared" si="7"/>
        <v>Met</v>
      </c>
      <c r="AL36" s="444">
        <f>VLOOKUP(compliance!A36,'42. SEA or LEA Worksheet'!$A$4:$AB$324,26,0)/VLOOKUP(compliance!A36,'42. SEA or LEA Worksheet'!$A$4:$Y$324,25,0)</f>
        <v>1846.9530987884436</v>
      </c>
      <c r="AM36" s="513" t="str">
        <f t="shared" si="8"/>
        <v>Did not Meet</v>
      </c>
      <c r="AO36" s="444">
        <f>VLOOKUP(A36,'42. SEA or LEA Worksheet'!$A$4:$AB$324,28,0)/VLOOKUP(compliance!A36,'42. SEA or LEA Worksheet'!$A$4:$Y$324,25,0)</f>
        <v>13501.118201304753</v>
      </c>
      <c r="AP36" s="513" t="str">
        <f t="shared" si="9"/>
        <v>Did not Meet</v>
      </c>
      <c r="AR36" s="512" t="str">
        <f t="shared" si="10"/>
        <v>Met</v>
      </c>
      <c r="AT36" s="444">
        <f>VLOOKUP(A36,'42. SEA or LEA Worksheet'!$A$4:$AE$324,31,0)</f>
        <v>6370707.8200000003</v>
      </c>
      <c r="AU36" s="513" t="str">
        <f t="shared" si="11"/>
        <v>Met</v>
      </c>
      <c r="AW36" s="444">
        <f>VLOOKUP(A36,'42. SEA or LEA Worksheet'!$A$4:$AG$324,33,0)</f>
        <v>33952619.350000001</v>
      </c>
      <c r="AX36" s="513" t="str">
        <f t="shared" si="12"/>
        <v>Met</v>
      </c>
      <c r="AZ36" s="444">
        <f>VLOOKUP(A36,'42. SEA or LEA Worksheet'!$A$4:$AG$324,31,0)/VLOOKUP(A36,'42. SEA or LEA Worksheet'!$A$4:$AD$324,30,0)</f>
        <v>2851.7044852282902</v>
      </c>
      <c r="BA36" s="513" t="str">
        <f t="shared" si="13"/>
        <v>Met</v>
      </c>
      <c r="BC36" s="444">
        <f>VLOOKUP(A36,'42. SEA or LEA Worksheet'!$A$4:$AG$324,33,0)/VLOOKUP(A36,'42. SEA or LEA Worksheet'!$A$4:$AD$324,30,0)</f>
        <v>15198.128625783349</v>
      </c>
      <c r="BD36" s="513" t="str">
        <f t="shared" si="14"/>
        <v>Met</v>
      </c>
      <c r="BF36" s="512" t="str">
        <f>IF(AND(AU36="Did not Meet",AX36="Did not Meet", BA36="Did not Meet",BD36="Did not Meet"),"Did not Meet","Met")</f>
        <v>Met</v>
      </c>
      <c r="BG36" s="637">
        <f>VLOOKUP(A36,'42. SEA or LEA Worksheet'!$A$4:$AM$324,36,0)</f>
        <v>908283.11</v>
      </c>
      <c r="BH36" s="638" t="str">
        <f t="shared" si="16"/>
        <v>Did not Meet</v>
      </c>
      <c r="BI36" s="639"/>
      <c r="BJ36" s="637">
        <f>VLOOKUP(A36,'42. SEA or LEA Worksheet'!$A$4:$AM$324,38,0)</f>
        <v>34888860.769999996</v>
      </c>
      <c r="BK36" s="638" t="str">
        <f t="shared" si="17"/>
        <v>Met</v>
      </c>
      <c r="BM36" s="631">
        <f>VLOOKUP(A36,'42. SEA or LEA Worksheet'!$A$4:$AL$324,36,0)/VLOOKUP(A36,'42. SEA or LEA Worksheet'!$A$4:$AL$324,35,0)</f>
        <v>391.50134051724137</v>
      </c>
      <c r="BN36" s="632" t="str">
        <f t="shared" si="18"/>
        <v>Met</v>
      </c>
      <c r="BP36" s="631">
        <f>VLOOKUP(A36,'42. SEA or LEA Worksheet'!$A$4:$AL$324,38,0)/VLOOKUP(A36,'42. SEA or LEA Worksheet'!$A$4:$AL$324,35,0)</f>
        <v>15038.302056034481</v>
      </c>
      <c r="BQ36" s="632" t="str">
        <f t="shared" si="19"/>
        <v>Met</v>
      </c>
      <c r="BS36" s="620" t="str">
        <f>IF(AND(BH36="Did not Meet",BK36="Did not Meet", BN36="Did not Meet",BQ36="Did not Meet"),"Did not Meet","Met")</f>
        <v>Met</v>
      </c>
    </row>
    <row r="37" spans="1:71" x14ac:dyDescent="0.25">
      <c r="A37" s="343" t="s">
        <v>260</v>
      </c>
      <c r="B37" s="510" t="s">
        <v>867</v>
      </c>
      <c r="C37" s="511"/>
      <c r="D37" s="444">
        <v>1767834</v>
      </c>
      <c r="E37" s="343" t="s">
        <v>835</v>
      </c>
      <c r="F37" s="511"/>
      <c r="G37" s="444">
        <v>7462734.5300000003</v>
      </c>
      <c r="H37" s="343" t="s">
        <v>835</v>
      </c>
      <c r="I37" s="511"/>
      <c r="J37" s="444">
        <v>3249.6948529411766</v>
      </c>
      <c r="K37" s="343" t="s">
        <v>835</v>
      </c>
      <c r="L37" s="511"/>
      <c r="M37" s="444">
        <v>13718.262003676471</v>
      </c>
      <c r="N37" s="343" t="s">
        <v>835</v>
      </c>
      <c r="O37" s="511"/>
      <c r="P37" s="512" t="str">
        <f t="shared" si="23"/>
        <v>Met</v>
      </c>
      <c r="Q37" s="511"/>
      <c r="R37" s="444">
        <f>VLOOKUP(A37,'2020-21'!$A$6:$F$319,6,0)</f>
        <v>1101110.04</v>
      </c>
      <c r="S37" s="513" t="str">
        <f t="shared" si="1"/>
        <v>Did not Meet</v>
      </c>
      <c r="U37" s="444">
        <f>VLOOKUP(A37,'2020-21'!$A$6:$G$319,7,0)</f>
        <v>6237991.0200000005</v>
      </c>
      <c r="V37" s="513" t="str">
        <f t="shared" si="2"/>
        <v>Did not Meet</v>
      </c>
      <c r="X37" s="444">
        <f>VLOOKUP(A37,'2020-21'!$A$6:$F$319,6,0)/VLOOKUP(A37,'42. SEA or LEA Worksheet'!$A$4:$T$324,20,0)</f>
        <v>2289.2100623700626</v>
      </c>
      <c r="Y37" s="513" t="str">
        <f t="shared" si="3"/>
        <v>Did not Meet</v>
      </c>
      <c r="AA37" s="444">
        <f>VLOOKUP(A37,'42. SEA or LEA Worksheet'!$A$4:$W$324,23,0)/VLOOKUP(compliance!A37,'42. SEA or LEA Worksheet'!$A$4:$T$324,20,0)</f>
        <v>12968.796299376301</v>
      </c>
      <c r="AB37" s="513" t="str">
        <f t="shared" si="4"/>
        <v>Did not Meet</v>
      </c>
      <c r="AD37" s="512" t="str">
        <f t="shared" si="5"/>
        <v>Did not Meet</v>
      </c>
      <c r="AF37" s="444">
        <f>VLOOKUP(A37,'42. SEA or LEA Worksheet'!$A$4:$Z$324,26,0)</f>
        <v>1101111.04</v>
      </c>
      <c r="AG37" s="513" t="str">
        <f t="shared" si="6"/>
        <v>Met</v>
      </c>
      <c r="AI37" s="444">
        <f>VLOOKUP(A37,'42. SEA or LEA Worksheet'!$A$4:$AB$324,28,0)</f>
        <v>6511019.2300000004</v>
      </c>
      <c r="AJ37" s="513" t="str">
        <f t="shared" si="7"/>
        <v>Met</v>
      </c>
      <c r="AL37" s="444">
        <f>VLOOKUP(compliance!A37,'42. SEA or LEA Worksheet'!$A$4:$AB$324,26,0)/VLOOKUP(compliance!A37,'42. SEA or LEA Worksheet'!$A$4:$Y$324,25,0)</f>
        <v>2308.4088888888891</v>
      </c>
      <c r="AM37" s="513" t="str">
        <f t="shared" si="8"/>
        <v>Met</v>
      </c>
      <c r="AO37" s="444">
        <f>VLOOKUP(A37,'42. SEA or LEA Worksheet'!$A$4:$AB$324,28,0)/VLOOKUP(compliance!A37,'42. SEA or LEA Worksheet'!$A$4:$Y$324,25,0)</f>
        <v>13649.935492662475</v>
      </c>
      <c r="AP37" s="513" t="str">
        <f t="shared" si="9"/>
        <v>Met</v>
      </c>
      <c r="AR37" s="512" t="str">
        <f t="shared" si="10"/>
        <v>Met</v>
      </c>
      <c r="AT37" s="444">
        <f>VLOOKUP(A37,'42. SEA or LEA Worksheet'!$A$4:$AE$324,31,0)</f>
        <v>1500000</v>
      </c>
      <c r="AU37" s="513" t="str">
        <f t="shared" si="11"/>
        <v>Met</v>
      </c>
      <c r="AW37" s="444">
        <f>VLOOKUP(A37,'42. SEA or LEA Worksheet'!$A$4:$AG$324,33,0)</f>
        <v>8072663.0099999998</v>
      </c>
      <c r="AX37" s="513" t="str">
        <f t="shared" si="12"/>
        <v>Met</v>
      </c>
      <c r="AZ37" s="444">
        <f>VLOOKUP(A37,'42. SEA or LEA Worksheet'!$A$4:$AG$324,31,0)/VLOOKUP(A37,'42. SEA or LEA Worksheet'!$A$4:$AD$324,30,0)</f>
        <v>3112.0331950207469</v>
      </c>
      <c r="BA37" s="513" t="str">
        <f t="shared" si="13"/>
        <v>Met</v>
      </c>
      <c r="BC37" s="444">
        <f>VLOOKUP(A37,'42. SEA or LEA Worksheet'!$A$4:$AG$324,33,0)/VLOOKUP(A37,'42. SEA or LEA Worksheet'!$A$4:$AD$324,30,0)</f>
        <v>16748.263506224066</v>
      </c>
      <c r="BD37" s="513" t="str">
        <f t="shared" si="14"/>
        <v>Met</v>
      </c>
      <c r="BF37" s="512" t="str">
        <f>IF(AND(AU37="Did not Meet",AX37="Did not Meet", BA37="Did not Meet",BD37="Did not Meet",),"Did not Meet","Met")</f>
        <v>Met</v>
      </c>
      <c r="BG37" s="637">
        <f>VLOOKUP(A37,'42. SEA or LEA Worksheet'!$A$4:$AM$324,36,0)</f>
        <v>202554.52</v>
      </c>
      <c r="BH37" s="638" t="str">
        <f t="shared" si="16"/>
        <v>Did not Meet</v>
      </c>
      <c r="BI37" s="639"/>
      <c r="BJ37" s="637">
        <f>VLOOKUP(A37,'42. SEA or LEA Worksheet'!$A$4:$AM$324,38,0)</f>
        <v>7981214.46</v>
      </c>
      <c r="BK37" s="638" t="str">
        <f t="shared" si="17"/>
        <v>Did not Meet</v>
      </c>
      <c r="BM37" s="631">
        <f>VLOOKUP(A37,'42. SEA or LEA Worksheet'!$A$4:$AL$324,36,0)/VLOOKUP(A37,'42. SEA or LEA Worksheet'!$A$4:$AL$324,35,0)</f>
        <v>360.41729537366547</v>
      </c>
      <c r="BN37" s="632" t="str">
        <f t="shared" si="18"/>
        <v>Met</v>
      </c>
      <c r="BP37" s="631">
        <f>VLOOKUP(A37,'42. SEA or LEA Worksheet'!$A$4:$AL$324,38,0)/VLOOKUP(A37,'42. SEA or LEA Worksheet'!$A$4:$AL$324,35,0)</f>
        <v>14201.44921708185</v>
      </c>
      <c r="BQ37" s="632" t="str">
        <f t="shared" si="19"/>
        <v>Met</v>
      </c>
      <c r="BS37" s="620" t="str">
        <f>IF(AND(BH37="Did not Meet",BK37="Did not Meet", BN37="Did not Meet",BQ37="Did not Meet",),"Did not Meet","Met")</f>
        <v>Met</v>
      </c>
    </row>
    <row r="38" spans="1:71" x14ac:dyDescent="0.25">
      <c r="A38" s="343" t="s">
        <v>262</v>
      </c>
      <c r="B38" s="510" t="s">
        <v>868</v>
      </c>
      <c r="C38" s="511"/>
      <c r="D38" s="444">
        <v>514840.94</v>
      </c>
      <c r="E38" s="343" t="s">
        <v>856</v>
      </c>
      <c r="F38" s="511"/>
      <c r="G38" s="444">
        <v>5192153.6300000008</v>
      </c>
      <c r="H38" s="343" t="s">
        <v>835</v>
      </c>
      <c r="I38" s="511"/>
      <c r="J38" s="444">
        <v>1037.9857661290323</v>
      </c>
      <c r="K38" s="343" t="s">
        <v>856</v>
      </c>
      <c r="L38" s="511"/>
      <c r="M38" s="444">
        <v>10468.051673387099</v>
      </c>
      <c r="N38" s="343" t="s">
        <v>856</v>
      </c>
      <c r="O38" s="511"/>
      <c r="P38" s="512" t="str">
        <f t="shared" si="23"/>
        <v>Met</v>
      </c>
      <c r="Q38" s="511"/>
      <c r="R38" s="444">
        <f>VLOOKUP(A38,'2020-21'!$A$6:$F$319,6,0)</f>
        <v>0</v>
      </c>
      <c r="S38" s="513" t="str">
        <f t="shared" si="1"/>
        <v>Did not Meet</v>
      </c>
      <c r="U38" s="444">
        <f>VLOOKUP(A38,'2020-21'!$A$6:$G$319,7,0)</f>
        <v>5832450.0899999999</v>
      </c>
      <c r="V38" s="513" t="str">
        <f t="shared" si="2"/>
        <v>Met</v>
      </c>
      <c r="X38" s="444">
        <f>VLOOKUP(A38,'2020-21'!$A$6:$F$319,6,0)/VLOOKUP(A38,'42. SEA or LEA Worksheet'!$A$4:$T$324,20,0)</f>
        <v>0</v>
      </c>
      <c r="Y38" s="513" t="str">
        <f t="shared" si="3"/>
        <v>Did not Meet</v>
      </c>
      <c r="AA38" s="444">
        <f>VLOOKUP(A38,'42. SEA or LEA Worksheet'!$A$4:$W$324,23,0)/VLOOKUP(compliance!A38,'42. SEA or LEA Worksheet'!$A$4:$T$324,20,0)</f>
        <v>13595.454755244755</v>
      </c>
      <c r="AB38" s="513" t="str">
        <f t="shared" si="4"/>
        <v>Met</v>
      </c>
      <c r="AD38" s="512" t="str">
        <f t="shared" ref="AD38:AD69" si="24">IF(AND(S38="Did not Meet",V38="Did not Meet", Y38="Did not Meet",AB38="Did not Meet"),"Did not Meet","Met")</f>
        <v>Met</v>
      </c>
      <c r="AF38" s="444">
        <f>VLOOKUP(A38,'42. SEA or LEA Worksheet'!$A$4:$Z$324,26,0)</f>
        <v>0</v>
      </c>
      <c r="AG38" s="513" t="str">
        <f t="shared" si="6"/>
        <v>Met</v>
      </c>
      <c r="AI38" s="444">
        <f>VLOOKUP(A38,'42. SEA or LEA Worksheet'!$A$4:$AB$324,28,0)</f>
        <v>6019460.9800000004</v>
      </c>
      <c r="AJ38" s="513" t="str">
        <f t="shared" si="7"/>
        <v>Met</v>
      </c>
      <c r="AL38" s="444">
        <f>VLOOKUP(compliance!A38,'42. SEA or LEA Worksheet'!$A$4:$AB$324,26,0)/VLOOKUP(compliance!A38,'42. SEA or LEA Worksheet'!$A$4:$Y$324,25,0)</f>
        <v>0</v>
      </c>
      <c r="AM38" s="513" t="str">
        <f t="shared" si="8"/>
        <v>Met</v>
      </c>
      <c r="AO38" s="444">
        <f>VLOOKUP(A38,'42. SEA or LEA Worksheet'!$A$4:$AB$324,28,0)/VLOOKUP(compliance!A38,'42. SEA or LEA Worksheet'!$A$4:$Y$324,25,0)</f>
        <v>14366.255322195706</v>
      </c>
      <c r="AP38" s="513" t="str">
        <f t="shared" si="9"/>
        <v>Met</v>
      </c>
      <c r="AR38" s="512" t="str">
        <f t="shared" ref="AR38:AR69" si="25">IF(AND(AG38="Did not Meet",AJ38="Did not Meet", AM38="Did not Meet",AP38="Did not Meet"),"Did not Meet","Met")</f>
        <v>Met</v>
      </c>
      <c r="AT38" s="444">
        <f>VLOOKUP(A38,'42. SEA or LEA Worksheet'!$A$4:$AE$324,31,0)</f>
        <v>425410.76</v>
      </c>
      <c r="AU38" s="513" t="str">
        <f t="shared" ref="AU38:AU69" si="26">IF(AT38&gt;=AF38,"Met","Did not Meet")</f>
        <v>Met</v>
      </c>
      <c r="AW38" s="444">
        <f>VLOOKUP(A38,'42. SEA or LEA Worksheet'!$A$4:$AG$324,33,0)</f>
        <v>6429431.54</v>
      </c>
      <c r="AX38" s="513" t="str">
        <f t="shared" si="12"/>
        <v>Met</v>
      </c>
      <c r="AZ38" s="444">
        <f>VLOOKUP(A38,'42. SEA or LEA Worksheet'!$A$4:$AG$324,31,0)/VLOOKUP(A38,'42. SEA or LEA Worksheet'!$A$4:$AD$324,30,0)</f>
        <v>1088.0070588235294</v>
      </c>
      <c r="BA38" s="513" t="str">
        <f t="shared" ref="BA38:BA69" si="27">IF(AZ38&gt;=AL38,"Met","Did not Meet")</f>
        <v>Met</v>
      </c>
      <c r="BC38" s="444">
        <f>VLOOKUP(A38,'42. SEA or LEA Worksheet'!$A$4:$AG$324,33,0)/VLOOKUP(A38,'42. SEA or LEA Worksheet'!$A$4:$AD$324,30,0)</f>
        <v>16443.558925831203</v>
      </c>
      <c r="BD38" s="513" t="str">
        <f t="shared" si="14"/>
        <v>Met</v>
      </c>
      <c r="BF38" s="512" t="str">
        <f t="shared" ref="BF38:BF55" si="28">IF(AND(AU38="Did not Meet",AX38="Did not Meet", BA38="Did not Meet",BD38="Did not Meet"),"Did not Meet","Met")</f>
        <v>Met</v>
      </c>
      <c r="BG38" s="637">
        <f>VLOOKUP(A38,'42. SEA or LEA Worksheet'!$A$4:$AM$324,36,0)</f>
        <v>926173.56</v>
      </c>
      <c r="BH38" s="638" t="str">
        <f t="shared" ref="BH38:BH69" si="29">IF(BG38&gt;=AT38,"Met","Did not Meet")</f>
        <v>Met</v>
      </c>
      <c r="BI38" s="639"/>
      <c r="BJ38" s="637">
        <f>VLOOKUP(A38,'42. SEA or LEA Worksheet'!$A$4:$AM$324,38,0)</f>
        <v>7115291.3399999999</v>
      </c>
      <c r="BK38" s="638" t="str">
        <f t="shared" ref="BK38:BK69" si="30">IF(BJ38&gt;=AW38,"Met","Did not Meet")</f>
        <v>Met</v>
      </c>
      <c r="BM38" s="631">
        <f>VLOOKUP(A38,'42. SEA or LEA Worksheet'!$A$4:$AL$324,36,0)/VLOOKUP(A38,'42. SEA or LEA Worksheet'!$A$4:$AL$324,35,0)</f>
        <v>1917.5436024844721</v>
      </c>
      <c r="BN38" s="632" t="str">
        <f t="shared" ref="BN38:BN69" si="31">IF(BM38&gt;=AY38,"Met","Did not Meet")</f>
        <v>Met</v>
      </c>
      <c r="BP38" s="631">
        <f>VLOOKUP(A38,'42. SEA or LEA Worksheet'!$A$4:$AL$324,38,0)/VLOOKUP(A38,'42. SEA or LEA Worksheet'!$A$4:$AL$324,35,0)</f>
        <v>14731.45204968944</v>
      </c>
      <c r="BQ38" s="632" t="str">
        <f t="shared" ref="BQ38:BQ69" si="32">IF(BP38&gt;=BB38,"Met","Did not Meet")</f>
        <v>Met</v>
      </c>
      <c r="BS38" s="620" t="str">
        <f t="shared" ref="BS38:BS55" si="33">IF(AND(BH38="Did not Meet",BK38="Did not Meet", BN38="Did not Meet",BQ38="Did not Meet"),"Did not Meet","Met")</f>
        <v>Met</v>
      </c>
    </row>
    <row r="39" spans="1:71" x14ac:dyDescent="0.25">
      <c r="A39" s="343" t="s">
        <v>264</v>
      </c>
      <c r="B39" s="510" t="s">
        <v>869</v>
      </c>
      <c r="C39" s="511"/>
      <c r="D39" s="444">
        <v>2193290.44</v>
      </c>
      <c r="E39" s="343" t="s">
        <v>856</v>
      </c>
      <c r="F39" s="511"/>
      <c r="G39" s="444">
        <v>10723425.979999999</v>
      </c>
      <c r="H39" s="343" t="s">
        <v>835</v>
      </c>
      <c r="I39" s="511"/>
      <c r="J39" s="444">
        <v>2423.5253480662982</v>
      </c>
      <c r="K39" s="343" t="s">
        <v>856</v>
      </c>
      <c r="L39" s="511"/>
      <c r="M39" s="444">
        <v>11849.089480662982</v>
      </c>
      <c r="N39" s="343" t="s">
        <v>856</v>
      </c>
      <c r="O39" s="511"/>
      <c r="P39" s="512" t="str">
        <f t="shared" si="23"/>
        <v>Met</v>
      </c>
      <c r="Q39" s="511"/>
      <c r="R39" s="444">
        <f>VLOOKUP(A39,'2020-21'!$A$6:$F$319,6,0)</f>
        <v>1719268.2</v>
      </c>
      <c r="S39" s="513" t="str">
        <f t="shared" si="1"/>
        <v>Did not Meet</v>
      </c>
      <c r="U39" s="444">
        <f>VLOOKUP(A39,'2020-21'!$A$6:$G$319,7,0)</f>
        <v>10022528.949999999</v>
      </c>
      <c r="V39" s="513" t="str">
        <f t="shared" si="2"/>
        <v>Did not Meet</v>
      </c>
      <c r="X39" s="444">
        <f>VLOOKUP(A39,'2020-21'!$A$6:$F$319,6,0)/VLOOKUP(A39,'42. SEA or LEA Worksheet'!$A$4:$T$324,20,0)</f>
        <v>2051.6326968973744</v>
      </c>
      <c r="Y39" s="513" t="str">
        <f t="shared" si="3"/>
        <v>Did not Meet</v>
      </c>
      <c r="AA39" s="444">
        <f>VLOOKUP(A39,'42. SEA or LEA Worksheet'!$A$4:$W$324,23,0)/VLOOKUP(compliance!A39,'42. SEA or LEA Worksheet'!$A$4:$T$324,20,0)</f>
        <v>11960.058412887827</v>
      </c>
      <c r="AB39" s="513" t="str">
        <f t="shared" si="4"/>
        <v>Met</v>
      </c>
      <c r="AD39" s="512" t="str">
        <f t="shared" si="24"/>
        <v>Met</v>
      </c>
      <c r="AF39" s="444">
        <f>VLOOKUP(A39,'42. SEA or LEA Worksheet'!$A$4:$Z$324,26,0)</f>
        <v>2129292.94</v>
      </c>
      <c r="AG39" s="513" t="str">
        <f t="shared" si="6"/>
        <v>Met</v>
      </c>
      <c r="AI39" s="444">
        <f>VLOOKUP(A39,'42. SEA or LEA Worksheet'!$A$4:$AB$324,28,0)</f>
        <v>10563796.959999999</v>
      </c>
      <c r="AJ39" s="513" t="str">
        <f t="shared" si="7"/>
        <v>Met</v>
      </c>
      <c r="AL39" s="444">
        <f>VLOOKUP(compliance!A39,'42. SEA or LEA Worksheet'!$A$4:$AB$324,26,0)/VLOOKUP(compliance!A39,'42. SEA or LEA Worksheet'!$A$4:$Y$324,25,0)</f>
        <v>2444.6532032146956</v>
      </c>
      <c r="AM39" s="513" t="str">
        <f t="shared" si="8"/>
        <v>Met</v>
      </c>
      <c r="AO39" s="444">
        <f>VLOOKUP(A39,'42. SEA or LEA Worksheet'!$A$4:$AB$324,28,0)/VLOOKUP(compliance!A39,'42. SEA or LEA Worksheet'!$A$4:$Y$324,25,0)</f>
        <v>12128.354718714121</v>
      </c>
      <c r="AP39" s="513" t="str">
        <f t="shared" si="9"/>
        <v>Met</v>
      </c>
      <c r="AR39" s="512" t="str">
        <f t="shared" si="25"/>
        <v>Met</v>
      </c>
      <c r="AT39" s="444">
        <f>VLOOKUP(A39,'42. SEA or LEA Worksheet'!$A$4:$AE$324,31,0)</f>
        <v>1128600.68</v>
      </c>
      <c r="AU39" s="513" t="str">
        <f t="shared" si="26"/>
        <v>Did not Meet</v>
      </c>
      <c r="AW39" s="444">
        <f>VLOOKUP(A39,'42. SEA or LEA Worksheet'!$A$4:$AG$324,33,0)</f>
        <v>10212852.24</v>
      </c>
      <c r="AX39" s="513" t="s">
        <v>1453</v>
      </c>
      <c r="AZ39" s="444">
        <f>VLOOKUP(A39,'42. SEA or LEA Worksheet'!$A$4:$AG$324,31,0)/VLOOKUP(A39,'42. SEA or LEA Worksheet'!$A$4:$AD$324,30,0)</f>
        <v>1318.458738317757</v>
      </c>
      <c r="BA39" s="513" t="str">
        <f t="shared" si="27"/>
        <v>Did not Meet</v>
      </c>
      <c r="BC39" s="444">
        <f>VLOOKUP(A39,'42. SEA or LEA Worksheet'!$A$4:$AG$324,33,0)/VLOOKUP(A39,'42. SEA or LEA Worksheet'!$A$4:$AD$324,30,0)</f>
        <v>11930.902149532711</v>
      </c>
      <c r="BD39" s="513" t="s">
        <v>1453</v>
      </c>
      <c r="BF39" s="512" t="str">
        <f t="shared" si="28"/>
        <v>Met</v>
      </c>
      <c r="BG39" s="637">
        <f>VLOOKUP(A39,'42. SEA or LEA Worksheet'!$A$4:$AM$324,36,0)</f>
        <v>1668592.49</v>
      </c>
      <c r="BH39" s="638" t="str">
        <f t="shared" si="29"/>
        <v>Met</v>
      </c>
      <c r="BI39" s="639"/>
      <c r="BJ39" s="637">
        <f>VLOOKUP(A39,'42. SEA or LEA Worksheet'!$A$4:$AM$324,38,0)</f>
        <v>11442097.91</v>
      </c>
      <c r="BK39" s="638" t="str">
        <f t="shared" si="30"/>
        <v>Met</v>
      </c>
      <c r="BM39" s="631">
        <f>VLOOKUP(A39,'42. SEA or LEA Worksheet'!$A$4:$AL$324,36,0)/VLOOKUP(A39,'42. SEA or LEA Worksheet'!$A$4:$AL$324,35,0)</f>
        <v>1862.2684040178572</v>
      </c>
      <c r="BN39" s="632" t="str">
        <f t="shared" si="31"/>
        <v>Met</v>
      </c>
      <c r="BP39" s="631">
        <f>VLOOKUP(A39,'42. SEA or LEA Worksheet'!$A$4:$AL$324,38,0)/VLOOKUP(A39,'42. SEA or LEA Worksheet'!$A$4:$AL$324,35,0)</f>
        <v>12770.198560267858</v>
      </c>
      <c r="BQ39" s="632" t="str">
        <f t="shared" si="32"/>
        <v>Met</v>
      </c>
      <c r="BS39" s="620" t="str">
        <f t="shared" si="33"/>
        <v>Met</v>
      </c>
    </row>
    <row r="40" spans="1:71" x14ac:dyDescent="0.25">
      <c r="A40" s="343" t="s">
        <v>266</v>
      </c>
      <c r="B40" s="510" t="s">
        <v>870</v>
      </c>
      <c r="C40" s="511"/>
      <c r="D40" s="444">
        <v>2805.43</v>
      </c>
      <c r="E40" s="343" t="s">
        <v>856</v>
      </c>
      <c r="F40" s="511"/>
      <c r="G40" s="444">
        <v>1101679.3799999999</v>
      </c>
      <c r="H40" s="343" t="s">
        <v>835</v>
      </c>
      <c r="I40" s="511"/>
      <c r="J40" s="444">
        <v>21.74751937984496</v>
      </c>
      <c r="K40" s="343" t="s">
        <v>856</v>
      </c>
      <c r="L40" s="511"/>
      <c r="M40" s="444">
        <v>8540.1502325581387</v>
      </c>
      <c r="N40" s="343" t="s">
        <v>856</v>
      </c>
      <c r="O40" s="511"/>
      <c r="P40" s="512" t="str">
        <f t="shared" si="23"/>
        <v>Met</v>
      </c>
      <c r="Q40" s="511"/>
      <c r="R40" s="444">
        <f>VLOOKUP(A40,'2020-21'!$A$6:$F$319,6,0)</f>
        <v>2955</v>
      </c>
      <c r="S40" s="513" t="str">
        <f t="shared" si="1"/>
        <v>Met</v>
      </c>
      <c r="U40" s="444">
        <f>VLOOKUP(A40,'2020-21'!$A$6:$G$319,7,0)</f>
        <v>1081102.5</v>
      </c>
      <c r="V40" s="513" t="str">
        <f t="shared" si="2"/>
        <v>Did not Meet</v>
      </c>
      <c r="X40" s="444">
        <f>VLOOKUP(A40,'2020-21'!$A$6:$F$319,6,0)/VLOOKUP(A40,'42. SEA or LEA Worksheet'!$A$4:$T$324,20,0)</f>
        <v>24.831932773109244</v>
      </c>
      <c r="Y40" s="513" t="str">
        <f t="shared" si="3"/>
        <v>Met</v>
      </c>
      <c r="AA40" s="444">
        <f>VLOOKUP(A40,'42. SEA or LEA Worksheet'!$A$4:$W$324,23,0)/VLOOKUP(compliance!A40,'42. SEA or LEA Worksheet'!$A$4:$T$324,20,0)</f>
        <v>9084.8949579831933</v>
      </c>
      <c r="AB40" s="513" t="str">
        <f t="shared" si="4"/>
        <v>Met</v>
      </c>
      <c r="AD40" s="512" t="str">
        <f t="shared" si="24"/>
        <v>Met</v>
      </c>
      <c r="AF40" s="444">
        <f>VLOOKUP(A40,'42. SEA or LEA Worksheet'!$A$4:$Z$324,26,0)</f>
        <v>3000</v>
      </c>
      <c r="AG40" s="513" t="str">
        <f t="shared" si="6"/>
        <v>Met</v>
      </c>
      <c r="AI40" s="444">
        <f>VLOOKUP(A40,'42. SEA or LEA Worksheet'!$A$4:$AB$324,28,0)</f>
        <v>1126255.48</v>
      </c>
      <c r="AJ40" s="513" t="str">
        <f t="shared" si="7"/>
        <v>Met</v>
      </c>
      <c r="AL40" s="444">
        <f>VLOOKUP(compliance!A40,'42. SEA or LEA Worksheet'!$A$4:$AB$324,26,0)/VLOOKUP(compliance!A40,'42. SEA or LEA Worksheet'!$A$4:$Y$324,25,0)</f>
        <v>21.897810218978101</v>
      </c>
      <c r="AM40" s="513" t="str">
        <f t="shared" si="8"/>
        <v>Did not Meet</v>
      </c>
      <c r="AO40" s="444">
        <f>VLOOKUP(A40,'42. SEA or LEA Worksheet'!$A$4:$AB$324,28,0)/VLOOKUP(compliance!A40,'42. SEA or LEA Worksheet'!$A$4:$Y$324,25,0)</f>
        <v>8220.8429197080295</v>
      </c>
      <c r="AP40" s="513" t="str">
        <f t="shared" si="9"/>
        <v>Did not Meet</v>
      </c>
      <c r="AR40" s="512" t="str">
        <f t="shared" si="25"/>
        <v>Met</v>
      </c>
      <c r="AT40" s="444">
        <f>VLOOKUP(A40,'42. SEA or LEA Worksheet'!$A$4:$AE$324,31,0)</f>
        <v>3100</v>
      </c>
      <c r="AU40" s="513" t="str">
        <f t="shared" si="26"/>
        <v>Met</v>
      </c>
      <c r="AW40" s="444">
        <f>VLOOKUP(A40,'42. SEA or LEA Worksheet'!$A$4:$AG$324,33,0)</f>
        <v>1406151.2</v>
      </c>
      <c r="AX40" s="513" t="str">
        <f t="shared" ref="AX40:AX69" si="34">IF(AW40&gt;=AI40,"Met","Did not Meet")</f>
        <v>Met</v>
      </c>
      <c r="AZ40" s="444">
        <f>VLOOKUP(A40,'42. SEA or LEA Worksheet'!$A$4:$AG$324,31,0)/VLOOKUP(A40,'42. SEA or LEA Worksheet'!$A$4:$AD$324,30,0)</f>
        <v>24.409448818897637</v>
      </c>
      <c r="BA40" s="513" t="str">
        <f t="shared" si="27"/>
        <v>Met</v>
      </c>
      <c r="BC40" s="444">
        <f>VLOOKUP(A40,'42. SEA or LEA Worksheet'!$A$4:$AG$324,33,0)/VLOOKUP(A40,'42. SEA or LEA Worksheet'!$A$4:$AD$324,30,0)</f>
        <v>11072.056692913386</v>
      </c>
      <c r="BD40" s="513" t="str">
        <f t="shared" ref="BD40:BD86" si="35">IF(BC40&gt;=AO40,"Met","Did not Meet")</f>
        <v>Met</v>
      </c>
      <c r="BF40" s="512" t="str">
        <f t="shared" si="28"/>
        <v>Met</v>
      </c>
      <c r="BG40" s="637">
        <f>VLOOKUP(A40,'42. SEA or LEA Worksheet'!$A$4:$AM$324,36,0)</f>
        <v>3101</v>
      </c>
      <c r="BH40" s="638" t="str">
        <f t="shared" si="29"/>
        <v>Met</v>
      </c>
      <c r="BI40" s="639"/>
      <c r="BJ40" s="637">
        <f>VLOOKUP(A40,'42. SEA or LEA Worksheet'!$A$4:$AM$324,38,0)</f>
        <v>1681500.99</v>
      </c>
      <c r="BK40" s="638" t="str">
        <f t="shared" si="30"/>
        <v>Met</v>
      </c>
      <c r="BM40" s="631">
        <f>VLOOKUP(A40,'42. SEA or LEA Worksheet'!$A$4:$AL$324,36,0)/VLOOKUP(A40,'42. SEA or LEA Worksheet'!$A$4:$AL$324,35,0)</f>
        <v>23.492424242424242</v>
      </c>
      <c r="BN40" s="632" t="str">
        <f t="shared" si="31"/>
        <v>Met</v>
      </c>
      <c r="BP40" s="631">
        <f>VLOOKUP(A40,'42. SEA or LEA Worksheet'!$A$4:$AL$324,38,0)/VLOOKUP(A40,'42. SEA or LEA Worksheet'!$A$4:$AL$324,35,0)</f>
        <v>12738.643863636364</v>
      </c>
      <c r="BQ40" s="632" t="str">
        <f t="shared" si="32"/>
        <v>Met</v>
      </c>
      <c r="BS40" s="620" t="str">
        <f t="shared" si="33"/>
        <v>Met</v>
      </c>
    </row>
    <row r="41" spans="1:71" x14ac:dyDescent="0.25">
      <c r="A41" s="343" t="s">
        <v>268</v>
      </c>
      <c r="B41" s="510" t="s">
        <v>871</v>
      </c>
      <c r="C41" s="511"/>
      <c r="D41" s="444">
        <v>5510</v>
      </c>
      <c r="E41" s="343" t="s">
        <v>856</v>
      </c>
      <c r="F41" s="511"/>
      <c r="G41" s="444">
        <v>1612287.12</v>
      </c>
      <c r="H41" s="343" t="s">
        <v>835</v>
      </c>
      <c r="I41" s="511"/>
      <c r="J41" s="444">
        <v>38.802816901408448</v>
      </c>
      <c r="K41" s="343" t="s">
        <v>856</v>
      </c>
      <c r="L41" s="511"/>
      <c r="M41" s="444">
        <v>11354.134647887326</v>
      </c>
      <c r="N41" s="343" t="s">
        <v>835</v>
      </c>
      <c r="O41" s="511"/>
      <c r="P41" s="512" t="str">
        <f t="shared" si="23"/>
        <v>Met</v>
      </c>
      <c r="Q41" s="511"/>
      <c r="R41" s="444">
        <f>VLOOKUP(A41,'2020-21'!$A$6:$F$319,6,0)</f>
        <v>0</v>
      </c>
      <c r="S41" s="513" t="str">
        <f t="shared" si="1"/>
        <v>Did not Meet</v>
      </c>
      <c r="U41" s="444">
        <f>VLOOKUP(A41,'2020-21'!$A$6:$G$319,7,0)</f>
        <v>1669871.83</v>
      </c>
      <c r="V41" s="513" t="str">
        <f t="shared" si="2"/>
        <v>Met</v>
      </c>
      <c r="X41" s="444">
        <f>VLOOKUP(A41,'2020-21'!$A$6:$F$319,6,0)/VLOOKUP(A41,'42. SEA or LEA Worksheet'!$A$4:$T$324,20,0)</f>
        <v>0</v>
      </c>
      <c r="Y41" s="513" t="str">
        <f t="shared" si="3"/>
        <v>Did not Meet</v>
      </c>
      <c r="AA41" s="444">
        <f>VLOOKUP(A41,'42. SEA or LEA Worksheet'!$A$4:$W$324,23,0)/VLOOKUP(compliance!A41,'42. SEA or LEA Worksheet'!$A$4:$T$324,20,0)</f>
        <v>12555.427293233084</v>
      </c>
      <c r="AB41" s="513" t="str">
        <f t="shared" si="4"/>
        <v>Met</v>
      </c>
      <c r="AD41" s="512" t="str">
        <f t="shared" si="24"/>
        <v>Met</v>
      </c>
      <c r="AF41" s="444">
        <f>VLOOKUP(A41,'42. SEA or LEA Worksheet'!$A$4:$Z$324,26,0)</f>
        <v>6800</v>
      </c>
      <c r="AG41" s="513" t="str">
        <f t="shared" si="6"/>
        <v>Met</v>
      </c>
      <c r="AI41" s="444">
        <f>VLOOKUP(A41,'42. SEA or LEA Worksheet'!$A$4:$AB$324,28,0)</f>
        <v>1713544.45</v>
      </c>
      <c r="AJ41" s="513" t="str">
        <f t="shared" si="7"/>
        <v>Met</v>
      </c>
      <c r="AL41" s="444">
        <f>VLOOKUP(compliance!A41,'42. SEA or LEA Worksheet'!$A$4:$AB$324,26,0)/VLOOKUP(compliance!A41,'42. SEA or LEA Worksheet'!$A$4:$Y$324,25,0)</f>
        <v>57.142857142857146</v>
      </c>
      <c r="AM41" s="513" t="str">
        <f t="shared" si="8"/>
        <v>Met</v>
      </c>
      <c r="AO41" s="444">
        <f>VLOOKUP(A41,'42. SEA or LEA Worksheet'!$A$4:$AB$324,28,0)/VLOOKUP(compliance!A41,'42. SEA or LEA Worksheet'!$A$4:$Y$324,25,0)</f>
        <v>14399.53319327731</v>
      </c>
      <c r="AP41" s="513" t="str">
        <f t="shared" si="9"/>
        <v>Met</v>
      </c>
      <c r="AR41" s="512" t="str">
        <f t="shared" si="25"/>
        <v>Met</v>
      </c>
      <c r="AT41" s="444">
        <f>VLOOKUP(A41,'42. SEA or LEA Worksheet'!$A$4:$AE$324,31,0)</f>
        <v>5788.5</v>
      </c>
      <c r="AU41" s="513" t="str">
        <f t="shared" si="26"/>
        <v>Did not Meet</v>
      </c>
      <c r="AW41" s="444">
        <f>VLOOKUP(A41,'42. SEA or LEA Worksheet'!$A$4:$AG$324,33,0)</f>
        <v>2078191.28</v>
      </c>
      <c r="AX41" s="513" t="str">
        <f t="shared" si="34"/>
        <v>Met</v>
      </c>
      <c r="AZ41" s="444">
        <f>VLOOKUP(A41,'42. SEA or LEA Worksheet'!$A$4:$AG$324,31,0)/VLOOKUP(A41,'42. SEA or LEA Worksheet'!$A$4:$AD$324,30,0)</f>
        <v>47.446721311475407</v>
      </c>
      <c r="BA41" s="513" t="str">
        <f t="shared" si="27"/>
        <v>Did not Meet</v>
      </c>
      <c r="BC41" s="444">
        <f>VLOOKUP(A41,'42. SEA or LEA Worksheet'!$A$4:$AG$324,33,0)/VLOOKUP(A41,'42. SEA or LEA Worksheet'!$A$4:$AD$324,30,0)</f>
        <v>17034.35475409836</v>
      </c>
      <c r="BD41" s="513" t="str">
        <f t="shared" si="35"/>
        <v>Met</v>
      </c>
      <c r="BF41" s="512" t="str">
        <f t="shared" si="28"/>
        <v>Met</v>
      </c>
      <c r="BG41" s="637">
        <f>VLOOKUP(A41,'42. SEA or LEA Worksheet'!$A$4:$AM$324,36,0)</f>
        <v>19741.580000000002</v>
      </c>
      <c r="BH41" s="638" t="str">
        <f t="shared" si="29"/>
        <v>Met</v>
      </c>
      <c r="BI41" s="639"/>
      <c r="BJ41" s="637">
        <f>VLOOKUP(A41,'42. SEA or LEA Worksheet'!$A$4:$AM$324,38,0)</f>
        <v>2140985.39</v>
      </c>
      <c r="BK41" s="638" t="str">
        <f t="shared" si="30"/>
        <v>Met</v>
      </c>
      <c r="BM41" s="631">
        <f>VLOOKUP(A41,'42. SEA or LEA Worksheet'!$A$4:$AL$324,36,0)/VLOOKUP(A41,'42. SEA or LEA Worksheet'!$A$4:$AL$324,35,0)</f>
        <v>161.81622950819673</v>
      </c>
      <c r="BN41" s="632" t="str">
        <f t="shared" si="31"/>
        <v>Met</v>
      </c>
      <c r="BP41" s="631">
        <f>VLOOKUP(A41,'42. SEA or LEA Worksheet'!$A$4:$AL$324,38,0)/VLOOKUP(A41,'42. SEA or LEA Worksheet'!$A$4:$AL$324,35,0)</f>
        <v>17549.060573770494</v>
      </c>
      <c r="BQ41" s="632" t="str">
        <f t="shared" si="32"/>
        <v>Met</v>
      </c>
      <c r="BS41" s="620" t="str">
        <f t="shared" si="33"/>
        <v>Met</v>
      </c>
    </row>
    <row r="42" spans="1:71" x14ac:dyDescent="0.25">
      <c r="A42" s="343" t="s">
        <v>270</v>
      </c>
      <c r="B42" s="510" t="s">
        <v>872</v>
      </c>
      <c r="C42" s="511"/>
      <c r="D42" s="444">
        <v>0</v>
      </c>
      <c r="E42" s="343" t="s">
        <v>856</v>
      </c>
      <c r="F42" s="511"/>
      <c r="G42" s="444">
        <v>3851114.14</v>
      </c>
      <c r="H42" s="343" t="s">
        <v>835</v>
      </c>
      <c r="I42" s="511"/>
      <c r="J42" s="444">
        <v>0</v>
      </c>
      <c r="K42" s="343" t="s">
        <v>856</v>
      </c>
      <c r="L42" s="511"/>
      <c r="M42" s="444">
        <v>8894.0280369515021</v>
      </c>
      <c r="N42" s="343" t="s">
        <v>856</v>
      </c>
      <c r="O42" s="511"/>
      <c r="P42" s="512" t="str">
        <f t="shared" si="23"/>
        <v>Met</v>
      </c>
      <c r="Q42" s="511"/>
      <c r="R42" s="444">
        <f>VLOOKUP(A42,'2020-21'!$A$6:$F$319,6,0)</f>
        <v>0</v>
      </c>
      <c r="S42" s="513" t="str">
        <f t="shared" si="1"/>
        <v>Met</v>
      </c>
      <c r="U42" s="444">
        <f>VLOOKUP(A42,'2020-21'!$A$6:$G$319,7,0)</f>
        <v>3732380.28</v>
      </c>
      <c r="V42" s="513" t="str">
        <f t="shared" si="2"/>
        <v>Did not Meet</v>
      </c>
      <c r="X42" s="444">
        <f>VLOOKUP(A42,'2020-21'!$A$6:$F$319,6,0)/VLOOKUP(A42,'42. SEA or LEA Worksheet'!$A$4:$T$324,20,0)</f>
        <v>0</v>
      </c>
      <c r="Y42" s="513" t="str">
        <f t="shared" si="3"/>
        <v>Met</v>
      </c>
      <c r="AA42" s="444">
        <f>VLOOKUP(A42,'42. SEA or LEA Worksheet'!$A$4:$W$324,23,0)/VLOOKUP(compliance!A42,'42. SEA or LEA Worksheet'!$A$4:$T$324,20,0)</f>
        <v>9147.9908823529404</v>
      </c>
      <c r="AB42" s="513" t="str">
        <f t="shared" si="4"/>
        <v>Met</v>
      </c>
      <c r="AD42" s="512" t="str">
        <f t="shared" si="24"/>
        <v>Met</v>
      </c>
      <c r="AF42" s="444">
        <f>VLOOKUP(A42,'42. SEA or LEA Worksheet'!$A$4:$Z$324,26,0)</f>
        <v>0</v>
      </c>
      <c r="AG42" s="513" t="str">
        <f t="shared" si="6"/>
        <v>Met</v>
      </c>
      <c r="AI42" s="444">
        <f>VLOOKUP(A42,'42. SEA or LEA Worksheet'!$A$4:$AB$324,28,0)</f>
        <v>3950554.4</v>
      </c>
      <c r="AJ42" s="513" t="str">
        <f t="shared" si="7"/>
        <v>Met</v>
      </c>
      <c r="AL42" s="444">
        <f>VLOOKUP(compliance!A42,'42. SEA or LEA Worksheet'!$A$4:$AB$324,26,0)/VLOOKUP(compliance!A42,'42. SEA or LEA Worksheet'!$A$4:$Y$324,25,0)</f>
        <v>0</v>
      </c>
      <c r="AM42" s="513" t="str">
        <f t="shared" si="8"/>
        <v>Met</v>
      </c>
      <c r="AO42" s="444">
        <f>VLOOKUP(A42,'42. SEA or LEA Worksheet'!$A$4:$AB$324,28,0)/VLOOKUP(compliance!A42,'42. SEA or LEA Worksheet'!$A$4:$Y$324,25,0)</f>
        <v>9659.0572127139367</v>
      </c>
      <c r="AP42" s="513" t="str">
        <f t="shared" si="9"/>
        <v>Met</v>
      </c>
      <c r="AR42" s="512" t="str">
        <f t="shared" si="25"/>
        <v>Met</v>
      </c>
      <c r="AT42" s="444">
        <f>VLOOKUP(A42,'42. SEA or LEA Worksheet'!$A$4:$AE$324,31,0)</f>
        <v>270588.7</v>
      </c>
      <c r="AU42" s="513" t="str">
        <f t="shared" si="26"/>
        <v>Met</v>
      </c>
      <c r="AW42" s="444">
        <f>VLOOKUP(A42,'42. SEA or LEA Worksheet'!$A$4:$AG$324,33,0)</f>
        <v>4487123.08</v>
      </c>
      <c r="AX42" s="513" t="str">
        <f t="shared" si="34"/>
        <v>Met</v>
      </c>
      <c r="AZ42" s="444">
        <f>VLOOKUP(A42,'42. SEA or LEA Worksheet'!$A$4:$AG$324,31,0)/VLOOKUP(A42,'42. SEA or LEA Worksheet'!$A$4:$AD$324,30,0)</f>
        <v>572.06913319238902</v>
      </c>
      <c r="BA42" s="513" t="str">
        <f t="shared" si="27"/>
        <v>Met</v>
      </c>
      <c r="BC42" s="444">
        <f>VLOOKUP(A42,'42. SEA or LEA Worksheet'!$A$4:$AG$324,33,0)/VLOOKUP(A42,'42. SEA or LEA Worksheet'!$A$4:$AD$324,30,0)</f>
        <v>9486.5181395348845</v>
      </c>
      <c r="BD42" s="513" t="str">
        <f t="shared" si="35"/>
        <v>Did not Meet</v>
      </c>
      <c r="BF42" s="512" t="str">
        <f t="shared" si="28"/>
        <v>Met</v>
      </c>
      <c r="BG42" s="637">
        <f>VLOOKUP(A42,'42. SEA or LEA Worksheet'!$A$4:$AM$324,36,0)</f>
        <v>270754.58</v>
      </c>
      <c r="BH42" s="638" t="str">
        <f t="shared" si="29"/>
        <v>Met</v>
      </c>
      <c r="BI42" s="639"/>
      <c r="BJ42" s="637">
        <f>VLOOKUP(A42,'42. SEA or LEA Worksheet'!$A$4:$AM$324,38,0)</f>
        <v>5009034.6399999997</v>
      </c>
      <c r="BK42" s="638" t="str">
        <f t="shared" si="30"/>
        <v>Met</v>
      </c>
      <c r="BM42" s="631">
        <f>VLOOKUP(A42,'42. SEA or LEA Worksheet'!$A$4:$AL$324,36,0)/VLOOKUP(A42,'42. SEA or LEA Worksheet'!$A$4:$AL$324,35,0)</f>
        <v>553.69034764826176</v>
      </c>
      <c r="BN42" s="632" t="str">
        <f t="shared" si="31"/>
        <v>Met</v>
      </c>
      <c r="BP42" s="631">
        <f>VLOOKUP(A42,'42. SEA or LEA Worksheet'!$A$4:$AL$324,38,0)/VLOOKUP(A42,'42. SEA or LEA Worksheet'!$A$4:$AL$324,35,0)</f>
        <v>10243.424621676892</v>
      </c>
      <c r="BQ42" s="632" t="str">
        <f t="shared" si="32"/>
        <v>Met</v>
      </c>
      <c r="BS42" s="620" t="str">
        <f t="shared" si="33"/>
        <v>Met</v>
      </c>
    </row>
    <row r="43" spans="1:71" x14ac:dyDescent="0.25">
      <c r="A43" s="343" t="s">
        <v>272</v>
      </c>
      <c r="B43" s="510" t="s">
        <v>873</v>
      </c>
      <c r="C43" s="511"/>
      <c r="D43" s="444">
        <v>0</v>
      </c>
      <c r="E43" s="343" t="s">
        <v>856</v>
      </c>
      <c r="F43" s="511"/>
      <c r="G43" s="444">
        <v>1285558.71</v>
      </c>
      <c r="H43" s="343" t="s">
        <v>835</v>
      </c>
      <c r="I43" s="511"/>
      <c r="J43" s="444">
        <v>0</v>
      </c>
      <c r="K43" s="343" t="s">
        <v>856</v>
      </c>
      <c r="L43" s="511"/>
      <c r="M43" s="444">
        <v>9593.721716417911</v>
      </c>
      <c r="N43" s="343" t="s">
        <v>856</v>
      </c>
      <c r="O43" s="511"/>
      <c r="P43" s="512" t="str">
        <f t="shared" si="23"/>
        <v>Met</v>
      </c>
      <c r="Q43" s="511"/>
      <c r="R43" s="444">
        <f>VLOOKUP(A43,'2020-21'!$A$6:$F$319,6,0)</f>
        <v>0</v>
      </c>
      <c r="S43" s="513" t="str">
        <f t="shared" si="1"/>
        <v>Met</v>
      </c>
      <c r="U43" s="444">
        <f>VLOOKUP(A43,'2020-21'!$A$6:$G$319,7,0)</f>
        <v>1234362.19</v>
      </c>
      <c r="V43" s="513" t="str">
        <f t="shared" si="2"/>
        <v>Did not Meet</v>
      </c>
      <c r="X43" s="444">
        <f>VLOOKUP(A43,'2020-21'!$A$6:$F$319,6,0)/VLOOKUP(A43,'42. SEA or LEA Worksheet'!$A$4:$T$324,20,0)</f>
        <v>0</v>
      </c>
      <c r="Y43" s="513" t="str">
        <f t="shared" si="3"/>
        <v>Met</v>
      </c>
      <c r="AA43" s="444">
        <f>VLOOKUP(A43,'42. SEA or LEA Worksheet'!$A$4:$W$324,23,0)/VLOOKUP(compliance!A43,'42. SEA or LEA Worksheet'!$A$4:$T$324,20,0)</f>
        <v>9143.4236296296294</v>
      </c>
      <c r="AB43" s="513" t="str">
        <f t="shared" si="4"/>
        <v>Did not Meet</v>
      </c>
      <c r="AD43" s="512" t="str">
        <f t="shared" si="24"/>
        <v>Met</v>
      </c>
      <c r="AF43" s="444">
        <f>VLOOKUP(A43,'42. SEA or LEA Worksheet'!$A$4:$Z$324,26,0)</f>
        <v>0</v>
      </c>
      <c r="AG43" s="513" t="str">
        <f t="shared" si="6"/>
        <v>Met</v>
      </c>
      <c r="AI43" s="444">
        <f>VLOOKUP(A43,'42. SEA or LEA Worksheet'!$A$4:$AB$324,28,0)</f>
        <v>1298170.51</v>
      </c>
      <c r="AJ43" s="513" t="str">
        <f t="shared" si="7"/>
        <v>Met</v>
      </c>
      <c r="AL43" s="444">
        <f>VLOOKUP(compliance!A43,'42. SEA or LEA Worksheet'!$A$4:$AB$324,26,0)/VLOOKUP(compliance!A43,'42. SEA or LEA Worksheet'!$A$4:$Y$324,25,0)</f>
        <v>0</v>
      </c>
      <c r="AM43" s="513" t="str">
        <f t="shared" si="8"/>
        <v>Met</v>
      </c>
      <c r="AO43" s="444">
        <f>VLOOKUP(A43,'42. SEA or LEA Worksheet'!$A$4:$AB$324,28,0)/VLOOKUP(compliance!A43,'42. SEA or LEA Worksheet'!$A$4:$Y$324,25,0)</f>
        <v>8952.9000689655168</v>
      </c>
      <c r="AP43" s="513" t="str">
        <f t="shared" si="9"/>
        <v>Did not Meet</v>
      </c>
      <c r="AR43" s="512" t="str">
        <f t="shared" si="25"/>
        <v>Met</v>
      </c>
      <c r="AT43" s="444">
        <f>VLOOKUP(A43,'42. SEA or LEA Worksheet'!$A$4:$AE$324,31,0)</f>
        <v>0</v>
      </c>
      <c r="AU43" s="513" t="str">
        <f t="shared" si="26"/>
        <v>Met</v>
      </c>
      <c r="AW43" s="444">
        <f>VLOOKUP(A43,'42. SEA or LEA Worksheet'!$A$4:$AG$324,33,0)</f>
        <v>1436033.63</v>
      </c>
      <c r="AX43" s="513" t="str">
        <f t="shared" si="34"/>
        <v>Met</v>
      </c>
      <c r="AZ43" s="444">
        <f>VLOOKUP(A43,'42. SEA or LEA Worksheet'!$A$4:$AG$324,31,0)/VLOOKUP(A43,'42. SEA or LEA Worksheet'!$A$4:$AD$324,30,0)</f>
        <v>0</v>
      </c>
      <c r="BA43" s="513" t="str">
        <f t="shared" si="27"/>
        <v>Met</v>
      </c>
      <c r="BC43" s="444">
        <f>VLOOKUP(A43,'42. SEA or LEA Worksheet'!$A$4:$AG$324,33,0)/VLOOKUP(A43,'42. SEA or LEA Worksheet'!$A$4:$AD$324,30,0)</f>
        <v>10481.997299270071</v>
      </c>
      <c r="BD43" s="513" t="str">
        <f t="shared" si="35"/>
        <v>Met</v>
      </c>
      <c r="BF43" s="512" t="str">
        <f t="shared" si="28"/>
        <v>Met</v>
      </c>
      <c r="BG43" s="637">
        <f>VLOOKUP(A43,'42. SEA or LEA Worksheet'!$A$4:$AM$324,36,0)</f>
        <v>0</v>
      </c>
      <c r="BH43" s="638" t="str">
        <f t="shared" si="29"/>
        <v>Met</v>
      </c>
      <c r="BI43" s="639"/>
      <c r="BJ43" s="637">
        <f>VLOOKUP(A43,'42. SEA or LEA Worksheet'!$A$4:$AM$324,38,0)</f>
        <v>1748828.18</v>
      </c>
      <c r="BK43" s="638" t="str">
        <f t="shared" si="30"/>
        <v>Met</v>
      </c>
      <c r="BM43" s="631">
        <f>VLOOKUP(A43,'42. SEA or LEA Worksheet'!$A$4:$AL$324,36,0)/VLOOKUP(A43,'42. SEA or LEA Worksheet'!$A$4:$AL$324,35,0)</f>
        <v>0</v>
      </c>
      <c r="BN43" s="632" t="str">
        <f t="shared" si="31"/>
        <v>Met</v>
      </c>
      <c r="BP43" s="631">
        <f>VLOOKUP(A43,'42. SEA or LEA Worksheet'!$A$4:$AL$324,38,0)/VLOOKUP(A43,'42. SEA or LEA Worksheet'!$A$4:$AL$324,35,0)</f>
        <v>12403.036737588653</v>
      </c>
      <c r="BQ43" s="632" t="str">
        <f t="shared" si="32"/>
        <v>Met</v>
      </c>
      <c r="BS43" s="620" t="str">
        <f t="shared" si="33"/>
        <v>Met</v>
      </c>
    </row>
    <row r="44" spans="1:71" x14ac:dyDescent="0.25">
      <c r="A44" s="343" t="s">
        <v>274</v>
      </c>
      <c r="B44" s="510" t="s">
        <v>874</v>
      </c>
      <c r="C44" s="511"/>
      <c r="D44" s="444">
        <v>2363928.2999999998</v>
      </c>
      <c r="E44" s="343" t="s">
        <v>856</v>
      </c>
      <c r="F44" s="511"/>
      <c r="G44" s="444">
        <v>26951312.5</v>
      </c>
      <c r="H44" s="343" t="s">
        <v>835</v>
      </c>
      <c r="I44" s="511"/>
      <c r="J44" s="444">
        <v>1135.4122478386166</v>
      </c>
      <c r="K44" s="343" t="s">
        <v>856</v>
      </c>
      <c r="L44" s="511"/>
      <c r="M44" s="444">
        <v>12944.91474543708</v>
      </c>
      <c r="N44" s="343" t="s">
        <v>835</v>
      </c>
      <c r="O44" s="511"/>
      <c r="P44" s="512" t="str">
        <f t="shared" si="23"/>
        <v>Met</v>
      </c>
      <c r="Q44" s="511"/>
      <c r="R44" s="444">
        <f>VLOOKUP(A44,'2020-21'!$A$6:$F$319,6,0)</f>
        <v>2792479.34</v>
      </c>
      <c r="S44" s="513" t="str">
        <f t="shared" si="1"/>
        <v>Met</v>
      </c>
      <c r="U44" s="444">
        <f>VLOOKUP(A44,'2020-21'!$A$6:$G$319,7,0)</f>
        <v>26669488.489999998</v>
      </c>
      <c r="V44" s="513" t="str">
        <f t="shared" si="2"/>
        <v>Did not Meet</v>
      </c>
      <c r="X44" s="444">
        <f>VLOOKUP(A44,'2020-21'!$A$6:$F$319,6,0)/VLOOKUP(A44,'42. SEA or LEA Worksheet'!$A$4:$T$324,20,0)</f>
        <v>1411.7691304347825</v>
      </c>
      <c r="Y44" s="513" t="str">
        <f t="shared" si="3"/>
        <v>Met</v>
      </c>
      <c r="AA44" s="444">
        <f>VLOOKUP(A44,'42. SEA or LEA Worksheet'!$A$4:$W$324,23,0)/VLOOKUP(compliance!A44,'42. SEA or LEA Worksheet'!$A$4:$T$324,20,0)</f>
        <v>13483.057881698685</v>
      </c>
      <c r="AB44" s="513" t="str">
        <f t="shared" si="4"/>
        <v>Met</v>
      </c>
      <c r="AD44" s="512" t="str">
        <f t="shared" si="24"/>
        <v>Met</v>
      </c>
      <c r="AF44" s="444">
        <f>VLOOKUP(A44,'42. SEA or LEA Worksheet'!$A$4:$Z$324,26,0)</f>
        <v>2946536.76</v>
      </c>
      <c r="AG44" s="513" t="str">
        <f t="shared" si="6"/>
        <v>Met</v>
      </c>
      <c r="AI44" s="444">
        <f>VLOOKUP(A44,'42. SEA or LEA Worksheet'!$A$4:$AB$324,28,0)</f>
        <v>27006952.460000001</v>
      </c>
      <c r="AJ44" s="513" t="str">
        <f t="shared" si="7"/>
        <v>Met</v>
      </c>
      <c r="AL44" s="444">
        <f>VLOOKUP(compliance!A44,'42. SEA or LEA Worksheet'!$A$4:$AB$324,26,0)/VLOOKUP(compliance!A44,'42. SEA or LEA Worksheet'!$A$4:$Y$324,25,0)</f>
        <v>1491.1623279352225</v>
      </c>
      <c r="AM44" s="513" t="str">
        <f t="shared" si="8"/>
        <v>Met</v>
      </c>
      <c r="AO44" s="444">
        <f>VLOOKUP(A44,'42. SEA or LEA Worksheet'!$A$4:$AB$324,28,0)/VLOOKUP(compliance!A44,'42. SEA or LEA Worksheet'!$A$4:$Y$324,25,0)</f>
        <v>13667.486062753036</v>
      </c>
      <c r="AP44" s="513" t="str">
        <f t="shared" si="9"/>
        <v>Met</v>
      </c>
      <c r="AR44" s="512" t="str">
        <f t="shared" si="25"/>
        <v>Met</v>
      </c>
      <c r="AT44" s="444">
        <f>VLOOKUP(A44,'42. SEA or LEA Worksheet'!$A$4:$AE$324,31,0)</f>
        <v>4820396.22</v>
      </c>
      <c r="AU44" s="513" t="str">
        <f t="shared" si="26"/>
        <v>Met</v>
      </c>
      <c r="AW44" s="444">
        <f>VLOOKUP(A44,'42. SEA or LEA Worksheet'!$A$4:$AG$324,33,0)</f>
        <v>31865733.48</v>
      </c>
      <c r="AX44" s="513" t="str">
        <f t="shared" si="34"/>
        <v>Met</v>
      </c>
      <c r="AZ44" s="444">
        <f>VLOOKUP(A44,'42. SEA or LEA Worksheet'!$A$4:$AG$324,31,0)/VLOOKUP(A44,'42. SEA or LEA Worksheet'!$A$4:$AD$324,30,0)</f>
        <v>2372.2422342519685</v>
      </c>
      <c r="BA44" s="513" t="str">
        <f t="shared" si="27"/>
        <v>Met</v>
      </c>
      <c r="BC44" s="444">
        <f>VLOOKUP(A44,'42. SEA or LEA Worksheet'!$A$4:$AG$324,33,0)/VLOOKUP(A44,'42. SEA or LEA Worksheet'!$A$4:$AD$324,30,0)</f>
        <v>15681.955452755905</v>
      </c>
      <c r="BD44" s="513" t="str">
        <f t="shared" si="35"/>
        <v>Met</v>
      </c>
      <c r="BF44" s="512" t="str">
        <f t="shared" si="28"/>
        <v>Met</v>
      </c>
      <c r="BG44" s="637">
        <f>VLOOKUP(A44,'42. SEA or LEA Worksheet'!$A$4:$AM$324,36,0)</f>
        <v>8599020.0999999996</v>
      </c>
      <c r="BH44" s="638" t="str">
        <f t="shared" si="29"/>
        <v>Met</v>
      </c>
      <c r="BI44" s="639"/>
      <c r="BJ44" s="637">
        <f>VLOOKUP(A44,'42. SEA or LEA Worksheet'!$A$4:$AM$324,38,0)</f>
        <v>40006576.200000003</v>
      </c>
      <c r="BK44" s="638" t="str">
        <f t="shared" si="30"/>
        <v>Met</v>
      </c>
      <c r="BM44" s="631">
        <f>VLOOKUP(A44,'42. SEA or LEA Worksheet'!$A$4:$AL$324,36,0)/VLOOKUP(A44,'42. SEA or LEA Worksheet'!$A$4:$AL$324,35,0)</f>
        <v>3955.3910303587854</v>
      </c>
      <c r="BN44" s="632" t="str">
        <f t="shared" si="31"/>
        <v>Met</v>
      </c>
      <c r="BP44" s="631">
        <f>VLOOKUP(A44,'42. SEA or LEA Worksheet'!$A$4:$AL$324,38,0)/VLOOKUP(A44,'42. SEA or LEA Worksheet'!$A$4:$AL$324,35,0)</f>
        <v>18402.288960441583</v>
      </c>
      <c r="BQ44" s="632" t="str">
        <f t="shared" si="32"/>
        <v>Met</v>
      </c>
      <c r="BS44" s="620" t="str">
        <f t="shared" si="33"/>
        <v>Met</v>
      </c>
    </row>
    <row r="45" spans="1:71" x14ac:dyDescent="0.25">
      <c r="A45" s="343" t="s">
        <v>276</v>
      </c>
      <c r="B45" s="510" t="s">
        <v>875</v>
      </c>
      <c r="C45" s="511"/>
      <c r="D45" s="444">
        <v>0</v>
      </c>
      <c r="E45" s="343" t="s">
        <v>835</v>
      </c>
      <c r="F45" s="511"/>
      <c r="G45" s="444">
        <v>650660.06999999995</v>
      </c>
      <c r="H45" s="343" t="s">
        <v>835</v>
      </c>
      <c r="I45" s="511"/>
      <c r="J45" s="444">
        <v>0</v>
      </c>
      <c r="K45" s="343" t="s">
        <v>835</v>
      </c>
      <c r="L45" s="511"/>
      <c r="M45" s="444">
        <v>8450.130779220779</v>
      </c>
      <c r="N45" s="343" t="s">
        <v>835</v>
      </c>
      <c r="O45" s="511"/>
      <c r="P45" s="512" t="str">
        <f t="shared" si="23"/>
        <v>Met</v>
      </c>
      <c r="Q45" s="511"/>
      <c r="R45" s="444">
        <f>VLOOKUP(A45,'2020-21'!$A$6:$F$319,6,0)</f>
        <v>0</v>
      </c>
      <c r="S45" s="513" t="str">
        <f t="shared" si="1"/>
        <v>Met</v>
      </c>
      <c r="U45" s="444">
        <f>VLOOKUP(A45,'2020-21'!$A$6:$G$319,7,0)</f>
        <v>732498.81</v>
      </c>
      <c r="V45" s="513" t="str">
        <f t="shared" si="2"/>
        <v>Met</v>
      </c>
      <c r="X45" s="444">
        <f>VLOOKUP(A45,'2020-21'!$A$6:$F$319,6,0)/VLOOKUP(A45,'42. SEA or LEA Worksheet'!$A$4:$T$324,20,0)</f>
        <v>0</v>
      </c>
      <c r="Y45" s="513" t="str">
        <f t="shared" si="3"/>
        <v>Met</v>
      </c>
      <c r="AA45" s="444">
        <f>VLOOKUP(A45,'42. SEA or LEA Worksheet'!$A$4:$W$324,23,0)/VLOOKUP(compliance!A45,'42. SEA or LEA Worksheet'!$A$4:$T$324,20,0)</f>
        <v>9638.1422368421063</v>
      </c>
      <c r="AB45" s="513" t="str">
        <f t="shared" si="4"/>
        <v>Met</v>
      </c>
      <c r="AD45" s="512" t="str">
        <f t="shared" si="24"/>
        <v>Met</v>
      </c>
      <c r="AF45" s="444">
        <f>VLOOKUP(A45,'42. SEA or LEA Worksheet'!$A$4:$Z$324,26,0)</f>
        <v>0</v>
      </c>
      <c r="AG45" s="513" t="str">
        <f t="shared" si="6"/>
        <v>Met</v>
      </c>
      <c r="AI45" s="444">
        <f>VLOOKUP(A45,'42. SEA or LEA Worksheet'!$A$4:$AB$324,28,0)</f>
        <v>753649</v>
      </c>
      <c r="AJ45" s="513" t="str">
        <f t="shared" si="7"/>
        <v>Met</v>
      </c>
      <c r="AL45" s="444">
        <f>VLOOKUP(compliance!A45,'42. SEA or LEA Worksheet'!$A$4:$AB$324,26,0)/VLOOKUP(compliance!A45,'42. SEA or LEA Worksheet'!$A$4:$Y$324,25,0)</f>
        <v>0</v>
      </c>
      <c r="AM45" s="513" t="str">
        <f t="shared" si="8"/>
        <v>Met</v>
      </c>
      <c r="AO45" s="444">
        <f>VLOOKUP(A45,'42. SEA or LEA Worksheet'!$A$4:$AB$324,28,0)/VLOOKUP(compliance!A45,'42. SEA or LEA Worksheet'!$A$4:$Y$324,25,0)</f>
        <v>9080.1084337349403</v>
      </c>
      <c r="AP45" s="513" t="str">
        <f t="shared" si="9"/>
        <v>Did not Meet</v>
      </c>
      <c r="AR45" s="512" t="str">
        <f t="shared" si="25"/>
        <v>Met</v>
      </c>
      <c r="AT45" s="444">
        <f>VLOOKUP(A45,'42. SEA or LEA Worksheet'!$A$4:$AE$324,31,0)</f>
        <v>0</v>
      </c>
      <c r="AU45" s="513" t="str">
        <f t="shared" si="26"/>
        <v>Met</v>
      </c>
      <c r="AW45" s="444">
        <f>VLOOKUP(A45,'42. SEA or LEA Worksheet'!$A$4:$AG$324,33,0)</f>
        <v>798009.8</v>
      </c>
      <c r="AX45" s="513" t="str">
        <f t="shared" si="34"/>
        <v>Met</v>
      </c>
      <c r="AZ45" s="444">
        <f>VLOOKUP(A45,'42. SEA or LEA Worksheet'!$A$4:$AG$324,31,0)/VLOOKUP(A45,'42. SEA or LEA Worksheet'!$A$4:$AD$324,30,0)</f>
        <v>0</v>
      </c>
      <c r="BA45" s="513" t="str">
        <f t="shared" si="27"/>
        <v>Met</v>
      </c>
      <c r="BC45" s="444">
        <f>VLOOKUP(A45,'42. SEA or LEA Worksheet'!$A$4:$AG$324,33,0)/VLOOKUP(A45,'42. SEA or LEA Worksheet'!$A$4:$AD$324,30,0)</f>
        <v>10230.894871794872</v>
      </c>
      <c r="BD45" s="513" t="str">
        <f t="shared" si="35"/>
        <v>Met</v>
      </c>
      <c r="BF45" s="512" t="str">
        <f t="shared" si="28"/>
        <v>Met</v>
      </c>
      <c r="BG45" s="637">
        <f>VLOOKUP(A45,'42. SEA or LEA Worksheet'!$A$4:$AM$324,36,0)</f>
        <v>0</v>
      </c>
      <c r="BH45" s="638" t="str">
        <f t="shared" si="29"/>
        <v>Met</v>
      </c>
      <c r="BI45" s="639"/>
      <c r="BJ45" s="637">
        <f>VLOOKUP(A45,'42. SEA or LEA Worksheet'!$A$4:$AM$324,38,0)</f>
        <v>845191.02</v>
      </c>
      <c r="BK45" s="638" t="str">
        <f t="shared" si="30"/>
        <v>Met</v>
      </c>
      <c r="BM45" s="631">
        <f>VLOOKUP(A45,'42. SEA or LEA Worksheet'!$A$4:$AL$324,36,0)/VLOOKUP(A45,'42. SEA or LEA Worksheet'!$A$4:$AL$324,35,0)</f>
        <v>0</v>
      </c>
      <c r="BN45" s="632" t="str">
        <f t="shared" si="31"/>
        <v>Met</v>
      </c>
      <c r="BP45" s="631">
        <f>VLOOKUP(A45,'42. SEA or LEA Worksheet'!$A$4:$AL$324,38,0)/VLOOKUP(A45,'42. SEA or LEA Worksheet'!$A$4:$AL$324,35,0)</f>
        <v>12429.279705882353</v>
      </c>
      <c r="BQ45" s="632" t="str">
        <f t="shared" si="32"/>
        <v>Met</v>
      </c>
      <c r="BS45" s="620" t="str">
        <f t="shared" si="33"/>
        <v>Met</v>
      </c>
    </row>
    <row r="46" spans="1:71" x14ac:dyDescent="0.25">
      <c r="A46" s="343" t="s">
        <v>278</v>
      </c>
      <c r="B46" s="510" t="s">
        <v>876</v>
      </c>
      <c r="C46" s="511"/>
      <c r="D46" s="444">
        <v>189203.29</v>
      </c>
      <c r="E46" s="343" t="s">
        <v>856</v>
      </c>
      <c r="F46" s="511"/>
      <c r="G46" s="444">
        <v>2465268.54</v>
      </c>
      <c r="H46" s="343" t="s">
        <v>835</v>
      </c>
      <c r="I46" s="511"/>
      <c r="J46" s="444">
        <v>922.94287804878047</v>
      </c>
      <c r="K46" s="343" t="s">
        <v>856</v>
      </c>
      <c r="L46" s="511"/>
      <c r="M46" s="444">
        <v>12025.700195121952</v>
      </c>
      <c r="N46" s="343" t="s">
        <v>835</v>
      </c>
      <c r="O46" s="511"/>
      <c r="P46" s="512" t="str">
        <f t="shared" si="23"/>
        <v>Met</v>
      </c>
      <c r="Q46" s="511"/>
      <c r="R46" s="444">
        <f>VLOOKUP(A46,'2020-21'!$A$6:$F$319,6,0)</f>
        <v>198524.52</v>
      </c>
      <c r="S46" s="513" t="str">
        <f t="shared" si="1"/>
        <v>Met</v>
      </c>
      <c r="U46" s="444">
        <f>VLOOKUP(A46,'2020-21'!$A$6:$G$319,7,0)</f>
        <v>2737541.82</v>
      </c>
      <c r="V46" s="513" t="str">
        <f t="shared" si="2"/>
        <v>Met</v>
      </c>
      <c r="X46" s="444">
        <f>VLOOKUP(A46,'2020-21'!$A$6:$F$319,6,0)/VLOOKUP(A46,'42. SEA or LEA Worksheet'!$A$4:$T$324,20,0)</f>
        <v>894.25459459459455</v>
      </c>
      <c r="Y46" s="513" t="str">
        <f t="shared" si="3"/>
        <v>Did not Meet</v>
      </c>
      <c r="AA46" s="444">
        <f>VLOOKUP(A46,'42. SEA or LEA Worksheet'!$A$4:$W$324,23,0)/VLOOKUP(compliance!A46,'42. SEA or LEA Worksheet'!$A$4:$T$324,20,0)</f>
        <v>12331.26945945946</v>
      </c>
      <c r="AB46" s="513" t="str">
        <f t="shared" si="4"/>
        <v>Met</v>
      </c>
      <c r="AD46" s="512" t="str">
        <f t="shared" si="24"/>
        <v>Met</v>
      </c>
      <c r="AF46" s="444">
        <f>VLOOKUP(A46,'42. SEA or LEA Worksheet'!$A$4:$Z$324,26,0)</f>
        <v>0</v>
      </c>
      <c r="AG46" s="513" t="str">
        <f t="shared" si="6"/>
        <v>Did not Meet</v>
      </c>
      <c r="AI46" s="444">
        <f>VLOOKUP(A46,'42. SEA or LEA Worksheet'!$A$4:$AB$324,28,0)</f>
        <v>2579618.75</v>
      </c>
      <c r="AJ46" s="513" t="str">
        <f t="shared" si="7"/>
        <v>Did not Meet</v>
      </c>
      <c r="AL46" s="444">
        <f>VLOOKUP(compliance!A46,'42. SEA or LEA Worksheet'!$A$4:$AB$324,26,0)/VLOOKUP(compliance!A46,'42. SEA or LEA Worksheet'!$A$4:$Y$324,25,0)</f>
        <v>0</v>
      </c>
      <c r="AM46" s="513" t="str">
        <f t="shared" si="8"/>
        <v>Did not Meet</v>
      </c>
      <c r="AO46" s="444">
        <f>VLOOKUP(A46,'42. SEA or LEA Worksheet'!$A$4:$AB$324,28,0)/VLOOKUP(compliance!A46,'42. SEA or LEA Worksheet'!$A$4:$Y$324,25,0)</f>
        <v>10930.587923728814</v>
      </c>
      <c r="AP46" s="513" t="str">
        <f t="shared" si="9"/>
        <v>Did not Meet</v>
      </c>
      <c r="AR46" s="512" t="str">
        <f t="shared" si="25"/>
        <v>Did not Meet</v>
      </c>
      <c r="AT46" s="444">
        <f>VLOOKUP(A46,'42. SEA or LEA Worksheet'!$A$4:$AE$324,31,0)</f>
        <v>25217.14</v>
      </c>
      <c r="AU46" s="513" t="str">
        <f t="shared" si="26"/>
        <v>Met</v>
      </c>
      <c r="AW46" s="444">
        <f>VLOOKUP(A46,'42. SEA or LEA Worksheet'!$A$4:$AG$324,33,0)</f>
        <v>2786437.92</v>
      </c>
      <c r="AX46" s="513" t="str">
        <f t="shared" si="34"/>
        <v>Met</v>
      </c>
      <c r="AZ46" s="444">
        <f>VLOOKUP(A46,'42. SEA or LEA Worksheet'!$A$4:$AG$324,31,0)/VLOOKUP(A46,'42. SEA or LEA Worksheet'!$A$4:$AD$324,30,0)</f>
        <v>117.83710280373832</v>
      </c>
      <c r="BA46" s="513" t="str">
        <f t="shared" si="27"/>
        <v>Met</v>
      </c>
      <c r="BC46" s="444">
        <f>VLOOKUP(A46,'42. SEA or LEA Worksheet'!$A$4:$AG$324,33,0)/VLOOKUP(A46,'42. SEA or LEA Worksheet'!$A$4:$AD$324,30,0)</f>
        <v>13020.737943925233</v>
      </c>
      <c r="BD46" s="513" t="str">
        <f t="shared" si="35"/>
        <v>Met</v>
      </c>
      <c r="BF46" s="512" t="str">
        <f t="shared" si="28"/>
        <v>Met</v>
      </c>
      <c r="BG46" s="637">
        <f>VLOOKUP(A46,'42. SEA or LEA Worksheet'!$A$4:$AM$324,36,0)</f>
        <v>0</v>
      </c>
      <c r="BH46" s="638" t="str">
        <f t="shared" si="29"/>
        <v>Did not Meet</v>
      </c>
      <c r="BI46" s="639"/>
      <c r="BJ46" s="637">
        <f>VLOOKUP(A46,'42. SEA or LEA Worksheet'!$A$4:$AM$324,38,0)</f>
        <v>3073522.34</v>
      </c>
      <c r="BK46" s="638" t="str">
        <f t="shared" si="30"/>
        <v>Met</v>
      </c>
      <c r="BM46" s="631">
        <f>VLOOKUP(A46,'42. SEA or LEA Worksheet'!$A$4:$AL$324,36,0)/VLOOKUP(A46,'42. SEA or LEA Worksheet'!$A$4:$AL$324,35,0)</f>
        <v>0</v>
      </c>
      <c r="BN46" s="632" t="str">
        <f t="shared" si="31"/>
        <v>Met</v>
      </c>
      <c r="BP46" s="631">
        <f>VLOOKUP(A46,'42. SEA or LEA Worksheet'!$A$4:$AL$324,38,0)/VLOOKUP(A46,'42. SEA or LEA Worksheet'!$A$4:$AL$324,35,0)</f>
        <v>12343.463212851406</v>
      </c>
      <c r="BQ46" s="632" t="str">
        <f t="shared" si="32"/>
        <v>Met</v>
      </c>
      <c r="BS46" s="620" t="str">
        <f t="shared" si="33"/>
        <v>Met</v>
      </c>
    </row>
    <row r="47" spans="1:71" x14ac:dyDescent="0.25">
      <c r="A47" s="343" t="s">
        <v>280</v>
      </c>
      <c r="B47" s="510" t="s">
        <v>877</v>
      </c>
      <c r="C47" s="511"/>
      <c r="D47" s="444">
        <v>0</v>
      </c>
      <c r="E47" s="343" t="s">
        <v>835</v>
      </c>
      <c r="F47" s="511"/>
      <c r="G47" s="444">
        <v>220094.43</v>
      </c>
      <c r="H47" s="343" t="s">
        <v>835</v>
      </c>
      <c r="I47" s="511"/>
      <c r="J47" s="444">
        <v>0</v>
      </c>
      <c r="K47" s="343" t="s">
        <v>835</v>
      </c>
      <c r="L47" s="511"/>
      <c r="M47" s="444">
        <v>7589.4631034482754</v>
      </c>
      <c r="N47" s="343" t="s">
        <v>856</v>
      </c>
      <c r="O47" s="511"/>
      <c r="P47" s="512" t="str">
        <f t="shared" si="23"/>
        <v>Met</v>
      </c>
      <c r="Q47" s="511"/>
      <c r="R47" s="444">
        <f>VLOOKUP(A47,'2020-21'!$A$6:$F$319,6,0)</f>
        <v>0</v>
      </c>
      <c r="S47" s="513" t="str">
        <f t="shared" si="1"/>
        <v>Met</v>
      </c>
      <c r="U47" s="444">
        <f>VLOOKUP(A47,'2020-21'!$A$6:$G$319,7,0)</f>
        <v>212814.33</v>
      </c>
      <c r="V47" s="513" t="str">
        <f t="shared" si="2"/>
        <v>Did not Meet</v>
      </c>
      <c r="X47" s="444">
        <f>VLOOKUP(A47,'2020-21'!$A$6:$F$319,6,0)/VLOOKUP(A47,'42. SEA or LEA Worksheet'!$A$4:$T$324,20,0)</f>
        <v>0</v>
      </c>
      <c r="Y47" s="513" t="str">
        <f t="shared" si="3"/>
        <v>Met</v>
      </c>
      <c r="AA47" s="444">
        <f>VLOOKUP(A47,'42. SEA or LEA Worksheet'!$A$4:$W$324,23,0)/VLOOKUP(compliance!A47,'42. SEA or LEA Worksheet'!$A$4:$T$324,20,0)</f>
        <v>8185.166538461538</v>
      </c>
      <c r="AB47" s="513" t="str">
        <f t="shared" si="4"/>
        <v>Met</v>
      </c>
      <c r="AD47" s="512" t="str">
        <f t="shared" si="24"/>
        <v>Met</v>
      </c>
      <c r="AF47" s="444">
        <f>VLOOKUP(A47,'42. SEA or LEA Worksheet'!$A$4:$Z$324,26,0)</f>
        <v>0</v>
      </c>
      <c r="AG47" s="513" t="str">
        <f t="shared" si="6"/>
        <v>Met</v>
      </c>
      <c r="AI47" s="444">
        <f>VLOOKUP(A47,'42. SEA or LEA Worksheet'!$A$4:$AB$324,28,0)</f>
        <v>229095.73</v>
      </c>
      <c r="AJ47" s="513" t="str">
        <f t="shared" si="7"/>
        <v>Met</v>
      </c>
      <c r="AL47" s="444">
        <f>VLOOKUP(compliance!A47,'42. SEA or LEA Worksheet'!$A$4:$AB$324,26,0)/VLOOKUP(compliance!A47,'42. SEA or LEA Worksheet'!$A$4:$Y$324,25,0)</f>
        <v>0</v>
      </c>
      <c r="AM47" s="513" t="str">
        <f t="shared" si="8"/>
        <v>Met</v>
      </c>
      <c r="AO47" s="444">
        <f>VLOOKUP(A47,'42. SEA or LEA Worksheet'!$A$4:$AB$324,28,0)/VLOOKUP(compliance!A47,'42. SEA or LEA Worksheet'!$A$4:$Y$324,25,0)</f>
        <v>7899.8527586206901</v>
      </c>
      <c r="AP47" s="513" t="str">
        <f t="shared" si="9"/>
        <v>Did not Meet</v>
      </c>
      <c r="AR47" s="512" t="str">
        <f t="shared" si="25"/>
        <v>Met</v>
      </c>
      <c r="AT47" s="444">
        <f>VLOOKUP(A47,'42. SEA or LEA Worksheet'!$A$4:$AE$324,31,0)</f>
        <v>0</v>
      </c>
      <c r="AU47" s="513" t="str">
        <f t="shared" si="26"/>
        <v>Met</v>
      </c>
      <c r="AW47" s="444">
        <f>VLOOKUP(A47,'42. SEA or LEA Worksheet'!$A$4:$AG$324,33,0)</f>
        <v>229096.53</v>
      </c>
      <c r="AX47" s="513" t="str">
        <f t="shared" si="34"/>
        <v>Met</v>
      </c>
      <c r="AZ47" s="444">
        <f>VLOOKUP(A47,'42. SEA or LEA Worksheet'!$A$4:$AG$324,31,0)/VLOOKUP(A47,'42. SEA or LEA Worksheet'!$A$4:$AD$324,30,0)</f>
        <v>0</v>
      </c>
      <c r="BA47" s="513" t="str">
        <f t="shared" si="27"/>
        <v>Met</v>
      </c>
      <c r="BC47" s="444">
        <f>VLOOKUP(A47,'42. SEA or LEA Worksheet'!$A$4:$AG$324,33,0)/VLOOKUP(A47,'42. SEA or LEA Worksheet'!$A$4:$AD$324,30,0)</f>
        <v>8182.0189285714287</v>
      </c>
      <c r="BD47" s="513" t="str">
        <f t="shared" si="35"/>
        <v>Met</v>
      </c>
      <c r="BF47" s="512" t="str">
        <f t="shared" si="28"/>
        <v>Met</v>
      </c>
      <c r="BG47" s="637">
        <f>VLOOKUP(A47,'42. SEA or LEA Worksheet'!$A$4:$AM$324,36,0)</f>
        <v>0</v>
      </c>
      <c r="BH47" s="638" t="str">
        <f t="shared" si="29"/>
        <v>Met</v>
      </c>
      <c r="BI47" s="639"/>
      <c r="BJ47" s="637">
        <f>VLOOKUP(A47,'42. SEA or LEA Worksheet'!$A$4:$AM$324,38,0)</f>
        <v>256686.36</v>
      </c>
      <c r="BK47" s="638" t="str">
        <f t="shared" si="30"/>
        <v>Met</v>
      </c>
      <c r="BM47" s="631">
        <f>VLOOKUP(A47,'42. SEA or LEA Worksheet'!$A$4:$AL$324,36,0)/VLOOKUP(A47,'42. SEA or LEA Worksheet'!$A$4:$AL$324,35,0)</f>
        <v>0</v>
      </c>
      <c r="BN47" s="632" t="str">
        <f t="shared" si="31"/>
        <v>Met</v>
      </c>
      <c r="BP47" s="631">
        <f>VLOOKUP(A47,'42. SEA or LEA Worksheet'!$A$4:$AL$324,38,0)/VLOOKUP(A47,'42. SEA or LEA Worksheet'!$A$4:$AL$324,35,0)</f>
        <v>9167.369999999999</v>
      </c>
      <c r="BQ47" s="632" t="str">
        <f t="shared" si="32"/>
        <v>Met</v>
      </c>
      <c r="BS47" s="620" t="str">
        <f t="shared" si="33"/>
        <v>Met</v>
      </c>
    </row>
    <row r="48" spans="1:71" x14ac:dyDescent="0.25">
      <c r="A48" s="343" t="s">
        <v>282</v>
      </c>
      <c r="B48" s="510" t="s">
        <v>878</v>
      </c>
      <c r="C48" s="511"/>
      <c r="D48" s="444">
        <v>9119.42</v>
      </c>
      <c r="E48" s="343" t="s">
        <v>835</v>
      </c>
      <c r="F48" s="511"/>
      <c r="G48" s="444">
        <v>207989.57</v>
      </c>
      <c r="H48" s="343" t="s">
        <v>835</v>
      </c>
      <c r="I48" s="511"/>
      <c r="J48" s="444">
        <v>434.25809523809522</v>
      </c>
      <c r="K48" s="343" t="s">
        <v>835</v>
      </c>
      <c r="L48" s="511"/>
      <c r="M48" s="444">
        <v>9904.2652380952386</v>
      </c>
      <c r="N48" s="343" t="s">
        <v>856</v>
      </c>
      <c r="O48" s="511"/>
      <c r="P48" s="512" t="str">
        <f t="shared" si="23"/>
        <v>Met</v>
      </c>
      <c r="Q48" s="511"/>
      <c r="R48" s="444">
        <f>VLOOKUP(A48,'2020-21'!$A$6:$F$319,6,0)</f>
        <v>9200</v>
      </c>
      <c r="S48" s="513" t="str">
        <f t="shared" si="1"/>
        <v>Met</v>
      </c>
      <c r="U48" s="444">
        <f>VLOOKUP(A48,'2020-21'!$A$6:$G$319,7,0)</f>
        <v>149808.66</v>
      </c>
      <c r="V48" s="513" t="str">
        <f t="shared" si="2"/>
        <v>Did not Meet</v>
      </c>
      <c r="X48" s="444">
        <f>VLOOKUP(A48,'2020-21'!$A$6:$F$319,6,0)/VLOOKUP(A48,'42. SEA or LEA Worksheet'!$A$4:$T$324,20,0)</f>
        <v>575</v>
      </c>
      <c r="Y48" s="513" t="str">
        <f t="shared" si="3"/>
        <v>Met</v>
      </c>
      <c r="AA48" s="444">
        <f>VLOOKUP(A48,'42. SEA or LEA Worksheet'!$A$4:$W$324,23,0)/VLOOKUP(compliance!A48,'42. SEA or LEA Worksheet'!$A$4:$T$324,20,0)</f>
        <v>9363.0412500000002</v>
      </c>
      <c r="AB48" s="513" t="str">
        <f t="shared" si="4"/>
        <v>Did not Meet</v>
      </c>
      <c r="AD48" s="512" t="str">
        <f t="shared" si="24"/>
        <v>Met</v>
      </c>
      <c r="AF48" s="444">
        <f>VLOOKUP(A48,'42. SEA or LEA Worksheet'!$A$4:$Z$324,26,0)</f>
        <v>9250</v>
      </c>
      <c r="AG48" s="513" t="str">
        <f t="shared" si="6"/>
        <v>Met</v>
      </c>
      <c r="AI48" s="444">
        <f>VLOOKUP(A48,'42. SEA or LEA Worksheet'!$A$4:$AB$324,28,0)</f>
        <v>158925.20000000001</v>
      </c>
      <c r="AJ48" s="513" t="str">
        <f t="shared" si="7"/>
        <v>Met</v>
      </c>
      <c r="AL48" s="444">
        <f>VLOOKUP(compliance!A48,'42. SEA or LEA Worksheet'!$A$4:$AB$324,26,0)/VLOOKUP(compliance!A48,'42. SEA or LEA Worksheet'!$A$4:$Y$324,25,0)</f>
        <v>578.125</v>
      </c>
      <c r="AM48" s="513" t="str">
        <f t="shared" si="8"/>
        <v>Met</v>
      </c>
      <c r="AO48" s="444">
        <f>VLOOKUP(A48,'42. SEA or LEA Worksheet'!$A$4:$AB$324,28,0)/VLOOKUP(compliance!A48,'42. SEA or LEA Worksheet'!$A$4:$Y$324,25,0)</f>
        <v>9932.8250000000007</v>
      </c>
      <c r="AP48" s="513" t="str">
        <f t="shared" si="9"/>
        <v>Met</v>
      </c>
      <c r="AR48" s="512" t="str">
        <f t="shared" si="25"/>
        <v>Met</v>
      </c>
      <c r="AT48" s="444">
        <f>VLOOKUP(A48,'42. SEA or LEA Worksheet'!$A$4:$AE$324,31,0)</f>
        <v>0</v>
      </c>
      <c r="AU48" s="513" t="str">
        <f t="shared" si="26"/>
        <v>Did not Meet</v>
      </c>
      <c r="AW48" s="444">
        <f>VLOOKUP(A48,'42. SEA or LEA Worksheet'!$A$4:$AG$324,33,0)</f>
        <v>220815.05</v>
      </c>
      <c r="AX48" s="513" t="str">
        <f t="shared" si="34"/>
        <v>Met</v>
      </c>
      <c r="AZ48" s="444">
        <f>VLOOKUP(A48,'42. SEA or LEA Worksheet'!$A$4:$AG$324,31,0)/VLOOKUP(A48,'42. SEA or LEA Worksheet'!$A$4:$AD$324,30,0)</f>
        <v>0</v>
      </c>
      <c r="BA48" s="513" t="str">
        <f t="shared" si="27"/>
        <v>Did not Meet</v>
      </c>
      <c r="BC48" s="444">
        <f>VLOOKUP(A48,'42. SEA or LEA Worksheet'!$A$4:$AG$324,33,0)/VLOOKUP(A48,'42. SEA or LEA Worksheet'!$A$4:$AD$324,30,0)</f>
        <v>9600.6543478260865</v>
      </c>
      <c r="BD48" s="513" t="str">
        <f t="shared" si="35"/>
        <v>Did not Meet</v>
      </c>
      <c r="BF48" s="512" t="str">
        <f t="shared" si="28"/>
        <v>Met</v>
      </c>
      <c r="BG48" s="637">
        <f>VLOOKUP(A48,'42. SEA or LEA Worksheet'!$A$4:$AM$324,36,0)</f>
        <v>0</v>
      </c>
      <c r="BH48" s="638" t="str">
        <f t="shared" si="29"/>
        <v>Met</v>
      </c>
      <c r="BI48" s="639"/>
      <c r="BJ48" s="637">
        <f>VLOOKUP(A48,'42. SEA or LEA Worksheet'!$A$4:$AM$324,38,0)</f>
        <v>205047.94</v>
      </c>
      <c r="BK48" s="638" t="str">
        <f t="shared" si="30"/>
        <v>Did not Meet</v>
      </c>
      <c r="BM48" s="631">
        <f>VLOOKUP(A48,'42. SEA or LEA Worksheet'!$A$4:$AL$324,36,0)/VLOOKUP(A48,'42. SEA or LEA Worksheet'!$A$4:$AL$324,35,0)</f>
        <v>0</v>
      </c>
      <c r="BN48" s="632" t="str">
        <f t="shared" si="31"/>
        <v>Met</v>
      </c>
      <c r="BP48" s="631">
        <f>VLOOKUP(A48,'42. SEA or LEA Worksheet'!$A$4:$AL$324,38,0)/VLOOKUP(A48,'42. SEA or LEA Worksheet'!$A$4:$AL$324,35,0)</f>
        <v>9320.3609090909085</v>
      </c>
      <c r="BQ48" s="632" t="str">
        <f t="shared" si="32"/>
        <v>Met</v>
      </c>
      <c r="BS48" s="620" t="str">
        <f t="shared" si="33"/>
        <v>Met</v>
      </c>
    </row>
    <row r="49" spans="1:71" x14ac:dyDescent="0.25">
      <c r="A49" s="343" t="s">
        <v>284</v>
      </c>
      <c r="B49" s="510" t="s">
        <v>879</v>
      </c>
      <c r="C49" s="511"/>
      <c r="D49" s="444">
        <v>0</v>
      </c>
      <c r="E49" s="343" t="s">
        <v>856</v>
      </c>
      <c r="F49" s="511"/>
      <c r="G49" s="444">
        <v>1017666.68</v>
      </c>
      <c r="H49" s="343" t="s">
        <v>835</v>
      </c>
      <c r="I49" s="511"/>
      <c r="J49" s="444">
        <v>0</v>
      </c>
      <c r="K49" s="343" t="s">
        <v>856</v>
      </c>
      <c r="L49" s="511"/>
      <c r="M49" s="444">
        <v>7950.5209375000004</v>
      </c>
      <c r="N49" s="343" t="s">
        <v>856</v>
      </c>
      <c r="O49" s="511"/>
      <c r="P49" s="512" t="str">
        <f t="shared" si="23"/>
        <v>Met</v>
      </c>
      <c r="Q49" s="511"/>
      <c r="R49" s="444">
        <f>VLOOKUP(A49,'2020-21'!$A$6:$F$319,6,0)</f>
        <v>24383.93</v>
      </c>
      <c r="S49" s="513" t="str">
        <f t="shared" si="1"/>
        <v>Met</v>
      </c>
      <c r="U49" s="444">
        <f>VLOOKUP(A49,'2020-21'!$A$6:$G$319,7,0)</f>
        <v>1159714.8499999999</v>
      </c>
      <c r="V49" s="513" t="str">
        <f t="shared" si="2"/>
        <v>Met</v>
      </c>
      <c r="X49" s="444">
        <f>VLOOKUP(A49,'2020-21'!$A$6:$F$319,6,0)/VLOOKUP(A49,'42. SEA or LEA Worksheet'!$A$4:$T$324,20,0)</f>
        <v>208.40965811965813</v>
      </c>
      <c r="Y49" s="513" t="str">
        <f t="shared" si="3"/>
        <v>Met</v>
      </c>
      <c r="AA49" s="444">
        <f>VLOOKUP(A49,'42. SEA or LEA Worksheet'!$A$4:$W$324,23,0)/VLOOKUP(compliance!A49,'42. SEA or LEA Worksheet'!$A$4:$T$324,20,0)</f>
        <v>9912.0927350427337</v>
      </c>
      <c r="AB49" s="513" t="str">
        <f t="shared" si="4"/>
        <v>Met</v>
      </c>
      <c r="AD49" s="512" t="str">
        <f t="shared" si="24"/>
        <v>Met</v>
      </c>
      <c r="AF49" s="444">
        <f>VLOOKUP(A49,'42. SEA or LEA Worksheet'!$A$4:$Z$324,26,0)</f>
        <v>0</v>
      </c>
      <c r="AG49" s="513" t="str">
        <f t="shared" si="6"/>
        <v>Did not Meet</v>
      </c>
      <c r="AI49" s="444">
        <f>VLOOKUP(A49,'42. SEA or LEA Worksheet'!$A$4:$AB$324,28,0)</f>
        <v>1150001.8999999999</v>
      </c>
      <c r="AJ49" s="513" t="str">
        <f t="shared" si="7"/>
        <v>Did not Meet</v>
      </c>
      <c r="AL49" s="444">
        <f>VLOOKUP(compliance!A49,'42. SEA or LEA Worksheet'!$A$4:$AB$324,26,0)/VLOOKUP(compliance!A49,'42. SEA or LEA Worksheet'!$A$4:$Y$324,25,0)</f>
        <v>0</v>
      </c>
      <c r="AM49" s="513" t="str">
        <f t="shared" si="8"/>
        <v>Did not Meet</v>
      </c>
      <c r="AO49" s="444">
        <f>VLOOKUP(A49,'42. SEA or LEA Worksheet'!$A$4:$AB$324,28,0)/VLOOKUP(compliance!A49,'42. SEA or LEA Worksheet'!$A$4:$Y$324,25,0)</f>
        <v>11165.066990291261</v>
      </c>
      <c r="AP49" s="513" t="str">
        <f t="shared" si="9"/>
        <v>Met</v>
      </c>
      <c r="AR49" s="512" t="str">
        <f t="shared" si="25"/>
        <v>Met</v>
      </c>
      <c r="AT49" s="444">
        <f>VLOOKUP(A49,'42. SEA or LEA Worksheet'!$A$4:$AE$324,31,0)</f>
        <v>3844.39</v>
      </c>
      <c r="AU49" s="513" t="str">
        <f t="shared" si="26"/>
        <v>Met</v>
      </c>
      <c r="AW49" s="444">
        <f>VLOOKUP(A49,'42. SEA or LEA Worksheet'!$A$4:$AG$324,33,0)</f>
        <v>1421847.8199999998</v>
      </c>
      <c r="AX49" s="513" t="str">
        <f t="shared" si="34"/>
        <v>Met</v>
      </c>
      <c r="AZ49" s="444">
        <f>VLOOKUP(A49,'42. SEA or LEA Worksheet'!$A$4:$AG$324,31,0)/VLOOKUP(A49,'42. SEA or LEA Worksheet'!$A$4:$AD$324,30,0)</f>
        <v>34.948999999999998</v>
      </c>
      <c r="BA49" s="513" t="str">
        <f t="shared" si="27"/>
        <v>Met</v>
      </c>
      <c r="BC49" s="444">
        <f>VLOOKUP(A49,'42. SEA or LEA Worksheet'!$A$4:$AG$324,33,0)/VLOOKUP(A49,'42. SEA or LEA Worksheet'!$A$4:$AD$324,30,0)</f>
        <v>12925.889272727271</v>
      </c>
      <c r="BD49" s="513" t="str">
        <f t="shared" si="35"/>
        <v>Met</v>
      </c>
      <c r="BF49" s="512" t="str">
        <f t="shared" si="28"/>
        <v>Met</v>
      </c>
      <c r="BG49" s="637">
        <f>VLOOKUP(A49,'42. SEA or LEA Worksheet'!$A$4:$AM$324,36,0)</f>
        <v>0</v>
      </c>
      <c r="BH49" s="638" t="str">
        <f t="shared" si="29"/>
        <v>Did not Meet</v>
      </c>
      <c r="BI49" s="639"/>
      <c r="BJ49" s="637">
        <f>VLOOKUP(A49,'42. SEA or LEA Worksheet'!$A$4:$AM$324,38,0)</f>
        <v>1422131.33</v>
      </c>
      <c r="BK49" s="638" t="str">
        <f t="shared" si="30"/>
        <v>Met</v>
      </c>
      <c r="BM49" s="631">
        <f>VLOOKUP(A49,'42. SEA or LEA Worksheet'!$A$4:$AL$324,36,0)/VLOOKUP(A49,'42. SEA or LEA Worksheet'!$A$4:$AL$324,35,0)</f>
        <v>0</v>
      </c>
      <c r="BN49" s="632" t="str">
        <f t="shared" si="31"/>
        <v>Met</v>
      </c>
      <c r="BP49" s="631">
        <f>VLOOKUP(A49,'42. SEA or LEA Worksheet'!$A$4:$AL$324,38,0)/VLOOKUP(A49,'42. SEA or LEA Worksheet'!$A$4:$AL$324,35,0)</f>
        <v>12051.960423728815</v>
      </c>
      <c r="BQ49" s="632" t="str">
        <f t="shared" si="32"/>
        <v>Met</v>
      </c>
      <c r="BS49" s="620" t="str">
        <f t="shared" si="33"/>
        <v>Met</v>
      </c>
    </row>
    <row r="50" spans="1:71" x14ac:dyDescent="0.25">
      <c r="A50" s="343" t="s">
        <v>286</v>
      </c>
      <c r="B50" s="510" t="s">
        <v>1137</v>
      </c>
      <c r="C50" s="511"/>
      <c r="D50" s="444">
        <v>0</v>
      </c>
      <c r="E50" s="343" t="s">
        <v>856</v>
      </c>
      <c r="F50" s="511"/>
      <c r="G50" s="444">
        <v>2758468.5</v>
      </c>
      <c r="H50" s="343" t="s">
        <v>835</v>
      </c>
      <c r="I50" s="511"/>
      <c r="J50" s="444">
        <v>0</v>
      </c>
      <c r="K50" s="343" t="s">
        <v>856</v>
      </c>
      <c r="L50" s="511"/>
      <c r="M50" s="444">
        <v>10030.794545454546</v>
      </c>
      <c r="N50" s="343" t="s">
        <v>835</v>
      </c>
      <c r="O50" s="511"/>
      <c r="P50" s="512" t="str">
        <f t="shared" si="23"/>
        <v>Met</v>
      </c>
      <c r="Q50" s="511"/>
      <c r="R50" s="444">
        <f>VLOOKUP(A50,'2020-21'!$A$6:$F$319,6,0)</f>
        <v>0</v>
      </c>
      <c r="S50" s="513" t="str">
        <f t="shared" si="1"/>
        <v>Met</v>
      </c>
      <c r="U50" s="444">
        <f>VLOOKUP(A50,'2020-21'!$A$6:$G$319,7,0)</f>
        <v>2630266.7999999998</v>
      </c>
      <c r="V50" s="513" t="str">
        <f t="shared" si="2"/>
        <v>Did not Meet</v>
      </c>
      <c r="X50" s="444">
        <f>VLOOKUP(A50,'2020-21'!$A$6:$F$319,6,0)/VLOOKUP(A50,'42. SEA or LEA Worksheet'!$A$4:$T$324,20,0)</f>
        <v>0</v>
      </c>
      <c r="Y50" s="513" t="str">
        <f t="shared" si="3"/>
        <v>Met</v>
      </c>
      <c r="AA50" s="444">
        <f>VLOOKUP(A50,'42. SEA or LEA Worksheet'!$A$4:$W$324,23,0)/VLOOKUP(compliance!A50,'42. SEA or LEA Worksheet'!$A$4:$T$324,20,0)</f>
        <v>10605.914516129031</v>
      </c>
      <c r="AB50" s="513" t="str">
        <f t="shared" si="4"/>
        <v>Met</v>
      </c>
      <c r="AD50" s="512" t="str">
        <f t="shared" si="24"/>
        <v>Met</v>
      </c>
      <c r="AF50" s="444">
        <f>VLOOKUP(A50,'42. SEA or LEA Worksheet'!$A$4:$Z$324,26,0)</f>
        <v>0</v>
      </c>
      <c r="AG50" s="513" t="str">
        <f t="shared" si="6"/>
        <v>Met</v>
      </c>
      <c r="AI50" s="444">
        <f>VLOOKUP(A50,'42. SEA or LEA Worksheet'!$A$4:$AB$324,28,0)</f>
        <v>2400556.1800000002</v>
      </c>
      <c r="AJ50" s="513" t="str">
        <f t="shared" si="7"/>
        <v>Did not Meet</v>
      </c>
      <c r="AL50" s="444">
        <f>VLOOKUP(compliance!A50,'42. SEA or LEA Worksheet'!$A$4:$AB$324,26,0)/VLOOKUP(compliance!A50,'42. SEA or LEA Worksheet'!$A$4:$Y$324,25,0)</f>
        <v>0</v>
      </c>
      <c r="AM50" s="513" t="str">
        <f t="shared" si="8"/>
        <v>Met</v>
      </c>
      <c r="AO50" s="444">
        <f>VLOOKUP(A50,'42. SEA or LEA Worksheet'!$A$4:$AB$324,28,0)/VLOOKUP(compliance!A50,'42. SEA or LEA Worksheet'!$A$4:$Y$324,25,0)</f>
        <v>9413.9458039215697</v>
      </c>
      <c r="AP50" s="513" t="str">
        <f t="shared" si="9"/>
        <v>Did not Meet</v>
      </c>
      <c r="AR50" s="512" t="str">
        <f t="shared" si="25"/>
        <v>Met</v>
      </c>
      <c r="AT50" s="444">
        <f>VLOOKUP(A50,'42. SEA or LEA Worksheet'!$A$4:$AE$324,31,0)</f>
        <v>0</v>
      </c>
      <c r="AU50" s="513" t="str">
        <f t="shared" si="26"/>
        <v>Met</v>
      </c>
      <c r="AW50" s="444">
        <f>VLOOKUP(A50,'42. SEA or LEA Worksheet'!$A$4:$AG$324,33,0)</f>
        <v>2943449.77</v>
      </c>
      <c r="AX50" s="513" t="str">
        <f t="shared" si="34"/>
        <v>Met</v>
      </c>
      <c r="AZ50" s="444">
        <f>VLOOKUP(A50,'42. SEA or LEA Worksheet'!$A$4:$AG$324,31,0)/VLOOKUP(A50,'42. SEA or LEA Worksheet'!$A$4:$AD$324,30,0)</f>
        <v>0</v>
      </c>
      <c r="BA50" s="513" t="str">
        <f t="shared" si="27"/>
        <v>Met</v>
      </c>
      <c r="BC50" s="444">
        <f>VLOOKUP(A50,'42. SEA or LEA Worksheet'!$A$4:$AG$324,33,0)/VLOOKUP(A50,'42. SEA or LEA Worksheet'!$A$4:$AD$324,30,0)</f>
        <v>10512.320607142858</v>
      </c>
      <c r="BD50" s="513" t="str">
        <f t="shared" si="35"/>
        <v>Met</v>
      </c>
      <c r="BF50" s="512" t="str">
        <f t="shared" si="28"/>
        <v>Met</v>
      </c>
      <c r="BG50" s="637">
        <f>VLOOKUP(A50,'42. SEA or LEA Worksheet'!$A$4:$AM$324,36,0)</f>
        <v>0</v>
      </c>
      <c r="BH50" s="638" t="str">
        <f t="shared" si="29"/>
        <v>Met</v>
      </c>
      <c r="BI50" s="639"/>
      <c r="BJ50" s="637">
        <f>VLOOKUP(A50,'42. SEA or LEA Worksheet'!$A$4:$AM$324,38,0)</f>
        <v>3274940.56</v>
      </c>
      <c r="BK50" s="638" t="str">
        <f t="shared" si="30"/>
        <v>Met</v>
      </c>
      <c r="BM50" s="631">
        <f>VLOOKUP(A50,'42. SEA or LEA Worksheet'!$A$4:$AL$324,36,0)/VLOOKUP(A50,'42. SEA or LEA Worksheet'!$A$4:$AL$324,35,0)</f>
        <v>0</v>
      </c>
      <c r="BN50" s="632" t="str">
        <f t="shared" si="31"/>
        <v>Met</v>
      </c>
      <c r="BP50" s="631">
        <f>VLOOKUP(A50,'42. SEA or LEA Worksheet'!$A$4:$AL$324,38,0)/VLOOKUP(A50,'42. SEA or LEA Worksheet'!$A$4:$AL$324,35,0)</f>
        <v>10234.189249999999</v>
      </c>
      <c r="BQ50" s="632" t="str">
        <f t="shared" si="32"/>
        <v>Met</v>
      </c>
      <c r="BS50" s="620" t="str">
        <f t="shared" si="33"/>
        <v>Met</v>
      </c>
    </row>
    <row r="51" spans="1:71" x14ac:dyDescent="0.25">
      <c r="A51" s="343" t="s">
        <v>288</v>
      </c>
      <c r="B51" s="510" t="s">
        <v>881</v>
      </c>
      <c r="C51" s="511"/>
      <c r="D51" s="444">
        <v>2700</v>
      </c>
      <c r="E51" s="343" t="s">
        <v>835</v>
      </c>
      <c r="F51" s="511"/>
      <c r="G51" s="444">
        <v>1084503.83</v>
      </c>
      <c r="H51" s="343" t="s">
        <v>835</v>
      </c>
      <c r="I51" s="511"/>
      <c r="J51" s="444">
        <v>29.347826086956523</v>
      </c>
      <c r="K51" s="343" t="s">
        <v>856</v>
      </c>
      <c r="L51" s="511"/>
      <c r="M51" s="444">
        <v>11788.085108695654</v>
      </c>
      <c r="N51" s="343" t="s">
        <v>835</v>
      </c>
      <c r="O51" s="511"/>
      <c r="P51" s="512" t="str">
        <f t="shared" si="23"/>
        <v>Met</v>
      </c>
      <c r="Q51" s="511"/>
      <c r="R51" s="444">
        <f>VLOOKUP(A51,'2020-21'!$A$6:$F$319,6,0)</f>
        <v>2800</v>
      </c>
      <c r="S51" s="513" t="str">
        <f t="shared" si="1"/>
        <v>Met</v>
      </c>
      <c r="U51" s="444">
        <f>VLOOKUP(A51,'2020-21'!$A$6:$G$319,7,0)</f>
        <v>1049778.8700000001</v>
      </c>
      <c r="V51" s="513" t="str">
        <f t="shared" si="2"/>
        <v>Did not Meet</v>
      </c>
      <c r="X51" s="444">
        <f>VLOOKUP(A51,'2020-21'!$A$6:$F$319,6,0)/VLOOKUP(A51,'42. SEA or LEA Worksheet'!$A$4:$T$324,20,0)</f>
        <v>32.558139534883722</v>
      </c>
      <c r="Y51" s="513" t="str">
        <f t="shared" si="3"/>
        <v>Met</v>
      </c>
      <c r="AA51" s="444">
        <f>VLOOKUP(A51,'42. SEA or LEA Worksheet'!$A$4:$W$324,23,0)/VLOOKUP(compliance!A51,'42. SEA or LEA Worksheet'!$A$4:$T$324,20,0)</f>
        <v>12206.73104651163</v>
      </c>
      <c r="AB51" s="513" t="str">
        <f t="shared" si="4"/>
        <v>Met</v>
      </c>
      <c r="AD51" s="512" t="str">
        <f t="shared" si="24"/>
        <v>Met</v>
      </c>
      <c r="AF51" s="444">
        <f>VLOOKUP(A51,'42. SEA or LEA Worksheet'!$A$4:$Z$324,26,0)</f>
        <v>2900</v>
      </c>
      <c r="AG51" s="513" t="str">
        <f t="shared" si="6"/>
        <v>Met</v>
      </c>
      <c r="AI51" s="444">
        <f>VLOOKUP(A51,'42. SEA or LEA Worksheet'!$A$4:$AB$324,28,0)</f>
        <v>1376504.93</v>
      </c>
      <c r="AJ51" s="513" t="str">
        <f t="shared" si="7"/>
        <v>Met</v>
      </c>
      <c r="AL51" s="444">
        <f>VLOOKUP(compliance!A51,'42. SEA or LEA Worksheet'!$A$4:$AB$324,26,0)/VLOOKUP(compliance!A51,'42. SEA or LEA Worksheet'!$A$4:$Y$324,25,0)</f>
        <v>33.720930232558139</v>
      </c>
      <c r="AM51" s="513" t="str">
        <f t="shared" si="8"/>
        <v>Met</v>
      </c>
      <c r="AO51" s="444">
        <f>VLOOKUP(A51,'42. SEA or LEA Worksheet'!$A$4:$AB$324,28,0)/VLOOKUP(compliance!A51,'42. SEA or LEA Worksheet'!$A$4:$Y$324,25,0)</f>
        <v>16005.871279069766</v>
      </c>
      <c r="AP51" s="513" t="str">
        <f t="shared" si="9"/>
        <v>Met</v>
      </c>
      <c r="AR51" s="512" t="str">
        <f t="shared" si="25"/>
        <v>Met</v>
      </c>
      <c r="AT51" s="444">
        <f>VLOOKUP(A51,'42. SEA or LEA Worksheet'!$A$4:$AE$324,31,0)</f>
        <v>3000</v>
      </c>
      <c r="AU51" s="513" t="str">
        <f t="shared" si="26"/>
        <v>Met</v>
      </c>
      <c r="AW51" s="444">
        <f>VLOOKUP(A51,'42. SEA or LEA Worksheet'!$A$4:$AG$324,33,0)</f>
        <v>1679902.84</v>
      </c>
      <c r="AX51" s="513" t="str">
        <f t="shared" si="34"/>
        <v>Met</v>
      </c>
      <c r="AZ51" s="444">
        <f>VLOOKUP(A51,'42. SEA or LEA Worksheet'!$A$4:$AG$324,31,0)/VLOOKUP(A51,'42. SEA or LEA Worksheet'!$A$4:$AD$324,30,0)</f>
        <v>30.927835051546392</v>
      </c>
      <c r="BA51" s="513" t="str">
        <f t="shared" si="27"/>
        <v>Did not Meet</v>
      </c>
      <c r="BC51" s="444">
        <f>VLOOKUP(A51,'42. SEA or LEA Worksheet'!$A$4:$AG$324,33,0)/VLOOKUP(A51,'42. SEA or LEA Worksheet'!$A$4:$AD$324,30,0)</f>
        <v>17318.585979381445</v>
      </c>
      <c r="BD51" s="513" t="str">
        <f t="shared" si="35"/>
        <v>Met</v>
      </c>
      <c r="BF51" s="512" t="str">
        <f t="shared" si="28"/>
        <v>Met</v>
      </c>
      <c r="BG51" s="637">
        <f>VLOOKUP(A51,'42. SEA or LEA Worksheet'!$A$4:$AM$324,36,0)</f>
        <v>3500</v>
      </c>
      <c r="BH51" s="638" t="str">
        <f t="shared" si="29"/>
        <v>Met</v>
      </c>
      <c r="BI51" s="639"/>
      <c r="BJ51" s="637">
        <f>VLOOKUP(A51,'42. SEA or LEA Worksheet'!$A$4:$AM$324,38,0)</f>
        <v>2136632.0299999998</v>
      </c>
      <c r="BK51" s="638" t="str">
        <f t="shared" si="30"/>
        <v>Met</v>
      </c>
      <c r="BM51" s="631">
        <f>VLOOKUP(A51,'42. SEA or LEA Worksheet'!$A$4:$AL$324,36,0)/VLOOKUP(A51,'42. SEA or LEA Worksheet'!$A$4:$AL$324,35,0)</f>
        <v>38.888888888888886</v>
      </c>
      <c r="BN51" s="632" t="str">
        <f t="shared" si="31"/>
        <v>Met</v>
      </c>
      <c r="BP51" s="631">
        <f>VLOOKUP(A51,'42. SEA or LEA Worksheet'!$A$4:$AL$324,38,0)/VLOOKUP(A51,'42. SEA or LEA Worksheet'!$A$4:$AL$324,35,0)</f>
        <v>23740.355888888887</v>
      </c>
      <c r="BQ51" s="632" t="str">
        <f t="shared" si="32"/>
        <v>Met</v>
      </c>
      <c r="BS51" s="620" t="str">
        <f t="shared" si="33"/>
        <v>Met</v>
      </c>
    </row>
    <row r="52" spans="1:71" x14ac:dyDescent="0.25">
      <c r="A52" s="343" t="s">
        <v>290</v>
      </c>
      <c r="B52" s="510" t="s">
        <v>882</v>
      </c>
      <c r="C52" s="511"/>
      <c r="D52" s="444">
        <v>0</v>
      </c>
      <c r="E52" s="343" t="s">
        <v>856</v>
      </c>
      <c r="F52" s="511"/>
      <c r="G52" s="444">
        <v>724062.57</v>
      </c>
      <c r="H52" s="343" t="s">
        <v>835</v>
      </c>
      <c r="I52" s="511"/>
      <c r="J52" s="444">
        <v>0</v>
      </c>
      <c r="K52" s="343" t="s">
        <v>856</v>
      </c>
      <c r="L52" s="511"/>
      <c r="M52" s="444">
        <v>14776.787142857142</v>
      </c>
      <c r="N52" s="343" t="s">
        <v>856</v>
      </c>
      <c r="O52" s="511"/>
      <c r="P52" s="512" t="str">
        <f t="shared" si="23"/>
        <v>Met</v>
      </c>
      <c r="Q52" s="511"/>
      <c r="R52" s="444">
        <f>VLOOKUP(A52,'2020-21'!$A$6:$F$319,6,0)</f>
        <v>0</v>
      </c>
      <c r="S52" s="513" t="str">
        <f t="shared" si="1"/>
        <v>Met</v>
      </c>
      <c r="U52" s="444">
        <f>VLOOKUP(A52,'2020-21'!$A$6:$G$319,7,0)</f>
        <v>636065.31999999995</v>
      </c>
      <c r="V52" s="513" t="str">
        <f t="shared" si="2"/>
        <v>Did not Meet</v>
      </c>
      <c r="X52" s="444">
        <f>VLOOKUP(A52,'2020-21'!$A$6:$F$319,6,0)/VLOOKUP(A52,'42. SEA or LEA Worksheet'!$A$4:$T$324,20,0)</f>
        <v>0</v>
      </c>
      <c r="Y52" s="513" t="str">
        <f t="shared" si="3"/>
        <v>Met</v>
      </c>
      <c r="AA52" s="444">
        <f>VLOOKUP(A52,'42. SEA or LEA Worksheet'!$A$4:$W$324,23,0)/VLOOKUP(compliance!A52,'42. SEA or LEA Worksheet'!$A$4:$T$324,20,0)</f>
        <v>13827.506956521738</v>
      </c>
      <c r="AB52" s="513" t="str">
        <f t="shared" si="4"/>
        <v>Did not Meet</v>
      </c>
      <c r="AD52" s="512" t="str">
        <f t="shared" si="24"/>
        <v>Met</v>
      </c>
      <c r="AF52" s="444">
        <f>VLOOKUP(A52,'42. SEA or LEA Worksheet'!$A$4:$Z$324,26,0)</f>
        <v>0</v>
      </c>
      <c r="AG52" s="513" t="str">
        <f t="shared" si="6"/>
        <v>Met</v>
      </c>
      <c r="AI52" s="444">
        <f>VLOOKUP(A52,'42. SEA or LEA Worksheet'!$A$4:$AB$324,28,0)</f>
        <v>634372.84</v>
      </c>
      <c r="AJ52" s="513" t="str">
        <f t="shared" si="7"/>
        <v>Did not Meet</v>
      </c>
      <c r="AL52" s="444">
        <f>VLOOKUP(compliance!A52,'42. SEA or LEA Worksheet'!$A$4:$AB$324,26,0)/VLOOKUP(compliance!A52,'42. SEA or LEA Worksheet'!$A$4:$Y$324,25,0)</f>
        <v>0</v>
      </c>
      <c r="AM52" s="513" t="str">
        <f t="shared" si="8"/>
        <v>Met</v>
      </c>
      <c r="AO52" s="444">
        <f>VLOOKUP(A52,'42. SEA or LEA Worksheet'!$A$4:$AB$324,28,0)/VLOOKUP(compliance!A52,'42. SEA or LEA Worksheet'!$A$4:$Y$324,25,0)</f>
        <v>14417.564545454545</v>
      </c>
      <c r="AP52" s="513" t="str">
        <f t="shared" si="9"/>
        <v>Met</v>
      </c>
      <c r="AR52" s="512" t="str">
        <f t="shared" si="25"/>
        <v>Met</v>
      </c>
      <c r="AT52" s="444">
        <f>VLOOKUP(A52,'42. SEA or LEA Worksheet'!$A$4:$AE$324,31,0)</f>
        <v>1831.49</v>
      </c>
      <c r="AU52" s="513" t="str">
        <f t="shared" si="26"/>
        <v>Met</v>
      </c>
      <c r="AW52" s="444">
        <f>VLOOKUP(A52,'42. SEA or LEA Worksheet'!$A$4:$AG$324,33,0)</f>
        <v>653108.47</v>
      </c>
      <c r="AX52" s="513" t="str">
        <f t="shared" si="34"/>
        <v>Met</v>
      </c>
      <c r="AZ52" s="444">
        <f>VLOOKUP(A52,'42. SEA or LEA Worksheet'!$A$4:$AG$324,31,0)/VLOOKUP(A52,'42. SEA or LEA Worksheet'!$A$4:$AD$324,30,0)</f>
        <v>48.197105263157894</v>
      </c>
      <c r="BA52" s="513" t="str">
        <f t="shared" si="27"/>
        <v>Met</v>
      </c>
      <c r="BC52" s="444">
        <f>VLOOKUP(A52,'42. SEA or LEA Worksheet'!$A$4:$AG$324,33,0)/VLOOKUP(A52,'42. SEA or LEA Worksheet'!$A$4:$AD$324,30,0)</f>
        <v>17187.064999999999</v>
      </c>
      <c r="BD52" s="513" t="str">
        <f t="shared" si="35"/>
        <v>Met</v>
      </c>
      <c r="BF52" s="512" t="str">
        <f t="shared" si="28"/>
        <v>Met</v>
      </c>
      <c r="BG52" s="637">
        <f>VLOOKUP(A52,'42. SEA or LEA Worksheet'!$A$4:$AM$324,36,0)</f>
        <v>1916.92</v>
      </c>
      <c r="BH52" s="638" t="str">
        <f t="shared" si="29"/>
        <v>Met</v>
      </c>
      <c r="BI52" s="639"/>
      <c r="BJ52" s="637">
        <f>VLOOKUP(A52,'42. SEA or LEA Worksheet'!$A$4:$AM$324,38,0)</f>
        <v>534627.81000000006</v>
      </c>
      <c r="BK52" s="638" t="str">
        <f t="shared" si="30"/>
        <v>Did not Meet</v>
      </c>
      <c r="BM52" s="631">
        <f>VLOOKUP(A52,'42. SEA or LEA Worksheet'!$A$4:$AL$324,36,0)/VLOOKUP(A52,'42. SEA or LEA Worksheet'!$A$4:$AL$324,35,0)</f>
        <v>49.151794871794877</v>
      </c>
      <c r="BN52" s="632" t="str">
        <f t="shared" si="31"/>
        <v>Met</v>
      </c>
      <c r="BP52" s="631">
        <f>VLOOKUP(A52,'42. SEA or LEA Worksheet'!$A$4:$AL$324,38,0)/VLOOKUP(A52,'42. SEA or LEA Worksheet'!$A$4:$AL$324,35,0)</f>
        <v>13708.405384615386</v>
      </c>
      <c r="BQ52" s="632" t="str">
        <f t="shared" si="32"/>
        <v>Met</v>
      </c>
      <c r="BS52" s="620" t="str">
        <f t="shared" si="33"/>
        <v>Met</v>
      </c>
    </row>
    <row r="53" spans="1:71" x14ac:dyDescent="0.25">
      <c r="A53" s="343" t="s">
        <v>292</v>
      </c>
      <c r="B53" s="510" t="s">
        <v>883</v>
      </c>
      <c r="C53" s="511"/>
      <c r="D53" s="444">
        <v>0</v>
      </c>
      <c r="E53" s="343" t="s">
        <v>835</v>
      </c>
      <c r="F53" s="511"/>
      <c r="G53" s="444">
        <v>339798.49</v>
      </c>
      <c r="H53" s="343" t="s">
        <v>835</v>
      </c>
      <c r="I53" s="511"/>
      <c r="J53" s="444">
        <v>0</v>
      </c>
      <c r="K53" s="343" t="s">
        <v>835</v>
      </c>
      <c r="L53" s="511"/>
      <c r="M53" s="444">
        <v>9994.0732352941177</v>
      </c>
      <c r="N53" s="343" t="s">
        <v>835</v>
      </c>
      <c r="O53" s="511"/>
      <c r="P53" s="512" t="str">
        <f t="shared" si="23"/>
        <v>Met</v>
      </c>
      <c r="Q53" s="511"/>
      <c r="R53" s="444">
        <f>VLOOKUP(A53,'2020-21'!$A$6:$F$319,6,0)</f>
        <v>0</v>
      </c>
      <c r="S53" s="513" t="str">
        <f t="shared" si="1"/>
        <v>Met</v>
      </c>
      <c r="U53" s="444">
        <f>VLOOKUP(A53,'2020-21'!$A$6:$G$319,7,0)</f>
        <v>273545.02</v>
      </c>
      <c r="V53" s="513" t="str">
        <f t="shared" si="2"/>
        <v>Did not Meet</v>
      </c>
      <c r="X53" s="444">
        <f>VLOOKUP(A53,'2020-21'!$A$6:$F$319,6,0)/VLOOKUP(A53,'42. SEA or LEA Worksheet'!$A$4:$T$324,20,0)</f>
        <v>0</v>
      </c>
      <c r="Y53" s="513" t="str">
        <f t="shared" si="3"/>
        <v>Met</v>
      </c>
      <c r="AA53" s="444">
        <f>VLOOKUP(A53,'42. SEA or LEA Worksheet'!$A$4:$W$324,23,0)/VLOOKUP(compliance!A53,'42. SEA or LEA Worksheet'!$A$4:$T$324,20,0)</f>
        <v>12433.864545454546</v>
      </c>
      <c r="AB53" s="513" t="str">
        <f t="shared" si="4"/>
        <v>Met</v>
      </c>
      <c r="AD53" s="512" t="str">
        <f t="shared" si="24"/>
        <v>Met</v>
      </c>
      <c r="AF53" s="444">
        <f>VLOOKUP(A53,'42. SEA or LEA Worksheet'!$A$4:$Z$324,26,0)</f>
        <v>0</v>
      </c>
      <c r="AG53" s="513" t="str">
        <f t="shared" si="6"/>
        <v>Met</v>
      </c>
      <c r="AI53" s="444">
        <f>VLOOKUP(A53,'42. SEA or LEA Worksheet'!$A$4:$AB$324,28,0)</f>
        <v>252323.7</v>
      </c>
      <c r="AJ53" s="513" t="str">
        <f t="shared" si="7"/>
        <v>Did not Meet</v>
      </c>
      <c r="AL53" s="444">
        <f>VLOOKUP(compliance!A53,'42. SEA or LEA Worksheet'!$A$4:$AB$324,26,0)/VLOOKUP(compliance!A53,'42. SEA or LEA Worksheet'!$A$4:$Y$324,25,0)</f>
        <v>0</v>
      </c>
      <c r="AM53" s="513" t="str">
        <f t="shared" si="8"/>
        <v>Met</v>
      </c>
      <c r="AO53" s="444">
        <f>VLOOKUP(A53,'42. SEA or LEA Worksheet'!$A$4:$AB$324,28,0)/VLOOKUP(compliance!A53,'42. SEA or LEA Worksheet'!$A$4:$Y$324,25,0)</f>
        <v>10513.487500000001</v>
      </c>
      <c r="AP53" s="513" t="str">
        <f t="shared" si="9"/>
        <v>Did not Meet</v>
      </c>
      <c r="AR53" s="512" t="str">
        <f t="shared" si="25"/>
        <v>Met</v>
      </c>
      <c r="AT53" s="444">
        <f>VLOOKUP(A53,'42. SEA or LEA Worksheet'!$A$4:$AE$324,31,0)</f>
        <v>0</v>
      </c>
      <c r="AU53" s="513" t="str">
        <f t="shared" si="26"/>
        <v>Met</v>
      </c>
      <c r="AW53" s="444">
        <f>VLOOKUP(A53,'42. SEA or LEA Worksheet'!$A$4:$AG$324,33,0)</f>
        <v>435996.92</v>
      </c>
      <c r="AX53" s="513" t="str">
        <f t="shared" si="34"/>
        <v>Met</v>
      </c>
      <c r="AZ53" s="444">
        <f>VLOOKUP(A53,'42. SEA or LEA Worksheet'!$A$4:$AG$324,31,0)/VLOOKUP(A53,'42. SEA or LEA Worksheet'!$A$4:$AD$324,30,0)</f>
        <v>0</v>
      </c>
      <c r="BA53" s="513" t="str">
        <f t="shared" si="27"/>
        <v>Met</v>
      </c>
      <c r="BC53" s="444">
        <f>VLOOKUP(A53,'42. SEA or LEA Worksheet'!$A$4:$AG$324,33,0)/VLOOKUP(A53,'42. SEA or LEA Worksheet'!$A$4:$AD$324,30,0)</f>
        <v>21799.845999999998</v>
      </c>
      <c r="BD53" s="513" t="str">
        <f t="shared" si="35"/>
        <v>Met</v>
      </c>
      <c r="BF53" s="512" t="str">
        <f t="shared" si="28"/>
        <v>Met</v>
      </c>
      <c r="BG53" s="637">
        <f>VLOOKUP(A53,'42. SEA or LEA Worksheet'!$A$4:$AM$324,36,0)</f>
        <v>0</v>
      </c>
      <c r="BH53" s="638" t="str">
        <f t="shared" si="29"/>
        <v>Met</v>
      </c>
      <c r="BI53" s="639"/>
      <c r="BJ53" s="637">
        <f>VLOOKUP(A53,'42. SEA or LEA Worksheet'!$A$4:$AM$324,38,0)</f>
        <v>413884.61</v>
      </c>
      <c r="BK53" s="638" t="str">
        <f t="shared" si="30"/>
        <v>Did not Meet</v>
      </c>
      <c r="BM53" s="631">
        <f>VLOOKUP(A53,'42. SEA or LEA Worksheet'!$A$4:$AL$324,36,0)/VLOOKUP(A53,'42. SEA or LEA Worksheet'!$A$4:$AL$324,35,0)</f>
        <v>0</v>
      </c>
      <c r="BN53" s="632" t="str">
        <f t="shared" si="31"/>
        <v>Met</v>
      </c>
      <c r="BP53" s="631">
        <f>VLOOKUP(A53,'42. SEA or LEA Worksheet'!$A$4:$AL$324,38,0)/VLOOKUP(A53,'42. SEA or LEA Worksheet'!$A$4:$AL$324,35,0)</f>
        <v>21783.400526315789</v>
      </c>
      <c r="BQ53" s="632" t="str">
        <f t="shared" si="32"/>
        <v>Met</v>
      </c>
      <c r="BS53" s="620" t="str">
        <f t="shared" si="33"/>
        <v>Met</v>
      </c>
    </row>
    <row r="54" spans="1:71" x14ac:dyDescent="0.25">
      <c r="A54" s="343" t="s">
        <v>294</v>
      </c>
      <c r="B54" s="510" t="s">
        <v>884</v>
      </c>
      <c r="C54" s="511"/>
      <c r="D54" s="444">
        <v>0</v>
      </c>
      <c r="E54" s="343" t="s">
        <v>856</v>
      </c>
      <c r="F54" s="511"/>
      <c r="G54" s="444">
        <v>238921.44</v>
      </c>
      <c r="H54" s="343" t="s">
        <v>835</v>
      </c>
      <c r="I54" s="511"/>
      <c r="J54" s="444">
        <v>0</v>
      </c>
      <c r="K54" s="343" t="s">
        <v>856</v>
      </c>
      <c r="L54" s="511"/>
      <c r="M54" s="444">
        <v>12574.812631578947</v>
      </c>
      <c r="N54" s="343" t="s">
        <v>835</v>
      </c>
      <c r="O54" s="511"/>
      <c r="P54" s="512" t="str">
        <f t="shared" si="23"/>
        <v>Met</v>
      </c>
      <c r="Q54" s="511"/>
      <c r="R54" s="444">
        <f>VLOOKUP(A54,'2020-21'!$A$6:$F$319,6,0)</f>
        <v>0</v>
      </c>
      <c r="S54" s="513" t="str">
        <f t="shared" si="1"/>
        <v>Met</v>
      </c>
      <c r="U54" s="444">
        <f>VLOOKUP(A54,'2020-21'!$A$6:$G$319,7,0)</f>
        <v>212134.08</v>
      </c>
      <c r="V54" s="513" t="str">
        <f t="shared" si="2"/>
        <v>Did not Meet</v>
      </c>
      <c r="X54" s="444">
        <f>VLOOKUP(A54,'2020-21'!$A$6:$F$319,6,0)/VLOOKUP(A54,'42. SEA or LEA Worksheet'!$A$4:$T$324,20,0)</f>
        <v>0</v>
      </c>
      <c r="Y54" s="513" t="str">
        <f t="shared" si="3"/>
        <v>Met</v>
      </c>
      <c r="AA54" s="444">
        <f>VLOOKUP(A54,'42. SEA or LEA Worksheet'!$A$4:$W$324,23,0)/VLOOKUP(compliance!A54,'42. SEA or LEA Worksheet'!$A$4:$T$324,20,0)</f>
        <v>12478.475294117647</v>
      </c>
      <c r="AB54" s="513" t="str">
        <f t="shared" si="4"/>
        <v>Did not Meet</v>
      </c>
      <c r="AD54" s="512" t="str">
        <f t="shared" si="24"/>
        <v>Met</v>
      </c>
      <c r="AF54" s="444">
        <f>VLOOKUP(A54,'42. SEA or LEA Worksheet'!$A$4:$Z$324,26,0)</f>
        <v>0</v>
      </c>
      <c r="AG54" s="513" t="str">
        <f t="shared" si="6"/>
        <v>Met</v>
      </c>
      <c r="AI54" s="444">
        <f>VLOOKUP(A54,'42. SEA or LEA Worksheet'!$A$4:$AB$324,28,0)</f>
        <v>248721.61</v>
      </c>
      <c r="AJ54" s="513" t="str">
        <f t="shared" si="7"/>
        <v>Met</v>
      </c>
      <c r="AL54" s="444">
        <f>VLOOKUP(compliance!A54,'42. SEA or LEA Worksheet'!$A$4:$AB$324,26,0)/VLOOKUP(compliance!A54,'42. SEA or LEA Worksheet'!$A$4:$Y$324,25,0)</f>
        <v>0</v>
      </c>
      <c r="AM54" s="513" t="str">
        <f t="shared" si="8"/>
        <v>Met</v>
      </c>
      <c r="AO54" s="444">
        <f>VLOOKUP(A54,'42. SEA or LEA Worksheet'!$A$4:$AB$324,28,0)/VLOOKUP(compliance!A54,'42. SEA or LEA Worksheet'!$A$4:$Y$324,25,0)</f>
        <v>14630.68294117647</v>
      </c>
      <c r="AP54" s="513" t="str">
        <f t="shared" si="9"/>
        <v>Met</v>
      </c>
      <c r="AR54" s="512" t="str">
        <f t="shared" si="25"/>
        <v>Met</v>
      </c>
      <c r="AT54" s="444">
        <f>VLOOKUP(A54,'42. SEA or LEA Worksheet'!$A$4:$AE$324,31,0)</f>
        <v>0</v>
      </c>
      <c r="AU54" s="513" t="str">
        <f t="shared" si="26"/>
        <v>Met</v>
      </c>
      <c r="AW54" s="444">
        <f>VLOOKUP(A54,'42. SEA or LEA Worksheet'!$A$4:$AG$324,33,0)</f>
        <v>259908.94</v>
      </c>
      <c r="AX54" s="513" t="str">
        <f t="shared" si="34"/>
        <v>Met</v>
      </c>
      <c r="AZ54" s="444">
        <f>VLOOKUP(A54,'42. SEA or LEA Worksheet'!$A$4:$AG$324,31,0)/VLOOKUP(A54,'42. SEA or LEA Worksheet'!$A$4:$AD$324,30,0)</f>
        <v>0</v>
      </c>
      <c r="BA54" s="513" t="str">
        <f t="shared" si="27"/>
        <v>Met</v>
      </c>
      <c r="BC54" s="444">
        <f>VLOOKUP(A54,'42. SEA or LEA Worksheet'!$A$4:$AG$324,33,0)/VLOOKUP(A54,'42. SEA or LEA Worksheet'!$A$4:$AD$324,30,0)</f>
        <v>16244.30875</v>
      </c>
      <c r="BD54" s="513" t="str">
        <f t="shared" si="35"/>
        <v>Met</v>
      </c>
      <c r="BF54" s="512" t="str">
        <f t="shared" si="28"/>
        <v>Met</v>
      </c>
      <c r="BG54" s="637">
        <f>VLOOKUP(A54,'42. SEA or LEA Worksheet'!$A$4:$AM$324,36,0)</f>
        <v>0</v>
      </c>
      <c r="BH54" s="638" t="str">
        <f t="shared" si="29"/>
        <v>Met</v>
      </c>
      <c r="BI54" s="639"/>
      <c r="BJ54" s="637">
        <f>VLOOKUP(A54,'42. SEA or LEA Worksheet'!$A$4:$AM$324,38,0)</f>
        <v>310114.71000000002</v>
      </c>
      <c r="BK54" s="638" t="str">
        <f t="shared" si="30"/>
        <v>Met</v>
      </c>
      <c r="BM54" s="631">
        <f>VLOOKUP(A54,'42. SEA or LEA Worksheet'!$A$4:$AL$324,36,0)/VLOOKUP(A54,'42. SEA or LEA Worksheet'!$A$4:$AL$324,35,0)</f>
        <v>0</v>
      </c>
      <c r="BN54" s="632" t="str">
        <f t="shared" si="31"/>
        <v>Met</v>
      </c>
      <c r="BP54" s="631">
        <f>VLOOKUP(A54,'42. SEA or LEA Worksheet'!$A$4:$AL$324,38,0)/VLOOKUP(A54,'42. SEA or LEA Worksheet'!$A$4:$AL$324,35,0)</f>
        <v>12921.446250000001</v>
      </c>
      <c r="BQ54" s="632" t="str">
        <f t="shared" si="32"/>
        <v>Met</v>
      </c>
      <c r="BS54" s="620" t="str">
        <f t="shared" si="33"/>
        <v>Met</v>
      </c>
    </row>
    <row r="55" spans="1:71" x14ac:dyDescent="0.25">
      <c r="A55" s="343" t="s">
        <v>296</v>
      </c>
      <c r="B55" s="510" t="s">
        <v>885</v>
      </c>
      <c r="C55" s="511"/>
      <c r="D55" s="444">
        <v>10806.52</v>
      </c>
      <c r="E55" s="343" t="s">
        <v>835</v>
      </c>
      <c r="F55" s="511"/>
      <c r="G55" s="444">
        <v>1795804.18</v>
      </c>
      <c r="H55" s="343" t="s">
        <v>835</v>
      </c>
      <c r="I55" s="511"/>
      <c r="J55" s="444">
        <v>67.121242236024841</v>
      </c>
      <c r="K55" s="343" t="s">
        <v>835</v>
      </c>
      <c r="L55" s="511"/>
      <c r="M55" s="444">
        <v>11154.063229813664</v>
      </c>
      <c r="N55" s="343" t="s">
        <v>856</v>
      </c>
      <c r="O55" s="511"/>
      <c r="P55" s="512" t="str">
        <f t="shared" si="23"/>
        <v>Met</v>
      </c>
      <c r="Q55" s="511"/>
      <c r="R55" s="444">
        <f>VLOOKUP(A55,'2020-21'!$A$6:$F$319,6,0)</f>
        <v>0</v>
      </c>
      <c r="S55" s="513" t="str">
        <f t="shared" si="1"/>
        <v>Did not Meet</v>
      </c>
      <c r="U55" s="444">
        <f>VLOOKUP(A55,'2020-21'!$A$6:$G$319,7,0)</f>
        <v>1920186.98</v>
      </c>
      <c r="V55" s="513" t="str">
        <f t="shared" si="2"/>
        <v>Met</v>
      </c>
      <c r="X55" s="444">
        <f>VLOOKUP(A55,'2020-21'!$A$6:$F$319,6,0)/VLOOKUP(A55,'42. SEA or LEA Worksheet'!$A$4:$T$324,20,0)</f>
        <v>0</v>
      </c>
      <c r="Y55" s="513" t="str">
        <f t="shared" si="3"/>
        <v>Did not Meet</v>
      </c>
      <c r="AA55" s="444">
        <f>VLOOKUP(A55,'42. SEA or LEA Worksheet'!$A$4:$W$324,23,0)/VLOOKUP(compliance!A55,'42. SEA or LEA Worksheet'!$A$4:$T$324,20,0)</f>
        <v>13062.496462585033</v>
      </c>
      <c r="AB55" s="513" t="str">
        <f t="shared" si="4"/>
        <v>Met</v>
      </c>
      <c r="AD55" s="512" t="str">
        <f t="shared" si="24"/>
        <v>Met</v>
      </c>
      <c r="AF55" s="444">
        <f>VLOOKUP(A55,'42. SEA or LEA Worksheet'!$A$4:$Z$324,26,0)</f>
        <v>0</v>
      </c>
      <c r="AG55" s="513" t="str">
        <f t="shared" si="6"/>
        <v>Met</v>
      </c>
      <c r="AI55" s="444">
        <f>VLOOKUP(A55,'42. SEA or LEA Worksheet'!$A$4:$AB$324,28,0)</f>
        <v>2256900.02</v>
      </c>
      <c r="AJ55" s="513" t="str">
        <f t="shared" si="7"/>
        <v>Met</v>
      </c>
      <c r="AL55" s="444">
        <f>VLOOKUP(compliance!A55,'42. SEA or LEA Worksheet'!$A$4:$AB$324,26,0)/VLOOKUP(compliance!A55,'42. SEA or LEA Worksheet'!$A$4:$Y$324,25,0)</f>
        <v>0</v>
      </c>
      <c r="AM55" s="513" t="str">
        <f t="shared" si="8"/>
        <v>Met</v>
      </c>
      <c r="AO55" s="444">
        <f>VLOOKUP(A55,'42. SEA or LEA Worksheet'!$A$4:$AB$324,28,0)/VLOOKUP(compliance!A55,'42. SEA or LEA Worksheet'!$A$4:$Y$324,25,0)</f>
        <v>14946.357748344371</v>
      </c>
      <c r="AP55" s="513" t="str">
        <f t="shared" si="9"/>
        <v>Met</v>
      </c>
      <c r="AR55" s="512" t="str">
        <f t="shared" si="25"/>
        <v>Met</v>
      </c>
      <c r="AT55" s="444">
        <f>VLOOKUP(A55,'42. SEA or LEA Worksheet'!$A$4:$AE$324,31,0)</f>
        <v>0</v>
      </c>
      <c r="AU55" s="513" t="str">
        <f t="shared" si="26"/>
        <v>Met</v>
      </c>
      <c r="AW55" s="444">
        <f>VLOOKUP(A55,'42. SEA or LEA Worksheet'!$A$4:$AG$324,33,0)</f>
        <v>2355809.9700000002</v>
      </c>
      <c r="AX55" s="513" t="str">
        <f t="shared" si="34"/>
        <v>Met</v>
      </c>
      <c r="AZ55" s="444">
        <f>VLOOKUP(A55,'42. SEA or LEA Worksheet'!$A$4:$AG$324,31,0)/VLOOKUP(A55,'42. SEA or LEA Worksheet'!$A$4:$AD$324,30,0)</f>
        <v>0</v>
      </c>
      <c r="BA55" s="513" t="str">
        <f t="shared" si="27"/>
        <v>Met</v>
      </c>
      <c r="BC55" s="444">
        <f>VLOOKUP(A55,'42. SEA or LEA Worksheet'!$A$4:$AG$324,33,0)/VLOOKUP(A55,'42. SEA or LEA Worksheet'!$A$4:$AD$324,30,0)</f>
        <v>14542.036851851853</v>
      </c>
      <c r="BD55" s="513" t="str">
        <f t="shared" si="35"/>
        <v>Did not Meet</v>
      </c>
      <c r="BF55" s="512" t="str">
        <f t="shared" si="28"/>
        <v>Met</v>
      </c>
      <c r="BG55" s="637">
        <f>VLOOKUP(A55,'42. SEA or LEA Worksheet'!$A$4:$AM$324,36,0)</f>
        <v>0</v>
      </c>
      <c r="BH55" s="638" t="str">
        <f t="shared" si="29"/>
        <v>Met</v>
      </c>
      <c r="BI55" s="639"/>
      <c r="BJ55" s="637">
        <f>VLOOKUP(A55,'42. SEA or LEA Worksheet'!$A$4:$AM$324,38,0)</f>
        <v>2277102.0499999998</v>
      </c>
      <c r="BK55" s="638" t="str">
        <f t="shared" si="30"/>
        <v>Did not Meet</v>
      </c>
      <c r="BM55" s="631">
        <f>VLOOKUP(A55,'42. SEA or LEA Worksheet'!$A$4:$AL$324,36,0)/VLOOKUP(A55,'42. SEA or LEA Worksheet'!$A$4:$AL$324,35,0)</f>
        <v>0</v>
      </c>
      <c r="BN55" s="632" t="str">
        <f t="shared" si="31"/>
        <v>Met</v>
      </c>
      <c r="BP55" s="631">
        <f>VLOOKUP(A55,'42. SEA or LEA Worksheet'!$A$4:$AL$324,38,0)/VLOOKUP(A55,'42. SEA or LEA Worksheet'!$A$4:$AL$324,35,0)</f>
        <v>12938.079829545453</v>
      </c>
      <c r="BQ55" s="632" t="str">
        <f t="shared" si="32"/>
        <v>Met</v>
      </c>
      <c r="BS55" s="620" t="str">
        <f t="shared" si="33"/>
        <v>Met</v>
      </c>
    </row>
    <row r="56" spans="1:71" x14ac:dyDescent="0.25">
      <c r="A56" s="343" t="s">
        <v>298</v>
      </c>
      <c r="B56" s="510" t="s">
        <v>886</v>
      </c>
      <c r="C56" s="511"/>
      <c r="D56" s="444">
        <v>0</v>
      </c>
      <c r="E56" s="343" t="s">
        <v>856</v>
      </c>
      <c r="F56" s="511"/>
      <c r="G56" s="444">
        <v>488114.91</v>
      </c>
      <c r="H56" s="343" t="s">
        <v>835</v>
      </c>
      <c r="I56" s="511"/>
      <c r="J56" s="444">
        <v>0</v>
      </c>
      <c r="K56" s="343" t="s">
        <v>856</v>
      </c>
      <c r="L56" s="511"/>
      <c r="M56" s="444">
        <v>13558.747499999999</v>
      </c>
      <c r="N56" s="343" t="s">
        <v>835</v>
      </c>
      <c r="O56" s="511"/>
      <c r="P56" s="512" t="str">
        <f t="shared" si="23"/>
        <v>Met</v>
      </c>
      <c r="Q56" s="511"/>
      <c r="R56" s="444">
        <f>VLOOKUP(A56,'2020-21'!$A$6:$F$319,6,0)</f>
        <v>104005.79</v>
      </c>
      <c r="S56" s="513" t="str">
        <f t="shared" si="1"/>
        <v>Met</v>
      </c>
      <c r="U56" s="444">
        <f>VLOOKUP(A56,'2020-21'!$A$6:$G$319,7,0)</f>
        <v>399816.38</v>
      </c>
      <c r="V56" s="513" t="str">
        <f t="shared" si="2"/>
        <v>Did not Meet</v>
      </c>
      <c r="X56" s="444">
        <f>VLOOKUP(A56,'2020-21'!$A$6:$F$319,6,0)/VLOOKUP(A56,'42. SEA or LEA Worksheet'!$A$4:$T$324,20,0)</f>
        <v>3250.1809374999998</v>
      </c>
      <c r="Y56" s="513" t="str">
        <f t="shared" si="3"/>
        <v>Met</v>
      </c>
      <c r="AA56" s="444">
        <f>VLOOKUP(A56,'42. SEA or LEA Worksheet'!$A$4:$W$324,23,0)/VLOOKUP(compliance!A56,'42. SEA or LEA Worksheet'!$A$4:$T$324,20,0)</f>
        <v>12494.261875</v>
      </c>
      <c r="AB56" s="513" t="str">
        <f t="shared" si="4"/>
        <v>Did not Meet</v>
      </c>
      <c r="AD56" s="512" t="str">
        <f t="shared" si="24"/>
        <v>Met</v>
      </c>
      <c r="AF56" s="444">
        <f>VLOOKUP(A56,'42. SEA or LEA Worksheet'!$A$4:$Z$324,26,0)</f>
        <v>4133.46</v>
      </c>
      <c r="AG56" s="513" t="str">
        <f t="shared" si="6"/>
        <v>Did not Meet</v>
      </c>
      <c r="AI56" s="444">
        <f>VLOOKUP(A56,'42. SEA or LEA Worksheet'!$A$4:$AB$324,28,0)</f>
        <v>411728.67000000004</v>
      </c>
      <c r="AJ56" s="513" t="str">
        <f t="shared" si="7"/>
        <v>Met</v>
      </c>
      <c r="AL56" s="444">
        <f>VLOOKUP(compliance!A56,'42. SEA or LEA Worksheet'!$A$4:$AB$324,26,0)/VLOOKUP(compliance!A56,'42. SEA or LEA Worksheet'!$A$4:$Y$324,25,0)</f>
        <v>129.170625</v>
      </c>
      <c r="AM56" s="513" t="str">
        <f t="shared" si="8"/>
        <v>Did not Meet</v>
      </c>
      <c r="AO56" s="444">
        <f>VLOOKUP(A56,'42. SEA or LEA Worksheet'!$A$4:$AB$324,28,0)/VLOOKUP(compliance!A56,'42. SEA or LEA Worksheet'!$A$4:$Y$324,25,0)</f>
        <v>12866.520937500001</v>
      </c>
      <c r="AP56" s="513" t="str">
        <f t="shared" si="9"/>
        <v>Met</v>
      </c>
      <c r="AR56" s="512" t="str">
        <f t="shared" si="25"/>
        <v>Met</v>
      </c>
      <c r="AT56" s="444">
        <f>VLOOKUP(A56,'42. SEA or LEA Worksheet'!$A$4:$AE$324,31,0)</f>
        <v>0</v>
      </c>
      <c r="AU56" s="513" t="str">
        <f t="shared" si="26"/>
        <v>Did not Meet</v>
      </c>
      <c r="AW56" s="444">
        <f>VLOOKUP(A56,'42. SEA or LEA Worksheet'!$A$4:$AG$324,33,0)</f>
        <v>381578.05</v>
      </c>
      <c r="AX56" s="513" t="str">
        <f t="shared" si="34"/>
        <v>Did not Meet</v>
      </c>
      <c r="AZ56" s="444">
        <f>VLOOKUP(A56,'42. SEA or LEA Worksheet'!$A$4:$AG$324,31,0)/VLOOKUP(A56,'42. SEA or LEA Worksheet'!$A$4:$AD$324,30,0)</f>
        <v>0</v>
      </c>
      <c r="BA56" s="513" t="str">
        <f t="shared" si="27"/>
        <v>Did not Meet</v>
      </c>
      <c r="BC56" s="444">
        <f>VLOOKUP(A56,'42. SEA or LEA Worksheet'!$A$4:$AG$324,33,0)/VLOOKUP(A56,'42. SEA or LEA Worksheet'!$A$4:$AD$324,30,0)</f>
        <v>10041.527631578947</v>
      </c>
      <c r="BD56" s="513" t="str">
        <f t="shared" si="35"/>
        <v>Did not Meet</v>
      </c>
      <c r="BF56" s="512" t="str">
        <f>IF(AND(AU56="Did not Meet",AX56="Did not Meet", BA56="Did not Meet",BD56="Did not Meet",),"Did not Meet","Met")</f>
        <v>Met</v>
      </c>
      <c r="BG56" s="637">
        <f>VLOOKUP(A56,'42. SEA or LEA Worksheet'!$A$4:$AM$324,36,0)</f>
        <v>111226.91</v>
      </c>
      <c r="BH56" s="638" t="str">
        <f t="shared" si="29"/>
        <v>Met</v>
      </c>
      <c r="BI56" s="639"/>
      <c r="BJ56" s="637">
        <f>VLOOKUP(A56,'42. SEA or LEA Worksheet'!$A$4:$AM$324,38,0)</f>
        <v>527309.68000000005</v>
      </c>
      <c r="BK56" s="638" t="str">
        <f t="shared" si="30"/>
        <v>Met</v>
      </c>
      <c r="BM56" s="631">
        <f>VLOOKUP(A56,'42. SEA or LEA Worksheet'!$A$4:$AL$324,36,0)/VLOOKUP(A56,'42. SEA or LEA Worksheet'!$A$4:$AL$324,35,0)</f>
        <v>3271.3797058823529</v>
      </c>
      <c r="BN56" s="632" t="str">
        <f t="shared" si="31"/>
        <v>Met</v>
      </c>
      <c r="BP56" s="631">
        <f>VLOOKUP(A56,'42. SEA or LEA Worksheet'!$A$4:$AL$324,38,0)/VLOOKUP(A56,'42. SEA or LEA Worksheet'!$A$4:$AL$324,35,0)</f>
        <v>15509.108235294119</v>
      </c>
      <c r="BQ56" s="632" t="str">
        <f t="shared" si="32"/>
        <v>Met</v>
      </c>
      <c r="BS56" s="620" t="str">
        <f>IF(AND(BH56="Did not Meet",BK56="Did not Meet", BN56="Did not Meet",BQ56="Did not Meet",),"Did not Meet","Met")</f>
        <v>Met</v>
      </c>
    </row>
    <row r="57" spans="1:71" x14ac:dyDescent="0.25">
      <c r="A57" s="343" t="s">
        <v>300</v>
      </c>
      <c r="B57" s="510" t="s">
        <v>887</v>
      </c>
      <c r="C57" s="511"/>
      <c r="D57" s="444">
        <v>36000</v>
      </c>
      <c r="E57" s="343" t="s">
        <v>856</v>
      </c>
      <c r="F57" s="511"/>
      <c r="G57" s="444">
        <v>199332.27</v>
      </c>
      <c r="H57" s="343" t="s">
        <v>835</v>
      </c>
      <c r="I57" s="511"/>
      <c r="J57" s="444">
        <v>2769.2307692307691</v>
      </c>
      <c r="K57" s="343" t="s">
        <v>835</v>
      </c>
      <c r="L57" s="511"/>
      <c r="M57" s="444">
        <v>15333.251538461538</v>
      </c>
      <c r="N57" s="343" t="s">
        <v>835</v>
      </c>
      <c r="O57" s="511"/>
      <c r="P57" s="512" t="str">
        <f t="shared" si="23"/>
        <v>Met</v>
      </c>
      <c r="Q57" s="511"/>
      <c r="R57" s="444">
        <f>VLOOKUP(A57,'2020-21'!$A$6:$F$319,6,0)</f>
        <v>36000</v>
      </c>
      <c r="S57" s="513" t="str">
        <f t="shared" si="1"/>
        <v>Met</v>
      </c>
      <c r="U57" s="444">
        <f>VLOOKUP(A57,'2020-21'!$A$6:$G$319,7,0)</f>
        <v>181471.87</v>
      </c>
      <c r="V57" s="513" t="str">
        <f t="shared" si="2"/>
        <v>Did not Meet</v>
      </c>
      <c r="X57" s="444">
        <f>VLOOKUP(A57,'2020-21'!$A$6:$F$319,6,0)/VLOOKUP(A57,'42. SEA or LEA Worksheet'!$A$4:$T$324,20,0)</f>
        <v>2117.6470588235293</v>
      </c>
      <c r="Y57" s="513" t="str">
        <f t="shared" si="3"/>
        <v>Did not Meet</v>
      </c>
      <c r="AA57" s="444">
        <f>VLOOKUP(A57,'42. SEA or LEA Worksheet'!$A$4:$W$324,23,0)/VLOOKUP(compliance!A57,'42. SEA or LEA Worksheet'!$A$4:$T$324,20,0)</f>
        <v>10674.815882352941</v>
      </c>
      <c r="AB57" s="513" t="str">
        <f t="shared" si="4"/>
        <v>Did not Meet</v>
      </c>
      <c r="AD57" s="512" t="str">
        <f t="shared" si="24"/>
        <v>Met</v>
      </c>
      <c r="AF57" s="444">
        <f>VLOOKUP(A57,'42. SEA or LEA Worksheet'!$A$4:$Z$324,26,0)</f>
        <v>36000</v>
      </c>
      <c r="AG57" s="513" t="str">
        <f t="shared" si="6"/>
        <v>Met</v>
      </c>
      <c r="AI57" s="444">
        <f>VLOOKUP(A57,'42. SEA or LEA Worksheet'!$A$4:$AB$324,28,0)</f>
        <v>184166.95</v>
      </c>
      <c r="AJ57" s="513" t="str">
        <f t="shared" si="7"/>
        <v>Met</v>
      </c>
      <c r="AL57" s="444">
        <f>VLOOKUP(compliance!A57,'42. SEA or LEA Worksheet'!$A$4:$AB$324,26,0)/VLOOKUP(compliance!A57,'42. SEA or LEA Worksheet'!$A$4:$Y$324,25,0)</f>
        <v>1636.3636363636363</v>
      </c>
      <c r="AM57" s="513" t="str">
        <f t="shared" si="8"/>
        <v>Did not Meet</v>
      </c>
      <c r="AO57" s="444">
        <f>VLOOKUP(A57,'42. SEA or LEA Worksheet'!$A$4:$AB$324,28,0)/VLOOKUP(compliance!A57,'42. SEA or LEA Worksheet'!$A$4:$Y$324,25,0)</f>
        <v>8371.2250000000004</v>
      </c>
      <c r="AP57" s="513" t="str">
        <f t="shared" si="9"/>
        <v>Did not Meet</v>
      </c>
      <c r="AR57" s="512" t="str">
        <f t="shared" si="25"/>
        <v>Met</v>
      </c>
      <c r="AT57" s="444">
        <f>VLOOKUP(A57,'42. SEA or LEA Worksheet'!$A$4:$AE$324,31,0)</f>
        <v>36000</v>
      </c>
      <c r="AU57" s="513" t="str">
        <f t="shared" si="26"/>
        <v>Met</v>
      </c>
      <c r="AW57" s="444">
        <f>VLOOKUP(A57,'42. SEA or LEA Worksheet'!$A$4:$AG$324,33,0)</f>
        <v>189507.06</v>
      </c>
      <c r="AX57" s="513" t="str">
        <f t="shared" si="34"/>
        <v>Met</v>
      </c>
      <c r="AZ57" s="444">
        <f>VLOOKUP(A57,'42. SEA or LEA Worksheet'!$A$4:$AG$324,31,0)/VLOOKUP(A57,'42. SEA or LEA Worksheet'!$A$4:$AD$324,30,0)</f>
        <v>1636.3636363636363</v>
      </c>
      <c r="BA57" s="513" t="str">
        <f t="shared" si="27"/>
        <v>Met</v>
      </c>
      <c r="BC57" s="444">
        <f>VLOOKUP(A57,'42. SEA or LEA Worksheet'!$A$4:$AG$324,33,0)/VLOOKUP(A57,'42. SEA or LEA Worksheet'!$A$4:$AD$324,30,0)</f>
        <v>8613.9572727272734</v>
      </c>
      <c r="BD57" s="513" t="str">
        <f t="shared" si="35"/>
        <v>Met</v>
      </c>
      <c r="BF57" s="512" t="str">
        <f>IF(AND(AU57="Did not Meet",AX57="Did not Meet", BA57="Did not Meet",BD57="Did not Meet"),"Did not Meet","Met")</f>
        <v>Met</v>
      </c>
      <c r="BG57" s="637">
        <f>VLOOKUP(A57,'42. SEA or LEA Worksheet'!$A$4:$AM$324,36,0)</f>
        <v>115119.76</v>
      </c>
      <c r="BH57" s="638" t="str">
        <f t="shared" si="29"/>
        <v>Met</v>
      </c>
      <c r="BI57" s="639"/>
      <c r="BJ57" s="637">
        <f>VLOOKUP(A57,'42. SEA or LEA Worksheet'!$A$4:$AM$324,38,0)</f>
        <v>277929.65999999997</v>
      </c>
      <c r="BK57" s="638" t="str">
        <f t="shared" si="30"/>
        <v>Met</v>
      </c>
      <c r="BM57" s="631">
        <f>VLOOKUP(A57,'42. SEA or LEA Worksheet'!$A$4:$AL$324,36,0)/VLOOKUP(A57,'42. SEA or LEA Worksheet'!$A$4:$AL$324,35,0)</f>
        <v>6058.9347368421049</v>
      </c>
      <c r="BN57" s="632" t="str">
        <f t="shared" si="31"/>
        <v>Met</v>
      </c>
      <c r="BP57" s="631">
        <f>VLOOKUP(A57,'42. SEA or LEA Worksheet'!$A$4:$AL$324,38,0)/VLOOKUP(A57,'42. SEA or LEA Worksheet'!$A$4:$AL$324,35,0)</f>
        <v>14627.876842105261</v>
      </c>
      <c r="BQ57" s="632" t="str">
        <f t="shared" si="32"/>
        <v>Met</v>
      </c>
      <c r="BS57" s="620" t="str">
        <f>IF(AND(BH57="Did not Meet",BK57="Did not Meet", BN57="Did not Meet",BQ57="Did not Meet"),"Did not Meet","Met")</f>
        <v>Met</v>
      </c>
    </row>
    <row r="58" spans="1:71" x14ac:dyDescent="0.25">
      <c r="A58" s="343" t="s">
        <v>302</v>
      </c>
      <c r="B58" s="510" t="s">
        <v>888</v>
      </c>
      <c r="C58" s="511"/>
      <c r="D58" s="444">
        <v>0</v>
      </c>
      <c r="E58" s="343" t="s">
        <v>856</v>
      </c>
      <c r="F58" s="511"/>
      <c r="G58" s="444">
        <v>257235</v>
      </c>
      <c r="H58" s="343" t="s">
        <v>835</v>
      </c>
      <c r="I58" s="511"/>
      <c r="J58" s="444">
        <v>0</v>
      </c>
      <c r="K58" s="343" t="s">
        <v>856</v>
      </c>
      <c r="L58" s="511"/>
      <c r="M58" s="444">
        <v>11692.5</v>
      </c>
      <c r="N58" s="343" t="s">
        <v>835</v>
      </c>
      <c r="O58" s="511"/>
      <c r="P58" s="512" t="str">
        <f t="shared" si="23"/>
        <v>Met</v>
      </c>
      <c r="Q58" s="511"/>
      <c r="R58" s="444">
        <f>VLOOKUP(A58,'2020-21'!$A$6:$F$319,6,0)</f>
        <v>0</v>
      </c>
      <c r="S58" s="513" t="str">
        <f t="shared" si="1"/>
        <v>Met</v>
      </c>
      <c r="U58" s="444">
        <f>VLOOKUP(A58,'2020-21'!$A$6:$G$319,7,0)</f>
        <v>289855.90999999997</v>
      </c>
      <c r="V58" s="513" t="str">
        <f t="shared" si="2"/>
        <v>Met</v>
      </c>
      <c r="X58" s="444">
        <f>VLOOKUP(A58,'2020-21'!$A$6:$F$319,6,0)/VLOOKUP(A58,'42. SEA or LEA Worksheet'!$A$4:$T$324,20,0)</f>
        <v>0</v>
      </c>
      <c r="Y58" s="513" t="str">
        <f t="shared" si="3"/>
        <v>Met</v>
      </c>
      <c r="AA58" s="444">
        <f>VLOOKUP(A58,'42. SEA or LEA Worksheet'!$A$4:$W$324,23,0)/VLOOKUP(compliance!A58,'42. SEA or LEA Worksheet'!$A$4:$T$324,20,0)</f>
        <v>11148.30423076923</v>
      </c>
      <c r="AB58" s="513" t="str">
        <f t="shared" si="4"/>
        <v>Did not Meet</v>
      </c>
      <c r="AD58" s="512" t="str">
        <f t="shared" si="24"/>
        <v>Met</v>
      </c>
      <c r="AF58" s="444">
        <f>VLOOKUP(A58,'42. SEA or LEA Worksheet'!$A$4:$Z$324,26,0)</f>
        <v>0</v>
      </c>
      <c r="AG58" s="513" t="str">
        <f t="shared" si="6"/>
        <v>Met</v>
      </c>
      <c r="AI58" s="444">
        <f>VLOOKUP(A58,'42. SEA or LEA Worksheet'!$A$4:$AB$324,28,0)</f>
        <v>255586.86</v>
      </c>
      <c r="AJ58" s="513" t="str">
        <f t="shared" si="7"/>
        <v>Did not Meet</v>
      </c>
      <c r="AL58" s="444">
        <f>VLOOKUP(compliance!A58,'42. SEA or LEA Worksheet'!$A$4:$AB$324,26,0)/VLOOKUP(compliance!A58,'42. SEA or LEA Worksheet'!$A$4:$Y$324,25,0)</f>
        <v>0</v>
      </c>
      <c r="AM58" s="513" t="str">
        <f t="shared" si="8"/>
        <v>Met</v>
      </c>
      <c r="AO58" s="444">
        <f>VLOOKUP(A58,'42. SEA or LEA Worksheet'!$A$4:$AB$324,28,0)/VLOOKUP(compliance!A58,'42. SEA or LEA Worksheet'!$A$4:$Y$324,25,0)</f>
        <v>8244.7374193548385</v>
      </c>
      <c r="AP58" s="513" t="str">
        <f t="shared" si="9"/>
        <v>Did not Meet</v>
      </c>
      <c r="AR58" s="512" t="str">
        <f t="shared" si="25"/>
        <v>Met</v>
      </c>
      <c r="AT58" s="444">
        <f>VLOOKUP(A58,'42. SEA or LEA Worksheet'!$A$4:$AE$324,31,0)</f>
        <v>0</v>
      </c>
      <c r="AU58" s="513" t="str">
        <f t="shared" si="26"/>
        <v>Met</v>
      </c>
      <c r="AW58" s="444">
        <f>VLOOKUP(A58,'42. SEA or LEA Worksheet'!$A$4:$AG$324,33,0)</f>
        <v>331227.56</v>
      </c>
      <c r="AX58" s="513" t="str">
        <f t="shared" si="34"/>
        <v>Met</v>
      </c>
      <c r="AZ58" s="444">
        <f>VLOOKUP(A58,'42. SEA or LEA Worksheet'!$A$4:$AG$324,31,0)/VLOOKUP(A58,'42. SEA or LEA Worksheet'!$A$4:$AD$324,30,0)</f>
        <v>0</v>
      </c>
      <c r="BA58" s="513" t="str">
        <f t="shared" si="27"/>
        <v>Met</v>
      </c>
      <c r="BC58" s="444">
        <f>VLOOKUP(A58,'42. SEA or LEA Worksheet'!$A$4:$AG$324,33,0)/VLOOKUP(A58,'42. SEA or LEA Worksheet'!$A$4:$AD$324,30,0)</f>
        <v>10684.76</v>
      </c>
      <c r="BD58" s="513" t="str">
        <f t="shared" si="35"/>
        <v>Met</v>
      </c>
      <c r="BF58" s="512" t="str">
        <f>IF(AND(AU58="Did not Meet",AX58="Did not Meet", BA58="Did not Meet",BD58="Did not Meet"),"Did not Meet","Met")</f>
        <v>Met</v>
      </c>
      <c r="BG58" s="637">
        <f>VLOOKUP(A58,'42. SEA or LEA Worksheet'!$A$4:$AM$324,36,0)</f>
        <v>0</v>
      </c>
      <c r="BH58" s="638" t="str">
        <f t="shared" si="29"/>
        <v>Met</v>
      </c>
      <c r="BI58" s="639"/>
      <c r="BJ58" s="637">
        <f>VLOOKUP(A58,'42. SEA or LEA Worksheet'!$A$4:$AM$324,38,0)</f>
        <v>544761.99</v>
      </c>
      <c r="BK58" s="638" t="str">
        <f t="shared" si="30"/>
        <v>Met</v>
      </c>
      <c r="BM58" s="631">
        <f>VLOOKUP(A58,'42. SEA or LEA Worksheet'!$A$4:$AL$324,36,0)/VLOOKUP(A58,'42. SEA or LEA Worksheet'!$A$4:$AL$324,35,0)</f>
        <v>0</v>
      </c>
      <c r="BN58" s="632" t="str">
        <f t="shared" si="31"/>
        <v>Met</v>
      </c>
      <c r="BP58" s="631">
        <f>VLOOKUP(A58,'42. SEA or LEA Worksheet'!$A$4:$AL$324,38,0)/VLOOKUP(A58,'42. SEA or LEA Worksheet'!$A$4:$AL$324,35,0)</f>
        <v>15564.628285714285</v>
      </c>
      <c r="BQ58" s="632" t="str">
        <f t="shared" si="32"/>
        <v>Met</v>
      </c>
      <c r="BS58" s="620" t="str">
        <f>IF(AND(BH58="Did not Meet",BK58="Did not Meet", BN58="Did not Meet",BQ58="Did not Meet"),"Did not Meet","Met")</f>
        <v>Met</v>
      </c>
    </row>
    <row r="59" spans="1:71" x14ac:dyDescent="0.25">
      <c r="A59" s="343" t="s">
        <v>304</v>
      </c>
      <c r="B59" s="510" t="s">
        <v>889</v>
      </c>
      <c r="C59" s="511"/>
      <c r="D59" s="444">
        <v>1000</v>
      </c>
      <c r="E59" s="343" t="s">
        <v>890</v>
      </c>
      <c r="F59" s="511"/>
      <c r="G59" s="444">
        <v>315248.36</v>
      </c>
      <c r="H59" s="343" t="s">
        <v>880</v>
      </c>
      <c r="I59" s="511"/>
      <c r="J59" s="444">
        <v>23.255813953488371</v>
      </c>
      <c r="K59" s="343" t="s">
        <v>891</v>
      </c>
      <c r="L59" s="511"/>
      <c r="M59" s="444">
        <v>7331.3572093023249</v>
      </c>
      <c r="N59" s="343" t="s">
        <v>856</v>
      </c>
      <c r="O59" s="511"/>
      <c r="P59" s="512" t="str">
        <f t="shared" si="23"/>
        <v>Met</v>
      </c>
      <c r="Q59" s="511"/>
      <c r="R59" s="444">
        <f>VLOOKUP(A59,'2020-21'!$A$6:$F$319,6,0)</f>
        <v>0</v>
      </c>
      <c r="S59" s="513" t="str">
        <f t="shared" si="1"/>
        <v>Did not Meet</v>
      </c>
      <c r="U59" s="444">
        <f>VLOOKUP(A59,'2020-21'!$A$6:$G$319,7,0)</f>
        <v>337975.58</v>
      </c>
      <c r="V59" s="513" t="str">
        <f t="shared" si="2"/>
        <v>Met</v>
      </c>
      <c r="X59" s="444">
        <f>VLOOKUP(A59,'2020-21'!$A$6:$F$319,6,0)/VLOOKUP(A59,'42. SEA or LEA Worksheet'!$A$4:$T$324,20,0)</f>
        <v>0</v>
      </c>
      <c r="Y59" s="513" t="str">
        <f t="shared" si="3"/>
        <v>Did not Meet</v>
      </c>
      <c r="AA59" s="444">
        <f>VLOOKUP(A59,'42. SEA or LEA Worksheet'!$A$4:$W$324,23,0)/VLOOKUP(compliance!A59,'42. SEA or LEA Worksheet'!$A$4:$T$324,20,0)</f>
        <v>6897.4608163265311</v>
      </c>
      <c r="AB59" s="513" t="str">
        <f t="shared" si="4"/>
        <v>Did not Meet</v>
      </c>
      <c r="AD59" s="512" t="str">
        <f t="shared" si="24"/>
        <v>Met</v>
      </c>
      <c r="AF59" s="444">
        <f>VLOOKUP(A59,'42. SEA or LEA Worksheet'!$A$4:$Z$324,26,0)</f>
        <v>0</v>
      </c>
      <c r="AG59" s="513" t="str">
        <f t="shared" si="6"/>
        <v>Met</v>
      </c>
      <c r="AI59" s="444">
        <f>VLOOKUP(A59,'42. SEA or LEA Worksheet'!$A$4:$AB$324,28,0)</f>
        <v>368249.7</v>
      </c>
      <c r="AJ59" s="513" t="str">
        <f t="shared" si="7"/>
        <v>Met</v>
      </c>
      <c r="AL59" s="444">
        <f>VLOOKUP(compliance!A59,'42. SEA or LEA Worksheet'!$A$4:$AB$324,26,0)/VLOOKUP(compliance!A59,'42. SEA or LEA Worksheet'!$A$4:$Y$324,25,0)</f>
        <v>0</v>
      </c>
      <c r="AM59" s="513" t="str">
        <f t="shared" si="8"/>
        <v>Met</v>
      </c>
      <c r="AO59" s="444">
        <f>VLOOKUP(A59,'42. SEA or LEA Worksheet'!$A$4:$AB$324,28,0)/VLOOKUP(compliance!A59,'42. SEA or LEA Worksheet'!$A$4:$Y$324,25,0)</f>
        <v>7220.5823529411764</v>
      </c>
      <c r="AP59" s="513" t="str">
        <f t="shared" si="9"/>
        <v>Met</v>
      </c>
      <c r="AR59" s="512" t="str">
        <f t="shared" si="25"/>
        <v>Met</v>
      </c>
      <c r="AT59" s="444">
        <f>VLOOKUP(A59,'42. SEA or LEA Worksheet'!$A$4:$AE$324,31,0)</f>
        <v>0</v>
      </c>
      <c r="AU59" s="513" t="str">
        <f t="shared" si="26"/>
        <v>Met</v>
      </c>
      <c r="AW59" s="444">
        <f>VLOOKUP(A59,'42. SEA or LEA Worksheet'!$A$4:$AG$324,33,0)</f>
        <v>441688.66</v>
      </c>
      <c r="AX59" s="513" t="str">
        <f t="shared" si="34"/>
        <v>Met</v>
      </c>
      <c r="AZ59" s="444">
        <f>VLOOKUP(A59,'42. SEA or LEA Worksheet'!$A$4:$AG$324,31,0)/VLOOKUP(A59,'42. SEA or LEA Worksheet'!$A$4:$AD$324,30,0)</f>
        <v>0</v>
      </c>
      <c r="BA59" s="513" t="str">
        <f t="shared" si="27"/>
        <v>Met</v>
      </c>
      <c r="BC59" s="444">
        <f>VLOOKUP(A59,'42. SEA or LEA Worksheet'!$A$4:$AG$324,33,0)/VLOOKUP(A59,'42. SEA or LEA Worksheet'!$A$4:$AD$324,30,0)</f>
        <v>8494.0126923076914</v>
      </c>
      <c r="BD59" s="513" t="str">
        <f t="shared" si="35"/>
        <v>Met</v>
      </c>
      <c r="BF59" s="512" t="str">
        <f>IF(AND(AU59="Did not Meet",AX59="Did not Meet", BA59="Did not Meet",BD59="Did not Meet"),"Did not Meet","Met")</f>
        <v>Met</v>
      </c>
      <c r="BG59" s="637">
        <f>VLOOKUP(A59,'42. SEA or LEA Worksheet'!$A$4:$AM$324,36,0)</f>
        <v>0</v>
      </c>
      <c r="BH59" s="638" t="str">
        <f t="shared" si="29"/>
        <v>Met</v>
      </c>
      <c r="BI59" s="639"/>
      <c r="BJ59" s="637">
        <f>VLOOKUP(A59,'42. SEA or LEA Worksheet'!$A$4:$AM$324,38,0)</f>
        <v>648354.52</v>
      </c>
      <c r="BK59" s="638" t="str">
        <f t="shared" si="30"/>
        <v>Met</v>
      </c>
      <c r="BM59" s="631">
        <f>VLOOKUP(A59,'42. SEA or LEA Worksheet'!$A$4:$AL$324,36,0)/VLOOKUP(A59,'42. SEA or LEA Worksheet'!$A$4:$AL$324,35,0)</f>
        <v>0</v>
      </c>
      <c r="BN59" s="632" t="str">
        <f t="shared" si="31"/>
        <v>Met</v>
      </c>
      <c r="BP59" s="631">
        <f>VLOOKUP(A59,'42. SEA or LEA Worksheet'!$A$4:$AL$324,38,0)/VLOOKUP(A59,'42. SEA or LEA Worksheet'!$A$4:$AL$324,35,0)</f>
        <v>12712.833725490196</v>
      </c>
      <c r="BQ59" s="632" t="str">
        <f t="shared" si="32"/>
        <v>Met</v>
      </c>
      <c r="BS59" s="620" t="str">
        <f>IF(AND(BH59="Did not Meet",BK59="Did not Meet", BN59="Did not Meet",BQ59="Did not Meet"),"Did not Meet","Met")</f>
        <v>Met</v>
      </c>
    </row>
    <row r="60" spans="1:71" x14ac:dyDescent="0.25">
      <c r="A60" s="343" t="s">
        <v>306</v>
      </c>
      <c r="B60" s="510" t="s">
        <v>1138</v>
      </c>
      <c r="C60" s="511"/>
      <c r="D60" s="444">
        <v>0</v>
      </c>
      <c r="E60" s="343" t="s">
        <v>835</v>
      </c>
      <c r="F60" s="511"/>
      <c r="G60" s="444">
        <v>16390.8</v>
      </c>
      <c r="H60" s="343" t="s">
        <v>835</v>
      </c>
      <c r="I60" s="511"/>
      <c r="J60" s="444">
        <v>0</v>
      </c>
      <c r="K60" s="343" t="s">
        <v>835</v>
      </c>
      <c r="L60" s="511"/>
      <c r="M60" s="444">
        <v>5463.5999999999995</v>
      </c>
      <c r="N60" s="343" t="s">
        <v>835</v>
      </c>
      <c r="O60" s="511"/>
      <c r="P60" s="512" t="str">
        <f t="shared" si="23"/>
        <v>Met</v>
      </c>
      <c r="Q60" s="511"/>
      <c r="R60" s="444">
        <f>VLOOKUP(A60,'2020-21'!$A$6:$F$319,6,0)</f>
        <v>21950.720000000001</v>
      </c>
      <c r="S60" s="513" t="str">
        <f t="shared" si="1"/>
        <v>Met</v>
      </c>
      <c r="U60" s="444">
        <f>VLOOKUP(A60,'2020-21'!$A$6:$G$319,7,0)</f>
        <v>87728</v>
      </c>
      <c r="V60" s="513" t="str">
        <f t="shared" si="2"/>
        <v>Met</v>
      </c>
      <c r="X60" s="444">
        <f>VLOOKUP(A60,'2020-21'!$A$6:$F$319,6,0)/VLOOKUP(A60,'42. SEA or LEA Worksheet'!$A$4:$T$324,20,0)</f>
        <v>10975.36</v>
      </c>
      <c r="Y60" s="513" t="str">
        <f t="shared" si="3"/>
        <v>Met</v>
      </c>
      <c r="AA60" s="444">
        <f>VLOOKUP(A60,'42. SEA or LEA Worksheet'!$A$4:$W$324,23,0)/VLOOKUP(compliance!A60,'42. SEA or LEA Worksheet'!$A$4:$T$324,20,0)</f>
        <v>43864</v>
      </c>
      <c r="AB60" s="513" t="str">
        <f t="shared" si="4"/>
        <v>Met</v>
      </c>
      <c r="AD60" s="512" t="str">
        <f t="shared" si="24"/>
        <v>Met</v>
      </c>
      <c r="AF60" s="444">
        <f>VLOOKUP(A60,'42. SEA or LEA Worksheet'!$A$4:$Z$324,26,0)</f>
        <v>0</v>
      </c>
      <c r="AG60" s="513" t="str">
        <f t="shared" si="6"/>
        <v>Did not Meet</v>
      </c>
      <c r="AI60" s="444">
        <f>VLOOKUP(A60,'42. SEA or LEA Worksheet'!$A$4:$AB$324,28,0)</f>
        <v>54187.57</v>
      </c>
      <c r="AJ60" s="513" t="str">
        <f t="shared" si="7"/>
        <v>Did not Meet</v>
      </c>
      <c r="AL60" s="444">
        <f>VLOOKUP(compliance!A60,'42. SEA or LEA Worksheet'!$A$4:$AB$324,26,0)/VLOOKUP(compliance!A60,'42. SEA or LEA Worksheet'!$A$4:$Y$324,25,0)</f>
        <v>0</v>
      </c>
      <c r="AM60" s="513" t="str">
        <f t="shared" si="8"/>
        <v>Did not Meet</v>
      </c>
      <c r="AO60" s="444">
        <f>VLOOKUP(A60,'42. SEA or LEA Worksheet'!$A$4:$AB$324,28,0)/VLOOKUP(compliance!A60,'42. SEA or LEA Worksheet'!$A$4:$Y$324,25,0)</f>
        <v>13546.8925</v>
      </c>
      <c r="AP60" s="513" t="str">
        <f t="shared" si="9"/>
        <v>Did not Meet</v>
      </c>
      <c r="AR60" s="512" t="str">
        <f t="shared" si="25"/>
        <v>Did not Meet</v>
      </c>
      <c r="AT60" s="444">
        <f>VLOOKUP(A60,'42. SEA or LEA Worksheet'!$A$4:$AE$324,31,0)</f>
        <v>5329.02</v>
      </c>
      <c r="AU60" s="513" t="str">
        <f t="shared" si="26"/>
        <v>Met</v>
      </c>
      <c r="AW60" s="444">
        <f>VLOOKUP(A60,'42. SEA or LEA Worksheet'!$A$4:$AG$324,33,0)</f>
        <v>71571.37000000001</v>
      </c>
      <c r="AX60" s="513" t="str">
        <f t="shared" si="34"/>
        <v>Met</v>
      </c>
      <c r="AZ60" s="444">
        <f>VLOOKUP(A60,'42. SEA or LEA Worksheet'!$A$4:$AG$324,31,0)/VLOOKUP(A60,'42. SEA or LEA Worksheet'!$A$4:$AD$324,30,0)</f>
        <v>666.12750000000005</v>
      </c>
      <c r="BA60" s="513" t="str">
        <f t="shared" si="27"/>
        <v>Met</v>
      </c>
      <c r="BC60" s="444">
        <f>VLOOKUP(A60,'42. SEA or LEA Worksheet'!$A$4:$AG$324,33,0)/VLOOKUP(A60,'42. SEA or LEA Worksheet'!$A$4:$AD$324,30,0)</f>
        <v>8946.4212500000012</v>
      </c>
      <c r="BD60" s="513" t="str">
        <f t="shared" si="35"/>
        <v>Did not Meet</v>
      </c>
      <c r="BF60" s="512" t="str">
        <f>IF(AND(AU60="Did not Meet",AX60="Did not Meet", BA60="Did not Meet",BD60="Did not Meet",),"Did not Meet","Met")</f>
        <v>Met</v>
      </c>
      <c r="BG60" s="637">
        <f>VLOOKUP(A60,'42. SEA or LEA Worksheet'!$A$4:$AM$324,36,0)</f>
        <v>0</v>
      </c>
      <c r="BH60" s="638" t="str">
        <f t="shared" si="29"/>
        <v>Did not Meet</v>
      </c>
      <c r="BI60" s="639"/>
      <c r="BJ60" s="637">
        <f>VLOOKUP(A60,'42. SEA or LEA Worksheet'!$A$4:$AM$324,38,0)</f>
        <v>76411.009999999995</v>
      </c>
      <c r="BK60" s="638" t="str">
        <f t="shared" si="30"/>
        <v>Met</v>
      </c>
      <c r="BM60" s="631">
        <f>VLOOKUP(A60,'42. SEA or LEA Worksheet'!$A$4:$AL$324,36,0)/VLOOKUP(A60,'42. SEA or LEA Worksheet'!$A$4:$AL$324,35,0)</f>
        <v>0</v>
      </c>
      <c r="BN60" s="632" t="str">
        <f t="shared" si="31"/>
        <v>Met</v>
      </c>
      <c r="BP60" s="631">
        <f>VLOOKUP(A60,'42. SEA or LEA Worksheet'!$A$4:$AL$324,38,0)/VLOOKUP(A60,'42. SEA or LEA Worksheet'!$A$4:$AL$324,35,0)</f>
        <v>9551.3762499999993</v>
      </c>
      <c r="BQ60" s="632" t="str">
        <f t="shared" si="32"/>
        <v>Met</v>
      </c>
      <c r="BS60" s="620" t="str">
        <f>IF(AND(BH60="Did not Meet",BK60="Did not Meet", BN60="Did not Meet",BQ60="Did not Meet",),"Did not Meet","Met")</f>
        <v>Met</v>
      </c>
    </row>
    <row r="61" spans="1:71" x14ac:dyDescent="0.25">
      <c r="A61" s="343" t="s">
        <v>308</v>
      </c>
      <c r="B61" s="510" t="s">
        <v>892</v>
      </c>
      <c r="C61" s="511"/>
      <c r="D61" s="444">
        <v>0</v>
      </c>
      <c r="E61" s="343" t="s">
        <v>835</v>
      </c>
      <c r="F61" s="511"/>
      <c r="G61" s="444">
        <v>601615.43999999994</v>
      </c>
      <c r="H61" s="343" t="s">
        <v>835</v>
      </c>
      <c r="I61" s="511"/>
      <c r="J61" s="444">
        <v>0</v>
      </c>
      <c r="K61" s="343" t="s">
        <v>835</v>
      </c>
      <c r="L61" s="511"/>
      <c r="M61" s="444">
        <v>8241.3073972602724</v>
      </c>
      <c r="N61" s="343" t="s">
        <v>835</v>
      </c>
      <c r="O61" s="511"/>
      <c r="P61" s="512" t="str">
        <f t="shared" si="23"/>
        <v>Met</v>
      </c>
      <c r="Q61" s="511"/>
      <c r="R61" s="444">
        <f>VLOOKUP(A61,'2020-21'!$A$6:$F$319,6,0)</f>
        <v>0</v>
      </c>
      <c r="S61" s="513" t="str">
        <f t="shared" si="1"/>
        <v>Met</v>
      </c>
      <c r="U61" s="444">
        <f>VLOOKUP(A61,'2020-21'!$A$6:$G$319,7,0)</f>
        <v>706788.42</v>
      </c>
      <c r="V61" s="513" t="str">
        <f t="shared" si="2"/>
        <v>Met</v>
      </c>
      <c r="X61" s="444">
        <f>VLOOKUP(A61,'2020-21'!$A$6:$F$319,6,0)/VLOOKUP(A61,'42. SEA or LEA Worksheet'!$A$4:$T$324,20,0)</f>
        <v>0</v>
      </c>
      <c r="Y61" s="513" t="str">
        <f t="shared" si="3"/>
        <v>Met</v>
      </c>
      <c r="AA61" s="444">
        <f>VLOOKUP(A61,'42. SEA or LEA Worksheet'!$A$4:$W$324,23,0)/VLOOKUP(compliance!A61,'42. SEA or LEA Worksheet'!$A$4:$T$324,20,0)</f>
        <v>9682.0331506849325</v>
      </c>
      <c r="AB61" s="513" t="str">
        <f t="shared" si="4"/>
        <v>Met</v>
      </c>
      <c r="AD61" s="512" t="str">
        <f t="shared" si="24"/>
        <v>Met</v>
      </c>
      <c r="AF61" s="444">
        <f>VLOOKUP(A61,'42. SEA or LEA Worksheet'!$A$4:$Z$324,26,0)</f>
        <v>0</v>
      </c>
      <c r="AG61" s="513" t="str">
        <f t="shared" si="6"/>
        <v>Met</v>
      </c>
      <c r="AI61" s="444">
        <f>VLOOKUP(A61,'42. SEA or LEA Worksheet'!$A$4:$AB$324,28,0)</f>
        <v>682316.01</v>
      </c>
      <c r="AJ61" s="513" t="str">
        <f t="shared" si="7"/>
        <v>Did not Meet</v>
      </c>
      <c r="AL61" s="444">
        <f>VLOOKUP(compliance!A61,'42. SEA or LEA Worksheet'!$A$4:$AB$324,26,0)/VLOOKUP(compliance!A61,'42. SEA or LEA Worksheet'!$A$4:$Y$324,25,0)</f>
        <v>0</v>
      </c>
      <c r="AM61" s="513" t="str">
        <f t="shared" si="8"/>
        <v>Met</v>
      </c>
      <c r="AO61" s="444">
        <f>VLOOKUP(A61,'42. SEA or LEA Worksheet'!$A$4:$AB$324,28,0)/VLOOKUP(compliance!A61,'42. SEA or LEA Worksheet'!$A$4:$Y$324,25,0)</f>
        <v>8977.8422368421052</v>
      </c>
      <c r="AP61" s="513" t="str">
        <f t="shared" si="9"/>
        <v>Did not Meet</v>
      </c>
      <c r="AR61" s="512" t="str">
        <f t="shared" si="25"/>
        <v>Met</v>
      </c>
      <c r="AT61" s="444">
        <f>VLOOKUP(A61,'42. SEA or LEA Worksheet'!$A$4:$AE$324,31,0)</f>
        <v>0</v>
      </c>
      <c r="AU61" s="513" t="str">
        <f t="shared" si="26"/>
        <v>Met</v>
      </c>
      <c r="AW61" s="444">
        <f>VLOOKUP(A61,'42. SEA or LEA Worksheet'!$A$4:$AG$324,33,0)</f>
        <v>640069.86</v>
      </c>
      <c r="AX61" s="513" t="str">
        <f t="shared" si="34"/>
        <v>Did not Meet</v>
      </c>
      <c r="AZ61" s="444">
        <f>VLOOKUP(A61,'42. SEA or LEA Worksheet'!$A$4:$AG$324,31,0)/VLOOKUP(A61,'42. SEA or LEA Worksheet'!$A$4:$AD$324,30,0)</f>
        <v>0</v>
      </c>
      <c r="BA61" s="513" t="str">
        <f t="shared" si="27"/>
        <v>Met</v>
      </c>
      <c r="BC61" s="444">
        <f>VLOOKUP(A61,'42. SEA or LEA Worksheet'!$A$4:$AG$324,33,0)/VLOOKUP(A61,'42. SEA or LEA Worksheet'!$A$4:$AD$324,30,0)</f>
        <v>9276.3747826086947</v>
      </c>
      <c r="BD61" s="513" t="str">
        <f t="shared" si="35"/>
        <v>Met</v>
      </c>
      <c r="BF61" s="512" t="str">
        <f>IF(AND(AU61="Did not Meet",AX61="Did not Meet", BA61="Did not Meet",BD61="Did not Meet"),"Did not Meet","Met")</f>
        <v>Met</v>
      </c>
      <c r="BG61" s="637">
        <f>VLOOKUP(A61,'42. SEA or LEA Worksheet'!$A$4:$AM$324,36,0)</f>
        <v>0</v>
      </c>
      <c r="BH61" s="638" t="str">
        <f t="shared" si="29"/>
        <v>Met</v>
      </c>
      <c r="BI61" s="639"/>
      <c r="BJ61" s="637">
        <f>VLOOKUP(A61,'42. SEA or LEA Worksheet'!$A$4:$AM$324,38,0)</f>
        <v>844545.59</v>
      </c>
      <c r="BK61" s="638" t="str">
        <f t="shared" si="30"/>
        <v>Met</v>
      </c>
      <c r="BM61" s="631">
        <f>VLOOKUP(A61,'42. SEA or LEA Worksheet'!$A$4:$AL$324,36,0)/VLOOKUP(A61,'42. SEA or LEA Worksheet'!$A$4:$AL$324,35,0)</f>
        <v>0</v>
      </c>
      <c r="BN61" s="632" t="str">
        <f t="shared" si="31"/>
        <v>Met</v>
      </c>
      <c r="BP61" s="631">
        <f>VLOOKUP(A61,'42. SEA or LEA Worksheet'!$A$4:$AL$324,38,0)/VLOOKUP(A61,'42. SEA or LEA Worksheet'!$A$4:$AL$324,35,0)</f>
        <v>10556.819874999999</v>
      </c>
      <c r="BQ61" s="632" t="str">
        <f t="shared" si="32"/>
        <v>Met</v>
      </c>
      <c r="BS61" s="620" t="str">
        <f>IF(AND(BH61="Did not Meet",BK61="Did not Meet", BN61="Did not Meet",BQ61="Did not Meet"),"Did not Meet","Met")</f>
        <v>Met</v>
      </c>
    </row>
    <row r="62" spans="1:71" x14ac:dyDescent="0.25">
      <c r="A62" s="343" t="s">
        <v>310</v>
      </c>
      <c r="B62" s="510" t="s">
        <v>893</v>
      </c>
      <c r="C62" s="511"/>
      <c r="D62" s="444">
        <v>2157.02</v>
      </c>
      <c r="E62" s="343" t="s">
        <v>856</v>
      </c>
      <c r="F62" s="511"/>
      <c r="G62" s="444">
        <v>638159.17000000004</v>
      </c>
      <c r="H62" s="343" t="s">
        <v>835</v>
      </c>
      <c r="I62" s="511"/>
      <c r="J62" s="444">
        <v>29.548219178082192</v>
      </c>
      <c r="K62" s="343" t="s">
        <v>856</v>
      </c>
      <c r="L62" s="511"/>
      <c r="M62" s="444">
        <v>8741.9064383561654</v>
      </c>
      <c r="N62" s="343" t="s">
        <v>835</v>
      </c>
      <c r="O62" s="511"/>
      <c r="P62" s="512" t="str">
        <f t="shared" si="23"/>
        <v>Met</v>
      </c>
      <c r="Q62" s="511"/>
      <c r="R62" s="444">
        <f>VLOOKUP(A62,'2020-21'!$A$6:$F$319,6,0)</f>
        <v>6121.55</v>
      </c>
      <c r="S62" s="513" t="str">
        <f t="shared" si="1"/>
        <v>Met</v>
      </c>
      <c r="U62" s="444">
        <f>VLOOKUP(A62,'2020-21'!$A$6:$G$319,7,0)</f>
        <v>626506.75</v>
      </c>
      <c r="V62" s="513" t="str">
        <f t="shared" si="2"/>
        <v>Did not Meet</v>
      </c>
      <c r="X62" s="444">
        <f>VLOOKUP(A62,'2020-21'!$A$6:$F$319,6,0)/VLOOKUP(A62,'42. SEA or LEA Worksheet'!$A$4:$T$324,20,0)</f>
        <v>81.620666666666665</v>
      </c>
      <c r="Y62" s="513" t="str">
        <f t="shared" si="3"/>
        <v>Met</v>
      </c>
      <c r="AA62" s="444">
        <f>VLOOKUP(A62,'42. SEA or LEA Worksheet'!$A$4:$W$324,23,0)/VLOOKUP(compliance!A62,'42. SEA or LEA Worksheet'!$A$4:$T$324,20,0)</f>
        <v>8353.4233333333341</v>
      </c>
      <c r="AB62" s="513" t="str">
        <f t="shared" si="4"/>
        <v>Did not Meet</v>
      </c>
      <c r="AD62" s="512" t="str">
        <f t="shared" si="24"/>
        <v>Met</v>
      </c>
      <c r="AF62" s="444">
        <f>VLOOKUP(A62,'42. SEA or LEA Worksheet'!$A$4:$Z$324,26,0)</f>
        <v>6121.55</v>
      </c>
      <c r="AG62" s="513" t="str">
        <f t="shared" si="6"/>
        <v>Met</v>
      </c>
      <c r="AI62" s="444">
        <f>VLOOKUP(A62,'42. SEA or LEA Worksheet'!$A$4:$AB$324,28,0)</f>
        <v>799495.05</v>
      </c>
      <c r="AJ62" s="513" t="str">
        <f t="shared" si="7"/>
        <v>Met</v>
      </c>
      <c r="AL62" s="444">
        <f>VLOOKUP(compliance!A62,'42. SEA or LEA Worksheet'!$A$4:$AB$324,26,0)/VLOOKUP(compliance!A62,'42. SEA or LEA Worksheet'!$A$4:$Y$324,25,0)</f>
        <v>79.500649350649354</v>
      </c>
      <c r="AM62" s="513" t="str">
        <f t="shared" si="8"/>
        <v>Did not Meet</v>
      </c>
      <c r="AO62" s="444">
        <f>VLOOKUP(A62,'42. SEA or LEA Worksheet'!$A$4:$AB$324,28,0)/VLOOKUP(compliance!A62,'42. SEA or LEA Worksheet'!$A$4:$Y$324,25,0)</f>
        <v>10383.052597402599</v>
      </c>
      <c r="AP62" s="513" t="str">
        <f t="shared" si="9"/>
        <v>Met</v>
      </c>
      <c r="AR62" s="512" t="str">
        <f t="shared" si="25"/>
        <v>Met</v>
      </c>
      <c r="AT62" s="444">
        <f>VLOOKUP(A62,'42. SEA or LEA Worksheet'!$A$4:$AE$324,31,0)</f>
        <v>6645.58</v>
      </c>
      <c r="AU62" s="513" t="str">
        <f t="shared" si="26"/>
        <v>Met</v>
      </c>
      <c r="AW62" s="444">
        <f>VLOOKUP(A62,'42. SEA or LEA Worksheet'!$A$4:$AG$324,33,0)</f>
        <v>867935.0199999999</v>
      </c>
      <c r="AX62" s="513" t="str">
        <f t="shared" si="34"/>
        <v>Met</v>
      </c>
      <c r="AZ62" s="444">
        <f>VLOOKUP(A62,'42. SEA or LEA Worksheet'!$A$4:$AG$324,31,0)/VLOOKUP(A62,'42. SEA or LEA Worksheet'!$A$4:$AD$324,30,0)</f>
        <v>87.441842105263163</v>
      </c>
      <c r="BA62" s="513" t="str">
        <f t="shared" si="27"/>
        <v>Met</v>
      </c>
      <c r="BC62" s="444">
        <f>VLOOKUP(A62,'42. SEA or LEA Worksheet'!$A$4:$AG$324,33,0)/VLOOKUP(A62,'42. SEA or LEA Worksheet'!$A$4:$AD$324,30,0)</f>
        <v>11420.197631578945</v>
      </c>
      <c r="BD62" s="513" t="str">
        <f t="shared" si="35"/>
        <v>Met</v>
      </c>
      <c r="BF62" s="512" t="str">
        <f>IF(AND(AU62="Did not Meet",AX62="Did not Meet", BA62="Did not Meet",BD62="Did not Meet"),"Did not Meet","Met")</f>
        <v>Met</v>
      </c>
      <c r="BG62" s="637">
        <f>VLOOKUP(A62,'42. SEA or LEA Worksheet'!$A$4:$AM$324,36,0)</f>
        <v>6779.47</v>
      </c>
      <c r="BH62" s="638" t="str">
        <f t="shared" si="29"/>
        <v>Met</v>
      </c>
      <c r="BI62" s="639"/>
      <c r="BJ62" s="637">
        <f>VLOOKUP(A62,'42. SEA or LEA Worksheet'!$A$4:$AM$324,38,0)</f>
        <v>885421.64</v>
      </c>
      <c r="BK62" s="638" t="str">
        <f t="shared" si="30"/>
        <v>Met</v>
      </c>
      <c r="BM62" s="631">
        <f>VLOOKUP(A62,'42. SEA or LEA Worksheet'!$A$4:$AL$324,36,0)/VLOOKUP(A62,'42. SEA or LEA Worksheet'!$A$4:$AL$324,35,0)</f>
        <v>77.924942528735642</v>
      </c>
      <c r="BN62" s="632" t="str">
        <f t="shared" si="31"/>
        <v>Met</v>
      </c>
      <c r="BP62" s="631">
        <f>VLOOKUP(A62,'42. SEA or LEA Worksheet'!$A$4:$AL$324,38,0)/VLOOKUP(A62,'42. SEA or LEA Worksheet'!$A$4:$AL$324,35,0)</f>
        <v>10177.260229885058</v>
      </c>
      <c r="BQ62" s="632" t="str">
        <f t="shared" si="32"/>
        <v>Met</v>
      </c>
      <c r="BS62" s="620" t="str">
        <f>IF(AND(BH62="Did not Meet",BK62="Did not Meet", BN62="Did not Meet",BQ62="Did not Meet"),"Did not Meet","Met")</f>
        <v>Met</v>
      </c>
    </row>
    <row r="63" spans="1:71" x14ac:dyDescent="0.25">
      <c r="A63" s="343" t="s">
        <v>312</v>
      </c>
      <c r="B63" s="510" t="s">
        <v>894</v>
      </c>
      <c r="C63" s="511"/>
      <c r="D63" s="444">
        <v>0</v>
      </c>
      <c r="E63" s="343" t="s">
        <v>835</v>
      </c>
      <c r="F63" s="511"/>
      <c r="G63" s="444">
        <v>522873.07</v>
      </c>
      <c r="H63" s="343" t="s">
        <v>835</v>
      </c>
      <c r="I63" s="511"/>
      <c r="J63" s="444">
        <v>0</v>
      </c>
      <c r="K63" s="343" t="s">
        <v>835</v>
      </c>
      <c r="L63" s="511"/>
      <c r="M63" s="444">
        <v>8571.6896721311477</v>
      </c>
      <c r="N63" s="343" t="s">
        <v>856</v>
      </c>
      <c r="O63" s="511"/>
      <c r="P63" s="512" t="str">
        <f t="shared" si="23"/>
        <v>Met</v>
      </c>
      <c r="Q63" s="511"/>
      <c r="R63" s="444">
        <f>VLOOKUP(A63,'2020-21'!$A$6:$F$319,6,0)</f>
        <v>0</v>
      </c>
      <c r="S63" s="513" t="str">
        <f t="shared" si="1"/>
        <v>Met</v>
      </c>
      <c r="U63" s="444">
        <f>VLOOKUP(A63,'2020-21'!$A$6:$G$319,7,0)</f>
        <v>476915.78</v>
      </c>
      <c r="V63" s="513" t="str">
        <f t="shared" si="2"/>
        <v>Did not Meet</v>
      </c>
      <c r="X63" s="444">
        <v>0</v>
      </c>
      <c r="Y63" s="513" t="str">
        <f t="shared" si="3"/>
        <v>Met</v>
      </c>
      <c r="AA63" s="444">
        <f>VLOOKUP(A63,'42. SEA or LEA Worksheet'!$A$4:$W$324,23,0)/VLOOKUP(compliance!A63,'42. SEA or LEA Worksheet'!$A$4:$T$324,20,0)</f>
        <v>9935.7454166666666</v>
      </c>
      <c r="AB63" s="513" t="str">
        <f t="shared" si="4"/>
        <v>Met</v>
      </c>
      <c r="AD63" s="512" t="str">
        <f t="shared" si="24"/>
        <v>Met</v>
      </c>
      <c r="AF63" s="444">
        <f>VLOOKUP(A63,'42. SEA or LEA Worksheet'!$A$4:$Z$324,26,0)</f>
        <v>0</v>
      </c>
      <c r="AG63" s="513" t="str">
        <f t="shared" si="6"/>
        <v>Met</v>
      </c>
      <c r="AI63" s="444">
        <f>VLOOKUP(A63,'42. SEA or LEA Worksheet'!$A$4:$AB$324,28,0)</f>
        <v>487656.1</v>
      </c>
      <c r="AJ63" s="513" t="str">
        <f t="shared" si="7"/>
        <v>Met</v>
      </c>
      <c r="AL63" s="444">
        <f>VLOOKUP(compliance!A63,'42. SEA or LEA Worksheet'!$A$4:$AB$324,26,0)/VLOOKUP(compliance!A63,'42. SEA or LEA Worksheet'!$A$4:$Y$324,25,0)</f>
        <v>0</v>
      </c>
      <c r="AM63" s="513" t="str">
        <f t="shared" si="8"/>
        <v>Met</v>
      </c>
      <c r="AO63" s="444">
        <f>VLOOKUP(A63,'42. SEA or LEA Worksheet'!$A$4:$AB$324,28,0)/VLOOKUP(compliance!A63,'42. SEA or LEA Worksheet'!$A$4:$Y$324,25,0)</f>
        <v>9561.8843137254898</v>
      </c>
      <c r="AP63" s="513" t="str">
        <f t="shared" si="9"/>
        <v>Did not Meet</v>
      </c>
      <c r="AR63" s="512" t="str">
        <f t="shared" si="25"/>
        <v>Met</v>
      </c>
      <c r="AT63" s="444">
        <f>VLOOKUP(A63,'42. SEA or LEA Worksheet'!$A$4:$AE$324,31,0)</f>
        <v>0</v>
      </c>
      <c r="AU63" s="513" t="str">
        <f t="shared" si="26"/>
        <v>Met</v>
      </c>
      <c r="AW63" s="444">
        <f>VLOOKUP(A63,'42. SEA or LEA Worksheet'!$A$4:$AG$324,33,0)</f>
        <v>546313.52</v>
      </c>
      <c r="AX63" s="513" t="str">
        <f t="shared" si="34"/>
        <v>Met</v>
      </c>
      <c r="AZ63" s="444">
        <f>VLOOKUP(A63,'42. SEA or LEA Worksheet'!$A$4:$AG$324,31,0)/VLOOKUP(A63,'42. SEA or LEA Worksheet'!$A$4:$AD$324,30,0)</f>
        <v>0</v>
      </c>
      <c r="BA63" s="513" t="str">
        <f t="shared" si="27"/>
        <v>Met</v>
      </c>
      <c r="BC63" s="444">
        <f>VLOOKUP(A63,'42. SEA or LEA Worksheet'!$A$4:$AG$324,33,0)/VLOOKUP(A63,'42. SEA or LEA Worksheet'!$A$4:$AD$324,30,0)</f>
        <v>10712.029803921569</v>
      </c>
      <c r="BD63" s="513" t="str">
        <f t="shared" si="35"/>
        <v>Met</v>
      </c>
      <c r="BF63" s="512" t="str">
        <f>IF(AND(AU63="Did not Meet",AX63="Did not Meet", BA63="Did not Meet",BD63="Did not Meet"),"Did not Meet","Met")</f>
        <v>Met</v>
      </c>
      <c r="BG63" s="637">
        <f>VLOOKUP(A63,'42. SEA or LEA Worksheet'!$A$4:$AM$324,36,0)</f>
        <v>0</v>
      </c>
      <c r="BH63" s="638" t="str">
        <f t="shared" si="29"/>
        <v>Met</v>
      </c>
      <c r="BI63" s="639"/>
      <c r="BJ63" s="637">
        <f>VLOOKUP(A63,'42. SEA or LEA Worksheet'!$A$4:$AM$324,38,0)</f>
        <v>615758.61</v>
      </c>
      <c r="BK63" s="638" t="str">
        <f t="shared" si="30"/>
        <v>Met</v>
      </c>
      <c r="BM63" s="631">
        <f>VLOOKUP(A63,'42. SEA or LEA Worksheet'!$A$4:$AL$324,36,0)/VLOOKUP(A63,'42. SEA or LEA Worksheet'!$A$4:$AL$324,35,0)</f>
        <v>0</v>
      </c>
      <c r="BN63" s="632" t="str">
        <f t="shared" si="31"/>
        <v>Met</v>
      </c>
      <c r="BP63" s="631">
        <f>VLOOKUP(A63,'42. SEA or LEA Worksheet'!$A$4:$AL$324,38,0)/VLOOKUP(A63,'42. SEA or LEA Worksheet'!$A$4:$AL$324,35,0)</f>
        <v>12566.502244897958</v>
      </c>
      <c r="BQ63" s="632" t="str">
        <f t="shared" si="32"/>
        <v>Met</v>
      </c>
      <c r="BS63" s="620" t="str">
        <f>IF(AND(BH63="Did not Meet",BK63="Did not Meet", BN63="Did not Meet",BQ63="Did not Meet"),"Did not Meet","Met")</f>
        <v>Met</v>
      </c>
    </row>
    <row r="64" spans="1:71" x14ac:dyDescent="0.25">
      <c r="A64" s="343" t="s">
        <v>314</v>
      </c>
      <c r="B64" s="510" t="s">
        <v>895</v>
      </c>
      <c r="C64" s="511"/>
      <c r="D64" s="444">
        <v>0</v>
      </c>
      <c r="E64" s="343" t="s">
        <v>835</v>
      </c>
      <c r="F64" s="511"/>
      <c r="G64" s="444">
        <v>3156127.81</v>
      </c>
      <c r="H64" s="343" t="s">
        <v>835</v>
      </c>
      <c r="I64" s="511"/>
      <c r="J64" s="444">
        <v>0</v>
      </c>
      <c r="K64" s="343" t="s">
        <v>835</v>
      </c>
      <c r="L64" s="511"/>
      <c r="M64" s="444">
        <v>9832.17386292835</v>
      </c>
      <c r="N64" s="343" t="s">
        <v>835</v>
      </c>
      <c r="O64" s="511"/>
      <c r="P64" s="512" t="str">
        <f t="shared" si="23"/>
        <v>Met</v>
      </c>
      <c r="Q64" s="511"/>
      <c r="R64" s="444">
        <f>VLOOKUP(A64,'2020-21'!$A$6:$F$319,6,0)</f>
        <v>0</v>
      </c>
      <c r="S64" s="513" t="str">
        <f t="shared" si="1"/>
        <v>Met</v>
      </c>
      <c r="U64" s="444">
        <f>VLOOKUP(A64,'2020-21'!$A$6:$G$319,7,0)</f>
        <v>3178772.97</v>
      </c>
      <c r="V64" s="513" t="str">
        <f t="shared" si="2"/>
        <v>Met</v>
      </c>
      <c r="X64" s="444">
        <f>VLOOKUP(A64,'2020-21'!$A$6:$F$319,6,0)/VLOOKUP(A64,'42. SEA or LEA Worksheet'!$A$4:$T$324,20,0)</f>
        <v>0</v>
      </c>
      <c r="Y64" s="513" t="str">
        <f t="shared" si="3"/>
        <v>Met</v>
      </c>
      <c r="AA64" s="444">
        <f>VLOOKUP(A64,'42. SEA or LEA Worksheet'!$A$4:$W$324,23,0)/VLOOKUP(compliance!A64,'42. SEA or LEA Worksheet'!$A$4:$T$324,20,0)</f>
        <v>10188.374903846154</v>
      </c>
      <c r="AB64" s="513" t="str">
        <f t="shared" si="4"/>
        <v>Met</v>
      </c>
      <c r="AD64" s="512" t="str">
        <f t="shared" si="24"/>
        <v>Met</v>
      </c>
      <c r="AF64" s="444">
        <f>VLOOKUP(A64,'42. SEA or LEA Worksheet'!$A$4:$Z$324,26,0)</f>
        <v>0</v>
      </c>
      <c r="AG64" s="513" t="str">
        <f t="shared" si="6"/>
        <v>Met</v>
      </c>
      <c r="AI64" s="444">
        <f>VLOOKUP(A64,'42. SEA or LEA Worksheet'!$A$4:$AB$324,28,0)</f>
        <v>3041796.49</v>
      </c>
      <c r="AJ64" s="513" t="str">
        <f t="shared" si="7"/>
        <v>Did not Meet</v>
      </c>
      <c r="AL64" s="444">
        <f>VLOOKUP(compliance!A64,'42. SEA or LEA Worksheet'!$A$4:$AB$324,26,0)/VLOOKUP(compliance!A64,'42. SEA or LEA Worksheet'!$A$4:$Y$324,25,0)</f>
        <v>0</v>
      </c>
      <c r="AM64" s="513" t="str">
        <f t="shared" si="8"/>
        <v>Met</v>
      </c>
      <c r="AO64" s="444">
        <f>VLOOKUP(A64,'42. SEA or LEA Worksheet'!$A$4:$AB$324,28,0)/VLOOKUP(compliance!A64,'42. SEA or LEA Worksheet'!$A$4:$Y$324,25,0)</f>
        <v>10139.321633333335</v>
      </c>
      <c r="AP64" s="513" t="str">
        <f t="shared" si="9"/>
        <v>Did not Meet</v>
      </c>
      <c r="AR64" s="512" t="str">
        <f t="shared" si="25"/>
        <v>Met</v>
      </c>
      <c r="AT64" s="444">
        <f>VLOOKUP(A64,'42. SEA or LEA Worksheet'!$A$4:$AE$324,31,0)</f>
        <v>0</v>
      </c>
      <c r="AU64" s="513" t="str">
        <f t="shared" si="26"/>
        <v>Met</v>
      </c>
      <c r="AW64" s="444">
        <f>VLOOKUP(A64,'42. SEA or LEA Worksheet'!$A$4:$AG$324,33,0)</f>
        <v>3398028.08</v>
      </c>
      <c r="AX64" s="513" t="str">
        <f t="shared" si="34"/>
        <v>Met</v>
      </c>
      <c r="AZ64" s="444">
        <f>VLOOKUP(A64,'42. SEA or LEA Worksheet'!$A$4:$AG$324,31,0)/VLOOKUP(A64,'42. SEA or LEA Worksheet'!$A$4:$AD$324,30,0)</f>
        <v>0</v>
      </c>
      <c r="BA64" s="513" t="str">
        <f t="shared" si="27"/>
        <v>Met</v>
      </c>
      <c r="BC64" s="444">
        <f>VLOOKUP(A64,'42. SEA or LEA Worksheet'!$A$4:$AG$324,33,0)/VLOOKUP(A64,'42. SEA or LEA Worksheet'!$A$4:$AD$324,30,0)</f>
        <v>10235.024337349398</v>
      </c>
      <c r="BD64" s="513" t="str">
        <f t="shared" si="35"/>
        <v>Met</v>
      </c>
      <c r="BF64" s="512" t="str">
        <f>IF(AND(AU64="Did not Meet",AX64="Did not Meet", BA64="Did not Meet",BD64="Did not Meet"),"Did not Meet","Met")</f>
        <v>Met</v>
      </c>
      <c r="BG64" s="637">
        <f>VLOOKUP(A64,'42. SEA or LEA Worksheet'!$A$4:$AM$324,36,0)</f>
        <v>0</v>
      </c>
      <c r="BH64" s="638" t="str">
        <f t="shared" si="29"/>
        <v>Met</v>
      </c>
      <c r="BI64" s="639"/>
      <c r="BJ64" s="637">
        <f>VLOOKUP(A64,'42. SEA or LEA Worksheet'!$A$4:$AM$324,38,0)</f>
        <v>4089455.9</v>
      </c>
      <c r="BK64" s="638" t="str">
        <f t="shared" si="30"/>
        <v>Met</v>
      </c>
      <c r="BM64" s="631">
        <f>VLOOKUP(A64,'42. SEA or LEA Worksheet'!$A$4:$AL$324,36,0)/VLOOKUP(A64,'42. SEA or LEA Worksheet'!$A$4:$AL$324,35,0)</f>
        <v>0</v>
      </c>
      <c r="BN64" s="632" t="str">
        <f t="shared" si="31"/>
        <v>Met</v>
      </c>
      <c r="BP64" s="631">
        <f>VLOOKUP(A64,'42. SEA or LEA Worksheet'!$A$4:$AL$324,38,0)/VLOOKUP(A64,'42. SEA or LEA Worksheet'!$A$4:$AL$324,35,0)</f>
        <v>11684.159714285714</v>
      </c>
      <c r="BQ64" s="632" t="str">
        <f t="shared" si="32"/>
        <v>Met</v>
      </c>
      <c r="BS64" s="620" t="str">
        <f>IF(AND(BH64="Did not Meet",BK64="Did not Meet", BN64="Did not Meet",BQ64="Did not Meet"),"Did not Meet","Met")</f>
        <v>Met</v>
      </c>
    </row>
    <row r="65" spans="1:71 1606:16384" x14ac:dyDescent="0.25">
      <c r="A65" s="343" t="s">
        <v>316</v>
      </c>
      <c r="B65" s="510" t="s">
        <v>896</v>
      </c>
      <c r="C65" s="511"/>
      <c r="D65" s="444">
        <v>850005.97</v>
      </c>
      <c r="E65" s="343" t="s">
        <v>856</v>
      </c>
      <c r="F65" s="511"/>
      <c r="G65" s="444">
        <v>3497160.5300000003</v>
      </c>
      <c r="H65" s="343" t="s">
        <v>835</v>
      </c>
      <c r="I65" s="511"/>
      <c r="J65" s="444">
        <v>4250.0298499999999</v>
      </c>
      <c r="K65" s="343" t="s">
        <v>856</v>
      </c>
      <c r="L65" s="511"/>
      <c r="M65" s="444">
        <v>17485.802650000001</v>
      </c>
      <c r="N65" s="343" t="s">
        <v>856</v>
      </c>
      <c r="O65" s="511"/>
      <c r="P65" s="512" t="str">
        <f t="shared" si="23"/>
        <v>Met</v>
      </c>
      <c r="Q65" s="511"/>
      <c r="R65" s="444">
        <f>VLOOKUP(A65,'2020-21'!$A$6:$F$319,6,0)</f>
        <v>452209.37</v>
      </c>
      <c r="S65" s="513" t="str">
        <f t="shared" si="1"/>
        <v>Did not Meet</v>
      </c>
      <c r="U65" s="444">
        <f>VLOOKUP(A65,'2020-21'!$A$6:$G$319,7,0)</f>
        <v>3486441.2800000003</v>
      </c>
      <c r="V65" s="513" t="str">
        <f t="shared" si="2"/>
        <v>Did not Meet</v>
      </c>
      <c r="X65" s="444">
        <f>VLOOKUP(A65,'2020-21'!$A$6:$F$319,6,0)/VLOOKUP(A65,'42. SEA or LEA Worksheet'!$A$4:$T$324,20,0)</f>
        <v>2512.2742777777776</v>
      </c>
      <c r="Y65" s="513" t="str">
        <f t="shared" si="3"/>
        <v>Did not Meet</v>
      </c>
      <c r="AA65" s="444">
        <f>VLOOKUP(A65,'42. SEA or LEA Worksheet'!$A$4:$W$324,23,0)/VLOOKUP(compliance!A65,'42. SEA or LEA Worksheet'!$A$4:$T$324,20,0)</f>
        <v>19369.118222222223</v>
      </c>
      <c r="AB65" s="513" t="str">
        <f t="shared" si="4"/>
        <v>Met</v>
      </c>
      <c r="AD65" s="512" t="str">
        <f t="shared" si="24"/>
        <v>Met</v>
      </c>
      <c r="AF65" s="444">
        <f>VLOOKUP(A65,'42. SEA or LEA Worksheet'!$A$4:$Z$324,26,0)</f>
        <v>402889.18</v>
      </c>
      <c r="AG65" s="513" t="str">
        <f t="shared" si="6"/>
        <v>Did not Meet</v>
      </c>
      <c r="AI65" s="444">
        <f>VLOOKUP(A65,'42. SEA or LEA Worksheet'!$A$4:$AB$324,28,0)</f>
        <v>3458176.0300000003</v>
      </c>
      <c r="AJ65" s="513" t="str">
        <f t="shared" si="7"/>
        <v>Did not Meet</v>
      </c>
      <c r="AL65" s="444">
        <f>VLOOKUP(compliance!A65,'42. SEA or LEA Worksheet'!$A$4:$AB$324,26,0)/VLOOKUP(compliance!A65,'42. SEA or LEA Worksheet'!$A$4:$Y$324,25,0)</f>
        <v>2315.4550574712644</v>
      </c>
      <c r="AM65" s="513" t="str">
        <f t="shared" si="8"/>
        <v>Did not Meet</v>
      </c>
      <c r="AO65" s="444">
        <f>VLOOKUP(A65,'42. SEA or LEA Worksheet'!$A$4:$AB$324,28,0)/VLOOKUP(compliance!A65,'42. SEA or LEA Worksheet'!$A$4:$Y$324,25,0)</f>
        <v>19874.574885057471</v>
      </c>
      <c r="AP65" s="513" t="str">
        <f t="shared" si="9"/>
        <v>Met</v>
      </c>
      <c r="AR65" s="512" t="str">
        <f t="shared" si="25"/>
        <v>Met</v>
      </c>
      <c r="AT65" s="444">
        <f>VLOOKUP(A65,'42. SEA or LEA Worksheet'!$A$4:$AE$324,31,0)</f>
        <v>492126.77</v>
      </c>
      <c r="AU65" s="513" t="str">
        <f t="shared" si="26"/>
        <v>Met</v>
      </c>
      <c r="AW65" s="444">
        <f>VLOOKUP(A65,'42. SEA or LEA Worksheet'!$A$4:$AG$324,33,0)</f>
        <v>3478062.11</v>
      </c>
      <c r="AX65" s="513" t="str">
        <f t="shared" si="34"/>
        <v>Met</v>
      </c>
      <c r="AZ65" s="444">
        <f>VLOOKUP(A65,'42. SEA or LEA Worksheet'!$A$4:$AG$324,31,0)/VLOOKUP(A65,'42. SEA or LEA Worksheet'!$A$4:$AD$324,30,0)</f>
        <v>2796.1748295454545</v>
      </c>
      <c r="BA65" s="513" t="str">
        <f t="shared" si="27"/>
        <v>Met</v>
      </c>
      <c r="BC65" s="444">
        <f>VLOOKUP(A65,'42. SEA or LEA Worksheet'!$A$4:$AG$324,33,0)/VLOOKUP(A65,'42. SEA or LEA Worksheet'!$A$4:$AD$324,30,0)</f>
        <v>19761.716534090909</v>
      </c>
      <c r="BD65" s="513" t="str">
        <f t="shared" si="35"/>
        <v>Did not Meet</v>
      </c>
      <c r="BF65" s="512" t="str">
        <f>IF(AND(AU65="Did not Meet",AX65="Did not Meet", BA65="Did not Meet",BD65="Did not Meet",),"Did not Meet","Met")</f>
        <v>Met</v>
      </c>
      <c r="BG65" s="637">
        <f>VLOOKUP(A65,'42. SEA or LEA Worksheet'!$A$4:$AM$324,36,0)</f>
        <v>1382791.43</v>
      </c>
      <c r="BH65" s="638" t="str">
        <f t="shared" si="29"/>
        <v>Met</v>
      </c>
      <c r="BI65" s="639"/>
      <c r="BJ65" s="637">
        <f>VLOOKUP(A65,'42. SEA or LEA Worksheet'!$A$4:$AM$324,38,0)</f>
        <v>4266328.8499999996</v>
      </c>
      <c r="BK65" s="638" t="str">
        <f t="shared" si="30"/>
        <v>Met</v>
      </c>
      <c r="BM65" s="631">
        <f>VLOOKUP(A65,'42. SEA or LEA Worksheet'!$A$4:$AL$324,36,0)/VLOOKUP(A65,'42. SEA or LEA Worksheet'!$A$4:$AL$324,35,0)</f>
        <v>7856.7694886363633</v>
      </c>
      <c r="BN65" s="632" t="str">
        <f t="shared" si="31"/>
        <v>Met</v>
      </c>
      <c r="BP65" s="631">
        <f>VLOOKUP(A65,'42. SEA or LEA Worksheet'!$A$4:$AL$324,38,0)/VLOOKUP(A65,'42. SEA or LEA Worksheet'!$A$4:$AL$324,35,0)</f>
        <v>24240.504829545451</v>
      </c>
      <c r="BQ65" s="632" t="str">
        <f t="shared" si="32"/>
        <v>Met</v>
      </c>
      <c r="BS65" s="620" t="str">
        <f>IF(AND(BH65="Did not Meet",BK65="Did not Meet", BN65="Did not Meet",BQ65="Did not Meet",),"Did not Meet","Met")</f>
        <v>Met</v>
      </c>
    </row>
    <row r="66" spans="1:71 1606:16384" x14ac:dyDescent="0.25">
      <c r="A66" s="343" t="s">
        <v>318</v>
      </c>
      <c r="B66" s="510" t="s">
        <v>897</v>
      </c>
      <c r="C66" s="511"/>
      <c r="D66" s="444">
        <v>0</v>
      </c>
      <c r="E66" s="343" t="s">
        <v>835</v>
      </c>
      <c r="F66" s="511"/>
      <c r="G66" s="444">
        <v>29097.69</v>
      </c>
      <c r="H66" s="343" t="s">
        <v>856</v>
      </c>
      <c r="I66" s="511"/>
      <c r="J66" s="444">
        <v>0</v>
      </c>
      <c r="K66" s="343" t="s">
        <v>835</v>
      </c>
      <c r="L66" s="511"/>
      <c r="M66" s="444">
        <v>7274.4224999999997</v>
      </c>
      <c r="N66" s="343" t="s">
        <v>856</v>
      </c>
      <c r="O66" s="511"/>
      <c r="P66" s="512" t="str">
        <f t="shared" ref="P66:P82" si="36">IF(AND(E66="Did not Meet",H66="Did not Meet",K66="Did not Meet", N66="Did not Meet"),"Did not Meet","Met")</f>
        <v>Met</v>
      </c>
      <c r="Q66" s="511"/>
      <c r="R66" s="444">
        <f>VLOOKUP(A66,'2020-21'!$A$6:$F$319,6,0)</f>
        <v>0</v>
      </c>
      <c r="S66" s="513" t="str">
        <f t="shared" si="1"/>
        <v>Met</v>
      </c>
      <c r="U66" s="444">
        <f>VLOOKUP(A66,'2020-21'!$A$6:$G$319,7,0)</f>
        <v>24330.35</v>
      </c>
      <c r="V66" s="513" t="str">
        <f t="shared" si="2"/>
        <v>Did not Meet</v>
      </c>
      <c r="X66" s="444">
        <v>0</v>
      </c>
      <c r="Y66" s="513" t="str">
        <f t="shared" si="3"/>
        <v>Met</v>
      </c>
      <c r="AA66" s="444">
        <f>VLOOKUP(A66,'42. SEA or LEA Worksheet'!$A$4:$W$324,23,0)/VLOOKUP(compliance!A66,'42. SEA or LEA Worksheet'!$A$4:$T$324,20,0)</f>
        <v>6082.5874999999996</v>
      </c>
      <c r="AB66" s="513" t="str">
        <f t="shared" si="4"/>
        <v>Did not Meet</v>
      </c>
      <c r="AD66" s="512" t="str">
        <f t="shared" si="24"/>
        <v>Met</v>
      </c>
      <c r="AF66" s="444">
        <f>VLOOKUP(A66,'42. SEA or LEA Worksheet'!$A$4:$Z$324,26,0)</f>
        <v>0</v>
      </c>
      <c r="AG66" s="513" t="str">
        <f t="shared" si="6"/>
        <v>Met</v>
      </c>
      <c r="AI66" s="444">
        <f>VLOOKUP(A66,'42. SEA or LEA Worksheet'!$A$4:$AB$324,28,0)</f>
        <v>18932.63</v>
      </c>
      <c r="AJ66" s="513" t="str">
        <f t="shared" si="7"/>
        <v>Did not Meet</v>
      </c>
      <c r="AL66" s="444">
        <f>VLOOKUP(compliance!A66,'42. SEA or LEA Worksheet'!$A$4:$AB$324,26,0)/VLOOKUP(compliance!A66,'42. SEA or LEA Worksheet'!$A$4:$Y$324,25,0)</f>
        <v>0</v>
      </c>
      <c r="AM66" s="513" t="str">
        <f t="shared" si="8"/>
        <v>Met</v>
      </c>
      <c r="AO66" s="444">
        <f>VLOOKUP(A66,'42. SEA or LEA Worksheet'!$A$4:$AB$324,28,0)/VLOOKUP(compliance!A66,'42. SEA or LEA Worksheet'!$A$4:$Y$324,25,0)</f>
        <v>9466.3150000000005</v>
      </c>
      <c r="AP66" s="513" t="str">
        <f t="shared" si="9"/>
        <v>Met</v>
      </c>
      <c r="AR66" s="512" t="str">
        <f t="shared" si="25"/>
        <v>Met</v>
      </c>
      <c r="AT66" s="444">
        <f>VLOOKUP(A66,'42. SEA or LEA Worksheet'!$A$4:$AE$324,31,0)</f>
        <v>0</v>
      </c>
      <c r="AU66" s="513" t="str">
        <f t="shared" si="26"/>
        <v>Met</v>
      </c>
      <c r="AW66" s="444">
        <f>VLOOKUP(A66,'42. SEA or LEA Worksheet'!$A$4:$AG$324,33,0)</f>
        <v>117328.72</v>
      </c>
      <c r="AX66" s="513" t="str">
        <f t="shared" si="34"/>
        <v>Met</v>
      </c>
      <c r="AZ66" s="444">
        <f>VLOOKUP(A66,'42. SEA or LEA Worksheet'!$A$4:$AG$324,31,0)/VLOOKUP(A66,'42. SEA or LEA Worksheet'!$A$4:$AD$324,30,0)</f>
        <v>0</v>
      </c>
      <c r="BA66" s="513" t="str">
        <f t="shared" si="27"/>
        <v>Met</v>
      </c>
      <c r="BC66" s="444">
        <f>VLOOKUP(A66,'42. SEA or LEA Worksheet'!$A$4:$AG$324,33,0)/VLOOKUP(A66,'42. SEA or LEA Worksheet'!$A$4:$AD$324,30,0)</f>
        <v>39109.573333333334</v>
      </c>
      <c r="BD66" s="513" t="str">
        <f t="shared" si="35"/>
        <v>Met</v>
      </c>
      <c r="BF66" s="512" t="str">
        <f t="shared" ref="BF66:BF80" si="37">IF(AND(AU66="Did not Meet",AX66="Did not Meet", BA66="Did not Meet",BD66="Did not Meet"),"Did not Meet","Met")</f>
        <v>Met</v>
      </c>
      <c r="BG66" s="637">
        <f>VLOOKUP(A66,'42. SEA or LEA Worksheet'!$A$4:$AM$324,36,0)</f>
        <v>0</v>
      </c>
      <c r="BH66" s="638" t="str">
        <f t="shared" si="29"/>
        <v>Met</v>
      </c>
      <c r="BI66" s="639"/>
      <c r="BJ66" s="637">
        <f>VLOOKUP(A66,'42. SEA or LEA Worksheet'!$A$4:$AM$324,38,0)</f>
        <v>2056.7800000000002</v>
      </c>
      <c r="BK66" s="638" t="str">
        <f t="shared" si="30"/>
        <v>Did not Meet</v>
      </c>
      <c r="BM66" s="631">
        <f>VLOOKUP(A66,'42. SEA or LEA Worksheet'!$A$4:$AL$324,36,0)/VLOOKUP(A66,'42. SEA or LEA Worksheet'!$A$4:$AL$324,35,0)</f>
        <v>0</v>
      </c>
      <c r="BN66" s="632" t="str">
        <f t="shared" si="31"/>
        <v>Met</v>
      </c>
      <c r="BP66" s="631">
        <f>VLOOKUP(A66,'42. SEA or LEA Worksheet'!$A$4:$AL$324,38,0)/VLOOKUP(A66,'42. SEA or LEA Worksheet'!$A$4:$AL$324,35,0)</f>
        <v>1028.3900000000001</v>
      </c>
      <c r="BQ66" s="632" t="str">
        <f t="shared" si="32"/>
        <v>Met</v>
      </c>
      <c r="BS66" s="620" t="str">
        <f>IF(AND(BH66="Did not Meet",BK66="Did not Meet", BN66="Did not Meet",BQ66="Did not Meet"),"Did not Meet","Met")</f>
        <v>Met</v>
      </c>
    </row>
    <row r="67" spans="1:71 1606:16384" x14ac:dyDescent="0.25">
      <c r="A67" s="343" t="s">
        <v>320</v>
      </c>
      <c r="B67" s="510" t="s">
        <v>898</v>
      </c>
      <c r="C67" s="511"/>
      <c r="D67" s="444">
        <v>591133.51</v>
      </c>
      <c r="E67" s="343" t="s">
        <v>856</v>
      </c>
      <c r="F67" s="511"/>
      <c r="G67" s="444">
        <v>7097477.1600000001</v>
      </c>
      <c r="H67" s="343" t="s">
        <v>835</v>
      </c>
      <c r="I67" s="511"/>
      <c r="J67" s="444">
        <v>964.32872756933114</v>
      </c>
      <c r="K67" s="343" t="s">
        <v>856</v>
      </c>
      <c r="L67" s="511"/>
      <c r="M67" s="444">
        <v>11578.26616639478</v>
      </c>
      <c r="N67" s="343" t="s">
        <v>835</v>
      </c>
      <c r="O67" s="511"/>
      <c r="P67" s="512" t="str">
        <f t="shared" si="36"/>
        <v>Met</v>
      </c>
      <c r="Q67" s="511"/>
      <c r="R67" s="444">
        <f>VLOOKUP(A67,'2020-21'!$A$6:$F$319,6,0)</f>
        <v>629542.47</v>
      </c>
      <c r="S67" s="513" t="str">
        <f t="shared" si="1"/>
        <v>Met</v>
      </c>
      <c r="U67" s="444">
        <f>VLOOKUP(A67,'2020-21'!$A$6:$G$319,7,0)</f>
        <v>7393187.3999999994</v>
      </c>
      <c r="V67" s="513" t="str">
        <f t="shared" si="2"/>
        <v>Met</v>
      </c>
      <c r="X67" s="444">
        <f>VLOOKUP(A67,'2020-21'!$A$6:$F$319,6,0)/VLOOKUP(A67,'42. SEA or LEA Worksheet'!$A$4:$T$324,20,0)</f>
        <v>1138.4131464737793</v>
      </c>
      <c r="Y67" s="513" t="str">
        <f t="shared" si="3"/>
        <v>Met</v>
      </c>
      <c r="AA67" s="444">
        <f>VLOOKUP(A67,'42. SEA or LEA Worksheet'!$A$4:$W$324,23,0)/VLOOKUP(compliance!A67,'42. SEA or LEA Worksheet'!$A$4:$T$324,20,0)</f>
        <v>13369.235804701626</v>
      </c>
      <c r="AB67" s="513" t="str">
        <f t="shared" si="4"/>
        <v>Met</v>
      </c>
      <c r="AD67" s="512" t="str">
        <f t="shared" si="24"/>
        <v>Met</v>
      </c>
      <c r="AF67" s="444">
        <f>VLOOKUP(A67,'42. SEA or LEA Worksheet'!$A$4:$Z$324,26,0)</f>
        <v>644793.81000000006</v>
      </c>
      <c r="AG67" s="513" t="str">
        <f t="shared" si="6"/>
        <v>Met</v>
      </c>
      <c r="AI67" s="444">
        <f>VLOOKUP(A67,'42. SEA or LEA Worksheet'!$A$4:$AB$324,28,0)</f>
        <v>7396616.3499999996</v>
      </c>
      <c r="AJ67" s="513" t="str">
        <f t="shared" si="7"/>
        <v>Met</v>
      </c>
      <c r="AL67" s="444">
        <f>VLOOKUP(compliance!A67,'42. SEA or LEA Worksheet'!$A$4:$AB$324,26,0)/VLOOKUP(compliance!A67,'42. SEA or LEA Worksheet'!$A$4:$Y$324,25,0)</f>
        <v>1109.800017211704</v>
      </c>
      <c r="AM67" s="513" t="str">
        <f t="shared" si="8"/>
        <v>Did not Meet</v>
      </c>
      <c r="AO67" s="444">
        <f>VLOOKUP(A67,'42. SEA or LEA Worksheet'!$A$4:$AB$324,28,0)/VLOOKUP(compliance!A67,'42. SEA or LEA Worksheet'!$A$4:$Y$324,25,0)</f>
        <v>12730.837091222031</v>
      </c>
      <c r="AP67" s="513" t="str">
        <f t="shared" si="9"/>
        <v>Did not Meet</v>
      </c>
      <c r="AR67" s="512" t="str">
        <f t="shared" si="25"/>
        <v>Met</v>
      </c>
      <c r="AT67" s="444">
        <f>VLOOKUP(A67,'42. SEA or LEA Worksheet'!$A$4:$AE$324,31,0)</f>
        <v>1711396.6</v>
      </c>
      <c r="AU67" s="513" t="str">
        <f t="shared" si="26"/>
        <v>Met</v>
      </c>
      <c r="AW67" s="444">
        <f>VLOOKUP(A67,'42. SEA or LEA Worksheet'!$A$4:$AG$324,33,0)</f>
        <v>8312649.0500000007</v>
      </c>
      <c r="AX67" s="513" t="str">
        <f t="shared" si="34"/>
        <v>Met</v>
      </c>
      <c r="AZ67" s="444">
        <f>VLOOKUP(A67,'42. SEA or LEA Worksheet'!$A$4:$AG$324,31,0)/VLOOKUP(A67,'42. SEA or LEA Worksheet'!$A$4:$AD$324,30,0)</f>
        <v>2842.8514950166114</v>
      </c>
      <c r="BA67" s="513" t="str">
        <f t="shared" si="27"/>
        <v>Met</v>
      </c>
      <c r="BC67" s="444">
        <f>VLOOKUP(A67,'42. SEA or LEA Worksheet'!$A$4:$AG$324,33,0)/VLOOKUP(A67,'42. SEA or LEA Worksheet'!$A$4:$AD$324,30,0)</f>
        <v>13808.387126245849</v>
      </c>
      <c r="BD67" s="513" t="str">
        <f t="shared" si="35"/>
        <v>Met</v>
      </c>
      <c r="BF67" s="512" t="str">
        <f t="shared" si="37"/>
        <v>Met</v>
      </c>
      <c r="BG67" s="637">
        <f>VLOOKUP(A67,'42. SEA or LEA Worksheet'!$A$4:$AM$324,36,0)</f>
        <v>1002975</v>
      </c>
      <c r="BH67" s="638" t="str">
        <f t="shared" si="29"/>
        <v>Did not Meet</v>
      </c>
      <c r="BI67" s="639"/>
      <c r="BJ67" s="637">
        <f>VLOOKUP(A67,'42. SEA or LEA Worksheet'!$A$4:$AM$324,38,0)</f>
        <v>9042952.4400000013</v>
      </c>
      <c r="BK67" s="638" t="str">
        <f t="shared" si="30"/>
        <v>Met</v>
      </c>
      <c r="BM67" s="631">
        <f>VLOOKUP(A67,'42. SEA or LEA Worksheet'!$A$4:$AL$324,36,0)/VLOOKUP(A67,'42. SEA or LEA Worksheet'!$A$4:$AL$324,35,0)</f>
        <v>1636.1745513866231</v>
      </c>
      <c r="BN67" s="632" t="str">
        <f t="shared" si="31"/>
        <v>Met</v>
      </c>
      <c r="BP67" s="631">
        <f>VLOOKUP(A67,'42. SEA or LEA Worksheet'!$A$4:$AL$324,38,0)/VLOOKUP(A67,'42. SEA or LEA Worksheet'!$A$4:$AL$324,35,0)</f>
        <v>14751.961566068518</v>
      </c>
      <c r="BQ67" s="632" t="str">
        <f t="shared" si="32"/>
        <v>Met</v>
      </c>
      <c r="BS67" s="620" t="str">
        <f>IF(AND(BH67="Did not Meet",BK67="Did not Meet", BN67="Did not Meet",BQ67="Did not Meet"),"Did not Meet","Met")</f>
        <v>Met</v>
      </c>
    </row>
    <row r="68" spans="1:71 1606:16384" x14ac:dyDescent="0.25">
      <c r="A68" s="343" t="s">
        <v>322</v>
      </c>
      <c r="B68" s="510" t="s">
        <v>899</v>
      </c>
      <c r="C68" s="511"/>
      <c r="D68" s="444">
        <v>320000</v>
      </c>
      <c r="E68" s="343" t="s">
        <v>835</v>
      </c>
      <c r="F68" s="511"/>
      <c r="G68" s="444">
        <v>4388098.4700000007</v>
      </c>
      <c r="H68" s="343" t="s">
        <v>835</v>
      </c>
      <c r="I68" s="511"/>
      <c r="J68" s="444">
        <v>774.81840193704602</v>
      </c>
      <c r="K68" s="343" t="s">
        <v>835</v>
      </c>
      <c r="L68" s="511"/>
      <c r="M68" s="444">
        <v>10624.935762711866</v>
      </c>
      <c r="N68" s="343" t="s">
        <v>835</v>
      </c>
      <c r="O68" s="511"/>
      <c r="P68" s="512" t="str">
        <f t="shared" si="36"/>
        <v>Met</v>
      </c>
      <c r="Q68" s="511"/>
      <c r="R68" s="444">
        <f>VLOOKUP(A68,'2020-21'!$A$6:$F$319,6,0)</f>
        <v>355000</v>
      </c>
      <c r="S68" s="513" t="str">
        <f t="shared" si="1"/>
        <v>Met</v>
      </c>
      <c r="U68" s="444">
        <f>VLOOKUP(A68,'2020-21'!$A$6:$G$319,7,0)</f>
        <v>4690544.2</v>
      </c>
      <c r="V68" s="513" t="str">
        <f t="shared" si="2"/>
        <v>Met</v>
      </c>
      <c r="X68" s="444">
        <f>VLOOKUP(A68,'2020-21'!$A$6:$F$319,6,0)/VLOOKUP(A68,'42. SEA or LEA Worksheet'!$A$4:$T$324,20,0)</f>
        <v>849.28229665071774</v>
      </c>
      <c r="Y68" s="513" t="str">
        <f t="shared" si="3"/>
        <v>Met</v>
      </c>
      <c r="AA68" s="444">
        <f>VLOOKUP(A68,'42. SEA or LEA Worksheet'!$A$4:$W$324,23,0)/VLOOKUP(compliance!A68,'42. SEA or LEA Worksheet'!$A$4:$T$324,20,0)</f>
        <v>11221.397607655503</v>
      </c>
      <c r="AB68" s="513" t="str">
        <f t="shared" si="4"/>
        <v>Met</v>
      </c>
      <c r="AD68" s="512" t="str">
        <f t="shared" si="24"/>
        <v>Met</v>
      </c>
      <c r="AF68" s="444">
        <f>VLOOKUP(A68,'42. SEA or LEA Worksheet'!$A$4:$Z$324,26,0)</f>
        <v>440000</v>
      </c>
      <c r="AG68" s="513" t="str">
        <f t="shared" si="6"/>
        <v>Met</v>
      </c>
      <c r="AI68" s="444">
        <f>VLOOKUP(A68,'42. SEA or LEA Worksheet'!$A$4:$AB$324,28,0)</f>
        <v>4920804.91</v>
      </c>
      <c r="AJ68" s="513" t="str">
        <f t="shared" si="7"/>
        <v>Met</v>
      </c>
      <c r="AL68" s="444">
        <f>VLOOKUP(compliance!A68,'42. SEA or LEA Worksheet'!$A$4:$AB$324,26,0)/VLOOKUP(compliance!A68,'42. SEA or LEA Worksheet'!$A$4:$Y$324,25,0)</f>
        <v>1073.1707317073171</v>
      </c>
      <c r="AM68" s="513" t="str">
        <f t="shared" si="8"/>
        <v>Met</v>
      </c>
      <c r="AO68" s="444">
        <f>VLOOKUP(A68,'42. SEA or LEA Worksheet'!$A$4:$AB$324,28,0)/VLOOKUP(compliance!A68,'42. SEA or LEA Worksheet'!$A$4:$Y$324,25,0)</f>
        <v>12001.963195121951</v>
      </c>
      <c r="AP68" s="513" t="str">
        <f t="shared" si="9"/>
        <v>Met</v>
      </c>
      <c r="AR68" s="512" t="str">
        <f t="shared" si="25"/>
        <v>Met</v>
      </c>
      <c r="AT68" s="444">
        <f>VLOOKUP(A68,'42. SEA or LEA Worksheet'!$A$4:$AE$324,31,0)</f>
        <v>584320.29</v>
      </c>
      <c r="AU68" s="513" t="str">
        <f t="shared" si="26"/>
        <v>Met</v>
      </c>
      <c r="AW68" s="444">
        <f>VLOOKUP(A68,'42. SEA or LEA Worksheet'!$A$4:$AG$324,33,0)</f>
        <v>5225203.1399999997</v>
      </c>
      <c r="AX68" s="513" t="str">
        <f t="shared" si="34"/>
        <v>Met</v>
      </c>
      <c r="AZ68" s="444">
        <f>VLOOKUP(A68,'42. SEA or LEA Worksheet'!$A$4:$AG$324,31,0)/VLOOKUP(A68,'42. SEA or LEA Worksheet'!$A$4:$AD$324,30,0)</f>
        <v>1340.1841513761469</v>
      </c>
      <c r="BA68" s="513" t="str">
        <f t="shared" si="27"/>
        <v>Met</v>
      </c>
      <c r="BC68" s="444">
        <f>VLOOKUP(A68,'42. SEA or LEA Worksheet'!$A$4:$AG$324,33,0)/VLOOKUP(A68,'42. SEA or LEA Worksheet'!$A$4:$AD$324,30,0)</f>
        <v>11984.410871559632</v>
      </c>
      <c r="BD68" s="513" t="str">
        <f t="shared" si="35"/>
        <v>Did not Meet</v>
      </c>
      <c r="BF68" s="512" t="str">
        <f t="shared" si="37"/>
        <v>Met</v>
      </c>
      <c r="BG68" s="637">
        <f>VLOOKUP(A68,'42. SEA or LEA Worksheet'!$A$4:$AM$324,36,0)</f>
        <v>454000</v>
      </c>
      <c r="BH68" s="638" t="str">
        <f t="shared" si="29"/>
        <v>Did not Meet</v>
      </c>
      <c r="BI68" s="639"/>
      <c r="BJ68" s="637">
        <f>VLOOKUP(A68,'42. SEA or LEA Worksheet'!$A$4:$AM$324,38,0)</f>
        <v>5485167.2800000003</v>
      </c>
      <c r="BK68" s="638" t="str">
        <f t="shared" si="30"/>
        <v>Met</v>
      </c>
      <c r="BM68" s="631">
        <f>VLOOKUP(A68,'42. SEA or LEA Worksheet'!$A$4:$AL$324,36,0)/VLOOKUP(A68,'42. SEA or LEA Worksheet'!$A$4:$AL$324,35,0)</f>
        <v>1011.1358574610244</v>
      </c>
      <c r="BN68" s="632" t="str">
        <f t="shared" si="31"/>
        <v>Met</v>
      </c>
      <c r="BP68" s="631">
        <f>VLOOKUP(A68,'42. SEA or LEA Worksheet'!$A$4:$AL$324,38,0)/VLOOKUP(A68,'42. SEA or LEA Worksheet'!$A$4:$AL$324,35,0)</f>
        <v>12216.408195991093</v>
      </c>
      <c r="BQ68" s="632" t="str">
        <f t="shared" si="32"/>
        <v>Met</v>
      </c>
      <c r="BS68" s="620" t="str">
        <f>IF(AND(BH68="Did not Meet",BK68="Did not Meet", BN68="Did not Meet",BQ68="Did not Meet"),"Did not Meet","Met")</f>
        <v>Met</v>
      </c>
    </row>
    <row r="69" spans="1:71 1606:16384" x14ac:dyDescent="0.25">
      <c r="A69" s="343" t="s">
        <v>324</v>
      </c>
      <c r="B69" s="510" t="s">
        <v>900</v>
      </c>
      <c r="C69" s="511"/>
      <c r="D69" s="444">
        <v>966328.21</v>
      </c>
      <c r="E69" s="343" t="s">
        <v>835</v>
      </c>
      <c r="F69" s="511"/>
      <c r="G69" s="444">
        <v>8127908.4299999997</v>
      </c>
      <c r="H69" s="343" t="s">
        <v>835</v>
      </c>
      <c r="I69" s="511"/>
      <c r="J69" s="444">
        <v>1283.3043957503319</v>
      </c>
      <c r="K69" s="343" t="s">
        <v>835</v>
      </c>
      <c r="L69" s="511"/>
      <c r="M69" s="444">
        <v>10794.035099601593</v>
      </c>
      <c r="N69" s="343" t="s">
        <v>835</v>
      </c>
      <c r="O69" s="511"/>
      <c r="P69" s="512" t="str">
        <f t="shared" si="36"/>
        <v>Met</v>
      </c>
      <c r="Q69" s="511"/>
      <c r="R69" s="444">
        <f>VLOOKUP(A69,'2020-21'!$A$6:$F$319,6,0)</f>
        <v>904395.18</v>
      </c>
      <c r="S69" s="513" t="str">
        <f t="shared" si="1"/>
        <v>Did not Meet</v>
      </c>
      <c r="U69" s="444">
        <f>VLOOKUP(A69,'2020-21'!$A$6:$G$319,7,0)</f>
        <v>8367278.7799999993</v>
      </c>
      <c r="V69" s="513" t="str">
        <f t="shared" si="2"/>
        <v>Met</v>
      </c>
      <c r="X69" s="444">
        <f>VLOOKUP(A69,'2020-21'!$A$6:$F$319,6,0)/VLOOKUP(A69,'42. SEA or LEA Worksheet'!$A$4:$T$324,20,0)</f>
        <v>1230.4696326530614</v>
      </c>
      <c r="Y69" s="513" t="str">
        <f t="shared" si="3"/>
        <v>Did not Meet</v>
      </c>
      <c r="AA69" s="444">
        <f>VLOOKUP(A69,'42. SEA or LEA Worksheet'!$A$4:$W$324,23,0)/VLOOKUP(compliance!A69,'42. SEA or LEA Worksheet'!$A$4:$T$324,20,0)</f>
        <v>11384.052761904761</v>
      </c>
      <c r="AB69" s="513" t="str">
        <f t="shared" si="4"/>
        <v>Met</v>
      </c>
      <c r="AD69" s="512" t="str">
        <f t="shared" si="24"/>
        <v>Met</v>
      </c>
      <c r="AF69" s="444">
        <f>VLOOKUP(A69,'42. SEA or LEA Worksheet'!$A$4:$Z$324,26,0)</f>
        <v>1818138.78</v>
      </c>
      <c r="AG69" s="513" t="str">
        <f t="shared" si="6"/>
        <v>Met</v>
      </c>
      <c r="AI69" s="444">
        <f>VLOOKUP(A69,'42. SEA or LEA Worksheet'!$A$4:$AB$324,28,0)</f>
        <v>9205465.3100000005</v>
      </c>
      <c r="AJ69" s="513" t="str">
        <f t="shared" si="7"/>
        <v>Met</v>
      </c>
      <c r="AL69" s="444">
        <f>VLOOKUP(compliance!A69,'42. SEA or LEA Worksheet'!$A$4:$AB$324,26,0)/VLOOKUP(compliance!A69,'42. SEA or LEA Worksheet'!$A$4:$Y$324,25,0)</f>
        <v>2560.7588450704225</v>
      </c>
      <c r="AM69" s="513" t="str">
        <f t="shared" si="8"/>
        <v>Met</v>
      </c>
      <c r="AO69" s="444">
        <f>VLOOKUP(A69,'42. SEA or LEA Worksheet'!$A$4:$AB$324,28,0)/VLOOKUP(compliance!A69,'42. SEA or LEA Worksheet'!$A$4:$Y$324,25,0)</f>
        <v>12965.44409859155</v>
      </c>
      <c r="AP69" s="513" t="str">
        <f t="shared" si="9"/>
        <v>Met</v>
      </c>
      <c r="AR69" s="512" t="str">
        <f t="shared" si="25"/>
        <v>Met</v>
      </c>
      <c r="AT69" s="444">
        <f>VLOOKUP(A69,'42. SEA or LEA Worksheet'!$A$4:$AE$324,31,0)</f>
        <v>1136683.01</v>
      </c>
      <c r="AU69" s="513" t="str">
        <f t="shared" si="26"/>
        <v>Did not Meet</v>
      </c>
      <c r="AW69" s="444">
        <f>VLOOKUP(A69,'42. SEA or LEA Worksheet'!$A$4:$AG$324,33,0)</f>
        <v>9332016.3599999994</v>
      </c>
      <c r="AX69" s="513" t="str">
        <f t="shared" si="34"/>
        <v>Met</v>
      </c>
      <c r="AZ69" s="444">
        <f>VLOOKUP(A69,'42. SEA or LEA Worksheet'!$A$4:$AG$324,31,0)/VLOOKUP(A69,'42. SEA or LEA Worksheet'!$A$4:$AD$324,30,0)</f>
        <v>1542.3107327001358</v>
      </c>
      <c r="BA69" s="513" t="str">
        <f t="shared" si="27"/>
        <v>Did not Meet</v>
      </c>
      <c r="BC69" s="444">
        <f>VLOOKUP(A69,'42. SEA or LEA Worksheet'!$A$4:$AG$324,33,0)/VLOOKUP(A69,'42. SEA or LEA Worksheet'!$A$4:$AD$324,30,0)</f>
        <v>12662.166024423337</v>
      </c>
      <c r="BD69" s="513" t="str">
        <f t="shared" si="35"/>
        <v>Did not Meet</v>
      </c>
      <c r="BF69" s="512" t="str">
        <f t="shared" si="37"/>
        <v>Met</v>
      </c>
      <c r="BG69" s="637">
        <f>VLOOKUP(A69,'42. SEA or LEA Worksheet'!$A$4:$AM$324,36,0)</f>
        <v>551717.91</v>
      </c>
      <c r="BH69" s="638" t="str">
        <f t="shared" si="29"/>
        <v>Did not Meet</v>
      </c>
      <c r="BI69" s="639"/>
      <c r="BJ69" s="637">
        <f>VLOOKUP(A69,'42. SEA or LEA Worksheet'!$A$4:$AM$324,38,0)</f>
        <v>10306807.449999999</v>
      </c>
      <c r="BK69" s="638" t="str">
        <f t="shared" si="30"/>
        <v>Met</v>
      </c>
      <c r="BM69" s="631">
        <f>VLOOKUP(A69,'42. SEA or LEA Worksheet'!$A$4:$AL$324,36,0)/VLOOKUP(A69,'42. SEA or LEA Worksheet'!$A$4:$AL$324,35,0)</f>
        <v>734.64435419440747</v>
      </c>
      <c r="BN69" s="632" t="str">
        <f t="shared" si="31"/>
        <v>Met</v>
      </c>
      <c r="BP69" s="631">
        <f>VLOOKUP(A69,'42. SEA or LEA Worksheet'!$A$4:$AL$324,38,0)/VLOOKUP(A69,'42. SEA or LEA Worksheet'!$A$4:$AL$324,35,0)</f>
        <v>13724.111118508654</v>
      </c>
      <c r="BQ69" s="632" t="str">
        <f t="shared" si="32"/>
        <v>Met</v>
      </c>
      <c r="BS69" s="620" t="str">
        <f>IF(AND(BH69="Did not Meet",BK69="Did not Meet", BN69="Did not Meet",BQ69="Did not Meet"),"Did not Meet","Met")</f>
        <v>Met</v>
      </c>
    </row>
    <row r="70" spans="1:71 1606:16384" x14ac:dyDescent="0.25">
      <c r="A70" s="343" t="s">
        <v>326</v>
      </c>
      <c r="B70" s="510" t="s">
        <v>901</v>
      </c>
      <c r="C70" s="511"/>
      <c r="D70" s="444">
        <v>17268.830000000002</v>
      </c>
      <c r="E70" s="343" t="s">
        <v>856</v>
      </c>
      <c r="F70" s="511"/>
      <c r="G70" s="444">
        <v>151550.75</v>
      </c>
      <c r="H70" s="343" t="s">
        <v>835</v>
      </c>
      <c r="I70" s="511"/>
      <c r="J70" s="444">
        <v>1079.3018750000001</v>
      </c>
      <c r="K70" s="343" t="s">
        <v>856</v>
      </c>
      <c r="L70" s="511"/>
      <c r="M70" s="444">
        <v>9471.921875</v>
      </c>
      <c r="N70" s="343" t="s">
        <v>856</v>
      </c>
      <c r="O70" s="511"/>
      <c r="P70" s="512" t="str">
        <f t="shared" si="36"/>
        <v>Met</v>
      </c>
      <c r="Q70" s="511"/>
      <c r="R70" s="444">
        <f>VLOOKUP(A70,'2020-21'!$A$6:$F$319,6,0)</f>
        <v>27723.46</v>
      </c>
      <c r="S70" s="513" t="str">
        <f t="shared" ref="S70:S133" si="38">IF(R70&gt;=D70,"Met","Did not Meet")</f>
        <v>Met</v>
      </c>
      <c r="U70" s="444">
        <f>VLOOKUP(A70,'2020-21'!$A$6:$G$319,7,0)</f>
        <v>157715.76999999999</v>
      </c>
      <c r="V70" s="513" t="str">
        <f t="shared" ref="V70:V133" si="39">IF(U70&gt;=G70,"Met","Did not Meet")</f>
        <v>Met</v>
      </c>
      <c r="X70" s="444">
        <f>VLOOKUP(A70,'2020-21'!$A$6:$F$319,6,0)/VLOOKUP(A70,'42. SEA or LEA Worksheet'!$A$4:$T$324,20,0)</f>
        <v>1630.7917647058823</v>
      </c>
      <c r="Y70" s="513" t="str">
        <f t="shared" ref="Y70:Y133" si="40">IF(X70&gt;=J70,"Met","Did not Meet")</f>
        <v>Met</v>
      </c>
      <c r="AA70" s="444">
        <f>VLOOKUP(A70,'42. SEA or LEA Worksheet'!$A$4:$W$324,23,0)/VLOOKUP(compliance!A70,'42. SEA or LEA Worksheet'!$A$4:$T$324,20,0)</f>
        <v>9277.3982352941166</v>
      </c>
      <c r="AB70" s="513" t="str">
        <f t="shared" ref="AB70:AB133" si="41">IF(AA70&gt;=M70,"Met","Did not Meet")</f>
        <v>Did not Meet</v>
      </c>
      <c r="AD70" s="512" t="str">
        <f t="shared" ref="AD70:AD82" si="42">IF(AND(S70="Did not Meet",V70="Did not Meet", Y70="Did not Meet",AB70="Did not Meet"),"Did not Meet","Met")</f>
        <v>Met</v>
      </c>
      <c r="AF70" s="444">
        <f>VLOOKUP(A70,'42. SEA or LEA Worksheet'!$A$4:$Z$324,26,0)</f>
        <v>41378.46</v>
      </c>
      <c r="AG70" s="513" t="str">
        <f t="shared" ref="AG70:AG133" si="43">IF(AF70&gt;=R70,"Met","Did not Meet")</f>
        <v>Met</v>
      </c>
      <c r="AI70" s="444">
        <f>VLOOKUP(A70,'42. SEA or LEA Worksheet'!$A$4:$AB$324,28,0)</f>
        <v>158872.85</v>
      </c>
      <c r="AJ70" s="513" t="str">
        <f t="shared" ref="AJ70:AJ133" si="44">IF(AI70&gt;=U70,"Met","Did not Meet")</f>
        <v>Met</v>
      </c>
      <c r="AL70" s="444">
        <f>VLOOKUP(compliance!A70,'42. SEA or LEA Worksheet'!$A$4:$AB$324,26,0)/VLOOKUP(compliance!A70,'42. SEA or LEA Worksheet'!$A$4:$Y$324,25,0)</f>
        <v>4137.8459999999995</v>
      </c>
      <c r="AM70" s="513" t="str">
        <f t="shared" ref="AM70:AM133" si="45">IF(AL70&gt;=X70,"Met","Did not Meet")</f>
        <v>Met</v>
      </c>
      <c r="AO70" s="444">
        <f>VLOOKUP(A70,'42. SEA or LEA Worksheet'!$A$4:$AB$324,28,0)/VLOOKUP(compliance!A70,'42. SEA or LEA Worksheet'!$A$4:$Y$324,25,0)</f>
        <v>15887.285</v>
      </c>
      <c r="AP70" s="513" t="str">
        <f t="shared" ref="AP70:AP133" si="46">IF(AO70&gt;=AA70,"Met","Did not Meet")</f>
        <v>Met</v>
      </c>
      <c r="AR70" s="512" t="str">
        <f t="shared" ref="AR70:AR82" si="47">IF(AND(AG70="Did not Meet",AJ70="Did not Meet", AM70="Did not Meet",AP70="Did not Meet"),"Did not Meet","Met")</f>
        <v>Met</v>
      </c>
      <c r="AT70" s="444">
        <f>VLOOKUP(A70,'42. SEA or LEA Worksheet'!$A$4:$AE$324,31,0)</f>
        <v>0</v>
      </c>
      <c r="AU70" s="513" t="s">
        <v>1453</v>
      </c>
      <c r="AW70" s="444">
        <f>VLOOKUP(A70,'42. SEA or LEA Worksheet'!$A$4:$AG$324,33,0)</f>
        <v>104673.48</v>
      </c>
      <c r="AX70" s="513" t="s">
        <v>1453</v>
      </c>
      <c r="AZ70" s="444">
        <f>VLOOKUP(A70,'42. SEA or LEA Worksheet'!$A$4:$AG$324,31,0)/VLOOKUP(A70,'42. SEA or LEA Worksheet'!$A$4:$AD$324,30,0)</f>
        <v>0</v>
      </c>
      <c r="BA70" s="513" t="s">
        <v>1453</v>
      </c>
      <c r="BC70" s="444">
        <f>VLOOKUP(A70,'42. SEA or LEA Worksheet'!$A$4:$AG$324,33,0)/VLOOKUP(A70,'42. SEA or LEA Worksheet'!$A$4:$AD$324,30,0)</f>
        <v>6978.232</v>
      </c>
      <c r="BD70" s="513" t="str">
        <f t="shared" si="35"/>
        <v>Did not Meet</v>
      </c>
      <c r="BF70" s="512" t="str">
        <f t="shared" si="37"/>
        <v>Met</v>
      </c>
      <c r="BG70" s="637">
        <f>VLOOKUP(A70,'42. SEA or LEA Worksheet'!$A$4:$AM$324,36,0)</f>
        <v>19643.86</v>
      </c>
      <c r="BH70" s="638" t="str">
        <f t="shared" ref="BH70:BH82" si="48">IF(BG70&gt;=AT70,"Met","Did not Meet")</f>
        <v>Met</v>
      </c>
      <c r="BI70" s="639"/>
      <c r="BJ70" s="637">
        <f>VLOOKUP(A70,'42. SEA or LEA Worksheet'!$A$4:$AM$324,38,0)</f>
        <v>194249.01</v>
      </c>
      <c r="BK70" s="638" t="str">
        <f t="shared" ref="BK70:BK82" si="49">IF(BJ70&gt;=AW70,"Met","Did not Meet")</f>
        <v>Met</v>
      </c>
      <c r="BM70" s="631">
        <f>VLOOKUP(A70,'42. SEA or LEA Worksheet'!$A$4:$AL$324,36,0)/VLOOKUP(A70,'42. SEA or LEA Worksheet'!$A$4:$AL$324,35,0)</f>
        <v>1403.1328571428571</v>
      </c>
      <c r="BN70" s="632" t="str">
        <f t="shared" ref="BN70:BN82" si="50">IF(BM70&gt;=AY70,"Met","Did not Meet")</f>
        <v>Met</v>
      </c>
      <c r="BP70" s="631">
        <f>VLOOKUP(A70,'42. SEA or LEA Worksheet'!$A$4:$AL$324,38,0)/VLOOKUP(A70,'42. SEA or LEA Worksheet'!$A$4:$AL$324,35,0)</f>
        <v>13874.929285714286</v>
      </c>
      <c r="BQ70" s="632" t="str">
        <f t="shared" ref="BQ70:BQ82" si="51">IF(BP70&gt;=BB70,"Met","Did not Meet")</f>
        <v>Met</v>
      </c>
      <c r="BS70" s="620" t="str">
        <f>IF(AND(BH70="Did not Meet",BK70="Did not Meet", BN70="Did not Meet",BQ70="Did not Meet"),"Did not Meet","Met")</f>
        <v>Met</v>
      </c>
    </row>
    <row r="71" spans="1:71 1606:16384" x14ac:dyDescent="0.25">
      <c r="A71" s="343" t="s">
        <v>328</v>
      </c>
      <c r="B71" s="510" t="s">
        <v>902</v>
      </c>
      <c r="C71" s="511"/>
      <c r="D71" s="444">
        <v>0</v>
      </c>
      <c r="E71" s="343" t="s">
        <v>856</v>
      </c>
      <c r="F71" s="511"/>
      <c r="G71" s="444">
        <v>2852827.46</v>
      </c>
      <c r="H71" s="343" t="s">
        <v>835</v>
      </c>
      <c r="I71" s="511"/>
      <c r="J71" s="444">
        <v>0</v>
      </c>
      <c r="K71" s="343" t="s">
        <v>856</v>
      </c>
      <c r="L71" s="511"/>
      <c r="M71" s="444">
        <v>12191.570341880342</v>
      </c>
      <c r="N71" s="343" t="s">
        <v>835</v>
      </c>
      <c r="O71" s="511"/>
      <c r="P71" s="512" t="str">
        <f t="shared" si="36"/>
        <v>Met</v>
      </c>
      <c r="Q71" s="511"/>
      <c r="R71" s="444">
        <f>VLOOKUP(A71,'2020-21'!$A$6:$F$319,6,0)</f>
        <v>0</v>
      </c>
      <c r="S71" s="513" t="str">
        <f t="shared" si="38"/>
        <v>Met</v>
      </c>
      <c r="U71" s="444">
        <f>VLOOKUP(A71,'2020-21'!$A$6:$G$319,7,0)</f>
        <v>2789203.2</v>
      </c>
      <c r="V71" s="513" t="str">
        <f t="shared" si="39"/>
        <v>Did not Meet</v>
      </c>
      <c r="X71" s="444">
        <f>VLOOKUP(A71,'2020-21'!$A$6:$F$319,6,0)/VLOOKUP(A71,'42. SEA or LEA Worksheet'!$A$4:$T$324,20,0)</f>
        <v>0</v>
      </c>
      <c r="Y71" s="513" t="str">
        <f t="shared" si="40"/>
        <v>Met</v>
      </c>
      <c r="AA71" s="444">
        <f>VLOOKUP(A71,'42. SEA or LEA Worksheet'!$A$4:$W$324,23,0)/VLOOKUP(compliance!A71,'42. SEA or LEA Worksheet'!$A$4:$T$324,20,0)</f>
        <v>11719.341176470589</v>
      </c>
      <c r="AB71" s="513" t="str">
        <f t="shared" si="41"/>
        <v>Did not Meet</v>
      </c>
      <c r="AD71" s="512" t="str">
        <f t="shared" si="42"/>
        <v>Met</v>
      </c>
      <c r="AF71" s="444">
        <f>VLOOKUP(A71,'42. SEA or LEA Worksheet'!$A$4:$Z$324,26,0)</f>
        <v>0</v>
      </c>
      <c r="AG71" s="513" t="str">
        <f t="shared" si="43"/>
        <v>Met</v>
      </c>
      <c r="AI71" s="444">
        <f>VLOOKUP(A71,'42. SEA or LEA Worksheet'!$A$4:$AB$324,28,0)</f>
        <v>2850041.13</v>
      </c>
      <c r="AJ71" s="513" t="str">
        <f t="shared" si="44"/>
        <v>Met</v>
      </c>
      <c r="AL71" s="444">
        <f>VLOOKUP(compliance!A71,'42. SEA or LEA Worksheet'!$A$4:$AB$324,26,0)/VLOOKUP(compliance!A71,'42. SEA or LEA Worksheet'!$A$4:$Y$324,25,0)</f>
        <v>0</v>
      </c>
      <c r="AM71" s="513" t="str">
        <f t="shared" si="45"/>
        <v>Met</v>
      </c>
      <c r="AO71" s="444">
        <f>VLOOKUP(A71,'42. SEA or LEA Worksheet'!$A$4:$AB$324,28,0)/VLOOKUP(compliance!A71,'42. SEA or LEA Worksheet'!$A$4:$Y$324,25,0)</f>
        <v>12284.660043103448</v>
      </c>
      <c r="AP71" s="513" t="str">
        <f t="shared" si="46"/>
        <v>Met</v>
      </c>
      <c r="AR71" s="512" t="str">
        <f t="shared" si="47"/>
        <v>Met</v>
      </c>
      <c r="AT71" s="444">
        <f>VLOOKUP(A71,'42. SEA or LEA Worksheet'!$A$4:$AE$324,31,0)</f>
        <v>0</v>
      </c>
      <c r="AU71" s="513" t="str">
        <f t="shared" ref="AU71:AU102" si="52">IF(AT71&gt;=AF71,"Met","Did not Meet")</f>
        <v>Met</v>
      </c>
      <c r="AW71" s="444">
        <f>VLOOKUP(A71,'42. SEA or LEA Worksheet'!$A$4:$AG$324,33,0)</f>
        <v>3212184.12</v>
      </c>
      <c r="AX71" s="513" t="str">
        <f t="shared" ref="AX71:AX86" si="53">IF(AW71&gt;=AI71,"Met","Did not Meet")</f>
        <v>Met</v>
      </c>
      <c r="AZ71" s="444">
        <f>VLOOKUP(A71,'42. SEA or LEA Worksheet'!$A$4:$AG$324,31,0)/VLOOKUP(A71,'42. SEA or LEA Worksheet'!$A$4:$AD$324,30,0)</f>
        <v>0</v>
      </c>
      <c r="BA71" s="513" t="str">
        <f t="shared" ref="BA71:BA102" si="54">IF(AZ71&gt;=AL71,"Met","Did not Meet")</f>
        <v>Met</v>
      </c>
      <c r="BC71" s="444">
        <f>VLOOKUP(A71,'42. SEA or LEA Worksheet'!$A$4:$AG$324,33,0)/VLOOKUP(A71,'42. SEA or LEA Worksheet'!$A$4:$AD$324,30,0)</f>
        <v>13845.621206896552</v>
      </c>
      <c r="BD71" s="513" t="str">
        <f t="shared" si="35"/>
        <v>Met</v>
      </c>
      <c r="BF71" s="512" t="str">
        <f t="shared" si="37"/>
        <v>Met</v>
      </c>
      <c r="BG71" s="637">
        <f>VLOOKUP(A71,'42. SEA or LEA Worksheet'!$A$4:$AM$324,36,0)</f>
        <v>0</v>
      </c>
      <c r="BH71" s="638" t="str">
        <f t="shared" si="48"/>
        <v>Met</v>
      </c>
      <c r="BI71" s="639"/>
      <c r="BJ71" s="637">
        <f>VLOOKUP(A71,'42. SEA or LEA Worksheet'!$A$4:$AM$324,38,0)</f>
        <v>3663710.29</v>
      </c>
      <c r="BK71" s="638" t="str">
        <f t="shared" si="49"/>
        <v>Met</v>
      </c>
      <c r="BM71" s="631">
        <f>VLOOKUP(A71,'42. SEA or LEA Worksheet'!$A$4:$AL$324,36,0)/VLOOKUP(A71,'42. SEA or LEA Worksheet'!$A$4:$AL$324,35,0)</f>
        <v>0</v>
      </c>
      <c r="BN71" s="632" t="str">
        <f t="shared" si="50"/>
        <v>Met</v>
      </c>
      <c r="BP71" s="631">
        <f>VLOOKUP(A71,'42. SEA or LEA Worksheet'!$A$4:$AL$324,38,0)/VLOOKUP(A71,'42. SEA or LEA Worksheet'!$A$4:$AL$324,35,0)</f>
        <v>15329.331757322176</v>
      </c>
      <c r="BQ71" s="632" t="str">
        <f t="shared" si="51"/>
        <v>Met</v>
      </c>
      <c r="BS71" s="620" t="str">
        <f>IF(AND(BH71="Did not Meet",BK71="Did not Meet", BN71="Did not Meet",BQ71="Did not Meet"),"Did not Meet","Met")</f>
        <v>Met</v>
      </c>
    </row>
    <row r="72" spans="1:71 1606:16384" x14ac:dyDescent="0.25">
      <c r="A72" s="343" t="s">
        <v>330</v>
      </c>
      <c r="B72" s="510" t="s">
        <v>903</v>
      </c>
      <c r="C72" s="511"/>
      <c r="D72" s="444">
        <v>3532542.92</v>
      </c>
      <c r="E72" s="343" t="s">
        <v>856</v>
      </c>
      <c r="F72" s="511"/>
      <c r="G72" s="444">
        <v>44991374.5</v>
      </c>
      <c r="H72" s="343" t="s">
        <v>835</v>
      </c>
      <c r="I72" s="511"/>
      <c r="J72" s="444">
        <v>1141.0022351421189</v>
      </c>
      <c r="K72" s="343" t="s">
        <v>856</v>
      </c>
      <c r="L72" s="511"/>
      <c r="M72" s="444">
        <v>14532.097706718347</v>
      </c>
      <c r="N72" s="343" t="s">
        <v>835</v>
      </c>
      <c r="O72" s="511"/>
      <c r="P72" s="512" t="str">
        <f t="shared" si="36"/>
        <v>Met</v>
      </c>
      <c r="Q72" s="511"/>
      <c r="R72" s="444">
        <f>VLOOKUP(A72,'2020-21'!$A$6:$F$319,6,0)</f>
        <v>4614231.8499999996</v>
      </c>
      <c r="S72" s="513" t="str">
        <f t="shared" si="38"/>
        <v>Met</v>
      </c>
      <c r="U72" s="444">
        <f>VLOOKUP(A72,'2020-21'!$A$6:$G$319,7,0)</f>
        <v>44983172.219999999</v>
      </c>
      <c r="V72" s="513" t="str">
        <f t="shared" si="39"/>
        <v>Did not Meet</v>
      </c>
      <c r="X72" s="444">
        <f>VLOOKUP(A72,'2020-21'!$A$6:$F$319,6,0)/VLOOKUP(A72,'42. SEA or LEA Worksheet'!$A$4:$T$324,20,0)</f>
        <v>1515.844891590013</v>
      </c>
      <c r="Y72" s="513" t="str">
        <f t="shared" si="40"/>
        <v>Met</v>
      </c>
      <c r="AA72" s="444">
        <f>VLOOKUP(A72,'42. SEA or LEA Worksheet'!$A$4:$W$324,23,0)/VLOOKUP(compliance!A72,'42. SEA or LEA Worksheet'!$A$4:$T$324,20,0)</f>
        <v>14777.651846254927</v>
      </c>
      <c r="AB72" s="513" t="str">
        <f t="shared" si="41"/>
        <v>Met</v>
      </c>
      <c r="AD72" s="512" t="str">
        <f t="shared" si="42"/>
        <v>Met</v>
      </c>
      <c r="AF72" s="444">
        <f>VLOOKUP(A72,'42. SEA or LEA Worksheet'!$A$4:$Z$324,26,0)</f>
        <v>6181499.3799999999</v>
      </c>
      <c r="AG72" s="513" t="str">
        <f t="shared" si="43"/>
        <v>Met</v>
      </c>
      <c r="AI72" s="444">
        <f>VLOOKUP(A72,'42. SEA or LEA Worksheet'!$A$4:$AB$324,28,0)</f>
        <v>47549018.789999999</v>
      </c>
      <c r="AJ72" s="513" t="str">
        <f t="shared" si="44"/>
        <v>Met</v>
      </c>
      <c r="AL72" s="444">
        <f>VLOOKUP(compliance!A72,'42. SEA or LEA Worksheet'!$A$4:$AB$324,26,0)/VLOOKUP(compliance!A72,'42. SEA or LEA Worksheet'!$A$4:$Y$324,25,0)</f>
        <v>2075.0249681101041</v>
      </c>
      <c r="AM72" s="513" t="str">
        <f t="shared" si="45"/>
        <v>Met</v>
      </c>
      <c r="AO72" s="444">
        <f>VLOOKUP(A72,'42. SEA or LEA Worksheet'!$A$4:$AB$324,28,0)/VLOOKUP(compliance!A72,'42. SEA or LEA Worksheet'!$A$4:$Y$324,25,0)</f>
        <v>15961.402749244713</v>
      </c>
      <c r="AP72" s="513" t="str">
        <f t="shared" si="46"/>
        <v>Met</v>
      </c>
      <c r="AR72" s="512" t="str">
        <f t="shared" si="47"/>
        <v>Met</v>
      </c>
      <c r="AT72" s="444">
        <f>VLOOKUP(A72,'42. SEA or LEA Worksheet'!$A$4:$AE$324,31,0)</f>
        <v>10175555.08</v>
      </c>
      <c r="AU72" s="513" t="str">
        <f t="shared" si="52"/>
        <v>Met</v>
      </c>
      <c r="AW72" s="444">
        <f>VLOOKUP(A72,'42. SEA or LEA Worksheet'!$A$4:$AG$324,33,0)</f>
        <v>55449511.689999998</v>
      </c>
      <c r="AX72" s="513" t="str">
        <f t="shared" si="53"/>
        <v>Met</v>
      </c>
      <c r="AZ72" s="444">
        <f>VLOOKUP(A72,'42. SEA or LEA Worksheet'!$A$4:$AG$324,31,0)/VLOOKUP(A72,'42. SEA or LEA Worksheet'!$A$4:$AD$324,30,0)</f>
        <v>3323.1727890267798</v>
      </c>
      <c r="BA72" s="513" t="str">
        <f t="shared" si="54"/>
        <v>Met</v>
      </c>
      <c r="BC72" s="444">
        <f>VLOOKUP(A72,'42. SEA or LEA Worksheet'!$A$4:$AG$324,33,0)/VLOOKUP(A72,'42. SEA or LEA Worksheet'!$A$4:$AD$324,30,0)</f>
        <v>18108.919559111691</v>
      </c>
      <c r="BD72" s="513" t="str">
        <f t="shared" si="35"/>
        <v>Met</v>
      </c>
      <c r="BF72" s="512" t="str">
        <f t="shared" si="37"/>
        <v>Met</v>
      </c>
      <c r="BG72" s="637">
        <f>VLOOKUP(A72,'42. SEA or LEA Worksheet'!$A$4:$AM$324,36,0)</f>
        <v>5034477.82</v>
      </c>
      <c r="BH72" s="638" t="str">
        <f t="shared" si="48"/>
        <v>Did not Meet</v>
      </c>
      <c r="BI72" s="639"/>
      <c r="BJ72" s="637">
        <f>VLOOKUP(A72,'42. SEA or LEA Worksheet'!$A$4:$AM$324,38,0)</f>
        <v>61636138.950000003</v>
      </c>
      <c r="BK72" s="638" t="str">
        <f t="shared" si="49"/>
        <v>Met</v>
      </c>
      <c r="BM72" s="631">
        <f>VLOOKUP(A72,'42. SEA or LEA Worksheet'!$A$4:$AL$324,36,0)/VLOOKUP(A72,'42. SEA or LEA Worksheet'!$A$4:$AL$324,35,0)</f>
        <v>1542.4258026960786</v>
      </c>
      <c r="BN72" s="632" t="str">
        <f t="shared" si="50"/>
        <v>Met</v>
      </c>
      <c r="BP72" s="631">
        <f>VLOOKUP(A72,'42. SEA or LEA Worksheet'!$A$4:$AL$324,38,0)/VLOOKUP(A72,'42. SEA or LEA Worksheet'!$A$4:$AL$324,35,0)</f>
        <v>18883.621001838237</v>
      </c>
      <c r="BQ72" s="632" t="str">
        <f t="shared" si="51"/>
        <v>Met</v>
      </c>
      <c r="BS72" s="620" t="str">
        <f>IF(AND(BH72="Did not Meet",BK72="Did not Meet", BN72="Did not Meet",BQ72="Did not Meet"),"Did not Meet","Met")</f>
        <v>Met</v>
      </c>
    </row>
    <row r="73" spans="1:71 1606:16384" x14ac:dyDescent="0.25">
      <c r="A73" s="343" t="s">
        <v>332</v>
      </c>
      <c r="B73" s="510" t="s">
        <v>904</v>
      </c>
      <c r="C73" s="511"/>
      <c r="D73" s="444">
        <v>350037.6</v>
      </c>
      <c r="E73" s="343" t="s">
        <v>856</v>
      </c>
      <c r="F73" s="511"/>
      <c r="G73" s="444">
        <v>5127441.4799999995</v>
      </c>
      <c r="H73" s="343" t="s">
        <v>835</v>
      </c>
      <c r="I73" s="511"/>
      <c r="J73" s="444">
        <v>784.83766816143498</v>
      </c>
      <c r="K73" s="343" t="s">
        <v>856</v>
      </c>
      <c r="L73" s="511"/>
      <c r="M73" s="444">
        <v>11496.505560538115</v>
      </c>
      <c r="N73" s="343" t="s">
        <v>835</v>
      </c>
      <c r="O73" s="511"/>
      <c r="P73" s="512" t="str">
        <f t="shared" si="36"/>
        <v>Met</v>
      </c>
      <c r="Q73" s="511"/>
      <c r="R73" s="444">
        <f>VLOOKUP(A73,'2020-21'!$A$6:$F$319,6,0)</f>
        <v>735021.58</v>
      </c>
      <c r="S73" s="513" t="str">
        <f t="shared" si="38"/>
        <v>Met</v>
      </c>
      <c r="U73" s="444">
        <f>VLOOKUP(A73,'2020-21'!$A$6:$G$319,7,0)</f>
        <v>5084041.72</v>
      </c>
      <c r="V73" s="513" t="str">
        <f t="shared" si="39"/>
        <v>Did not Meet</v>
      </c>
      <c r="X73" s="444">
        <f>VLOOKUP(A73,'2020-21'!$A$6:$F$319,6,0)/VLOOKUP(A73,'42. SEA or LEA Worksheet'!$A$4:$T$324,20,0)</f>
        <v>1832.9715211970074</v>
      </c>
      <c r="Y73" s="513" t="str">
        <f t="shared" si="40"/>
        <v>Met</v>
      </c>
      <c r="AA73" s="444">
        <f>VLOOKUP(A73,'42. SEA or LEA Worksheet'!$A$4:$W$324,23,0)/VLOOKUP(compliance!A73,'42. SEA or LEA Worksheet'!$A$4:$T$324,20,0)</f>
        <v>12678.408279301744</v>
      </c>
      <c r="AB73" s="513" t="str">
        <f t="shared" si="41"/>
        <v>Met</v>
      </c>
      <c r="AD73" s="512" t="str">
        <f t="shared" si="42"/>
        <v>Met</v>
      </c>
      <c r="AF73" s="444">
        <f>VLOOKUP(A73,'42. SEA or LEA Worksheet'!$A$4:$Z$324,26,0)</f>
        <v>731166.5</v>
      </c>
      <c r="AG73" s="513" t="str">
        <f t="shared" si="43"/>
        <v>Did not Meet</v>
      </c>
      <c r="AI73" s="444">
        <f>VLOOKUP(A73,'42. SEA or LEA Worksheet'!$A$4:$AB$324,28,0)</f>
        <v>5270692.25</v>
      </c>
      <c r="AJ73" s="513" t="str">
        <f t="shared" si="44"/>
        <v>Met</v>
      </c>
      <c r="AL73" s="444">
        <f>VLOOKUP(compliance!A73,'42. SEA or LEA Worksheet'!$A$4:$AB$324,26,0)/VLOOKUP(compliance!A73,'42. SEA or LEA Worksheet'!$A$4:$Y$324,25,0)</f>
        <v>1814.3089330024814</v>
      </c>
      <c r="AM73" s="513" t="str">
        <f t="shared" si="45"/>
        <v>Did not Meet</v>
      </c>
      <c r="AO73" s="444">
        <f>VLOOKUP(A73,'42. SEA or LEA Worksheet'!$A$4:$AB$324,28,0)/VLOOKUP(compliance!A73,'42. SEA or LEA Worksheet'!$A$4:$Y$324,25,0)</f>
        <v>13078.640818858561</v>
      </c>
      <c r="AP73" s="513" t="str">
        <f t="shared" si="46"/>
        <v>Met</v>
      </c>
      <c r="AR73" s="512" t="str">
        <f t="shared" si="47"/>
        <v>Met</v>
      </c>
      <c r="AT73" s="444">
        <f>VLOOKUP(A73,'42. SEA or LEA Worksheet'!$A$4:$AE$324,31,0)</f>
        <v>606337.35</v>
      </c>
      <c r="AU73" s="513" t="str">
        <f t="shared" si="52"/>
        <v>Did not Meet</v>
      </c>
      <c r="AW73" s="444">
        <f>VLOOKUP(A73,'42. SEA or LEA Worksheet'!$A$4:$AG$324,33,0)</f>
        <v>5610639.8799999999</v>
      </c>
      <c r="AX73" s="513" t="str">
        <f t="shared" si="53"/>
        <v>Met</v>
      </c>
      <c r="AZ73" s="444">
        <f>VLOOKUP(A73,'42. SEA or LEA Worksheet'!$A$4:$AG$324,31,0)/VLOOKUP(A73,'42. SEA or LEA Worksheet'!$A$4:$AD$324,30,0)</f>
        <v>1461.0538554216866</v>
      </c>
      <c r="BA73" s="513" t="str">
        <f t="shared" si="54"/>
        <v>Did not Meet</v>
      </c>
      <c r="BC73" s="444">
        <f>VLOOKUP(A73,'42. SEA or LEA Worksheet'!$A$4:$AG$324,33,0)/VLOOKUP(A73,'42. SEA or LEA Worksheet'!$A$4:$AD$324,30,0)</f>
        <v>13519.614168674698</v>
      </c>
      <c r="BD73" s="513" t="str">
        <f t="shared" si="35"/>
        <v>Met</v>
      </c>
      <c r="BF73" s="512" t="str">
        <f t="shared" si="37"/>
        <v>Met</v>
      </c>
      <c r="BG73" s="637">
        <f>VLOOKUP(A73,'42. SEA or LEA Worksheet'!$A$4:$AM$324,36,0)</f>
        <v>0</v>
      </c>
      <c r="BH73" s="638" t="str">
        <f t="shared" si="48"/>
        <v>Did not Meet</v>
      </c>
      <c r="BI73" s="639"/>
      <c r="BJ73" s="637">
        <f>VLOOKUP(A73,'42. SEA or LEA Worksheet'!$A$4:$AM$324,38,0)</f>
        <v>5826454.4500000002</v>
      </c>
      <c r="BK73" s="638" t="str">
        <f t="shared" si="49"/>
        <v>Met</v>
      </c>
      <c r="BM73" s="631">
        <f>VLOOKUP(A73,'42. SEA or LEA Worksheet'!$A$4:$AL$324,36,0)/VLOOKUP(A73,'42. SEA or LEA Worksheet'!$A$4:$AL$324,35,0)</f>
        <v>0</v>
      </c>
      <c r="BN73" s="632" t="str">
        <f t="shared" si="50"/>
        <v>Met</v>
      </c>
      <c r="BP73" s="631">
        <f>VLOOKUP(A73,'42. SEA or LEA Worksheet'!$A$4:$AL$324,38,0)/VLOOKUP(A73,'42. SEA or LEA Worksheet'!$A$4:$AL$324,35,0)</f>
        <v>12240.450525210084</v>
      </c>
      <c r="BQ73" s="632" t="str">
        <f t="shared" si="51"/>
        <v>Met</v>
      </c>
      <c r="BS73" s="620" t="str">
        <f>IF(AND(BH73="Did not Meet",BK73="Did not Meet", BN73="Did not Meet",BQ73="Did not Meet"),"Did not Meet","Met")</f>
        <v>Met</v>
      </c>
    </row>
    <row r="74" spans="1:71 1606:16384" x14ac:dyDescent="0.25">
      <c r="A74" s="343" t="s">
        <v>334</v>
      </c>
      <c r="B74" s="510" t="s">
        <v>905</v>
      </c>
      <c r="C74" s="511"/>
      <c r="D74" s="444">
        <v>0</v>
      </c>
      <c r="E74" s="343" t="s">
        <v>856</v>
      </c>
      <c r="F74" s="511"/>
      <c r="G74" s="444">
        <v>2827158.65</v>
      </c>
      <c r="H74" s="343" t="s">
        <v>835</v>
      </c>
      <c r="I74" s="511"/>
      <c r="J74" s="444">
        <v>0</v>
      </c>
      <c r="K74" s="343" t="s">
        <v>856</v>
      </c>
      <c r="L74" s="511"/>
      <c r="M74" s="444">
        <v>9361.4524834437088</v>
      </c>
      <c r="N74" s="343" t="s">
        <v>835</v>
      </c>
      <c r="O74" s="511"/>
      <c r="P74" s="512" t="str">
        <f t="shared" si="36"/>
        <v>Met</v>
      </c>
      <c r="Q74" s="511"/>
      <c r="R74" s="444">
        <f>VLOOKUP(A74,'2020-21'!$A$6:$F$319,6,0)</f>
        <v>0</v>
      </c>
      <c r="S74" s="513" t="str">
        <f t="shared" si="38"/>
        <v>Met</v>
      </c>
      <c r="U74" s="444">
        <f>VLOOKUP(A74,'2020-21'!$A$6:$G$319,7,0)</f>
        <v>2903469.81</v>
      </c>
      <c r="V74" s="513" t="str">
        <f t="shared" si="39"/>
        <v>Met</v>
      </c>
      <c r="X74" s="444">
        <f>VLOOKUP(A74,'2020-21'!$A$6:$F$319,6,0)/VLOOKUP(A74,'42. SEA or LEA Worksheet'!$A$4:$T$324,20,0)</f>
        <v>0</v>
      </c>
      <c r="Y74" s="513" t="str">
        <f t="shared" si="40"/>
        <v>Met</v>
      </c>
      <c r="AA74" s="444">
        <f>VLOOKUP(A74,'42. SEA or LEA Worksheet'!$A$4:$W$324,23,0)/VLOOKUP(compliance!A74,'42. SEA or LEA Worksheet'!$A$4:$T$324,20,0)</f>
        <v>10332.632775800712</v>
      </c>
      <c r="AB74" s="513" t="str">
        <f t="shared" si="41"/>
        <v>Met</v>
      </c>
      <c r="AD74" s="512" t="str">
        <f t="shared" si="42"/>
        <v>Met</v>
      </c>
      <c r="AF74" s="444">
        <f>VLOOKUP(A74,'42. SEA or LEA Worksheet'!$A$4:$Z$324,26,0)</f>
        <v>29681.45</v>
      </c>
      <c r="AG74" s="513" t="str">
        <f t="shared" si="43"/>
        <v>Met</v>
      </c>
      <c r="AI74" s="444">
        <f>VLOOKUP(A74,'42. SEA or LEA Worksheet'!$A$4:$AB$324,28,0)</f>
        <v>2717973.85</v>
      </c>
      <c r="AJ74" s="513" t="str">
        <f t="shared" si="44"/>
        <v>Did not Meet</v>
      </c>
      <c r="AL74" s="444">
        <f>VLOOKUP(compliance!A74,'42. SEA or LEA Worksheet'!$A$4:$AB$324,26,0)/VLOOKUP(compliance!A74,'42. SEA or LEA Worksheet'!$A$4:$Y$324,25,0)</f>
        <v>104.88144876325089</v>
      </c>
      <c r="AM74" s="513" t="str">
        <f t="shared" si="45"/>
        <v>Met</v>
      </c>
      <c r="AO74" s="444">
        <f>VLOOKUP(A74,'42. SEA or LEA Worksheet'!$A$4:$AB$324,28,0)/VLOOKUP(compliance!A74,'42. SEA or LEA Worksheet'!$A$4:$Y$324,25,0)</f>
        <v>9604.1478798586577</v>
      </c>
      <c r="AP74" s="513" t="str">
        <f t="shared" si="46"/>
        <v>Did not Meet</v>
      </c>
      <c r="AR74" s="512" t="str">
        <f t="shared" si="47"/>
        <v>Met</v>
      </c>
      <c r="AT74" s="444">
        <f>VLOOKUP(A74,'42. SEA or LEA Worksheet'!$A$4:$AE$324,31,0)</f>
        <v>0</v>
      </c>
      <c r="AU74" s="513" t="str">
        <f t="shared" si="52"/>
        <v>Did not Meet</v>
      </c>
      <c r="AW74" s="444">
        <f>VLOOKUP(A74,'42. SEA or LEA Worksheet'!$A$4:$AG$324,33,0)</f>
        <v>2823683.47</v>
      </c>
      <c r="AX74" s="513" t="str">
        <f t="shared" si="53"/>
        <v>Met</v>
      </c>
      <c r="AZ74" s="444">
        <f>VLOOKUP(A74,'42. SEA or LEA Worksheet'!$A$4:$AG$324,31,0)/VLOOKUP(A74,'42. SEA or LEA Worksheet'!$A$4:$AD$324,30,0)</f>
        <v>0</v>
      </c>
      <c r="BA74" s="513" t="str">
        <f t="shared" si="54"/>
        <v>Did not Meet</v>
      </c>
      <c r="BC74" s="444">
        <f>VLOOKUP(A74,'42. SEA or LEA Worksheet'!$A$4:$AG$324,33,0)/VLOOKUP(A74,'42. SEA or LEA Worksheet'!$A$4:$AD$324,30,0)</f>
        <v>10458.086925925927</v>
      </c>
      <c r="BD74" s="513" t="str">
        <f t="shared" si="35"/>
        <v>Met</v>
      </c>
      <c r="BF74" s="512" t="str">
        <f t="shared" si="37"/>
        <v>Met</v>
      </c>
      <c r="BG74" s="637">
        <f>VLOOKUP(A74,'42. SEA or LEA Worksheet'!$A$4:$AM$324,36,0)</f>
        <v>0</v>
      </c>
      <c r="BH74" s="638" t="str">
        <f t="shared" si="48"/>
        <v>Met</v>
      </c>
      <c r="BI74" s="639"/>
      <c r="BJ74" s="637">
        <f>VLOOKUP(A74,'42. SEA or LEA Worksheet'!$A$4:$AM$324,38,0)</f>
        <v>3049495.72</v>
      </c>
      <c r="BK74" s="638" t="str">
        <f t="shared" si="49"/>
        <v>Met</v>
      </c>
      <c r="BM74" s="631">
        <f>VLOOKUP(A74,'42. SEA or LEA Worksheet'!$A$4:$AL$324,36,0)/VLOOKUP(A74,'42. SEA or LEA Worksheet'!$A$4:$AL$324,35,0)</f>
        <v>0</v>
      </c>
      <c r="BN74" s="632" t="str">
        <f t="shared" si="50"/>
        <v>Met</v>
      </c>
      <c r="BP74" s="631">
        <f>VLOOKUP(A74,'42. SEA or LEA Worksheet'!$A$4:$AL$324,38,0)/VLOOKUP(A74,'42. SEA or LEA Worksheet'!$A$4:$AL$324,35,0)</f>
        <v>11728.829692307692</v>
      </c>
      <c r="BQ74" s="632" t="str">
        <f t="shared" si="51"/>
        <v>Met</v>
      </c>
      <c r="BS74" s="620" t="str">
        <f>IF(AND(BH74="Did not Meet",BK74="Did not Meet", BN74="Did not Meet",BQ74="Did not Meet"),"Did not Meet","Met")</f>
        <v>Met</v>
      </c>
    </row>
    <row r="75" spans="1:71 1606:16384" x14ac:dyDescent="0.25">
      <c r="A75" s="343" t="s">
        <v>336</v>
      </c>
      <c r="B75" s="510" t="s">
        <v>906</v>
      </c>
      <c r="C75" s="511"/>
      <c r="D75" s="444">
        <v>0</v>
      </c>
      <c r="E75" s="343" t="s">
        <v>835</v>
      </c>
      <c r="F75" s="511"/>
      <c r="G75" s="444">
        <v>170731.69</v>
      </c>
      <c r="H75" s="343" t="s">
        <v>880</v>
      </c>
      <c r="I75" s="511"/>
      <c r="J75" s="444">
        <v>0</v>
      </c>
      <c r="K75" s="343" t="s">
        <v>835</v>
      </c>
      <c r="L75" s="511"/>
      <c r="M75" s="444">
        <v>14227.640833333333</v>
      </c>
      <c r="N75" s="343" t="s">
        <v>856</v>
      </c>
      <c r="O75" s="511"/>
      <c r="P75" s="512" t="str">
        <f t="shared" si="36"/>
        <v>Met</v>
      </c>
      <c r="Q75" s="511"/>
      <c r="R75" s="444">
        <f>VLOOKUP(A75,'2020-21'!$A$6:$F$319,6,0)</f>
        <v>0</v>
      </c>
      <c r="S75" s="513" t="str">
        <f t="shared" si="38"/>
        <v>Met</v>
      </c>
      <c r="U75" s="444">
        <f>VLOOKUP(A75,'2020-21'!$A$6:$G$319,7,0)</f>
        <v>211307.29</v>
      </c>
      <c r="V75" s="513" t="str">
        <f t="shared" si="39"/>
        <v>Met</v>
      </c>
      <c r="X75" s="444">
        <f>VLOOKUP(A75,'2020-21'!$A$6:$F$319,6,0)/VLOOKUP(A75,'42. SEA or LEA Worksheet'!$A$4:$T$324,20,0)</f>
        <v>0</v>
      </c>
      <c r="Y75" s="513" t="str">
        <f t="shared" si="40"/>
        <v>Met</v>
      </c>
      <c r="AA75" s="444">
        <f>VLOOKUP(A75,'42. SEA or LEA Worksheet'!$A$4:$W$324,23,0)/VLOOKUP(compliance!A75,'42. SEA or LEA Worksheet'!$A$4:$T$324,20,0)</f>
        <v>14087.152666666667</v>
      </c>
      <c r="AB75" s="513" t="str">
        <f t="shared" si="41"/>
        <v>Did not Meet</v>
      </c>
      <c r="AD75" s="512" t="str">
        <f t="shared" si="42"/>
        <v>Met</v>
      </c>
      <c r="AF75" s="444">
        <f>VLOOKUP(A75,'42. SEA or LEA Worksheet'!$A$4:$Z$324,26,0)</f>
        <v>0</v>
      </c>
      <c r="AG75" s="513" t="str">
        <f t="shared" si="43"/>
        <v>Met</v>
      </c>
      <c r="AI75" s="444">
        <f>VLOOKUP(A75,'42. SEA or LEA Worksheet'!$A$4:$AB$324,28,0)</f>
        <v>259655.67</v>
      </c>
      <c r="AJ75" s="513" t="str">
        <f t="shared" si="44"/>
        <v>Met</v>
      </c>
      <c r="AL75" s="444">
        <f>VLOOKUP(compliance!A75,'42. SEA or LEA Worksheet'!$A$4:$AB$324,26,0)/VLOOKUP(compliance!A75,'42. SEA or LEA Worksheet'!$A$4:$Y$324,25,0)</f>
        <v>0</v>
      </c>
      <c r="AM75" s="513" t="str">
        <f t="shared" si="45"/>
        <v>Met</v>
      </c>
      <c r="AO75" s="444">
        <f>VLOOKUP(A75,'42. SEA or LEA Worksheet'!$A$4:$AB$324,28,0)/VLOOKUP(compliance!A75,'42. SEA or LEA Worksheet'!$A$4:$Y$324,25,0)</f>
        <v>18546.833571428571</v>
      </c>
      <c r="AP75" s="513" t="str">
        <f t="shared" si="46"/>
        <v>Met</v>
      </c>
      <c r="AR75" s="512" t="str">
        <f t="shared" si="47"/>
        <v>Met</v>
      </c>
      <c r="AT75" s="444">
        <f>VLOOKUP(A75,'42. SEA or LEA Worksheet'!$A$4:$AE$324,31,0)</f>
        <v>0</v>
      </c>
      <c r="AU75" s="513" t="str">
        <f t="shared" si="52"/>
        <v>Met</v>
      </c>
      <c r="AW75" s="444">
        <f>VLOOKUP(A75,'42. SEA or LEA Worksheet'!$A$4:$AG$324,33,0)</f>
        <v>283717.8</v>
      </c>
      <c r="AX75" s="513" t="str">
        <f t="shared" si="53"/>
        <v>Met</v>
      </c>
      <c r="AZ75" s="444">
        <f>VLOOKUP(A75,'42. SEA or LEA Worksheet'!$A$4:$AG$324,31,0)/VLOOKUP(A75,'42. SEA or LEA Worksheet'!$A$4:$AD$324,30,0)</f>
        <v>0</v>
      </c>
      <c r="BA75" s="513" t="str">
        <f t="shared" si="54"/>
        <v>Met</v>
      </c>
      <c r="BC75" s="444">
        <f>VLOOKUP(A75,'42. SEA or LEA Worksheet'!$A$4:$AG$324,33,0)/VLOOKUP(A75,'42. SEA or LEA Worksheet'!$A$4:$AD$324,30,0)</f>
        <v>12896.263636363636</v>
      </c>
      <c r="BD75" s="513" t="str">
        <f t="shared" si="35"/>
        <v>Did not Meet</v>
      </c>
      <c r="BF75" s="512" t="str">
        <f t="shared" si="37"/>
        <v>Met</v>
      </c>
      <c r="BG75" s="637">
        <f>VLOOKUP(A75,'42. SEA or LEA Worksheet'!$A$4:$AM$324,36,0)</f>
        <v>0</v>
      </c>
      <c r="BH75" s="638" t="str">
        <f t="shared" si="48"/>
        <v>Met</v>
      </c>
      <c r="BI75" s="639"/>
      <c r="BJ75" s="637">
        <f>VLOOKUP(A75,'42. SEA or LEA Worksheet'!$A$4:$AM$324,38,0)</f>
        <v>242924.52</v>
      </c>
      <c r="BK75" s="638" t="str">
        <f t="shared" si="49"/>
        <v>Did not Meet</v>
      </c>
      <c r="BM75" s="631">
        <f>VLOOKUP(A75,'42. SEA or LEA Worksheet'!$A$4:$AL$324,36,0)/VLOOKUP(A75,'42. SEA or LEA Worksheet'!$A$4:$AL$324,35,0)</f>
        <v>0</v>
      </c>
      <c r="BN75" s="632" t="str">
        <f t="shared" si="50"/>
        <v>Met</v>
      </c>
      <c r="BP75" s="631">
        <f>VLOOKUP(A75,'42. SEA or LEA Worksheet'!$A$4:$AL$324,38,0)/VLOOKUP(A75,'42. SEA or LEA Worksheet'!$A$4:$AL$324,35,0)</f>
        <v>11042.023636363636</v>
      </c>
      <c r="BQ75" s="632" t="str">
        <f t="shared" si="51"/>
        <v>Met</v>
      </c>
      <c r="BS75" s="620" t="str">
        <f>IF(AND(BH75="Did not Meet",BK75="Did not Meet", BN75="Did not Meet",BQ75="Did not Meet"),"Did not Meet","Met")</f>
        <v>Met</v>
      </c>
    </row>
    <row r="76" spans="1:71 1606:16384" x14ac:dyDescent="0.25">
      <c r="A76" s="343" t="s">
        <v>338</v>
      </c>
      <c r="B76" s="510" t="s">
        <v>907</v>
      </c>
      <c r="C76" s="511"/>
      <c r="D76" s="444">
        <v>0</v>
      </c>
      <c r="E76" s="343" t="s">
        <v>856</v>
      </c>
      <c r="F76" s="511"/>
      <c r="G76" s="444">
        <v>308041.64</v>
      </c>
      <c r="H76" s="343" t="s">
        <v>835</v>
      </c>
      <c r="I76" s="511"/>
      <c r="J76" s="444">
        <v>0</v>
      </c>
      <c r="K76" s="343" t="s">
        <v>856</v>
      </c>
      <c r="L76" s="511"/>
      <c r="M76" s="444">
        <v>8106.3589473684215</v>
      </c>
      <c r="N76" s="343" t="s">
        <v>856</v>
      </c>
      <c r="O76" s="511"/>
      <c r="P76" s="512" t="str">
        <f t="shared" si="36"/>
        <v>Met</v>
      </c>
      <c r="Q76" s="511"/>
      <c r="R76" s="444">
        <f>VLOOKUP(A76,'2020-21'!$A$6:$F$319,6,0)</f>
        <v>0</v>
      </c>
      <c r="S76" s="513" t="str">
        <f t="shared" si="38"/>
        <v>Met</v>
      </c>
      <c r="U76" s="444">
        <f>VLOOKUP(A76,'2020-21'!$A$6:$G$319,7,0)</f>
        <v>319369.55</v>
      </c>
      <c r="V76" s="513" t="str">
        <f t="shared" si="39"/>
        <v>Met</v>
      </c>
      <c r="X76" s="444">
        <f>VLOOKUP(A76,'2020-21'!$A$6:$F$319,6,0)/VLOOKUP(A76,'42. SEA or LEA Worksheet'!$A$4:$T$324,20,0)</f>
        <v>0</v>
      </c>
      <c r="Y76" s="513" t="str">
        <f t="shared" si="40"/>
        <v>Met</v>
      </c>
      <c r="AA76" s="444">
        <f>VLOOKUP(A76,'42. SEA or LEA Worksheet'!$A$4:$W$324,23,0)/VLOOKUP(compliance!A76,'42. SEA or LEA Worksheet'!$A$4:$T$324,20,0)</f>
        <v>8631.6094594594597</v>
      </c>
      <c r="AB76" s="513" t="str">
        <f t="shared" si="41"/>
        <v>Met</v>
      </c>
      <c r="AD76" s="512" t="str">
        <f t="shared" si="42"/>
        <v>Met</v>
      </c>
      <c r="AF76" s="444">
        <f>VLOOKUP(A76,'42. SEA or LEA Worksheet'!$A$4:$Z$324,26,0)</f>
        <v>6075.51</v>
      </c>
      <c r="AG76" s="513" t="str">
        <f t="shared" si="43"/>
        <v>Met</v>
      </c>
      <c r="AI76" s="444">
        <f>VLOOKUP(A76,'42. SEA or LEA Worksheet'!$A$4:$AB$324,28,0)</f>
        <v>391569.59</v>
      </c>
      <c r="AJ76" s="513" t="str">
        <f t="shared" si="44"/>
        <v>Met</v>
      </c>
      <c r="AL76" s="444">
        <f>VLOOKUP(compliance!A76,'42. SEA or LEA Worksheet'!$A$4:$AB$324,26,0)/VLOOKUP(compliance!A76,'42. SEA or LEA Worksheet'!$A$4:$Y$324,25,0)</f>
        <v>164.20297297297299</v>
      </c>
      <c r="AM76" s="513" t="str">
        <f t="shared" si="45"/>
        <v>Met</v>
      </c>
      <c r="AO76" s="444">
        <f>VLOOKUP(A76,'42. SEA or LEA Worksheet'!$A$4:$AB$324,28,0)/VLOOKUP(compliance!A76,'42. SEA or LEA Worksheet'!$A$4:$Y$324,25,0)</f>
        <v>10582.961891891893</v>
      </c>
      <c r="AP76" s="513" t="str">
        <f t="shared" si="46"/>
        <v>Met</v>
      </c>
      <c r="AR76" s="512" t="str">
        <f t="shared" si="47"/>
        <v>Met</v>
      </c>
      <c r="AT76" s="444">
        <f>VLOOKUP(A76,'42. SEA or LEA Worksheet'!$A$4:$AE$324,31,0)</f>
        <v>16161.38</v>
      </c>
      <c r="AU76" s="513" t="str">
        <f t="shared" si="52"/>
        <v>Met</v>
      </c>
      <c r="AW76" s="444">
        <f>VLOOKUP(A76,'42. SEA or LEA Worksheet'!$A$4:$AG$324,33,0)</f>
        <v>308412.62</v>
      </c>
      <c r="AX76" s="513" t="str">
        <f t="shared" si="53"/>
        <v>Did not Meet</v>
      </c>
      <c r="AZ76" s="444">
        <f>VLOOKUP(A76,'42. SEA or LEA Worksheet'!$A$4:$AG$324,31,0)/VLOOKUP(A76,'42. SEA or LEA Worksheet'!$A$4:$AD$324,30,0)</f>
        <v>702.66869565217382</v>
      </c>
      <c r="BA76" s="513" t="str">
        <f t="shared" si="54"/>
        <v>Met</v>
      </c>
      <c r="BC76" s="444">
        <f>VLOOKUP(A76,'42. SEA or LEA Worksheet'!$A$4:$AG$324,33,0)/VLOOKUP(A76,'42. SEA or LEA Worksheet'!$A$4:$AD$324,30,0)</f>
        <v>13409.244347826087</v>
      </c>
      <c r="BD76" s="513" t="str">
        <f t="shared" si="35"/>
        <v>Met</v>
      </c>
      <c r="BF76" s="512" t="str">
        <f t="shared" si="37"/>
        <v>Met</v>
      </c>
      <c r="BG76" s="637">
        <f>VLOOKUP(A76,'42. SEA or LEA Worksheet'!$A$4:$AM$324,36,0)</f>
        <v>0</v>
      </c>
      <c r="BH76" s="638" t="str">
        <f t="shared" si="48"/>
        <v>Did not Meet</v>
      </c>
      <c r="BI76" s="639"/>
      <c r="BJ76" s="637">
        <f>VLOOKUP(A76,'42. SEA or LEA Worksheet'!$A$4:$AM$324,38,0)</f>
        <v>430727.8</v>
      </c>
      <c r="BK76" s="638" t="str">
        <f t="shared" si="49"/>
        <v>Met</v>
      </c>
      <c r="BM76" s="631">
        <f>VLOOKUP(A76,'42. SEA or LEA Worksheet'!$A$4:$AL$324,36,0)/VLOOKUP(A76,'42. SEA or LEA Worksheet'!$A$4:$AL$324,35,0)</f>
        <v>0</v>
      </c>
      <c r="BN76" s="632" t="str">
        <f t="shared" si="50"/>
        <v>Met</v>
      </c>
      <c r="BP76" s="631">
        <f>VLOOKUP(A76,'42. SEA or LEA Worksheet'!$A$4:$AL$324,38,0)/VLOOKUP(A76,'42. SEA or LEA Worksheet'!$A$4:$AL$324,35,0)</f>
        <v>12306.508571428571</v>
      </c>
      <c r="BQ76" s="632" t="str">
        <f t="shared" si="51"/>
        <v>Met</v>
      </c>
      <c r="BS76" s="620" t="str">
        <f>IF(AND(BH76="Did not Meet",BK76="Did not Meet", BN76="Did not Meet",BQ76="Did not Meet"),"Did not Meet","Met")</f>
        <v>Met</v>
      </c>
      <c r="BIT76" s="343" t="s">
        <v>1300</v>
      </c>
      <c r="BIU76" s="343" t="s">
        <v>252</v>
      </c>
      <c r="BIV76" s="343" t="s">
        <v>1300</v>
      </c>
      <c r="BIW76" s="343" t="s">
        <v>252</v>
      </c>
      <c r="BIX76" s="343" t="s">
        <v>1300</v>
      </c>
      <c r="BIY76" s="343" t="s">
        <v>252</v>
      </c>
      <c r="BIZ76" s="343" t="s">
        <v>1300</v>
      </c>
      <c r="BJA76" s="343" t="s">
        <v>252</v>
      </c>
      <c r="BJB76" s="343" t="s">
        <v>1300</v>
      </c>
      <c r="BJC76" s="343" t="s">
        <v>252</v>
      </c>
      <c r="BJD76" s="343" t="s">
        <v>1300</v>
      </c>
      <c r="BJE76" s="343" t="s">
        <v>252</v>
      </c>
      <c r="BJF76" s="343" t="s">
        <v>1300</v>
      </c>
      <c r="BJG76" s="343" t="s">
        <v>252</v>
      </c>
      <c r="BJH76" s="343" t="s">
        <v>1300</v>
      </c>
      <c r="BJI76" s="343" t="s">
        <v>252</v>
      </c>
      <c r="BJJ76" s="343" t="s">
        <v>1300</v>
      </c>
      <c r="BJK76" s="343" t="s">
        <v>252</v>
      </c>
      <c r="BJL76" s="343" t="s">
        <v>1300</v>
      </c>
      <c r="BJM76" s="343" t="s">
        <v>252</v>
      </c>
      <c r="BJN76" s="343" t="s">
        <v>1300</v>
      </c>
      <c r="BJO76" s="343" t="s">
        <v>252</v>
      </c>
      <c r="BJP76" s="343" t="s">
        <v>1300</v>
      </c>
      <c r="BJQ76" s="343" t="s">
        <v>252</v>
      </c>
      <c r="BJR76" s="343" t="s">
        <v>1300</v>
      </c>
      <c r="BJS76" s="343" t="s">
        <v>252</v>
      </c>
      <c r="BJT76" s="343" t="s">
        <v>1300</v>
      </c>
      <c r="BJU76" s="343" t="s">
        <v>252</v>
      </c>
      <c r="BJV76" s="343" t="s">
        <v>1300</v>
      </c>
      <c r="BJW76" s="343" t="s">
        <v>252</v>
      </c>
      <c r="BJX76" s="343" t="s">
        <v>1300</v>
      </c>
      <c r="BJY76" s="343" t="s">
        <v>252</v>
      </c>
      <c r="BJZ76" s="343" t="s">
        <v>1300</v>
      </c>
      <c r="BKA76" s="343" t="s">
        <v>252</v>
      </c>
      <c r="BKB76" s="343" t="s">
        <v>1300</v>
      </c>
      <c r="BKC76" s="343" t="s">
        <v>252</v>
      </c>
      <c r="BKD76" s="343" t="s">
        <v>1300</v>
      </c>
      <c r="BKE76" s="343" t="s">
        <v>252</v>
      </c>
      <c r="BKF76" s="343" t="s">
        <v>1300</v>
      </c>
      <c r="BKG76" s="343" t="s">
        <v>252</v>
      </c>
      <c r="BKH76" s="343" t="s">
        <v>1300</v>
      </c>
      <c r="BKI76" s="343" t="s">
        <v>252</v>
      </c>
      <c r="BKJ76" s="343" t="s">
        <v>1300</v>
      </c>
      <c r="BKK76" s="343" t="s">
        <v>252</v>
      </c>
      <c r="BKL76" s="343" t="s">
        <v>1300</v>
      </c>
      <c r="BKM76" s="343" t="s">
        <v>252</v>
      </c>
      <c r="BKN76" s="343" t="s">
        <v>1300</v>
      </c>
      <c r="BKO76" s="343" t="s">
        <v>252</v>
      </c>
      <c r="BKP76" s="343" t="s">
        <v>1300</v>
      </c>
      <c r="BKQ76" s="343" t="s">
        <v>252</v>
      </c>
      <c r="BKR76" s="343" t="s">
        <v>1300</v>
      </c>
      <c r="BKS76" s="343" t="s">
        <v>252</v>
      </c>
      <c r="BKT76" s="343" t="s">
        <v>1300</v>
      </c>
      <c r="BKU76" s="343" t="s">
        <v>252</v>
      </c>
      <c r="BKV76" s="343" t="s">
        <v>1300</v>
      </c>
      <c r="BKW76" s="343" t="s">
        <v>252</v>
      </c>
      <c r="BKX76" s="343" t="s">
        <v>1300</v>
      </c>
      <c r="BKY76" s="343" t="s">
        <v>252</v>
      </c>
      <c r="BKZ76" s="343" t="s">
        <v>1300</v>
      </c>
      <c r="BLA76" s="343" t="s">
        <v>252</v>
      </c>
      <c r="BLB76" s="343" t="s">
        <v>1300</v>
      </c>
      <c r="BLC76" s="343" t="s">
        <v>252</v>
      </c>
      <c r="BLD76" s="343" t="s">
        <v>1300</v>
      </c>
      <c r="BLE76" s="343" t="s">
        <v>252</v>
      </c>
      <c r="BLF76" s="343" t="s">
        <v>1300</v>
      </c>
      <c r="BLG76" s="343" t="s">
        <v>252</v>
      </c>
      <c r="BLH76" s="343" t="s">
        <v>1300</v>
      </c>
      <c r="BLI76" s="343" t="s">
        <v>252</v>
      </c>
      <c r="BLJ76" s="343" t="s">
        <v>1300</v>
      </c>
      <c r="BLK76" s="343" t="s">
        <v>252</v>
      </c>
      <c r="BLL76" s="343" t="s">
        <v>1300</v>
      </c>
      <c r="BLM76" s="343" t="s">
        <v>252</v>
      </c>
      <c r="BLN76" s="343" t="s">
        <v>1300</v>
      </c>
      <c r="BLO76" s="343" t="s">
        <v>252</v>
      </c>
      <c r="BLP76" s="343" t="s">
        <v>1300</v>
      </c>
      <c r="BLQ76" s="343" t="s">
        <v>252</v>
      </c>
      <c r="BLR76" s="343" t="s">
        <v>1300</v>
      </c>
      <c r="BLS76" s="343" t="s">
        <v>252</v>
      </c>
      <c r="BLT76" s="343" t="s">
        <v>1300</v>
      </c>
      <c r="BLU76" s="343" t="s">
        <v>252</v>
      </c>
      <c r="BLV76" s="343" t="s">
        <v>1300</v>
      </c>
      <c r="BLW76" s="343" t="s">
        <v>252</v>
      </c>
      <c r="BLX76" s="343" t="s">
        <v>1300</v>
      </c>
      <c r="BLY76" s="343" t="s">
        <v>252</v>
      </c>
      <c r="BLZ76" s="343" t="s">
        <v>1300</v>
      </c>
      <c r="BMA76" s="343" t="s">
        <v>252</v>
      </c>
      <c r="BMB76" s="343" t="s">
        <v>1300</v>
      </c>
      <c r="BMC76" s="343" t="s">
        <v>252</v>
      </c>
      <c r="BMD76" s="343" t="s">
        <v>1300</v>
      </c>
      <c r="BME76" s="343" t="s">
        <v>252</v>
      </c>
      <c r="BMF76" s="343" t="s">
        <v>1300</v>
      </c>
      <c r="BMG76" s="343" t="s">
        <v>252</v>
      </c>
      <c r="BMH76" s="343" t="s">
        <v>1300</v>
      </c>
      <c r="BMI76" s="343" t="s">
        <v>252</v>
      </c>
      <c r="BMJ76" s="343" t="s">
        <v>1300</v>
      </c>
      <c r="BMK76" s="343" t="s">
        <v>252</v>
      </c>
      <c r="BML76" s="343" t="s">
        <v>1300</v>
      </c>
      <c r="BMM76" s="343" t="s">
        <v>252</v>
      </c>
      <c r="BMN76" s="343" t="s">
        <v>1300</v>
      </c>
      <c r="BMO76" s="343" t="s">
        <v>252</v>
      </c>
      <c r="BMP76" s="343" t="s">
        <v>1300</v>
      </c>
      <c r="BMQ76" s="343" t="s">
        <v>252</v>
      </c>
      <c r="BMR76" s="343" t="s">
        <v>1300</v>
      </c>
      <c r="BMS76" s="343" t="s">
        <v>252</v>
      </c>
      <c r="BMT76" s="343" t="s">
        <v>1300</v>
      </c>
      <c r="BMU76" s="343" t="s">
        <v>252</v>
      </c>
      <c r="BMV76" s="343" t="s">
        <v>1300</v>
      </c>
      <c r="BMW76" s="343" t="s">
        <v>252</v>
      </c>
      <c r="BMX76" s="343" t="s">
        <v>1300</v>
      </c>
      <c r="BMY76" s="343" t="s">
        <v>252</v>
      </c>
      <c r="BMZ76" s="343" t="s">
        <v>1300</v>
      </c>
      <c r="BNA76" s="343" t="s">
        <v>252</v>
      </c>
      <c r="BNB76" s="343" t="s">
        <v>1300</v>
      </c>
      <c r="BNC76" s="343" t="s">
        <v>252</v>
      </c>
      <c r="BND76" s="343" t="s">
        <v>1300</v>
      </c>
      <c r="BNE76" s="343" t="s">
        <v>252</v>
      </c>
      <c r="BNF76" s="343" t="s">
        <v>1300</v>
      </c>
      <c r="BNG76" s="343" t="s">
        <v>252</v>
      </c>
      <c r="BNH76" s="343" t="s">
        <v>1300</v>
      </c>
      <c r="BNI76" s="343" t="s">
        <v>252</v>
      </c>
      <c r="BNJ76" s="343" t="s">
        <v>1300</v>
      </c>
      <c r="BNK76" s="343" t="s">
        <v>252</v>
      </c>
      <c r="BNL76" s="343" t="s">
        <v>1300</v>
      </c>
      <c r="BNM76" s="343" t="s">
        <v>252</v>
      </c>
      <c r="BNN76" s="343" t="s">
        <v>1300</v>
      </c>
      <c r="BNO76" s="343" t="s">
        <v>252</v>
      </c>
      <c r="BNP76" s="343" t="s">
        <v>1300</v>
      </c>
      <c r="BNQ76" s="343" t="s">
        <v>252</v>
      </c>
      <c r="BNR76" s="343" t="s">
        <v>1300</v>
      </c>
      <c r="BNS76" s="343" t="s">
        <v>252</v>
      </c>
      <c r="BNT76" s="343" t="s">
        <v>1300</v>
      </c>
      <c r="BNU76" s="343" t="s">
        <v>252</v>
      </c>
      <c r="BNV76" s="343" t="s">
        <v>1300</v>
      </c>
      <c r="BNW76" s="343" t="s">
        <v>252</v>
      </c>
      <c r="BNX76" s="343" t="s">
        <v>1300</v>
      </c>
      <c r="BNY76" s="343" t="s">
        <v>252</v>
      </c>
      <c r="BNZ76" s="343" t="s">
        <v>1300</v>
      </c>
      <c r="BOA76" s="343" t="s">
        <v>252</v>
      </c>
      <c r="BOB76" s="343" t="s">
        <v>1300</v>
      </c>
      <c r="BOC76" s="343" t="s">
        <v>252</v>
      </c>
      <c r="BOD76" s="343" t="s">
        <v>1300</v>
      </c>
      <c r="BOE76" s="343" t="s">
        <v>252</v>
      </c>
      <c r="BOF76" s="343" t="s">
        <v>1300</v>
      </c>
      <c r="BOG76" s="343" t="s">
        <v>252</v>
      </c>
      <c r="BOH76" s="343" t="s">
        <v>1300</v>
      </c>
      <c r="BOI76" s="343" t="s">
        <v>252</v>
      </c>
      <c r="BOJ76" s="343" t="s">
        <v>1300</v>
      </c>
      <c r="BOK76" s="343" t="s">
        <v>252</v>
      </c>
      <c r="BOL76" s="343" t="s">
        <v>1300</v>
      </c>
      <c r="BOM76" s="343" t="s">
        <v>252</v>
      </c>
      <c r="BON76" s="343" t="s">
        <v>1300</v>
      </c>
      <c r="BOO76" s="343" t="s">
        <v>252</v>
      </c>
      <c r="BOP76" s="343" t="s">
        <v>1300</v>
      </c>
      <c r="BOQ76" s="343" t="s">
        <v>252</v>
      </c>
      <c r="BOR76" s="343" t="s">
        <v>1300</v>
      </c>
      <c r="BOS76" s="343" t="s">
        <v>252</v>
      </c>
      <c r="BOT76" s="343" t="s">
        <v>1300</v>
      </c>
      <c r="BOU76" s="343" t="s">
        <v>252</v>
      </c>
      <c r="BOV76" s="343" t="s">
        <v>1300</v>
      </c>
      <c r="BOW76" s="343" t="s">
        <v>252</v>
      </c>
      <c r="BOX76" s="343" t="s">
        <v>1300</v>
      </c>
      <c r="BOY76" s="343" t="s">
        <v>252</v>
      </c>
      <c r="BOZ76" s="343" t="s">
        <v>1300</v>
      </c>
      <c r="BPA76" s="343" t="s">
        <v>252</v>
      </c>
      <c r="BPB76" s="343" t="s">
        <v>1300</v>
      </c>
      <c r="BPC76" s="343" t="s">
        <v>252</v>
      </c>
      <c r="BPD76" s="343" t="s">
        <v>1300</v>
      </c>
      <c r="BPE76" s="343" t="s">
        <v>252</v>
      </c>
      <c r="BPF76" s="343" t="s">
        <v>1300</v>
      </c>
      <c r="BPG76" s="343" t="s">
        <v>252</v>
      </c>
      <c r="BPH76" s="343" t="s">
        <v>1300</v>
      </c>
      <c r="BPI76" s="343" t="s">
        <v>252</v>
      </c>
      <c r="BPJ76" s="343" t="s">
        <v>1300</v>
      </c>
      <c r="BPK76" s="343" t="s">
        <v>252</v>
      </c>
      <c r="BPL76" s="343" t="s">
        <v>1300</v>
      </c>
      <c r="BPM76" s="343" t="s">
        <v>252</v>
      </c>
      <c r="BPN76" s="343" t="s">
        <v>1300</v>
      </c>
      <c r="BPO76" s="343" t="s">
        <v>252</v>
      </c>
      <c r="BPP76" s="343" t="s">
        <v>1300</v>
      </c>
      <c r="BPQ76" s="343" t="s">
        <v>252</v>
      </c>
      <c r="BPR76" s="343" t="s">
        <v>1300</v>
      </c>
      <c r="BPS76" s="343" t="s">
        <v>252</v>
      </c>
      <c r="BPT76" s="343" t="s">
        <v>1300</v>
      </c>
      <c r="BPU76" s="343" t="s">
        <v>252</v>
      </c>
      <c r="BPV76" s="343" t="s">
        <v>1300</v>
      </c>
      <c r="BPW76" s="343" t="s">
        <v>252</v>
      </c>
      <c r="BPX76" s="343" t="s">
        <v>1300</v>
      </c>
      <c r="BPY76" s="343" t="s">
        <v>252</v>
      </c>
      <c r="BPZ76" s="343" t="s">
        <v>1300</v>
      </c>
      <c r="BQA76" s="343" t="s">
        <v>252</v>
      </c>
      <c r="BQB76" s="343" t="s">
        <v>1300</v>
      </c>
      <c r="BQC76" s="343" t="s">
        <v>252</v>
      </c>
      <c r="BQD76" s="343" t="s">
        <v>1300</v>
      </c>
      <c r="BQE76" s="343" t="s">
        <v>252</v>
      </c>
      <c r="BQF76" s="343" t="s">
        <v>1300</v>
      </c>
      <c r="BQG76" s="343" t="s">
        <v>252</v>
      </c>
      <c r="BQH76" s="343" t="s">
        <v>1300</v>
      </c>
      <c r="BQI76" s="343" t="s">
        <v>252</v>
      </c>
      <c r="BQJ76" s="343" t="s">
        <v>1300</v>
      </c>
      <c r="BQK76" s="343" t="s">
        <v>252</v>
      </c>
      <c r="BQL76" s="343" t="s">
        <v>1300</v>
      </c>
      <c r="BQM76" s="343" t="s">
        <v>252</v>
      </c>
      <c r="BQN76" s="343" t="s">
        <v>1300</v>
      </c>
      <c r="BQO76" s="343" t="s">
        <v>252</v>
      </c>
      <c r="BQP76" s="343" t="s">
        <v>1300</v>
      </c>
      <c r="BQQ76" s="343" t="s">
        <v>252</v>
      </c>
      <c r="BQR76" s="343" t="s">
        <v>1300</v>
      </c>
      <c r="BQS76" s="343" t="s">
        <v>252</v>
      </c>
      <c r="BQT76" s="343" t="s">
        <v>1300</v>
      </c>
      <c r="BQU76" s="343" t="s">
        <v>252</v>
      </c>
      <c r="BQV76" s="343" t="s">
        <v>1300</v>
      </c>
      <c r="BQW76" s="343" t="s">
        <v>252</v>
      </c>
      <c r="BQX76" s="343" t="s">
        <v>1300</v>
      </c>
      <c r="BQY76" s="343" t="s">
        <v>252</v>
      </c>
      <c r="BQZ76" s="343" t="s">
        <v>1300</v>
      </c>
      <c r="BRA76" s="343" t="s">
        <v>252</v>
      </c>
      <c r="BRB76" s="343" t="s">
        <v>1300</v>
      </c>
      <c r="BRC76" s="343" t="s">
        <v>252</v>
      </c>
      <c r="BRD76" s="343" t="s">
        <v>1300</v>
      </c>
      <c r="BRE76" s="343" t="s">
        <v>252</v>
      </c>
      <c r="BRF76" s="343" t="s">
        <v>1300</v>
      </c>
      <c r="BRG76" s="343" t="s">
        <v>252</v>
      </c>
      <c r="BRH76" s="343" t="s">
        <v>1300</v>
      </c>
      <c r="BRI76" s="343" t="s">
        <v>252</v>
      </c>
      <c r="BRJ76" s="343" t="s">
        <v>1300</v>
      </c>
      <c r="BRK76" s="343" t="s">
        <v>252</v>
      </c>
      <c r="BRL76" s="343" t="s">
        <v>1300</v>
      </c>
      <c r="BRM76" s="343" t="s">
        <v>252</v>
      </c>
      <c r="BRN76" s="343" t="s">
        <v>1300</v>
      </c>
      <c r="BRO76" s="343" t="s">
        <v>252</v>
      </c>
      <c r="BRP76" s="343" t="s">
        <v>1300</v>
      </c>
      <c r="BRQ76" s="343" t="s">
        <v>252</v>
      </c>
      <c r="BRR76" s="343" t="s">
        <v>1300</v>
      </c>
      <c r="BRS76" s="343" t="s">
        <v>252</v>
      </c>
      <c r="BRT76" s="343" t="s">
        <v>1300</v>
      </c>
      <c r="BRU76" s="343" t="s">
        <v>252</v>
      </c>
      <c r="BRV76" s="343" t="s">
        <v>1300</v>
      </c>
      <c r="BRW76" s="343" t="s">
        <v>252</v>
      </c>
      <c r="BRX76" s="343" t="s">
        <v>1300</v>
      </c>
      <c r="BRY76" s="343" t="s">
        <v>252</v>
      </c>
      <c r="BRZ76" s="343" t="s">
        <v>1300</v>
      </c>
      <c r="BSA76" s="343" t="s">
        <v>252</v>
      </c>
      <c r="BSB76" s="343" t="s">
        <v>1300</v>
      </c>
      <c r="BSC76" s="343" t="s">
        <v>252</v>
      </c>
      <c r="BSD76" s="343" t="s">
        <v>1300</v>
      </c>
      <c r="BSE76" s="343" t="s">
        <v>252</v>
      </c>
      <c r="BSF76" s="343" t="s">
        <v>1300</v>
      </c>
      <c r="BSG76" s="343" t="s">
        <v>252</v>
      </c>
      <c r="BSH76" s="343" t="s">
        <v>1300</v>
      </c>
      <c r="BSI76" s="343" t="s">
        <v>252</v>
      </c>
      <c r="BSJ76" s="343" t="s">
        <v>1300</v>
      </c>
      <c r="BSK76" s="343" t="s">
        <v>252</v>
      </c>
      <c r="BSL76" s="343" t="s">
        <v>1300</v>
      </c>
      <c r="BSM76" s="343" t="s">
        <v>252</v>
      </c>
      <c r="BSN76" s="343" t="s">
        <v>1300</v>
      </c>
      <c r="BSO76" s="343" t="s">
        <v>252</v>
      </c>
      <c r="BSP76" s="343" t="s">
        <v>1300</v>
      </c>
      <c r="BSQ76" s="343" t="s">
        <v>252</v>
      </c>
      <c r="BSR76" s="343" t="s">
        <v>1300</v>
      </c>
      <c r="BSS76" s="343" t="s">
        <v>252</v>
      </c>
      <c r="BST76" s="343" t="s">
        <v>1300</v>
      </c>
      <c r="BSU76" s="343" t="s">
        <v>252</v>
      </c>
      <c r="BSV76" s="343" t="s">
        <v>1300</v>
      </c>
      <c r="BSW76" s="343" t="s">
        <v>252</v>
      </c>
      <c r="BSX76" s="343" t="s">
        <v>1300</v>
      </c>
      <c r="BSY76" s="343" t="s">
        <v>252</v>
      </c>
      <c r="BSZ76" s="343" t="s">
        <v>1300</v>
      </c>
      <c r="BTA76" s="343" t="s">
        <v>252</v>
      </c>
      <c r="BTB76" s="343" t="s">
        <v>1300</v>
      </c>
      <c r="BTC76" s="343" t="s">
        <v>252</v>
      </c>
      <c r="BTD76" s="343" t="s">
        <v>1300</v>
      </c>
      <c r="BTE76" s="343" t="s">
        <v>252</v>
      </c>
      <c r="BTF76" s="343" t="s">
        <v>1300</v>
      </c>
      <c r="BTG76" s="343" t="s">
        <v>252</v>
      </c>
      <c r="BTH76" s="343" t="s">
        <v>1300</v>
      </c>
      <c r="BTI76" s="343" t="s">
        <v>252</v>
      </c>
      <c r="BTJ76" s="343" t="s">
        <v>1300</v>
      </c>
      <c r="BTK76" s="343" t="s">
        <v>252</v>
      </c>
      <c r="BTL76" s="343" t="s">
        <v>1300</v>
      </c>
      <c r="BTM76" s="343" t="s">
        <v>252</v>
      </c>
      <c r="BTN76" s="343" t="s">
        <v>1300</v>
      </c>
      <c r="BTO76" s="343" t="s">
        <v>252</v>
      </c>
      <c r="BTP76" s="343" t="s">
        <v>1300</v>
      </c>
      <c r="BTQ76" s="343" t="s">
        <v>252</v>
      </c>
      <c r="BTR76" s="343" t="s">
        <v>1300</v>
      </c>
      <c r="BTS76" s="343" t="s">
        <v>252</v>
      </c>
      <c r="BTT76" s="343" t="s">
        <v>1300</v>
      </c>
      <c r="BTU76" s="343" t="s">
        <v>252</v>
      </c>
      <c r="BTV76" s="343" t="s">
        <v>1300</v>
      </c>
      <c r="BTW76" s="343" t="s">
        <v>252</v>
      </c>
      <c r="BTX76" s="343" t="s">
        <v>1300</v>
      </c>
      <c r="BTY76" s="343" t="s">
        <v>252</v>
      </c>
      <c r="BTZ76" s="343" t="s">
        <v>1300</v>
      </c>
      <c r="BUA76" s="343" t="s">
        <v>252</v>
      </c>
      <c r="BUB76" s="343" t="s">
        <v>1300</v>
      </c>
      <c r="BUC76" s="343" t="s">
        <v>252</v>
      </c>
      <c r="BUD76" s="343" t="s">
        <v>1300</v>
      </c>
      <c r="BUE76" s="343" t="s">
        <v>252</v>
      </c>
      <c r="BUF76" s="343" t="s">
        <v>1300</v>
      </c>
      <c r="BUG76" s="343" t="s">
        <v>252</v>
      </c>
      <c r="BUH76" s="343" t="s">
        <v>1300</v>
      </c>
      <c r="BUI76" s="343" t="s">
        <v>252</v>
      </c>
      <c r="BUJ76" s="343" t="s">
        <v>1300</v>
      </c>
      <c r="BUK76" s="343" t="s">
        <v>252</v>
      </c>
      <c r="BUL76" s="343" t="s">
        <v>1300</v>
      </c>
      <c r="BUM76" s="343" t="s">
        <v>252</v>
      </c>
      <c r="BUN76" s="343" t="s">
        <v>1300</v>
      </c>
      <c r="BUO76" s="343" t="s">
        <v>252</v>
      </c>
      <c r="BUP76" s="343" t="s">
        <v>1300</v>
      </c>
      <c r="BUQ76" s="343" t="s">
        <v>252</v>
      </c>
      <c r="BUR76" s="343" t="s">
        <v>1300</v>
      </c>
      <c r="BUS76" s="343" t="s">
        <v>252</v>
      </c>
      <c r="BUT76" s="343" t="s">
        <v>1300</v>
      </c>
      <c r="BUU76" s="343" t="s">
        <v>252</v>
      </c>
      <c r="BUV76" s="343" t="s">
        <v>1300</v>
      </c>
      <c r="BUW76" s="343" t="s">
        <v>252</v>
      </c>
      <c r="BUX76" s="343" t="s">
        <v>1300</v>
      </c>
      <c r="BUY76" s="343" t="s">
        <v>252</v>
      </c>
      <c r="BUZ76" s="343" t="s">
        <v>1300</v>
      </c>
      <c r="BVA76" s="343" t="s">
        <v>252</v>
      </c>
      <c r="BVB76" s="343" t="s">
        <v>1300</v>
      </c>
      <c r="BVC76" s="343" t="s">
        <v>252</v>
      </c>
      <c r="BVD76" s="343" t="s">
        <v>1300</v>
      </c>
      <c r="BVE76" s="343" t="s">
        <v>252</v>
      </c>
      <c r="BVF76" s="343" t="s">
        <v>1300</v>
      </c>
      <c r="BVG76" s="343" t="s">
        <v>252</v>
      </c>
      <c r="BVH76" s="343" t="s">
        <v>1300</v>
      </c>
      <c r="BVI76" s="343" t="s">
        <v>252</v>
      </c>
      <c r="BVJ76" s="343" t="s">
        <v>1300</v>
      </c>
      <c r="BVK76" s="343" t="s">
        <v>252</v>
      </c>
      <c r="BVL76" s="343" t="s">
        <v>1300</v>
      </c>
      <c r="BVM76" s="343" t="s">
        <v>252</v>
      </c>
      <c r="BVN76" s="343" t="s">
        <v>1300</v>
      </c>
      <c r="BVO76" s="343" t="s">
        <v>252</v>
      </c>
      <c r="BVP76" s="343" t="s">
        <v>1300</v>
      </c>
      <c r="BVQ76" s="343" t="s">
        <v>252</v>
      </c>
      <c r="BVR76" s="343" t="s">
        <v>1300</v>
      </c>
      <c r="BVS76" s="343" t="s">
        <v>252</v>
      </c>
      <c r="BVT76" s="343" t="s">
        <v>1300</v>
      </c>
      <c r="BVU76" s="343" t="s">
        <v>252</v>
      </c>
      <c r="BVV76" s="343" t="s">
        <v>1300</v>
      </c>
      <c r="BVW76" s="343" t="s">
        <v>252</v>
      </c>
      <c r="BVX76" s="343" t="s">
        <v>1300</v>
      </c>
      <c r="BVY76" s="343" t="s">
        <v>252</v>
      </c>
      <c r="BVZ76" s="343" t="s">
        <v>1300</v>
      </c>
      <c r="BWA76" s="343" t="s">
        <v>252</v>
      </c>
      <c r="BWB76" s="343" t="s">
        <v>1300</v>
      </c>
      <c r="BWC76" s="343" t="s">
        <v>252</v>
      </c>
      <c r="BWD76" s="343" t="s">
        <v>1300</v>
      </c>
      <c r="BWE76" s="343" t="s">
        <v>252</v>
      </c>
      <c r="BWF76" s="343" t="s">
        <v>1300</v>
      </c>
      <c r="BWG76" s="343" t="s">
        <v>252</v>
      </c>
      <c r="BWH76" s="343" t="s">
        <v>1300</v>
      </c>
      <c r="BWI76" s="343" t="s">
        <v>252</v>
      </c>
      <c r="BWJ76" s="343" t="s">
        <v>1300</v>
      </c>
      <c r="BWK76" s="343" t="s">
        <v>252</v>
      </c>
      <c r="BWL76" s="343" t="s">
        <v>1300</v>
      </c>
      <c r="BWM76" s="343" t="s">
        <v>252</v>
      </c>
      <c r="BWN76" s="343" t="s">
        <v>1300</v>
      </c>
      <c r="BWO76" s="343" t="s">
        <v>252</v>
      </c>
      <c r="BWP76" s="343" t="s">
        <v>1300</v>
      </c>
      <c r="BWQ76" s="343" t="s">
        <v>252</v>
      </c>
      <c r="BWR76" s="343" t="s">
        <v>1300</v>
      </c>
      <c r="BWS76" s="343" t="s">
        <v>252</v>
      </c>
      <c r="BWT76" s="343" t="s">
        <v>1300</v>
      </c>
      <c r="BWU76" s="343" t="s">
        <v>252</v>
      </c>
      <c r="BWV76" s="343" t="s">
        <v>1300</v>
      </c>
      <c r="BWW76" s="343" t="s">
        <v>252</v>
      </c>
      <c r="BWX76" s="343" t="s">
        <v>1300</v>
      </c>
      <c r="BWY76" s="343" t="s">
        <v>252</v>
      </c>
      <c r="BWZ76" s="343" t="s">
        <v>1300</v>
      </c>
      <c r="BXA76" s="343" t="s">
        <v>252</v>
      </c>
      <c r="BXB76" s="343" t="s">
        <v>1300</v>
      </c>
      <c r="BXC76" s="343" t="s">
        <v>252</v>
      </c>
      <c r="BXD76" s="343" t="s">
        <v>1300</v>
      </c>
      <c r="BXE76" s="343" t="s">
        <v>252</v>
      </c>
      <c r="BXF76" s="343" t="s">
        <v>1300</v>
      </c>
      <c r="BXG76" s="343" t="s">
        <v>252</v>
      </c>
      <c r="BXH76" s="343" t="s">
        <v>1300</v>
      </c>
      <c r="BXI76" s="343" t="s">
        <v>252</v>
      </c>
      <c r="BXJ76" s="343" t="s">
        <v>1300</v>
      </c>
      <c r="BXK76" s="343" t="s">
        <v>252</v>
      </c>
      <c r="BXL76" s="343" t="s">
        <v>1300</v>
      </c>
      <c r="BXM76" s="343" t="s">
        <v>252</v>
      </c>
      <c r="BXN76" s="343" t="s">
        <v>1300</v>
      </c>
      <c r="BXO76" s="343" t="s">
        <v>252</v>
      </c>
      <c r="BXP76" s="343" t="s">
        <v>1300</v>
      </c>
      <c r="BXQ76" s="343" t="s">
        <v>252</v>
      </c>
      <c r="BXR76" s="343" t="s">
        <v>1300</v>
      </c>
      <c r="BXS76" s="343" t="s">
        <v>252</v>
      </c>
      <c r="BXT76" s="343" t="s">
        <v>1300</v>
      </c>
      <c r="BXU76" s="343" t="s">
        <v>252</v>
      </c>
      <c r="BXV76" s="343" t="s">
        <v>1300</v>
      </c>
      <c r="BXW76" s="343" t="s">
        <v>252</v>
      </c>
      <c r="BXX76" s="343" t="s">
        <v>1300</v>
      </c>
      <c r="BXY76" s="343" t="s">
        <v>252</v>
      </c>
      <c r="BXZ76" s="343" t="s">
        <v>1300</v>
      </c>
      <c r="BYA76" s="343" t="s">
        <v>252</v>
      </c>
      <c r="BYB76" s="343" t="s">
        <v>1300</v>
      </c>
      <c r="BYC76" s="343" t="s">
        <v>252</v>
      </c>
      <c r="BYD76" s="343" t="s">
        <v>1300</v>
      </c>
      <c r="BYE76" s="343" t="s">
        <v>252</v>
      </c>
      <c r="BYF76" s="343" t="s">
        <v>1300</v>
      </c>
      <c r="BYG76" s="343" t="s">
        <v>252</v>
      </c>
      <c r="BYH76" s="343" t="s">
        <v>1300</v>
      </c>
      <c r="BYI76" s="343" t="s">
        <v>252</v>
      </c>
      <c r="BYJ76" s="343" t="s">
        <v>1300</v>
      </c>
      <c r="BYK76" s="343" t="s">
        <v>252</v>
      </c>
      <c r="BYL76" s="343" t="s">
        <v>1300</v>
      </c>
      <c r="BYM76" s="343" t="s">
        <v>252</v>
      </c>
      <c r="BYN76" s="343" t="s">
        <v>1300</v>
      </c>
      <c r="BYO76" s="343" t="s">
        <v>252</v>
      </c>
      <c r="BYP76" s="343" t="s">
        <v>1300</v>
      </c>
      <c r="BYQ76" s="343" t="s">
        <v>252</v>
      </c>
      <c r="BYR76" s="343" t="s">
        <v>1300</v>
      </c>
      <c r="BYS76" s="343" t="s">
        <v>252</v>
      </c>
      <c r="BYT76" s="343" t="s">
        <v>1300</v>
      </c>
      <c r="BYU76" s="343" t="s">
        <v>252</v>
      </c>
      <c r="BYV76" s="343" t="s">
        <v>1300</v>
      </c>
      <c r="BYW76" s="343" t="s">
        <v>252</v>
      </c>
      <c r="BYX76" s="343" t="s">
        <v>1300</v>
      </c>
      <c r="BYY76" s="343" t="s">
        <v>252</v>
      </c>
      <c r="BYZ76" s="343" t="s">
        <v>1300</v>
      </c>
      <c r="BZA76" s="343" t="s">
        <v>252</v>
      </c>
      <c r="BZB76" s="343" t="s">
        <v>1300</v>
      </c>
      <c r="BZC76" s="343" t="s">
        <v>252</v>
      </c>
      <c r="BZD76" s="343" t="s">
        <v>1300</v>
      </c>
      <c r="BZE76" s="343" t="s">
        <v>252</v>
      </c>
      <c r="BZF76" s="343" t="s">
        <v>1300</v>
      </c>
      <c r="BZG76" s="343" t="s">
        <v>252</v>
      </c>
      <c r="BZH76" s="343" t="s">
        <v>1300</v>
      </c>
      <c r="BZI76" s="343" t="s">
        <v>252</v>
      </c>
      <c r="BZJ76" s="343" t="s">
        <v>1300</v>
      </c>
      <c r="BZK76" s="343" t="s">
        <v>252</v>
      </c>
      <c r="BZL76" s="343" t="s">
        <v>1300</v>
      </c>
      <c r="BZM76" s="343" t="s">
        <v>252</v>
      </c>
      <c r="BZN76" s="343" t="s">
        <v>1300</v>
      </c>
      <c r="BZO76" s="343" t="s">
        <v>252</v>
      </c>
      <c r="BZP76" s="343" t="s">
        <v>1300</v>
      </c>
      <c r="BZQ76" s="343" t="s">
        <v>252</v>
      </c>
      <c r="BZR76" s="343" t="s">
        <v>1300</v>
      </c>
      <c r="BZS76" s="343" t="s">
        <v>252</v>
      </c>
      <c r="BZT76" s="343" t="s">
        <v>1300</v>
      </c>
      <c r="BZU76" s="343" t="s">
        <v>252</v>
      </c>
      <c r="BZV76" s="343" t="s">
        <v>1300</v>
      </c>
      <c r="BZW76" s="343" t="s">
        <v>252</v>
      </c>
      <c r="BZX76" s="343" t="s">
        <v>1300</v>
      </c>
      <c r="BZY76" s="343" t="s">
        <v>252</v>
      </c>
      <c r="BZZ76" s="343" t="s">
        <v>1300</v>
      </c>
      <c r="CAA76" s="343" t="s">
        <v>252</v>
      </c>
      <c r="CAB76" s="343" t="s">
        <v>1300</v>
      </c>
      <c r="CAC76" s="343" t="s">
        <v>252</v>
      </c>
      <c r="CAD76" s="343" t="s">
        <v>1300</v>
      </c>
      <c r="CAE76" s="343" t="s">
        <v>252</v>
      </c>
      <c r="CAF76" s="343" t="s">
        <v>1300</v>
      </c>
      <c r="CAG76" s="343" t="s">
        <v>252</v>
      </c>
      <c r="CAH76" s="343" t="s">
        <v>1300</v>
      </c>
      <c r="CAI76" s="343" t="s">
        <v>252</v>
      </c>
      <c r="CAJ76" s="343" t="s">
        <v>1300</v>
      </c>
      <c r="CAK76" s="343" t="s">
        <v>252</v>
      </c>
      <c r="CAL76" s="343" t="s">
        <v>1300</v>
      </c>
      <c r="CAM76" s="343" t="s">
        <v>252</v>
      </c>
      <c r="CAN76" s="343" t="s">
        <v>1300</v>
      </c>
      <c r="CAO76" s="343" t="s">
        <v>252</v>
      </c>
      <c r="CAP76" s="343" t="s">
        <v>1300</v>
      </c>
      <c r="CAQ76" s="343" t="s">
        <v>252</v>
      </c>
      <c r="CAR76" s="343" t="s">
        <v>1300</v>
      </c>
      <c r="CAS76" s="343" t="s">
        <v>252</v>
      </c>
      <c r="CAT76" s="343" t="s">
        <v>1300</v>
      </c>
      <c r="CAU76" s="343" t="s">
        <v>252</v>
      </c>
      <c r="CAV76" s="343" t="s">
        <v>1300</v>
      </c>
      <c r="CAW76" s="343" t="s">
        <v>252</v>
      </c>
      <c r="CAX76" s="343" t="s">
        <v>1300</v>
      </c>
      <c r="CAY76" s="343" t="s">
        <v>252</v>
      </c>
      <c r="CAZ76" s="343" t="s">
        <v>1300</v>
      </c>
      <c r="CBA76" s="343" t="s">
        <v>252</v>
      </c>
      <c r="CBB76" s="343" t="s">
        <v>1300</v>
      </c>
      <c r="CBC76" s="343" t="s">
        <v>252</v>
      </c>
      <c r="CBD76" s="343" t="s">
        <v>1300</v>
      </c>
      <c r="CBE76" s="343" t="s">
        <v>252</v>
      </c>
      <c r="CBF76" s="343" t="s">
        <v>1300</v>
      </c>
      <c r="CBG76" s="343" t="s">
        <v>252</v>
      </c>
      <c r="CBH76" s="343" t="s">
        <v>1300</v>
      </c>
      <c r="CBI76" s="343" t="s">
        <v>252</v>
      </c>
      <c r="CBJ76" s="343" t="s">
        <v>1300</v>
      </c>
      <c r="CBK76" s="343" t="s">
        <v>252</v>
      </c>
      <c r="CBL76" s="343" t="s">
        <v>1300</v>
      </c>
      <c r="CBM76" s="343" t="s">
        <v>252</v>
      </c>
      <c r="CBN76" s="343" t="s">
        <v>1300</v>
      </c>
      <c r="CBO76" s="343" t="s">
        <v>252</v>
      </c>
      <c r="CBP76" s="343" t="s">
        <v>1300</v>
      </c>
      <c r="CBQ76" s="343" t="s">
        <v>252</v>
      </c>
      <c r="CBR76" s="343" t="s">
        <v>1300</v>
      </c>
      <c r="CBS76" s="343" t="s">
        <v>252</v>
      </c>
      <c r="CBT76" s="343" t="s">
        <v>1300</v>
      </c>
      <c r="CBU76" s="343" t="s">
        <v>252</v>
      </c>
      <c r="CBV76" s="343" t="s">
        <v>1300</v>
      </c>
      <c r="CBW76" s="343" t="s">
        <v>252</v>
      </c>
      <c r="CBX76" s="343" t="s">
        <v>1300</v>
      </c>
      <c r="CBY76" s="343" t="s">
        <v>252</v>
      </c>
      <c r="CBZ76" s="343" t="s">
        <v>1300</v>
      </c>
      <c r="CCA76" s="343" t="s">
        <v>252</v>
      </c>
      <c r="CCB76" s="343" t="s">
        <v>1300</v>
      </c>
      <c r="CCC76" s="343" t="s">
        <v>252</v>
      </c>
      <c r="CCD76" s="343" t="s">
        <v>1300</v>
      </c>
      <c r="CCE76" s="343" t="s">
        <v>252</v>
      </c>
      <c r="CCF76" s="343" t="s">
        <v>1300</v>
      </c>
      <c r="CCG76" s="343" t="s">
        <v>252</v>
      </c>
      <c r="CCH76" s="343" t="s">
        <v>1300</v>
      </c>
      <c r="CCI76" s="343" t="s">
        <v>252</v>
      </c>
      <c r="CCJ76" s="343" t="s">
        <v>1300</v>
      </c>
      <c r="CCK76" s="343" t="s">
        <v>252</v>
      </c>
      <c r="CCL76" s="343" t="s">
        <v>1300</v>
      </c>
      <c r="CCM76" s="343" t="s">
        <v>252</v>
      </c>
      <c r="CCN76" s="343" t="s">
        <v>1300</v>
      </c>
      <c r="CCO76" s="343" t="s">
        <v>252</v>
      </c>
      <c r="CCP76" s="343" t="s">
        <v>1300</v>
      </c>
      <c r="CCQ76" s="343" t="s">
        <v>252</v>
      </c>
      <c r="CCR76" s="343" t="s">
        <v>1300</v>
      </c>
      <c r="CCS76" s="343" t="s">
        <v>252</v>
      </c>
      <c r="CCT76" s="343" t="s">
        <v>1300</v>
      </c>
      <c r="CCU76" s="343" t="s">
        <v>252</v>
      </c>
      <c r="CCV76" s="343" t="s">
        <v>1300</v>
      </c>
      <c r="CCW76" s="343" t="s">
        <v>252</v>
      </c>
      <c r="CCX76" s="343" t="s">
        <v>1300</v>
      </c>
      <c r="CCY76" s="343" t="s">
        <v>252</v>
      </c>
      <c r="CCZ76" s="343" t="s">
        <v>1300</v>
      </c>
      <c r="CDA76" s="343" t="s">
        <v>252</v>
      </c>
      <c r="CDB76" s="343" t="s">
        <v>1300</v>
      </c>
      <c r="CDC76" s="343" t="s">
        <v>252</v>
      </c>
      <c r="CDD76" s="343" t="s">
        <v>1300</v>
      </c>
      <c r="CDE76" s="343" t="s">
        <v>252</v>
      </c>
      <c r="CDF76" s="343" t="s">
        <v>1300</v>
      </c>
      <c r="CDG76" s="343" t="s">
        <v>252</v>
      </c>
      <c r="CDH76" s="343" t="s">
        <v>1300</v>
      </c>
      <c r="CDI76" s="343" t="s">
        <v>252</v>
      </c>
      <c r="CDJ76" s="343" t="s">
        <v>1300</v>
      </c>
      <c r="CDK76" s="343" t="s">
        <v>252</v>
      </c>
      <c r="CDL76" s="343" t="s">
        <v>1300</v>
      </c>
      <c r="CDM76" s="343" t="s">
        <v>252</v>
      </c>
      <c r="CDN76" s="343" t="s">
        <v>1300</v>
      </c>
      <c r="CDO76" s="343" t="s">
        <v>252</v>
      </c>
      <c r="CDP76" s="343" t="s">
        <v>1300</v>
      </c>
      <c r="CDQ76" s="343" t="s">
        <v>252</v>
      </c>
      <c r="CDR76" s="343" t="s">
        <v>1300</v>
      </c>
      <c r="CDS76" s="343" t="s">
        <v>252</v>
      </c>
      <c r="CDT76" s="343" t="s">
        <v>1300</v>
      </c>
      <c r="CDU76" s="343" t="s">
        <v>252</v>
      </c>
      <c r="CDV76" s="343" t="s">
        <v>1300</v>
      </c>
      <c r="CDW76" s="343" t="s">
        <v>252</v>
      </c>
      <c r="CDX76" s="343" t="s">
        <v>1300</v>
      </c>
      <c r="CDY76" s="343" t="s">
        <v>252</v>
      </c>
      <c r="CDZ76" s="343" t="s">
        <v>1300</v>
      </c>
      <c r="CEA76" s="343" t="s">
        <v>252</v>
      </c>
      <c r="CEB76" s="343" t="s">
        <v>1300</v>
      </c>
      <c r="CEC76" s="343" t="s">
        <v>252</v>
      </c>
      <c r="CED76" s="343" t="s">
        <v>1300</v>
      </c>
      <c r="CEE76" s="343" t="s">
        <v>252</v>
      </c>
      <c r="CEF76" s="343" t="s">
        <v>1300</v>
      </c>
      <c r="CEG76" s="343" t="s">
        <v>252</v>
      </c>
      <c r="CEH76" s="343" t="s">
        <v>1300</v>
      </c>
      <c r="CEI76" s="343" t="s">
        <v>252</v>
      </c>
      <c r="CEJ76" s="343" t="s">
        <v>1300</v>
      </c>
      <c r="CEK76" s="343" t="s">
        <v>252</v>
      </c>
      <c r="CEL76" s="343" t="s">
        <v>1300</v>
      </c>
      <c r="CEM76" s="343" t="s">
        <v>252</v>
      </c>
      <c r="CEN76" s="343" t="s">
        <v>1300</v>
      </c>
      <c r="CEO76" s="343" t="s">
        <v>252</v>
      </c>
      <c r="CEP76" s="343" t="s">
        <v>1300</v>
      </c>
      <c r="CEQ76" s="343" t="s">
        <v>252</v>
      </c>
      <c r="CER76" s="343" t="s">
        <v>1300</v>
      </c>
      <c r="CES76" s="343" t="s">
        <v>252</v>
      </c>
      <c r="CET76" s="343" t="s">
        <v>1300</v>
      </c>
      <c r="CEU76" s="343" t="s">
        <v>252</v>
      </c>
      <c r="CEV76" s="343" t="s">
        <v>1300</v>
      </c>
      <c r="CEW76" s="343" t="s">
        <v>252</v>
      </c>
      <c r="CEX76" s="343" t="s">
        <v>1300</v>
      </c>
      <c r="CEY76" s="343" t="s">
        <v>252</v>
      </c>
      <c r="CEZ76" s="343" t="s">
        <v>1300</v>
      </c>
      <c r="CFA76" s="343" t="s">
        <v>252</v>
      </c>
      <c r="CFB76" s="343" t="s">
        <v>1300</v>
      </c>
      <c r="CFC76" s="343" t="s">
        <v>252</v>
      </c>
      <c r="CFD76" s="343" t="s">
        <v>1300</v>
      </c>
      <c r="CFE76" s="343" t="s">
        <v>252</v>
      </c>
      <c r="CFF76" s="343" t="s">
        <v>1300</v>
      </c>
      <c r="CFG76" s="343" t="s">
        <v>252</v>
      </c>
      <c r="CFH76" s="343" t="s">
        <v>1300</v>
      </c>
      <c r="CFI76" s="343" t="s">
        <v>252</v>
      </c>
      <c r="CFJ76" s="343" t="s">
        <v>1300</v>
      </c>
      <c r="CFK76" s="343" t="s">
        <v>252</v>
      </c>
      <c r="CFL76" s="343" t="s">
        <v>1300</v>
      </c>
      <c r="CFM76" s="343" t="s">
        <v>252</v>
      </c>
      <c r="CFN76" s="343" t="s">
        <v>1300</v>
      </c>
      <c r="CFO76" s="343" t="s">
        <v>252</v>
      </c>
      <c r="CFP76" s="343" t="s">
        <v>1300</v>
      </c>
      <c r="CFQ76" s="343" t="s">
        <v>252</v>
      </c>
      <c r="CFR76" s="343" t="s">
        <v>1300</v>
      </c>
      <c r="CFS76" s="343" t="s">
        <v>252</v>
      </c>
      <c r="CFT76" s="343" t="s">
        <v>1300</v>
      </c>
      <c r="CFU76" s="343" t="s">
        <v>252</v>
      </c>
      <c r="CFV76" s="343" t="s">
        <v>1300</v>
      </c>
      <c r="CFW76" s="343" t="s">
        <v>252</v>
      </c>
      <c r="CFX76" s="343" t="s">
        <v>1300</v>
      </c>
      <c r="CFY76" s="343" t="s">
        <v>252</v>
      </c>
      <c r="CFZ76" s="343" t="s">
        <v>1300</v>
      </c>
      <c r="CGA76" s="343" t="s">
        <v>252</v>
      </c>
      <c r="CGB76" s="343" t="s">
        <v>1300</v>
      </c>
      <c r="CGC76" s="343" t="s">
        <v>252</v>
      </c>
      <c r="CGD76" s="343" t="s">
        <v>1300</v>
      </c>
      <c r="CGE76" s="343" t="s">
        <v>252</v>
      </c>
      <c r="CGF76" s="343" t="s">
        <v>1300</v>
      </c>
      <c r="CGG76" s="343" t="s">
        <v>252</v>
      </c>
      <c r="CGH76" s="343" t="s">
        <v>1300</v>
      </c>
      <c r="CGI76" s="343" t="s">
        <v>252</v>
      </c>
      <c r="CGJ76" s="343" t="s">
        <v>1300</v>
      </c>
      <c r="CGK76" s="343" t="s">
        <v>252</v>
      </c>
      <c r="CGL76" s="343" t="s">
        <v>1300</v>
      </c>
      <c r="CGM76" s="343" t="s">
        <v>252</v>
      </c>
      <c r="CGN76" s="343" t="s">
        <v>1300</v>
      </c>
      <c r="CGO76" s="343" t="s">
        <v>252</v>
      </c>
      <c r="CGP76" s="343" t="s">
        <v>1300</v>
      </c>
      <c r="CGQ76" s="343" t="s">
        <v>252</v>
      </c>
      <c r="CGR76" s="343" t="s">
        <v>1300</v>
      </c>
      <c r="CGS76" s="343" t="s">
        <v>252</v>
      </c>
      <c r="CGT76" s="343" t="s">
        <v>1300</v>
      </c>
      <c r="CGU76" s="343" t="s">
        <v>252</v>
      </c>
      <c r="CGV76" s="343" t="s">
        <v>1300</v>
      </c>
      <c r="CGW76" s="343" t="s">
        <v>252</v>
      </c>
      <c r="CGX76" s="343" t="s">
        <v>1300</v>
      </c>
      <c r="CGY76" s="343" t="s">
        <v>252</v>
      </c>
      <c r="CGZ76" s="343" t="s">
        <v>1300</v>
      </c>
      <c r="CHA76" s="343" t="s">
        <v>252</v>
      </c>
      <c r="CHB76" s="343" t="s">
        <v>1300</v>
      </c>
      <c r="CHC76" s="343" t="s">
        <v>252</v>
      </c>
      <c r="CHD76" s="343" t="s">
        <v>1300</v>
      </c>
      <c r="CHE76" s="343" t="s">
        <v>252</v>
      </c>
      <c r="CHF76" s="343" t="s">
        <v>1300</v>
      </c>
      <c r="CHG76" s="343" t="s">
        <v>252</v>
      </c>
      <c r="CHH76" s="343" t="s">
        <v>1300</v>
      </c>
      <c r="CHI76" s="343" t="s">
        <v>252</v>
      </c>
      <c r="CHJ76" s="343" t="s">
        <v>1300</v>
      </c>
      <c r="CHK76" s="343" t="s">
        <v>252</v>
      </c>
      <c r="CHL76" s="343" t="s">
        <v>1300</v>
      </c>
      <c r="CHM76" s="343" t="s">
        <v>252</v>
      </c>
      <c r="CHN76" s="343" t="s">
        <v>1300</v>
      </c>
      <c r="CHO76" s="343" t="s">
        <v>252</v>
      </c>
      <c r="CHP76" s="343" t="s">
        <v>1300</v>
      </c>
      <c r="CHQ76" s="343" t="s">
        <v>252</v>
      </c>
      <c r="CHR76" s="343" t="s">
        <v>1300</v>
      </c>
      <c r="CHS76" s="343" t="s">
        <v>252</v>
      </c>
      <c r="CHT76" s="343" t="s">
        <v>1300</v>
      </c>
      <c r="CHU76" s="343" t="s">
        <v>252</v>
      </c>
      <c r="CHV76" s="343" t="s">
        <v>1300</v>
      </c>
      <c r="CHW76" s="343" t="s">
        <v>252</v>
      </c>
      <c r="CHX76" s="343" t="s">
        <v>1300</v>
      </c>
      <c r="CHY76" s="343" t="s">
        <v>252</v>
      </c>
      <c r="CHZ76" s="343" t="s">
        <v>1300</v>
      </c>
      <c r="CIA76" s="343" t="s">
        <v>252</v>
      </c>
      <c r="CIB76" s="343" t="s">
        <v>1300</v>
      </c>
      <c r="CIC76" s="343" t="s">
        <v>252</v>
      </c>
      <c r="CID76" s="343" t="s">
        <v>1300</v>
      </c>
      <c r="CIE76" s="343" t="s">
        <v>252</v>
      </c>
      <c r="CIF76" s="343" t="s">
        <v>1300</v>
      </c>
      <c r="CIG76" s="343" t="s">
        <v>252</v>
      </c>
      <c r="CIH76" s="343" t="s">
        <v>1300</v>
      </c>
      <c r="CII76" s="343" t="s">
        <v>252</v>
      </c>
      <c r="CIJ76" s="343" t="s">
        <v>1300</v>
      </c>
      <c r="CIK76" s="343" t="s">
        <v>252</v>
      </c>
      <c r="CIL76" s="343" t="s">
        <v>1300</v>
      </c>
      <c r="CIM76" s="343" t="s">
        <v>252</v>
      </c>
      <c r="CIN76" s="343" t="s">
        <v>1300</v>
      </c>
      <c r="CIO76" s="343" t="s">
        <v>252</v>
      </c>
      <c r="CIP76" s="343" t="s">
        <v>1300</v>
      </c>
      <c r="CIQ76" s="343" t="s">
        <v>252</v>
      </c>
      <c r="CIR76" s="343" t="s">
        <v>1300</v>
      </c>
      <c r="CIS76" s="343" t="s">
        <v>252</v>
      </c>
      <c r="CIT76" s="343" t="s">
        <v>1300</v>
      </c>
      <c r="CIU76" s="343" t="s">
        <v>252</v>
      </c>
      <c r="CIV76" s="343" t="s">
        <v>1300</v>
      </c>
      <c r="CIW76" s="343" t="s">
        <v>252</v>
      </c>
      <c r="CIX76" s="343" t="s">
        <v>1300</v>
      </c>
      <c r="CIY76" s="343" t="s">
        <v>252</v>
      </c>
      <c r="CIZ76" s="343" t="s">
        <v>1300</v>
      </c>
      <c r="CJA76" s="343" t="s">
        <v>252</v>
      </c>
      <c r="CJB76" s="343" t="s">
        <v>1300</v>
      </c>
      <c r="CJC76" s="343" t="s">
        <v>252</v>
      </c>
      <c r="CJD76" s="343" t="s">
        <v>1300</v>
      </c>
      <c r="CJE76" s="343" t="s">
        <v>252</v>
      </c>
      <c r="CJF76" s="343" t="s">
        <v>1300</v>
      </c>
      <c r="CJG76" s="343" t="s">
        <v>252</v>
      </c>
      <c r="CJH76" s="343" t="s">
        <v>1300</v>
      </c>
      <c r="CJI76" s="343" t="s">
        <v>252</v>
      </c>
      <c r="CJJ76" s="343" t="s">
        <v>1300</v>
      </c>
      <c r="CJK76" s="343" t="s">
        <v>252</v>
      </c>
      <c r="CJL76" s="343" t="s">
        <v>1300</v>
      </c>
      <c r="CJM76" s="343" t="s">
        <v>252</v>
      </c>
      <c r="CJN76" s="343" t="s">
        <v>1300</v>
      </c>
      <c r="CJO76" s="343" t="s">
        <v>252</v>
      </c>
      <c r="CJP76" s="343" t="s">
        <v>1300</v>
      </c>
      <c r="CJQ76" s="343" t="s">
        <v>252</v>
      </c>
      <c r="CJR76" s="343" t="s">
        <v>1300</v>
      </c>
      <c r="CJS76" s="343" t="s">
        <v>252</v>
      </c>
      <c r="CJT76" s="343" t="s">
        <v>1300</v>
      </c>
      <c r="CJU76" s="343" t="s">
        <v>252</v>
      </c>
      <c r="CJV76" s="343" t="s">
        <v>1300</v>
      </c>
      <c r="CJW76" s="343" t="s">
        <v>252</v>
      </c>
      <c r="CJX76" s="343" t="s">
        <v>1300</v>
      </c>
      <c r="CJY76" s="343" t="s">
        <v>252</v>
      </c>
      <c r="CJZ76" s="343" t="s">
        <v>1300</v>
      </c>
      <c r="CKA76" s="343" t="s">
        <v>252</v>
      </c>
      <c r="CKB76" s="343" t="s">
        <v>1300</v>
      </c>
      <c r="CKC76" s="343" t="s">
        <v>252</v>
      </c>
      <c r="CKD76" s="343" t="s">
        <v>1300</v>
      </c>
      <c r="CKE76" s="343" t="s">
        <v>252</v>
      </c>
      <c r="CKF76" s="343" t="s">
        <v>1300</v>
      </c>
      <c r="CKG76" s="343" t="s">
        <v>252</v>
      </c>
      <c r="CKH76" s="343" t="s">
        <v>1300</v>
      </c>
      <c r="CKI76" s="343" t="s">
        <v>252</v>
      </c>
      <c r="CKJ76" s="343" t="s">
        <v>1300</v>
      </c>
      <c r="CKK76" s="343" t="s">
        <v>252</v>
      </c>
      <c r="CKL76" s="343" t="s">
        <v>1300</v>
      </c>
      <c r="CKM76" s="343" t="s">
        <v>252</v>
      </c>
      <c r="CKN76" s="343" t="s">
        <v>1300</v>
      </c>
      <c r="CKO76" s="343" t="s">
        <v>252</v>
      </c>
      <c r="CKP76" s="343" t="s">
        <v>1300</v>
      </c>
      <c r="CKQ76" s="343" t="s">
        <v>252</v>
      </c>
      <c r="CKR76" s="343" t="s">
        <v>1300</v>
      </c>
      <c r="CKS76" s="343" t="s">
        <v>252</v>
      </c>
      <c r="CKT76" s="343" t="s">
        <v>1300</v>
      </c>
      <c r="CKU76" s="343" t="s">
        <v>252</v>
      </c>
      <c r="CKV76" s="343" t="s">
        <v>1300</v>
      </c>
      <c r="CKW76" s="343" t="s">
        <v>252</v>
      </c>
      <c r="CKX76" s="343" t="s">
        <v>1300</v>
      </c>
      <c r="CKY76" s="343" t="s">
        <v>252</v>
      </c>
      <c r="CKZ76" s="343" t="s">
        <v>1300</v>
      </c>
      <c r="CLA76" s="343" t="s">
        <v>252</v>
      </c>
      <c r="CLB76" s="343" t="s">
        <v>1300</v>
      </c>
      <c r="CLC76" s="343" t="s">
        <v>252</v>
      </c>
      <c r="CLD76" s="343" t="s">
        <v>1300</v>
      </c>
      <c r="CLE76" s="343" t="s">
        <v>252</v>
      </c>
      <c r="CLF76" s="343" t="s">
        <v>1300</v>
      </c>
      <c r="CLG76" s="343" t="s">
        <v>252</v>
      </c>
      <c r="CLH76" s="343" t="s">
        <v>1300</v>
      </c>
      <c r="CLI76" s="343" t="s">
        <v>252</v>
      </c>
      <c r="CLJ76" s="343" t="s">
        <v>1300</v>
      </c>
      <c r="CLK76" s="343" t="s">
        <v>252</v>
      </c>
      <c r="CLL76" s="343" t="s">
        <v>1300</v>
      </c>
      <c r="CLM76" s="343" t="s">
        <v>252</v>
      </c>
      <c r="CLN76" s="343" t="s">
        <v>1300</v>
      </c>
      <c r="CLO76" s="343" t="s">
        <v>252</v>
      </c>
      <c r="CLP76" s="343" t="s">
        <v>1300</v>
      </c>
      <c r="CLQ76" s="343" t="s">
        <v>252</v>
      </c>
      <c r="CLR76" s="343" t="s">
        <v>1300</v>
      </c>
      <c r="CLS76" s="343" t="s">
        <v>252</v>
      </c>
      <c r="CLT76" s="343" t="s">
        <v>1300</v>
      </c>
      <c r="CLU76" s="343" t="s">
        <v>252</v>
      </c>
      <c r="CLV76" s="343" t="s">
        <v>1300</v>
      </c>
      <c r="CLW76" s="343" t="s">
        <v>252</v>
      </c>
      <c r="CLX76" s="343" t="s">
        <v>1300</v>
      </c>
      <c r="CLY76" s="343" t="s">
        <v>252</v>
      </c>
      <c r="CLZ76" s="343" t="s">
        <v>1300</v>
      </c>
      <c r="CMA76" s="343" t="s">
        <v>252</v>
      </c>
      <c r="CMB76" s="343" t="s">
        <v>1300</v>
      </c>
      <c r="CMC76" s="343" t="s">
        <v>252</v>
      </c>
      <c r="CMD76" s="343" t="s">
        <v>1300</v>
      </c>
      <c r="CME76" s="343" t="s">
        <v>252</v>
      </c>
      <c r="CMF76" s="343" t="s">
        <v>1300</v>
      </c>
      <c r="CMG76" s="343" t="s">
        <v>252</v>
      </c>
      <c r="CMH76" s="343" t="s">
        <v>1300</v>
      </c>
      <c r="CMI76" s="343" t="s">
        <v>252</v>
      </c>
      <c r="CMJ76" s="343" t="s">
        <v>1300</v>
      </c>
      <c r="CMK76" s="343" t="s">
        <v>252</v>
      </c>
      <c r="CML76" s="343" t="s">
        <v>1300</v>
      </c>
      <c r="CMM76" s="343" t="s">
        <v>252</v>
      </c>
      <c r="CMN76" s="343" t="s">
        <v>1300</v>
      </c>
      <c r="CMO76" s="343" t="s">
        <v>252</v>
      </c>
      <c r="CMP76" s="343" t="s">
        <v>1300</v>
      </c>
      <c r="CMQ76" s="343" t="s">
        <v>252</v>
      </c>
      <c r="CMR76" s="343" t="s">
        <v>1300</v>
      </c>
      <c r="CMS76" s="343" t="s">
        <v>252</v>
      </c>
      <c r="CMT76" s="343" t="s">
        <v>1300</v>
      </c>
      <c r="CMU76" s="343" t="s">
        <v>252</v>
      </c>
      <c r="CMV76" s="343" t="s">
        <v>1300</v>
      </c>
      <c r="CMW76" s="343" t="s">
        <v>252</v>
      </c>
      <c r="CMX76" s="343" t="s">
        <v>1300</v>
      </c>
      <c r="CMY76" s="343" t="s">
        <v>252</v>
      </c>
      <c r="CMZ76" s="343" t="s">
        <v>1300</v>
      </c>
      <c r="CNA76" s="343" t="s">
        <v>252</v>
      </c>
      <c r="CNB76" s="343" t="s">
        <v>1300</v>
      </c>
      <c r="CNC76" s="343" t="s">
        <v>252</v>
      </c>
      <c r="CND76" s="343" t="s">
        <v>1300</v>
      </c>
      <c r="CNE76" s="343" t="s">
        <v>252</v>
      </c>
      <c r="CNF76" s="343" t="s">
        <v>1300</v>
      </c>
      <c r="CNG76" s="343" t="s">
        <v>252</v>
      </c>
      <c r="CNH76" s="343" t="s">
        <v>1300</v>
      </c>
      <c r="CNI76" s="343" t="s">
        <v>252</v>
      </c>
      <c r="CNJ76" s="343" t="s">
        <v>1300</v>
      </c>
      <c r="CNK76" s="343" t="s">
        <v>252</v>
      </c>
      <c r="CNL76" s="343" t="s">
        <v>1300</v>
      </c>
      <c r="CNM76" s="343" t="s">
        <v>252</v>
      </c>
      <c r="CNN76" s="343" t="s">
        <v>1300</v>
      </c>
      <c r="CNO76" s="343" t="s">
        <v>252</v>
      </c>
      <c r="CNP76" s="343" t="s">
        <v>1300</v>
      </c>
      <c r="CNQ76" s="343" t="s">
        <v>252</v>
      </c>
      <c r="CNR76" s="343" t="s">
        <v>1300</v>
      </c>
      <c r="CNS76" s="343" t="s">
        <v>252</v>
      </c>
      <c r="CNT76" s="343" t="s">
        <v>1300</v>
      </c>
      <c r="CNU76" s="343" t="s">
        <v>252</v>
      </c>
      <c r="CNV76" s="343" t="s">
        <v>1300</v>
      </c>
      <c r="CNW76" s="343" t="s">
        <v>252</v>
      </c>
      <c r="CNX76" s="343" t="s">
        <v>1300</v>
      </c>
      <c r="CNY76" s="343" t="s">
        <v>252</v>
      </c>
      <c r="CNZ76" s="343" t="s">
        <v>1300</v>
      </c>
      <c r="COA76" s="343" t="s">
        <v>252</v>
      </c>
      <c r="COB76" s="343" t="s">
        <v>1300</v>
      </c>
      <c r="COC76" s="343" t="s">
        <v>252</v>
      </c>
      <c r="COD76" s="343" t="s">
        <v>1300</v>
      </c>
      <c r="COE76" s="343" t="s">
        <v>252</v>
      </c>
      <c r="COF76" s="343" t="s">
        <v>1300</v>
      </c>
      <c r="COG76" s="343" t="s">
        <v>252</v>
      </c>
      <c r="COH76" s="343" t="s">
        <v>1300</v>
      </c>
      <c r="COI76" s="343" t="s">
        <v>252</v>
      </c>
      <c r="COJ76" s="343" t="s">
        <v>1300</v>
      </c>
      <c r="COK76" s="343" t="s">
        <v>252</v>
      </c>
      <c r="COL76" s="343" t="s">
        <v>1300</v>
      </c>
      <c r="COM76" s="343" t="s">
        <v>252</v>
      </c>
      <c r="CON76" s="343" t="s">
        <v>1300</v>
      </c>
      <c r="COO76" s="343" t="s">
        <v>252</v>
      </c>
      <c r="COP76" s="343" t="s">
        <v>1300</v>
      </c>
      <c r="COQ76" s="343" t="s">
        <v>252</v>
      </c>
      <c r="COR76" s="343" t="s">
        <v>1300</v>
      </c>
      <c r="COS76" s="343" t="s">
        <v>252</v>
      </c>
      <c r="COT76" s="343" t="s">
        <v>1300</v>
      </c>
      <c r="COU76" s="343" t="s">
        <v>252</v>
      </c>
      <c r="COV76" s="343" t="s">
        <v>1300</v>
      </c>
      <c r="COW76" s="343" t="s">
        <v>252</v>
      </c>
      <c r="COX76" s="343" t="s">
        <v>1300</v>
      </c>
      <c r="COY76" s="343" t="s">
        <v>252</v>
      </c>
      <c r="COZ76" s="343" t="s">
        <v>1300</v>
      </c>
      <c r="CPA76" s="343" t="s">
        <v>252</v>
      </c>
      <c r="CPB76" s="343" t="s">
        <v>1300</v>
      </c>
      <c r="CPC76" s="343" t="s">
        <v>252</v>
      </c>
      <c r="CPD76" s="343" t="s">
        <v>1300</v>
      </c>
      <c r="CPE76" s="343" t="s">
        <v>252</v>
      </c>
      <c r="CPF76" s="343" t="s">
        <v>1300</v>
      </c>
      <c r="CPG76" s="343" t="s">
        <v>252</v>
      </c>
      <c r="CPH76" s="343" t="s">
        <v>1300</v>
      </c>
      <c r="CPI76" s="343" t="s">
        <v>252</v>
      </c>
      <c r="CPJ76" s="343" t="s">
        <v>1300</v>
      </c>
      <c r="CPK76" s="343" t="s">
        <v>252</v>
      </c>
      <c r="CPL76" s="343" t="s">
        <v>1300</v>
      </c>
      <c r="CPM76" s="343" t="s">
        <v>252</v>
      </c>
      <c r="CPN76" s="343" t="s">
        <v>1300</v>
      </c>
      <c r="CPO76" s="343" t="s">
        <v>252</v>
      </c>
      <c r="CPP76" s="343" t="s">
        <v>1300</v>
      </c>
      <c r="CPQ76" s="343" t="s">
        <v>252</v>
      </c>
      <c r="CPR76" s="343" t="s">
        <v>1300</v>
      </c>
      <c r="CPS76" s="343" t="s">
        <v>252</v>
      </c>
      <c r="CPT76" s="343" t="s">
        <v>1300</v>
      </c>
      <c r="CPU76" s="343" t="s">
        <v>252</v>
      </c>
      <c r="CPV76" s="343" t="s">
        <v>1300</v>
      </c>
      <c r="CPW76" s="343" t="s">
        <v>252</v>
      </c>
      <c r="CPX76" s="343" t="s">
        <v>1300</v>
      </c>
      <c r="CPY76" s="343" t="s">
        <v>252</v>
      </c>
      <c r="CPZ76" s="343" t="s">
        <v>1300</v>
      </c>
      <c r="CQA76" s="343" t="s">
        <v>252</v>
      </c>
      <c r="CQB76" s="343" t="s">
        <v>1300</v>
      </c>
      <c r="CQC76" s="343" t="s">
        <v>252</v>
      </c>
      <c r="CQD76" s="343" t="s">
        <v>1300</v>
      </c>
      <c r="CQE76" s="343" t="s">
        <v>252</v>
      </c>
      <c r="CQF76" s="343" t="s">
        <v>1300</v>
      </c>
      <c r="CQG76" s="343" t="s">
        <v>252</v>
      </c>
      <c r="CQH76" s="343" t="s">
        <v>1300</v>
      </c>
      <c r="CQI76" s="343" t="s">
        <v>252</v>
      </c>
      <c r="CQJ76" s="343" t="s">
        <v>1300</v>
      </c>
      <c r="CQK76" s="343" t="s">
        <v>252</v>
      </c>
      <c r="CQL76" s="343" t="s">
        <v>1300</v>
      </c>
      <c r="CQM76" s="343" t="s">
        <v>252</v>
      </c>
      <c r="CQN76" s="343" t="s">
        <v>1300</v>
      </c>
      <c r="CQO76" s="343" t="s">
        <v>252</v>
      </c>
      <c r="CQP76" s="343" t="s">
        <v>1300</v>
      </c>
      <c r="CQQ76" s="343" t="s">
        <v>252</v>
      </c>
      <c r="CQR76" s="343" t="s">
        <v>1300</v>
      </c>
      <c r="CQS76" s="343" t="s">
        <v>252</v>
      </c>
      <c r="CQT76" s="343" t="s">
        <v>1300</v>
      </c>
      <c r="CQU76" s="343" t="s">
        <v>252</v>
      </c>
      <c r="CQV76" s="343" t="s">
        <v>1300</v>
      </c>
      <c r="CQW76" s="343" t="s">
        <v>252</v>
      </c>
      <c r="CQX76" s="343" t="s">
        <v>1300</v>
      </c>
      <c r="CQY76" s="343" t="s">
        <v>252</v>
      </c>
      <c r="CQZ76" s="343" t="s">
        <v>1300</v>
      </c>
      <c r="CRA76" s="343" t="s">
        <v>252</v>
      </c>
      <c r="CRB76" s="343" t="s">
        <v>1300</v>
      </c>
      <c r="CRC76" s="343" t="s">
        <v>252</v>
      </c>
      <c r="CRD76" s="343" t="s">
        <v>1300</v>
      </c>
      <c r="CRE76" s="343" t="s">
        <v>252</v>
      </c>
      <c r="CRF76" s="343" t="s">
        <v>1300</v>
      </c>
      <c r="CRG76" s="343" t="s">
        <v>252</v>
      </c>
      <c r="CRH76" s="343" t="s">
        <v>1300</v>
      </c>
      <c r="CRI76" s="343" t="s">
        <v>252</v>
      </c>
      <c r="CRJ76" s="343" t="s">
        <v>1300</v>
      </c>
      <c r="CRK76" s="343" t="s">
        <v>252</v>
      </c>
      <c r="CRL76" s="343" t="s">
        <v>1300</v>
      </c>
      <c r="CRM76" s="343" t="s">
        <v>252</v>
      </c>
      <c r="CRN76" s="343" t="s">
        <v>1300</v>
      </c>
      <c r="CRO76" s="343" t="s">
        <v>252</v>
      </c>
      <c r="CRP76" s="343" t="s">
        <v>1300</v>
      </c>
      <c r="CRQ76" s="343" t="s">
        <v>252</v>
      </c>
      <c r="CRR76" s="343" t="s">
        <v>1300</v>
      </c>
      <c r="CRS76" s="343" t="s">
        <v>252</v>
      </c>
      <c r="CRT76" s="343" t="s">
        <v>1300</v>
      </c>
      <c r="CRU76" s="343" t="s">
        <v>252</v>
      </c>
      <c r="CRV76" s="343" t="s">
        <v>1300</v>
      </c>
      <c r="CRW76" s="343" t="s">
        <v>252</v>
      </c>
      <c r="CRX76" s="343" t="s">
        <v>1300</v>
      </c>
      <c r="CRY76" s="343" t="s">
        <v>252</v>
      </c>
      <c r="CRZ76" s="343" t="s">
        <v>1300</v>
      </c>
      <c r="CSA76" s="343" t="s">
        <v>252</v>
      </c>
      <c r="CSB76" s="343" t="s">
        <v>1300</v>
      </c>
      <c r="CSC76" s="343" t="s">
        <v>252</v>
      </c>
      <c r="CSD76" s="343" t="s">
        <v>1300</v>
      </c>
      <c r="CSE76" s="343" t="s">
        <v>252</v>
      </c>
      <c r="CSF76" s="343" t="s">
        <v>1300</v>
      </c>
      <c r="CSG76" s="343" t="s">
        <v>252</v>
      </c>
      <c r="CSH76" s="343" t="s">
        <v>1300</v>
      </c>
      <c r="CSI76" s="343" t="s">
        <v>252</v>
      </c>
      <c r="CSJ76" s="343" t="s">
        <v>1300</v>
      </c>
      <c r="CSK76" s="343" t="s">
        <v>252</v>
      </c>
      <c r="CSL76" s="343" t="s">
        <v>1300</v>
      </c>
      <c r="CSM76" s="343" t="s">
        <v>252</v>
      </c>
      <c r="CSN76" s="343" t="s">
        <v>1300</v>
      </c>
      <c r="CSO76" s="343" t="s">
        <v>252</v>
      </c>
      <c r="CSP76" s="343" t="s">
        <v>1300</v>
      </c>
      <c r="CSQ76" s="343" t="s">
        <v>252</v>
      </c>
      <c r="CSR76" s="343" t="s">
        <v>1300</v>
      </c>
      <c r="CSS76" s="343" t="s">
        <v>252</v>
      </c>
      <c r="CST76" s="343" t="s">
        <v>1300</v>
      </c>
      <c r="CSU76" s="343" t="s">
        <v>252</v>
      </c>
      <c r="CSV76" s="343" t="s">
        <v>1300</v>
      </c>
      <c r="CSW76" s="343" t="s">
        <v>252</v>
      </c>
      <c r="CSX76" s="343" t="s">
        <v>1300</v>
      </c>
      <c r="CSY76" s="343" t="s">
        <v>252</v>
      </c>
      <c r="CSZ76" s="343" t="s">
        <v>1300</v>
      </c>
      <c r="CTA76" s="343" t="s">
        <v>252</v>
      </c>
      <c r="CTB76" s="343" t="s">
        <v>1300</v>
      </c>
      <c r="CTC76" s="343" t="s">
        <v>252</v>
      </c>
      <c r="CTD76" s="343" t="s">
        <v>1300</v>
      </c>
      <c r="CTE76" s="343" t="s">
        <v>252</v>
      </c>
      <c r="CTF76" s="343" t="s">
        <v>1300</v>
      </c>
      <c r="CTG76" s="343" t="s">
        <v>252</v>
      </c>
      <c r="CTH76" s="343" t="s">
        <v>1300</v>
      </c>
      <c r="CTI76" s="343" t="s">
        <v>252</v>
      </c>
      <c r="CTJ76" s="343" t="s">
        <v>1300</v>
      </c>
      <c r="CTK76" s="343" t="s">
        <v>252</v>
      </c>
      <c r="CTL76" s="343" t="s">
        <v>1300</v>
      </c>
      <c r="CTM76" s="343" t="s">
        <v>252</v>
      </c>
      <c r="CTN76" s="343" t="s">
        <v>1300</v>
      </c>
      <c r="CTO76" s="343" t="s">
        <v>252</v>
      </c>
      <c r="CTP76" s="343" t="s">
        <v>1300</v>
      </c>
      <c r="CTQ76" s="343" t="s">
        <v>252</v>
      </c>
      <c r="CTR76" s="343" t="s">
        <v>1300</v>
      </c>
      <c r="CTS76" s="343" t="s">
        <v>252</v>
      </c>
      <c r="CTT76" s="343" t="s">
        <v>1300</v>
      </c>
      <c r="CTU76" s="343" t="s">
        <v>252</v>
      </c>
      <c r="CTV76" s="343" t="s">
        <v>1300</v>
      </c>
      <c r="CTW76" s="343" t="s">
        <v>252</v>
      </c>
      <c r="CTX76" s="343" t="s">
        <v>1300</v>
      </c>
      <c r="CTY76" s="343" t="s">
        <v>252</v>
      </c>
      <c r="CTZ76" s="343" t="s">
        <v>1300</v>
      </c>
      <c r="CUA76" s="343" t="s">
        <v>252</v>
      </c>
      <c r="CUB76" s="343" t="s">
        <v>1300</v>
      </c>
      <c r="CUC76" s="343" t="s">
        <v>252</v>
      </c>
      <c r="CUD76" s="343" t="s">
        <v>1300</v>
      </c>
      <c r="CUE76" s="343" t="s">
        <v>252</v>
      </c>
      <c r="CUF76" s="343" t="s">
        <v>1300</v>
      </c>
      <c r="CUG76" s="343" t="s">
        <v>252</v>
      </c>
      <c r="CUH76" s="343" t="s">
        <v>1300</v>
      </c>
      <c r="CUI76" s="343" t="s">
        <v>252</v>
      </c>
      <c r="CUJ76" s="343" t="s">
        <v>1300</v>
      </c>
      <c r="CUK76" s="343" t="s">
        <v>252</v>
      </c>
      <c r="CUL76" s="343" t="s">
        <v>1300</v>
      </c>
      <c r="CUM76" s="343" t="s">
        <v>252</v>
      </c>
      <c r="CUN76" s="343" t="s">
        <v>1300</v>
      </c>
      <c r="CUO76" s="343" t="s">
        <v>252</v>
      </c>
      <c r="CUP76" s="343" t="s">
        <v>1300</v>
      </c>
      <c r="CUQ76" s="343" t="s">
        <v>252</v>
      </c>
      <c r="CUR76" s="343" t="s">
        <v>1300</v>
      </c>
      <c r="CUS76" s="343" t="s">
        <v>252</v>
      </c>
      <c r="CUT76" s="343" t="s">
        <v>1300</v>
      </c>
      <c r="CUU76" s="343" t="s">
        <v>252</v>
      </c>
      <c r="CUV76" s="343" t="s">
        <v>1300</v>
      </c>
      <c r="CUW76" s="343" t="s">
        <v>252</v>
      </c>
      <c r="CUX76" s="343" t="s">
        <v>1300</v>
      </c>
      <c r="CUY76" s="343" t="s">
        <v>252</v>
      </c>
      <c r="CUZ76" s="343" t="s">
        <v>1300</v>
      </c>
      <c r="CVA76" s="343" t="s">
        <v>252</v>
      </c>
      <c r="CVB76" s="343" t="s">
        <v>1300</v>
      </c>
      <c r="CVC76" s="343" t="s">
        <v>252</v>
      </c>
      <c r="CVD76" s="343" t="s">
        <v>1300</v>
      </c>
      <c r="CVE76" s="343" t="s">
        <v>252</v>
      </c>
      <c r="CVF76" s="343" t="s">
        <v>1300</v>
      </c>
      <c r="CVG76" s="343" t="s">
        <v>252</v>
      </c>
      <c r="CVH76" s="343" t="s">
        <v>1300</v>
      </c>
      <c r="CVI76" s="343" t="s">
        <v>252</v>
      </c>
      <c r="CVJ76" s="343" t="s">
        <v>1300</v>
      </c>
      <c r="CVK76" s="343" t="s">
        <v>252</v>
      </c>
      <c r="CVL76" s="343" t="s">
        <v>1300</v>
      </c>
      <c r="CVM76" s="343" t="s">
        <v>252</v>
      </c>
      <c r="CVN76" s="343" t="s">
        <v>1300</v>
      </c>
      <c r="CVO76" s="343" t="s">
        <v>252</v>
      </c>
      <c r="CVP76" s="343" t="s">
        <v>1300</v>
      </c>
      <c r="CVQ76" s="343" t="s">
        <v>252</v>
      </c>
      <c r="CVR76" s="343" t="s">
        <v>1300</v>
      </c>
      <c r="CVS76" s="343" t="s">
        <v>252</v>
      </c>
      <c r="CVT76" s="343" t="s">
        <v>1300</v>
      </c>
      <c r="CVU76" s="343" t="s">
        <v>252</v>
      </c>
      <c r="CVV76" s="343" t="s">
        <v>1300</v>
      </c>
      <c r="CVW76" s="343" t="s">
        <v>252</v>
      </c>
      <c r="CVX76" s="343" t="s">
        <v>1300</v>
      </c>
      <c r="CVY76" s="343" t="s">
        <v>252</v>
      </c>
      <c r="CVZ76" s="343" t="s">
        <v>1300</v>
      </c>
      <c r="CWA76" s="343" t="s">
        <v>252</v>
      </c>
      <c r="CWB76" s="343" t="s">
        <v>1300</v>
      </c>
      <c r="CWC76" s="343" t="s">
        <v>252</v>
      </c>
      <c r="CWD76" s="343" t="s">
        <v>1300</v>
      </c>
      <c r="CWE76" s="343" t="s">
        <v>252</v>
      </c>
      <c r="CWF76" s="343" t="s">
        <v>1300</v>
      </c>
      <c r="CWG76" s="343" t="s">
        <v>252</v>
      </c>
      <c r="CWH76" s="343" t="s">
        <v>1300</v>
      </c>
      <c r="CWI76" s="343" t="s">
        <v>252</v>
      </c>
      <c r="CWJ76" s="343" t="s">
        <v>1300</v>
      </c>
      <c r="CWK76" s="343" t="s">
        <v>252</v>
      </c>
      <c r="CWL76" s="343" t="s">
        <v>1300</v>
      </c>
      <c r="CWM76" s="343" t="s">
        <v>252</v>
      </c>
      <c r="CWN76" s="343" t="s">
        <v>1300</v>
      </c>
      <c r="CWO76" s="343" t="s">
        <v>252</v>
      </c>
      <c r="CWP76" s="343" t="s">
        <v>1300</v>
      </c>
      <c r="CWQ76" s="343" t="s">
        <v>252</v>
      </c>
      <c r="CWR76" s="343" t="s">
        <v>1300</v>
      </c>
      <c r="CWS76" s="343" t="s">
        <v>252</v>
      </c>
      <c r="CWT76" s="343" t="s">
        <v>1300</v>
      </c>
      <c r="CWU76" s="343" t="s">
        <v>252</v>
      </c>
      <c r="CWV76" s="343" t="s">
        <v>1300</v>
      </c>
      <c r="CWW76" s="343" t="s">
        <v>252</v>
      </c>
      <c r="CWX76" s="343" t="s">
        <v>1300</v>
      </c>
      <c r="CWY76" s="343" t="s">
        <v>252</v>
      </c>
      <c r="CWZ76" s="343" t="s">
        <v>1300</v>
      </c>
      <c r="CXA76" s="343" t="s">
        <v>252</v>
      </c>
      <c r="CXB76" s="343" t="s">
        <v>1300</v>
      </c>
      <c r="CXC76" s="343" t="s">
        <v>252</v>
      </c>
      <c r="CXD76" s="343" t="s">
        <v>1300</v>
      </c>
      <c r="CXE76" s="343" t="s">
        <v>252</v>
      </c>
      <c r="CXF76" s="343" t="s">
        <v>1300</v>
      </c>
      <c r="CXG76" s="343" t="s">
        <v>252</v>
      </c>
      <c r="CXH76" s="343" t="s">
        <v>1300</v>
      </c>
      <c r="CXI76" s="343" t="s">
        <v>252</v>
      </c>
      <c r="CXJ76" s="343" t="s">
        <v>1300</v>
      </c>
      <c r="CXK76" s="343" t="s">
        <v>252</v>
      </c>
      <c r="CXL76" s="343" t="s">
        <v>1300</v>
      </c>
      <c r="CXM76" s="343" t="s">
        <v>252</v>
      </c>
      <c r="CXN76" s="343" t="s">
        <v>1300</v>
      </c>
      <c r="CXO76" s="343" t="s">
        <v>252</v>
      </c>
      <c r="CXP76" s="343" t="s">
        <v>1300</v>
      </c>
      <c r="CXQ76" s="343" t="s">
        <v>252</v>
      </c>
      <c r="CXR76" s="343" t="s">
        <v>1300</v>
      </c>
      <c r="CXS76" s="343" t="s">
        <v>252</v>
      </c>
      <c r="CXT76" s="343" t="s">
        <v>1300</v>
      </c>
      <c r="CXU76" s="343" t="s">
        <v>252</v>
      </c>
      <c r="CXV76" s="343" t="s">
        <v>1300</v>
      </c>
      <c r="CXW76" s="343" t="s">
        <v>252</v>
      </c>
      <c r="CXX76" s="343" t="s">
        <v>1300</v>
      </c>
      <c r="CXY76" s="343" t="s">
        <v>252</v>
      </c>
      <c r="CXZ76" s="343" t="s">
        <v>1300</v>
      </c>
      <c r="CYA76" s="343" t="s">
        <v>252</v>
      </c>
      <c r="CYB76" s="343" t="s">
        <v>1300</v>
      </c>
      <c r="CYC76" s="343" t="s">
        <v>252</v>
      </c>
      <c r="CYD76" s="343" t="s">
        <v>1300</v>
      </c>
      <c r="CYE76" s="343" t="s">
        <v>252</v>
      </c>
      <c r="CYF76" s="343" t="s">
        <v>1300</v>
      </c>
      <c r="CYG76" s="343" t="s">
        <v>252</v>
      </c>
      <c r="CYH76" s="343" t="s">
        <v>1300</v>
      </c>
      <c r="CYI76" s="343" t="s">
        <v>252</v>
      </c>
      <c r="CYJ76" s="343" t="s">
        <v>1300</v>
      </c>
      <c r="CYK76" s="343" t="s">
        <v>252</v>
      </c>
      <c r="CYL76" s="343" t="s">
        <v>1300</v>
      </c>
      <c r="CYM76" s="343" t="s">
        <v>252</v>
      </c>
      <c r="CYN76" s="343" t="s">
        <v>1300</v>
      </c>
      <c r="CYO76" s="343" t="s">
        <v>252</v>
      </c>
      <c r="CYP76" s="343" t="s">
        <v>1300</v>
      </c>
      <c r="CYQ76" s="343" t="s">
        <v>252</v>
      </c>
      <c r="CYR76" s="343" t="s">
        <v>1300</v>
      </c>
      <c r="CYS76" s="343" t="s">
        <v>252</v>
      </c>
      <c r="CYT76" s="343" t="s">
        <v>1300</v>
      </c>
      <c r="CYU76" s="343" t="s">
        <v>252</v>
      </c>
      <c r="CYV76" s="343" t="s">
        <v>1300</v>
      </c>
      <c r="CYW76" s="343" t="s">
        <v>252</v>
      </c>
      <c r="CYX76" s="343" t="s">
        <v>1300</v>
      </c>
      <c r="CYY76" s="343" t="s">
        <v>252</v>
      </c>
      <c r="CYZ76" s="343" t="s">
        <v>1300</v>
      </c>
      <c r="CZA76" s="343" t="s">
        <v>252</v>
      </c>
      <c r="CZB76" s="343" t="s">
        <v>1300</v>
      </c>
      <c r="CZC76" s="343" t="s">
        <v>252</v>
      </c>
      <c r="CZD76" s="343" t="s">
        <v>1300</v>
      </c>
      <c r="CZE76" s="343" t="s">
        <v>252</v>
      </c>
      <c r="CZF76" s="343" t="s">
        <v>1300</v>
      </c>
      <c r="CZG76" s="343" t="s">
        <v>252</v>
      </c>
      <c r="CZH76" s="343" t="s">
        <v>1300</v>
      </c>
      <c r="CZI76" s="343" t="s">
        <v>252</v>
      </c>
      <c r="CZJ76" s="343" t="s">
        <v>1300</v>
      </c>
      <c r="CZK76" s="343" t="s">
        <v>252</v>
      </c>
      <c r="CZL76" s="343" t="s">
        <v>1300</v>
      </c>
      <c r="CZM76" s="343" t="s">
        <v>252</v>
      </c>
      <c r="CZN76" s="343" t="s">
        <v>1300</v>
      </c>
      <c r="CZO76" s="343" t="s">
        <v>252</v>
      </c>
      <c r="CZP76" s="343" t="s">
        <v>1300</v>
      </c>
      <c r="CZQ76" s="343" t="s">
        <v>252</v>
      </c>
      <c r="CZR76" s="343" t="s">
        <v>1300</v>
      </c>
      <c r="CZS76" s="343" t="s">
        <v>252</v>
      </c>
      <c r="CZT76" s="343" t="s">
        <v>1300</v>
      </c>
      <c r="CZU76" s="343" t="s">
        <v>252</v>
      </c>
      <c r="CZV76" s="343" t="s">
        <v>1300</v>
      </c>
      <c r="CZW76" s="343" t="s">
        <v>252</v>
      </c>
      <c r="CZX76" s="343" t="s">
        <v>1300</v>
      </c>
      <c r="CZY76" s="343" t="s">
        <v>252</v>
      </c>
      <c r="CZZ76" s="343" t="s">
        <v>1300</v>
      </c>
      <c r="DAA76" s="343" t="s">
        <v>252</v>
      </c>
      <c r="DAB76" s="343" t="s">
        <v>1300</v>
      </c>
      <c r="DAC76" s="343" t="s">
        <v>252</v>
      </c>
      <c r="DAD76" s="343" t="s">
        <v>1300</v>
      </c>
      <c r="DAE76" s="343" t="s">
        <v>252</v>
      </c>
      <c r="DAF76" s="343" t="s">
        <v>1300</v>
      </c>
      <c r="DAG76" s="343" t="s">
        <v>252</v>
      </c>
      <c r="DAH76" s="343" t="s">
        <v>1300</v>
      </c>
      <c r="DAI76" s="343" t="s">
        <v>252</v>
      </c>
      <c r="DAJ76" s="343" t="s">
        <v>1300</v>
      </c>
      <c r="DAK76" s="343" t="s">
        <v>252</v>
      </c>
      <c r="DAL76" s="343" t="s">
        <v>1300</v>
      </c>
      <c r="DAM76" s="343" t="s">
        <v>252</v>
      </c>
      <c r="DAN76" s="343" t="s">
        <v>1300</v>
      </c>
      <c r="DAO76" s="343" t="s">
        <v>252</v>
      </c>
      <c r="DAP76" s="343" t="s">
        <v>1300</v>
      </c>
      <c r="DAQ76" s="343" t="s">
        <v>252</v>
      </c>
      <c r="DAR76" s="343" t="s">
        <v>1300</v>
      </c>
      <c r="DAS76" s="343" t="s">
        <v>252</v>
      </c>
      <c r="DAT76" s="343" t="s">
        <v>1300</v>
      </c>
      <c r="DAU76" s="343" t="s">
        <v>252</v>
      </c>
      <c r="DAV76" s="343" t="s">
        <v>1300</v>
      </c>
      <c r="DAW76" s="343" t="s">
        <v>252</v>
      </c>
      <c r="DAX76" s="343" t="s">
        <v>1300</v>
      </c>
      <c r="DAY76" s="343" t="s">
        <v>252</v>
      </c>
      <c r="DAZ76" s="343" t="s">
        <v>1300</v>
      </c>
      <c r="DBA76" s="343" t="s">
        <v>252</v>
      </c>
      <c r="DBB76" s="343" t="s">
        <v>1300</v>
      </c>
      <c r="DBC76" s="343" t="s">
        <v>252</v>
      </c>
      <c r="DBD76" s="343" t="s">
        <v>1300</v>
      </c>
      <c r="DBE76" s="343" t="s">
        <v>252</v>
      </c>
      <c r="DBF76" s="343" t="s">
        <v>1300</v>
      </c>
      <c r="DBG76" s="343" t="s">
        <v>252</v>
      </c>
      <c r="DBH76" s="343" t="s">
        <v>1300</v>
      </c>
      <c r="DBI76" s="343" t="s">
        <v>252</v>
      </c>
      <c r="DBJ76" s="343" t="s">
        <v>1300</v>
      </c>
      <c r="DBK76" s="343" t="s">
        <v>252</v>
      </c>
      <c r="DBL76" s="343" t="s">
        <v>1300</v>
      </c>
      <c r="DBM76" s="343" t="s">
        <v>252</v>
      </c>
      <c r="DBN76" s="343" t="s">
        <v>1300</v>
      </c>
      <c r="DBO76" s="343" t="s">
        <v>252</v>
      </c>
      <c r="DBP76" s="343" t="s">
        <v>1300</v>
      </c>
      <c r="DBQ76" s="343" t="s">
        <v>252</v>
      </c>
      <c r="DBR76" s="343" t="s">
        <v>1300</v>
      </c>
      <c r="DBS76" s="343" t="s">
        <v>252</v>
      </c>
      <c r="DBT76" s="343" t="s">
        <v>1300</v>
      </c>
      <c r="DBU76" s="343" t="s">
        <v>252</v>
      </c>
      <c r="DBV76" s="343" t="s">
        <v>1300</v>
      </c>
      <c r="DBW76" s="343" t="s">
        <v>252</v>
      </c>
      <c r="DBX76" s="343" t="s">
        <v>1300</v>
      </c>
      <c r="DBY76" s="343" t="s">
        <v>252</v>
      </c>
      <c r="DBZ76" s="343" t="s">
        <v>1300</v>
      </c>
      <c r="DCA76" s="343" t="s">
        <v>252</v>
      </c>
      <c r="DCB76" s="343" t="s">
        <v>1300</v>
      </c>
      <c r="DCC76" s="343" t="s">
        <v>252</v>
      </c>
      <c r="DCD76" s="343" t="s">
        <v>1300</v>
      </c>
      <c r="DCE76" s="343" t="s">
        <v>252</v>
      </c>
      <c r="DCF76" s="343" t="s">
        <v>1300</v>
      </c>
      <c r="DCG76" s="343" t="s">
        <v>252</v>
      </c>
      <c r="DCH76" s="343" t="s">
        <v>1300</v>
      </c>
      <c r="DCI76" s="343" t="s">
        <v>252</v>
      </c>
      <c r="DCJ76" s="343" t="s">
        <v>1300</v>
      </c>
      <c r="DCK76" s="343" t="s">
        <v>252</v>
      </c>
      <c r="DCL76" s="343" t="s">
        <v>1300</v>
      </c>
      <c r="DCM76" s="343" t="s">
        <v>252</v>
      </c>
      <c r="DCN76" s="343" t="s">
        <v>1300</v>
      </c>
      <c r="DCO76" s="343" t="s">
        <v>252</v>
      </c>
      <c r="DCP76" s="343" t="s">
        <v>1300</v>
      </c>
      <c r="DCQ76" s="343" t="s">
        <v>252</v>
      </c>
      <c r="DCR76" s="343" t="s">
        <v>1300</v>
      </c>
      <c r="DCS76" s="343" t="s">
        <v>252</v>
      </c>
      <c r="DCT76" s="343" t="s">
        <v>1300</v>
      </c>
      <c r="DCU76" s="343" t="s">
        <v>252</v>
      </c>
      <c r="DCV76" s="343" t="s">
        <v>1300</v>
      </c>
      <c r="DCW76" s="343" t="s">
        <v>252</v>
      </c>
      <c r="DCX76" s="343" t="s">
        <v>1300</v>
      </c>
      <c r="DCY76" s="343" t="s">
        <v>252</v>
      </c>
      <c r="DCZ76" s="343" t="s">
        <v>1300</v>
      </c>
      <c r="DDA76" s="343" t="s">
        <v>252</v>
      </c>
      <c r="DDB76" s="343" t="s">
        <v>1300</v>
      </c>
      <c r="DDC76" s="343" t="s">
        <v>252</v>
      </c>
      <c r="DDD76" s="343" t="s">
        <v>1300</v>
      </c>
      <c r="DDE76" s="343" t="s">
        <v>252</v>
      </c>
      <c r="DDF76" s="343" t="s">
        <v>1300</v>
      </c>
      <c r="DDG76" s="343" t="s">
        <v>252</v>
      </c>
      <c r="DDH76" s="343" t="s">
        <v>1300</v>
      </c>
      <c r="DDI76" s="343" t="s">
        <v>252</v>
      </c>
      <c r="DDJ76" s="343" t="s">
        <v>1300</v>
      </c>
      <c r="DDK76" s="343" t="s">
        <v>252</v>
      </c>
      <c r="DDL76" s="343" t="s">
        <v>1300</v>
      </c>
      <c r="DDM76" s="343" t="s">
        <v>252</v>
      </c>
      <c r="DDN76" s="343" t="s">
        <v>1300</v>
      </c>
      <c r="DDO76" s="343" t="s">
        <v>252</v>
      </c>
      <c r="DDP76" s="343" t="s">
        <v>1300</v>
      </c>
      <c r="DDQ76" s="343" t="s">
        <v>252</v>
      </c>
      <c r="DDR76" s="343" t="s">
        <v>1300</v>
      </c>
      <c r="DDS76" s="343" t="s">
        <v>252</v>
      </c>
      <c r="DDT76" s="343" t="s">
        <v>1300</v>
      </c>
      <c r="DDU76" s="343" t="s">
        <v>252</v>
      </c>
      <c r="DDV76" s="343" t="s">
        <v>1300</v>
      </c>
      <c r="DDW76" s="343" t="s">
        <v>252</v>
      </c>
      <c r="DDX76" s="343" t="s">
        <v>1300</v>
      </c>
      <c r="DDY76" s="343" t="s">
        <v>252</v>
      </c>
      <c r="DDZ76" s="343" t="s">
        <v>1300</v>
      </c>
      <c r="DEA76" s="343" t="s">
        <v>252</v>
      </c>
      <c r="DEB76" s="343" t="s">
        <v>1300</v>
      </c>
      <c r="DEC76" s="343" t="s">
        <v>252</v>
      </c>
      <c r="DED76" s="343" t="s">
        <v>1300</v>
      </c>
      <c r="DEE76" s="343" t="s">
        <v>252</v>
      </c>
      <c r="DEF76" s="343" t="s">
        <v>1300</v>
      </c>
      <c r="DEG76" s="343" t="s">
        <v>252</v>
      </c>
      <c r="DEH76" s="343" t="s">
        <v>1300</v>
      </c>
      <c r="DEI76" s="343" t="s">
        <v>252</v>
      </c>
      <c r="DEJ76" s="343" t="s">
        <v>1300</v>
      </c>
      <c r="DEK76" s="343" t="s">
        <v>252</v>
      </c>
      <c r="DEL76" s="343" t="s">
        <v>1300</v>
      </c>
      <c r="DEM76" s="343" t="s">
        <v>252</v>
      </c>
      <c r="DEN76" s="343" t="s">
        <v>1300</v>
      </c>
      <c r="DEO76" s="343" t="s">
        <v>252</v>
      </c>
      <c r="DEP76" s="343" t="s">
        <v>1300</v>
      </c>
      <c r="DEQ76" s="343" t="s">
        <v>252</v>
      </c>
      <c r="DER76" s="343" t="s">
        <v>1300</v>
      </c>
      <c r="DES76" s="343" t="s">
        <v>252</v>
      </c>
      <c r="DET76" s="343" t="s">
        <v>1300</v>
      </c>
      <c r="DEU76" s="343" t="s">
        <v>252</v>
      </c>
      <c r="DEV76" s="343" t="s">
        <v>1300</v>
      </c>
      <c r="DEW76" s="343" t="s">
        <v>252</v>
      </c>
      <c r="DEX76" s="343" t="s">
        <v>1300</v>
      </c>
      <c r="DEY76" s="343" t="s">
        <v>252</v>
      </c>
      <c r="DEZ76" s="343" t="s">
        <v>1300</v>
      </c>
      <c r="DFA76" s="343" t="s">
        <v>252</v>
      </c>
      <c r="DFB76" s="343" t="s">
        <v>1300</v>
      </c>
      <c r="DFC76" s="343" t="s">
        <v>252</v>
      </c>
      <c r="DFD76" s="343" t="s">
        <v>1300</v>
      </c>
      <c r="DFE76" s="343" t="s">
        <v>252</v>
      </c>
      <c r="DFF76" s="343" t="s">
        <v>1300</v>
      </c>
      <c r="DFG76" s="343" t="s">
        <v>252</v>
      </c>
      <c r="DFH76" s="343" t="s">
        <v>1300</v>
      </c>
      <c r="DFI76" s="343" t="s">
        <v>252</v>
      </c>
      <c r="DFJ76" s="343" t="s">
        <v>1300</v>
      </c>
      <c r="DFK76" s="343" t="s">
        <v>252</v>
      </c>
      <c r="DFL76" s="343" t="s">
        <v>1300</v>
      </c>
      <c r="DFM76" s="343" t="s">
        <v>252</v>
      </c>
      <c r="DFN76" s="343" t="s">
        <v>1300</v>
      </c>
      <c r="DFO76" s="343" t="s">
        <v>252</v>
      </c>
      <c r="DFP76" s="343" t="s">
        <v>1300</v>
      </c>
      <c r="DFQ76" s="343" t="s">
        <v>252</v>
      </c>
      <c r="DFR76" s="343" t="s">
        <v>1300</v>
      </c>
      <c r="DFS76" s="343" t="s">
        <v>252</v>
      </c>
      <c r="DFT76" s="343" t="s">
        <v>1300</v>
      </c>
      <c r="DFU76" s="343" t="s">
        <v>252</v>
      </c>
      <c r="DFV76" s="343" t="s">
        <v>1300</v>
      </c>
      <c r="DFW76" s="343" t="s">
        <v>252</v>
      </c>
      <c r="DFX76" s="343" t="s">
        <v>1300</v>
      </c>
      <c r="DFY76" s="343" t="s">
        <v>252</v>
      </c>
      <c r="DFZ76" s="343" t="s">
        <v>1300</v>
      </c>
      <c r="DGA76" s="343" t="s">
        <v>252</v>
      </c>
      <c r="DGB76" s="343" t="s">
        <v>1300</v>
      </c>
      <c r="DGC76" s="343" t="s">
        <v>252</v>
      </c>
      <c r="DGD76" s="343" t="s">
        <v>1300</v>
      </c>
      <c r="DGE76" s="343" t="s">
        <v>252</v>
      </c>
      <c r="DGF76" s="343" t="s">
        <v>1300</v>
      </c>
      <c r="DGG76" s="343" t="s">
        <v>252</v>
      </c>
      <c r="DGH76" s="343" t="s">
        <v>1300</v>
      </c>
      <c r="DGI76" s="343" t="s">
        <v>252</v>
      </c>
      <c r="DGJ76" s="343" t="s">
        <v>1300</v>
      </c>
      <c r="DGK76" s="343" t="s">
        <v>252</v>
      </c>
      <c r="DGL76" s="343" t="s">
        <v>1300</v>
      </c>
      <c r="DGM76" s="343" t="s">
        <v>252</v>
      </c>
      <c r="DGN76" s="343" t="s">
        <v>1300</v>
      </c>
      <c r="DGO76" s="343" t="s">
        <v>252</v>
      </c>
      <c r="DGP76" s="343" t="s">
        <v>1300</v>
      </c>
      <c r="DGQ76" s="343" t="s">
        <v>252</v>
      </c>
      <c r="DGR76" s="343" t="s">
        <v>1300</v>
      </c>
      <c r="DGS76" s="343" t="s">
        <v>252</v>
      </c>
      <c r="DGT76" s="343" t="s">
        <v>1300</v>
      </c>
      <c r="DGU76" s="343" t="s">
        <v>252</v>
      </c>
      <c r="DGV76" s="343" t="s">
        <v>1300</v>
      </c>
      <c r="DGW76" s="343" t="s">
        <v>252</v>
      </c>
      <c r="DGX76" s="343" t="s">
        <v>1300</v>
      </c>
      <c r="DGY76" s="343" t="s">
        <v>252</v>
      </c>
      <c r="DGZ76" s="343" t="s">
        <v>1300</v>
      </c>
      <c r="DHA76" s="343" t="s">
        <v>252</v>
      </c>
      <c r="DHB76" s="343" t="s">
        <v>1300</v>
      </c>
      <c r="DHC76" s="343" t="s">
        <v>252</v>
      </c>
      <c r="DHD76" s="343" t="s">
        <v>1300</v>
      </c>
      <c r="DHE76" s="343" t="s">
        <v>252</v>
      </c>
      <c r="DHF76" s="343" t="s">
        <v>1300</v>
      </c>
      <c r="DHG76" s="343" t="s">
        <v>252</v>
      </c>
      <c r="DHH76" s="343" t="s">
        <v>1300</v>
      </c>
      <c r="DHI76" s="343" t="s">
        <v>252</v>
      </c>
      <c r="DHJ76" s="343" t="s">
        <v>1300</v>
      </c>
      <c r="DHK76" s="343" t="s">
        <v>252</v>
      </c>
      <c r="DHL76" s="343" t="s">
        <v>1300</v>
      </c>
      <c r="DHM76" s="343" t="s">
        <v>252</v>
      </c>
      <c r="DHN76" s="343" t="s">
        <v>1300</v>
      </c>
      <c r="DHO76" s="343" t="s">
        <v>252</v>
      </c>
      <c r="DHP76" s="343" t="s">
        <v>1300</v>
      </c>
      <c r="DHQ76" s="343" t="s">
        <v>252</v>
      </c>
      <c r="DHR76" s="343" t="s">
        <v>1300</v>
      </c>
      <c r="DHS76" s="343" t="s">
        <v>252</v>
      </c>
      <c r="DHT76" s="343" t="s">
        <v>1300</v>
      </c>
      <c r="DHU76" s="343" t="s">
        <v>252</v>
      </c>
      <c r="DHV76" s="343" t="s">
        <v>1300</v>
      </c>
      <c r="DHW76" s="343" t="s">
        <v>252</v>
      </c>
      <c r="DHX76" s="343" t="s">
        <v>1300</v>
      </c>
      <c r="DHY76" s="343" t="s">
        <v>252</v>
      </c>
      <c r="DHZ76" s="343" t="s">
        <v>1300</v>
      </c>
      <c r="DIA76" s="343" t="s">
        <v>252</v>
      </c>
      <c r="DIB76" s="343" t="s">
        <v>1300</v>
      </c>
      <c r="DIC76" s="343" t="s">
        <v>252</v>
      </c>
      <c r="DID76" s="343" t="s">
        <v>1300</v>
      </c>
      <c r="DIE76" s="343" t="s">
        <v>252</v>
      </c>
      <c r="DIF76" s="343" t="s">
        <v>1300</v>
      </c>
      <c r="DIG76" s="343" t="s">
        <v>252</v>
      </c>
      <c r="DIH76" s="343" t="s">
        <v>1300</v>
      </c>
      <c r="DII76" s="343" t="s">
        <v>252</v>
      </c>
      <c r="DIJ76" s="343" t="s">
        <v>1300</v>
      </c>
      <c r="DIK76" s="343" t="s">
        <v>252</v>
      </c>
      <c r="DIL76" s="343" t="s">
        <v>1300</v>
      </c>
      <c r="DIM76" s="343" t="s">
        <v>252</v>
      </c>
      <c r="DIN76" s="343" t="s">
        <v>1300</v>
      </c>
      <c r="DIO76" s="343" t="s">
        <v>252</v>
      </c>
      <c r="DIP76" s="343" t="s">
        <v>1300</v>
      </c>
      <c r="DIQ76" s="343" t="s">
        <v>252</v>
      </c>
      <c r="DIR76" s="343" t="s">
        <v>1300</v>
      </c>
      <c r="DIS76" s="343" t="s">
        <v>252</v>
      </c>
      <c r="DIT76" s="343" t="s">
        <v>1300</v>
      </c>
      <c r="DIU76" s="343" t="s">
        <v>252</v>
      </c>
      <c r="DIV76" s="343" t="s">
        <v>1300</v>
      </c>
      <c r="DIW76" s="343" t="s">
        <v>252</v>
      </c>
      <c r="DIX76" s="343" t="s">
        <v>1300</v>
      </c>
      <c r="DIY76" s="343" t="s">
        <v>252</v>
      </c>
      <c r="DIZ76" s="343" t="s">
        <v>1300</v>
      </c>
      <c r="DJA76" s="343" t="s">
        <v>252</v>
      </c>
      <c r="DJB76" s="343" t="s">
        <v>1300</v>
      </c>
      <c r="DJC76" s="343" t="s">
        <v>252</v>
      </c>
      <c r="DJD76" s="343" t="s">
        <v>1300</v>
      </c>
      <c r="DJE76" s="343" t="s">
        <v>252</v>
      </c>
      <c r="DJF76" s="343" t="s">
        <v>1300</v>
      </c>
      <c r="DJG76" s="343" t="s">
        <v>252</v>
      </c>
      <c r="DJH76" s="343" t="s">
        <v>1300</v>
      </c>
      <c r="DJI76" s="343" t="s">
        <v>252</v>
      </c>
      <c r="DJJ76" s="343" t="s">
        <v>1300</v>
      </c>
      <c r="DJK76" s="343" t="s">
        <v>252</v>
      </c>
      <c r="DJL76" s="343" t="s">
        <v>1300</v>
      </c>
      <c r="DJM76" s="343" t="s">
        <v>252</v>
      </c>
      <c r="DJN76" s="343" t="s">
        <v>1300</v>
      </c>
      <c r="DJO76" s="343" t="s">
        <v>252</v>
      </c>
      <c r="DJP76" s="343" t="s">
        <v>1300</v>
      </c>
      <c r="DJQ76" s="343" t="s">
        <v>252</v>
      </c>
      <c r="DJR76" s="343" t="s">
        <v>1300</v>
      </c>
      <c r="DJS76" s="343" t="s">
        <v>252</v>
      </c>
      <c r="DJT76" s="343" t="s">
        <v>1300</v>
      </c>
      <c r="DJU76" s="343" t="s">
        <v>252</v>
      </c>
      <c r="DJV76" s="343" t="s">
        <v>1300</v>
      </c>
      <c r="DJW76" s="343" t="s">
        <v>252</v>
      </c>
      <c r="DJX76" s="343" t="s">
        <v>1300</v>
      </c>
      <c r="DJY76" s="343" t="s">
        <v>252</v>
      </c>
      <c r="DJZ76" s="343" t="s">
        <v>1300</v>
      </c>
      <c r="DKA76" s="343" t="s">
        <v>252</v>
      </c>
      <c r="DKB76" s="343" t="s">
        <v>1300</v>
      </c>
      <c r="DKC76" s="343" t="s">
        <v>252</v>
      </c>
      <c r="DKD76" s="343" t="s">
        <v>1300</v>
      </c>
      <c r="DKE76" s="343" t="s">
        <v>252</v>
      </c>
      <c r="DKF76" s="343" t="s">
        <v>1300</v>
      </c>
      <c r="DKG76" s="343" t="s">
        <v>252</v>
      </c>
      <c r="DKH76" s="343" t="s">
        <v>1300</v>
      </c>
      <c r="DKI76" s="343" t="s">
        <v>252</v>
      </c>
      <c r="DKJ76" s="343" t="s">
        <v>1300</v>
      </c>
      <c r="DKK76" s="343" t="s">
        <v>252</v>
      </c>
      <c r="DKL76" s="343" t="s">
        <v>1300</v>
      </c>
      <c r="DKM76" s="343" t="s">
        <v>252</v>
      </c>
      <c r="DKN76" s="343" t="s">
        <v>1300</v>
      </c>
      <c r="DKO76" s="343" t="s">
        <v>252</v>
      </c>
      <c r="DKP76" s="343" t="s">
        <v>1300</v>
      </c>
      <c r="DKQ76" s="343" t="s">
        <v>252</v>
      </c>
      <c r="DKR76" s="343" t="s">
        <v>1300</v>
      </c>
      <c r="DKS76" s="343" t="s">
        <v>252</v>
      </c>
      <c r="DKT76" s="343" t="s">
        <v>1300</v>
      </c>
      <c r="DKU76" s="343" t="s">
        <v>252</v>
      </c>
      <c r="DKV76" s="343" t="s">
        <v>1300</v>
      </c>
      <c r="DKW76" s="343" t="s">
        <v>252</v>
      </c>
      <c r="DKX76" s="343" t="s">
        <v>1300</v>
      </c>
      <c r="DKY76" s="343" t="s">
        <v>252</v>
      </c>
      <c r="DKZ76" s="343" t="s">
        <v>1300</v>
      </c>
      <c r="DLA76" s="343" t="s">
        <v>252</v>
      </c>
      <c r="DLB76" s="343" t="s">
        <v>1300</v>
      </c>
      <c r="DLC76" s="343" t="s">
        <v>252</v>
      </c>
      <c r="DLD76" s="343" t="s">
        <v>1300</v>
      </c>
      <c r="DLE76" s="343" t="s">
        <v>252</v>
      </c>
      <c r="DLF76" s="343" t="s">
        <v>1300</v>
      </c>
      <c r="DLG76" s="343" t="s">
        <v>252</v>
      </c>
      <c r="DLH76" s="343" t="s">
        <v>1300</v>
      </c>
      <c r="DLI76" s="343" t="s">
        <v>252</v>
      </c>
      <c r="DLJ76" s="343" t="s">
        <v>1300</v>
      </c>
      <c r="DLK76" s="343" t="s">
        <v>252</v>
      </c>
      <c r="DLL76" s="343" t="s">
        <v>1300</v>
      </c>
      <c r="DLM76" s="343" t="s">
        <v>252</v>
      </c>
      <c r="DLN76" s="343" t="s">
        <v>1300</v>
      </c>
      <c r="DLO76" s="343" t="s">
        <v>252</v>
      </c>
      <c r="DLP76" s="343" t="s">
        <v>1300</v>
      </c>
      <c r="DLQ76" s="343" t="s">
        <v>252</v>
      </c>
      <c r="DLR76" s="343" t="s">
        <v>1300</v>
      </c>
      <c r="DLS76" s="343" t="s">
        <v>252</v>
      </c>
      <c r="DLT76" s="343" t="s">
        <v>1300</v>
      </c>
      <c r="DLU76" s="343" t="s">
        <v>252</v>
      </c>
      <c r="DLV76" s="343" t="s">
        <v>1300</v>
      </c>
      <c r="DLW76" s="343" t="s">
        <v>252</v>
      </c>
      <c r="DLX76" s="343" t="s">
        <v>1300</v>
      </c>
      <c r="DLY76" s="343" t="s">
        <v>252</v>
      </c>
      <c r="DLZ76" s="343" t="s">
        <v>1300</v>
      </c>
      <c r="DMA76" s="343" t="s">
        <v>252</v>
      </c>
      <c r="DMB76" s="343" t="s">
        <v>1300</v>
      </c>
      <c r="DMC76" s="343" t="s">
        <v>252</v>
      </c>
      <c r="DMD76" s="343" t="s">
        <v>1300</v>
      </c>
      <c r="DME76" s="343" t="s">
        <v>252</v>
      </c>
      <c r="DMF76" s="343" t="s">
        <v>1300</v>
      </c>
      <c r="DMG76" s="343" t="s">
        <v>252</v>
      </c>
      <c r="DMH76" s="343" t="s">
        <v>1300</v>
      </c>
      <c r="DMI76" s="343" t="s">
        <v>252</v>
      </c>
      <c r="DMJ76" s="343" t="s">
        <v>1300</v>
      </c>
      <c r="DMK76" s="343" t="s">
        <v>252</v>
      </c>
      <c r="DML76" s="343" t="s">
        <v>1300</v>
      </c>
      <c r="DMM76" s="343" t="s">
        <v>252</v>
      </c>
      <c r="DMN76" s="343" t="s">
        <v>1300</v>
      </c>
      <c r="DMO76" s="343" t="s">
        <v>252</v>
      </c>
      <c r="DMP76" s="343" t="s">
        <v>1300</v>
      </c>
      <c r="DMQ76" s="343" t="s">
        <v>252</v>
      </c>
      <c r="DMR76" s="343" t="s">
        <v>1300</v>
      </c>
      <c r="DMS76" s="343" t="s">
        <v>252</v>
      </c>
      <c r="DMT76" s="343" t="s">
        <v>1300</v>
      </c>
      <c r="DMU76" s="343" t="s">
        <v>252</v>
      </c>
      <c r="DMV76" s="343" t="s">
        <v>1300</v>
      </c>
      <c r="DMW76" s="343" t="s">
        <v>252</v>
      </c>
      <c r="DMX76" s="343" t="s">
        <v>1300</v>
      </c>
      <c r="DMY76" s="343" t="s">
        <v>252</v>
      </c>
      <c r="DMZ76" s="343" t="s">
        <v>1300</v>
      </c>
      <c r="DNA76" s="343" t="s">
        <v>252</v>
      </c>
      <c r="DNB76" s="343" t="s">
        <v>1300</v>
      </c>
      <c r="DNC76" s="343" t="s">
        <v>252</v>
      </c>
      <c r="DND76" s="343" t="s">
        <v>1300</v>
      </c>
      <c r="DNE76" s="343" t="s">
        <v>252</v>
      </c>
      <c r="DNF76" s="343" t="s">
        <v>1300</v>
      </c>
      <c r="DNG76" s="343" t="s">
        <v>252</v>
      </c>
      <c r="DNH76" s="343" t="s">
        <v>1300</v>
      </c>
      <c r="DNI76" s="343" t="s">
        <v>252</v>
      </c>
      <c r="DNJ76" s="343" t="s">
        <v>1300</v>
      </c>
      <c r="DNK76" s="343" t="s">
        <v>252</v>
      </c>
      <c r="DNL76" s="343" t="s">
        <v>1300</v>
      </c>
      <c r="DNM76" s="343" t="s">
        <v>252</v>
      </c>
      <c r="DNN76" s="343" t="s">
        <v>1300</v>
      </c>
      <c r="DNO76" s="343" t="s">
        <v>252</v>
      </c>
      <c r="DNP76" s="343" t="s">
        <v>1300</v>
      </c>
      <c r="DNQ76" s="343" t="s">
        <v>252</v>
      </c>
      <c r="DNR76" s="343" t="s">
        <v>1300</v>
      </c>
      <c r="DNS76" s="343" t="s">
        <v>252</v>
      </c>
      <c r="DNT76" s="343" t="s">
        <v>1300</v>
      </c>
      <c r="DNU76" s="343" t="s">
        <v>252</v>
      </c>
      <c r="DNV76" s="343" t="s">
        <v>1300</v>
      </c>
      <c r="DNW76" s="343" t="s">
        <v>252</v>
      </c>
      <c r="DNX76" s="343" t="s">
        <v>1300</v>
      </c>
      <c r="DNY76" s="343" t="s">
        <v>252</v>
      </c>
      <c r="DNZ76" s="343" t="s">
        <v>1300</v>
      </c>
      <c r="DOA76" s="343" t="s">
        <v>252</v>
      </c>
      <c r="DOB76" s="343" t="s">
        <v>1300</v>
      </c>
      <c r="DOC76" s="343" t="s">
        <v>252</v>
      </c>
      <c r="DOD76" s="343" t="s">
        <v>1300</v>
      </c>
      <c r="DOE76" s="343" t="s">
        <v>252</v>
      </c>
      <c r="DOF76" s="343" t="s">
        <v>1300</v>
      </c>
      <c r="DOG76" s="343" t="s">
        <v>252</v>
      </c>
      <c r="DOH76" s="343" t="s">
        <v>1300</v>
      </c>
      <c r="DOI76" s="343" t="s">
        <v>252</v>
      </c>
      <c r="DOJ76" s="343" t="s">
        <v>1300</v>
      </c>
      <c r="DOK76" s="343" t="s">
        <v>252</v>
      </c>
      <c r="DOL76" s="343" t="s">
        <v>1300</v>
      </c>
      <c r="DOM76" s="343" t="s">
        <v>252</v>
      </c>
      <c r="DON76" s="343" t="s">
        <v>1300</v>
      </c>
      <c r="DOO76" s="343" t="s">
        <v>252</v>
      </c>
      <c r="DOP76" s="343" t="s">
        <v>1300</v>
      </c>
      <c r="DOQ76" s="343" t="s">
        <v>252</v>
      </c>
      <c r="DOR76" s="343" t="s">
        <v>1300</v>
      </c>
      <c r="DOS76" s="343" t="s">
        <v>252</v>
      </c>
      <c r="DOT76" s="343" t="s">
        <v>1300</v>
      </c>
      <c r="DOU76" s="343" t="s">
        <v>252</v>
      </c>
      <c r="DOV76" s="343" t="s">
        <v>1300</v>
      </c>
      <c r="DOW76" s="343" t="s">
        <v>252</v>
      </c>
      <c r="DOX76" s="343" t="s">
        <v>1300</v>
      </c>
      <c r="DOY76" s="343" t="s">
        <v>252</v>
      </c>
      <c r="DOZ76" s="343" t="s">
        <v>1300</v>
      </c>
      <c r="DPA76" s="343" t="s">
        <v>252</v>
      </c>
      <c r="DPB76" s="343" t="s">
        <v>1300</v>
      </c>
      <c r="DPC76" s="343" t="s">
        <v>252</v>
      </c>
      <c r="DPD76" s="343" t="s">
        <v>1300</v>
      </c>
      <c r="DPE76" s="343" t="s">
        <v>252</v>
      </c>
      <c r="DPF76" s="343" t="s">
        <v>1300</v>
      </c>
      <c r="DPG76" s="343" t="s">
        <v>252</v>
      </c>
      <c r="DPH76" s="343" t="s">
        <v>1300</v>
      </c>
      <c r="DPI76" s="343" t="s">
        <v>252</v>
      </c>
      <c r="DPJ76" s="343" t="s">
        <v>1300</v>
      </c>
      <c r="DPK76" s="343" t="s">
        <v>252</v>
      </c>
      <c r="DPL76" s="343" t="s">
        <v>1300</v>
      </c>
      <c r="DPM76" s="343" t="s">
        <v>252</v>
      </c>
      <c r="DPN76" s="343" t="s">
        <v>1300</v>
      </c>
      <c r="DPO76" s="343" t="s">
        <v>252</v>
      </c>
      <c r="DPP76" s="343" t="s">
        <v>1300</v>
      </c>
      <c r="DPQ76" s="343" t="s">
        <v>252</v>
      </c>
      <c r="DPR76" s="343" t="s">
        <v>1300</v>
      </c>
      <c r="DPS76" s="343" t="s">
        <v>252</v>
      </c>
      <c r="DPT76" s="343" t="s">
        <v>1300</v>
      </c>
      <c r="DPU76" s="343" t="s">
        <v>252</v>
      </c>
      <c r="DPV76" s="343" t="s">
        <v>1300</v>
      </c>
      <c r="DPW76" s="343" t="s">
        <v>252</v>
      </c>
      <c r="DPX76" s="343" t="s">
        <v>1300</v>
      </c>
      <c r="DPY76" s="343" t="s">
        <v>252</v>
      </c>
      <c r="DPZ76" s="343" t="s">
        <v>1300</v>
      </c>
      <c r="DQA76" s="343" t="s">
        <v>252</v>
      </c>
      <c r="DQB76" s="343" t="s">
        <v>1300</v>
      </c>
      <c r="DQC76" s="343" t="s">
        <v>252</v>
      </c>
      <c r="DQD76" s="343" t="s">
        <v>1300</v>
      </c>
      <c r="DQE76" s="343" t="s">
        <v>252</v>
      </c>
      <c r="DQF76" s="343" t="s">
        <v>1300</v>
      </c>
      <c r="DQG76" s="343" t="s">
        <v>252</v>
      </c>
      <c r="DQH76" s="343" t="s">
        <v>1300</v>
      </c>
      <c r="DQI76" s="343" t="s">
        <v>252</v>
      </c>
      <c r="DQJ76" s="343" t="s">
        <v>1300</v>
      </c>
      <c r="DQK76" s="343" t="s">
        <v>252</v>
      </c>
      <c r="DQL76" s="343" t="s">
        <v>1300</v>
      </c>
      <c r="DQM76" s="343" t="s">
        <v>252</v>
      </c>
      <c r="DQN76" s="343" t="s">
        <v>1300</v>
      </c>
      <c r="DQO76" s="343" t="s">
        <v>252</v>
      </c>
      <c r="DQP76" s="343" t="s">
        <v>1300</v>
      </c>
      <c r="DQQ76" s="343" t="s">
        <v>252</v>
      </c>
      <c r="DQR76" s="343" t="s">
        <v>1300</v>
      </c>
      <c r="DQS76" s="343" t="s">
        <v>252</v>
      </c>
      <c r="DQT76" s="343" t="s">
        <v>1300</v>
      </c>
      <c r="DQU76" s="343" t="s">
        <v>252</v>
      </c>
      <c r="DQV76" s="343" t="s">
        <v>1300</v>
      </c>
      <c r="DQW76" s="343" t="s">
        <v>252</v>
      </c>
      <c r="DQX76" s="343" t="s">
        <v>1300</v>
      </c>
      <c r="DQY76" s="343" t="s">
        <v>252</v>
      </c>
      <c r="DQZ76" s="343" t="s">
        <v>1300</v>
      </c>
      <c r="DRA76" s="343" t="s">
        <v>252</v>
      </c>
      <c r="DRB76" s="343" t="s">
        <v>1300</v>
      </c>
      <c r="DRC76" s="343" t="s">
        <v>252</v>
      </c>
      <c r="DRD76" s="343" t="s">
        <v>1300</v>
      </c>
      <c r="DRE76" s="343" t="s">
        <v>252</v>
      </c>
      <c r="DRF76" s="343" t="s">
        <v>1300</v>
      </c>
      <c r="DRG76" s="343" t="s">
        <v>252</v>
      </c>
      <c r="DRH76" s="343" t="s">
        <v>1300</v>
      </c>
      <c r="DRI76" s="343" t="s">
        <v>252</v>
      </c>
      <c r="DRJ76" s="343" t="s">
        <v>1300</v>
      </c>
      <c r="DRK76" s="343" t="s">
        <v>252</v>
      </c>
      <c r="DRL76" s="343" t="s">
        <v>1300</v>
      </c>
      <c r="DRM76" s="343" t="s">
        <v>252</v>
      </c>
      <c r="DRN76" s="343" t="s">
        <v>1300</v>
      </c>
      <c r="DRO76" s="343" t="s">
        <v>252</v>
      </c>
      <c r="DRP76" s="343" t="s">
        <v>1300</v>
      </c>
      <c r="DRQ76" s="343" t="s">
        <v>252</v>
      </c>
      <c r="DRR76" s="343" t="s">
        <v>1300</v>
      </c>
      <c r="DRS76" s="343" t="s">
        <v>252</v>
      </c>
      <c r="DRT76" s="343" t="s">
        <v>1300</v>
      </c>
      <c r="DRU76" s="343" t="s">
        <v>252</v>
      </c>
      <c r="DRV76" s="343" t="s">
        <v>1300</v>
      </c>
      <c r="DRW76" s="343" t="s">
        <v>252</v>
      </c>
      <c r="DRX76" s="343" t="s">
        <v>1300</v>
      </c>
      <c r="DRY76" s="343" t="s">
        <v>252</v>
      </c>
      <c r="DRZ76" s="343" t="s">
        <v>1300</v>
      </c>
      <c r="DSA76" s="343" t="s">
        <v>252</v>
      </c>
      <c r="DSB76" s="343" t="s">
        <v>1300</v>
      </c>
      <c r="DSC76" s="343" t="s">
        <v>252</v>
      </c>
      <c r="DSD76" s="343" t="s">
        <v>1300</v>
      </c>
      <c r="DSE76" s="343" t="s">
        <v>252</v>
      </c>
      <c r="DSF76" s="343" t="s">
        <v>1300</v>
      </c>
      <c r="DSG76" s="343" t="s">
        <v>252</v>
      </c>
      <c r="DSH76" s="343" t="s">
        <v>1300</v>
      </c>
      <c r="DSI76" s="343" t="s">
        <v>252</v>
      </c>
      <c r="DSJ76" s="343" t="s">
        <v>1300</v>
      </c>
      <c r="DSK76" s="343" t="s">
        <v>252</v>
      </c>
      <c r="DSL76" s="343" t="s">
        <v>1300</v>
      </c>
      <c r="DSM76" s="343" t="s">
        <v>252</v>
      </c>
      <c r="DSN76" s="343" t="s">
        <v>1300</v>
      </c>
      <c r="DSO76" s="343" t="s">
        <v>252</v>
      </c>
      <c r="DSP76" s="343" t="s">
        <v>1300</v>
      </c>
      <c r="DSQ76" s="343" t="s">
        <v>252</v>
      </c>
      <c r="DSR76" s="343" t="s">
        <v>1300</v>
      </c>
      <c r="DSS76" s="343" t="s">
        <v>252</v>
      </c>
      <c r="DST76" s="343" t="s">
        <v>1300</v>
      </c>
      <c r="DSU76" s="343" t="s">
        <v>252</v>
      </c>
      <c r="DSV76" s="343" t="s">
        <v>1300</v>
      </c>
      <c r="DSW76" s="343" t="s">
        <v>252</v>
      </c>
      <c r="DSX76" s="343" t="s">
        <v>1300</v>
      </c>
      <c r="DSY76" s="343" t="s">
        <v>252</v>
      </c>
      <c r="DSZ76" s="343" t="s">
        <v>1300</v>
      </c>
      <c r="DTA76" s="343" t="s">
        <v>252</v>
      </c>
      <c r="DTB76" s="343" t="s">
        <v>1300</v>
      </c>
      <c r="DTC76" s="343" t="s">
        <v>252</v>
      </c>
      <c r="DTD76" s="343" t="s">
        <v>1300</v>
      </c>
      <c r="DTE76" s="343" t="s">
        <v>252</v>
      </c>
      <c r="DTF76" s="343" t="s">
        <v>1300</v>
      </c>
      <c r="DTG76" s="343" t="s">
        <v>252</v>
      </c>
      <c r="DTH76" s="343" t="s">
        <v>1300</v>
      </c>
      <c r="DTI76" s="343" t="s">
        <v>252</v>
      </c>
      <c r="DTJ76" s="343" t="s">
        <v>1300</v>
      </c>
      <c r="DTK76" s="343" t="s">
        <v>252</v>
      </c>
      <c r="DTL76" s="343" t="s">
        <v>1300</v>
      </c>
      <c r="DTM76" s="343" t="s">
        <v>252</v>
      </c>
      <c r="DTN76" s="343" t="s">
        <v>1300</v>
      </c>
      <c r="DTO76" s="343" t="s">
        <v>252</v>
      </c>
      <c r="DTP76" s="343" t="s">
        <v>1300</v>
      </c>
      <c r="DTQ76" s="343" t="s">
        <v>252</v>
      </c>
      <c r="DTR76" s="343" t="s">
        <v>1300</v>
      </c>
      <c r="DTS76" s="343" t="s">
        <v>252</v>
      </c>
      <c r="DTT76" s="343" t="s">
        <v>1300</v>
      </c>
      <c r="DTU76" s="343" t="s">
        <v>252</v>
      </c>
      <c r="DTV76" s="343" t="s">
        <v>1300</v>
      </c>
      <c r="DTW76" s="343" t="s">
        <v>252</v>
      </c>
      <c r="DTX76" s="343" t="s">
        <v>1300</v>
      </c>
      <c r="DTY76" s="343" t="s">
        <v>252</v>
      </c>
      <c r="DTZ76" s="343" t="s">
        <v>1300</v>
      </c>
      <c r="DUA76" s="343" t="s">
        <v>252</v>
      </c>
      <c r="DUB76" s="343" t="s">
        <v>1300</v>
      </c>
      <c r="DUC76" s="343" t="s">
        <v>252</v>
      </c>
      <c r="DUD76" s="343" t="s">
        <v>1300</v>
      </c>
      <c r="DUE76" s="343" t="s">
        <v>252</v>
      </c>
      <c r="DUF76" s="343" t="s">
        <v>1300</v>
      </c>
      <c r="DUG76" s="343" t="s">
        <v>252</v>
      </c>
      <c r="DUH76" s="343" t="s">
        <v>1300</v>
      </c>
      <c r="DUI76" s="343" t="s">
        <v>252</v>
      </c>
      <c r="DUJ76" s="343" t="s">
        <v>1300</v>
      </c>
      <c r="DUK76" s="343" t="s">
        <v>252</v>
      </c>
      <c r="DUL76" s="343" t="s">
        <v>1300</v>
      </c>
      <c r="DUM76" s="343" t="s">
        <v>252</v>
      </c>
      <c r="DUN76" s="343" t="s">
        <v>1300</v>
      </c>
      <c r="DUO76" s="343" t="s">
        <v>252</v>
      </c>
      <c r="DUP76" s="343" t="s">
        <v>1300</v>
      </c>
      <c r="DUQ76" s="343" t="s">
        <v>252</v>
      </c>
      <c r="DUR76" s="343" t="s">
        <v>1300</v>
      </c>
      <c r="DUS76" s="343" t="s">
        <v>252</v>
      </c>
      <c r="DUT76" s="343" t="s">
        <v>1300</v>
      </c>
      <c r="DUU76" s="343" t="s">
        <v>252</v>
      </c>
      <c r="DUV76" s="343" t="s">
        <v>1300</v>
      </c>
      <c r="DUW76" s="343" t="s">
        <v>252</v>
      </c>
      <c r="DUX76" s="343" t="s">
        <v>1300</v>
      </c>
      <c r="DUY76" s="343" t="s">
        <v>252</v>
      </c>
      <c r="DUZ76" s="343" t="s">
        <v>1300</v>
      </c>
      <c r="DVA76" s="343" t="s">
        <v>252</v>
      </c>
      <c r="DVB76" s="343" t="s">
        <v>1300</v>
      </c>
      <c r="DVC76" s="343" t="s">
        <v>252</v>
      </c>
      <c r="DVD76" s="343" t="s">
        <v>1300</v>
      </c>
      <c r="DVE76" s="343" t="s">
        <v>252</v>
      </c>
      <c r="DVF76" s="343" t="s">
        <v>1300</v>
      </c>
      <c r="DVG76" s="343" t="s">
        <v>252</v>
      </c>
      <c r="DVH76" s="343" t="s">
        <v>1300</v>
      </c>
      <c r="DVI76" s="343" t="s">
        <v>252</v>
      </c>
      <c r="DVJ76" s="343" t="s">
        <v>1300</v>
      </c>
      <c r="DVK76" s="343" t="s">
        <v>252</v>
      </c>
      <c r="DVL76" s="343" t="s">
        <v>1300</v>
      </c>
      <c r="DVM76" s="343" t="s">
        <v>252</v>
      </c>
      <c r="DVN76" s="343" t="s">
        <v>1300</v>
      </c>
      <c r="DVO76" s="343" t="s">
        <v>252</v>
      </c>
      <c r="DVP76" s="343" t="s">
        <v>1300</v>
      </c>
      <c r="DVQ76" s="343" t="s">
        <v>252</v>
      </c>
      <c r="DVR76" s="343" t="s">
        <v>1300</v>
      </c>
      <c r="DVS76" s="343" t="s">
        <v>252</v>
      </c>
      <c r="DVT76" s="343" t="s">
        <v>1300</v>
      </c>
      <c r="DVU76" s="343" t="s">
        <v>252</v>
      </c>
      <c r="DVV76" s="343" t="s">
        <v>1300</v>
      </c>
      <c r="DVW76" s="343" t="s">
        <v>252</v>
      </c>
      <c r="DVX76" s="343" t="s">
        <v>1300</v>
      </c>
      <c r="DVY76" s="343" t="s">
        <v>252</v>
      </c>
      <c r="DVZ76" s="343" t="s">
        <v>1300</v>
      </c>
      <c r="DWA76" s="343" t="s">
        <v>252</v>
      </c>
      <c r="DWB76" s="343" t="s">
        <v>1300</v>
      </c>
      <c r="DWC76" s="343" t="s">
        <v>252</v>
      </c>
      <c r="DWD76" s="343" t="s">
        <v>1300</v>
      </c>
      <c r="DWE76" s="343" t="s">
        <v>252</v>
      </c>
      <c r="DWF76" s="343" t="s">
        <v>1300</v>
      </c>
      <c r="DWG76" s="343" t="s">
        <v>252</v>
      </c>
      <c r="DWH76" s="343" t="s">
        <v>1300</v>
      </c>
      <c r="DWI76" s="343" t="s">
        <v>252</v>
      </c>
      <c r="DWJ76" s="343" t="s">
        <v>1300</v>
      </c>
      <c r="DWK76" s="343" t="s">
        <v>252</v>
      </c>
      <c r="DWL76" s="343" t="s">
        <v>1300</v>
      </c>
      <c r="DWM76" s="343" t="s">
        <v>252</v>
      </c>
      <c r="DWN76" s="343" t="s">
        <v>1300</v>
      </c>
      <c r="DWO76" s="343" t="s">
        <v>252</v>
      </c>
      <c r="DWP76" s="343" t="s">
        <v>1300</v>
      </c>
      <c r="DWQ76" s="343" t="s">
        <v>252</v>
      </c>
      <c r="DWR76" s="343" t="s">
        <v>1300</v>
      </c>
      <c r="DWS76" s="343" t="s">
        <v>252</v>
      </c>
      <c r="DWT76" s="343" t="s">
        <v>1300</v>
      </c>
      <c r="DWU76" s="343" t="s">
        <v>252</v>
      </c>
      <c r="DWV76" s="343" t="s">
        <v>1300</v>
      </c>
      <c r="DWW76" s="343" t="s">
        <v>252</v>
      </c>
      <c r="DWX76" s="343" t="s">
        <v>1300</v>
      </c>
      <c r="DWY76" s="343" t="s">
        <v>252</v>
      </c>
      <c r="DWZ76" s="343" t="s">
        <v>1300</v>
      </c>
      <c r="DXA76" s="343" t="s">
        <v>252</v>
      </c>
      <c r="DXB76" s="343" t="s">
        <v>1300</v>
      </c>
      <c r="DXC76" s="343" t="s">
        <v>252</v>
      </c>
      <c r="DXD76" s="343" t="s">
        <v>1300</v>
      </c>
      <c r="DXE76" s="343" t="s">
        <v>252</v>
      </c>
      <c r="DXF76" s="343" t="s">
        <v>1300</v>
      </c>
      <c r="DXG76" s="343" t="s">
        <v>252</v>
      </c>
      <c r="DXH76" s="343" t="s">
        <v>1300</v>
      </c>
      <c r="DXI76" s="343" t="s">
        <v>252</v>
      </c>
      <c r="DXJ76" s="343" t="s">
        <v>1300</v>
      </c>
      <c r="DXK76" s="343" t="s">
        <v>252</v>
      </c>
      <c r="DXL76" s="343" t="s">
        <v>1300</v>
      </c>
      <c r="DXM76" s="343" t="s">
        <v>252</v>
      </c>
      <c r="DXN76" s="343" t="s">
        <v>1300</v>
      </c>
      <c r="DXO76" s="343" t="s">
        <v>252</v>
      </c>
      <c r="DXP76" s="343" t="s">
        <v>1300</v>
      </c>
      <c r="DXQ76" s="343" t="s">
        <v>252</v>
      </c>
      <c r="DXR76" s="343" t="s">
        <v>1300</v>
      </c>
      <c r="DXS76" s="343" t="s">
        <v>252</v>
      </c>
      <c r="DXT76" s="343" t="s">
        <v>1300</v>
      </c>
      <c r="DXU76" s="343" t="s">
        <v>252</v>
      </c>
      <c r="DXV76" s="343" t="s">
        <v>1300</v>
      </c>
      <c r="DXW76" s="343" t="s">
        <v>252</v>
      </c>
      <c r="DXX76" s="343" t="s">
        <v>1300</v>
      </c>
      <c r="DXY76" s="343" t="s">
        <v>252</v>
      </c>
      <c r="DXZ76" s="343" t="s">
        <v>1300</v>
      </c>
      <c r="DYA76" s="343" t="s">
        <v>252</v>
      </c>
      <c r="DYB76" s="343" t="s">
        <v>1300</v>
      </c>
      <c r="DYC76" s="343" t="s">
        <v>252</v>
      </c>
      <c r="DYD76" s="343" t="s">
        <v>1300</v>
      </c>
      <c r="DYE76" s="343" t="s">
        <v>252</v>
      </c>
      <c r="DYF76" s="343" t="s">
        <v>1300</v>
      </c>
      <c r="DYG76" s="343" t="s">
        <v>252</v>
      </c>
      <c r="DYH76" s="343" t="s">
        <v>1300</v>
      </c>
      <c r="DYI76" s="343" t="s">
        <v>252</v>
      </c>
      <c r="DYJ76" s="343" t="s">
        <v>1300</v>
      </c>
      <c r="DYK76" s="343" t="s">
        <v>252</v>
      </c>
      <c r="DYL76" s="343" t="s">
        <v>1300</v>
      </c>
      <c r="DYM76" s="343" t="s">
        <v>252</v>
      </c>
      <c r="DYN76" s="343" t="s">
        <v>1300</v>
      </c>
      <c r="DYO76" s="343" t="s">
        <v>252</v>
      </c>
      <c r="DYP76" s="343" t="s">
        <v>1300</v>
      </c>
      <c r="DYQ76" s="343" t="s">
        <v>252</v>
      </c>
      <c r="DYR76" s="343" t="s">
        <v>1300</v>
      </c>
      <c r="DYS76" s="343" t="s">
        <v>252</v>
      </c>
      <c r="DYT76" s="343" t="s">
        <v>1300</v>
      </c>
      <c r="DYU76" s="343" t="s">
        <v>252</v>
      </c>
      <c r="DYV76" s="343" t="s">
        <v>1300</v>
      </c>
      <c r="DYW76" s="343" t="s">
        <v>252</v>
      </c>
      <c r="DYX76" s="343" t="s">
        <v>1300</v>
      </c>
      <c r="DYY76" s="343" t="s">
        <v>252</v>
      </c>
      <c r="DYZ76" s="343" t="s">
        <v>1300</v>
      </c>
      <c r="DZA76" s="343" t="s">
        <v>252</v>
      </c>
      <c r="DZB76" s="343" t="s">
        <v>1300</v>
      </c>
      <c r="DZC76" s="343" t="s">
        <v>252</v>
      </c>
      <c r="DZD76" s="343" t="s">
        <v>1300</v>
      </c>
      <c r="DZE76" s="343" t="s">
        <v>252</v>
      </c>
      <c r="DZF76" s="343" t="s">
        <v>1300</v>
      </c>
      <c r="DZG76" s="343" t="s">
        <v>252</v>
      </c>
      <c r="DZH76" s="343" t="s">
        <v>1300</v>
      </c>
      <c r="DZI76" s="343" t="s">
        <v>252</v>
      </c>
      <c r="DZJ76" s="343" t="s">
        <v>1300</v>
      </c>
      <c r="DZK76" s="343" t="s">
        <v>252</v>
      </c>
      <c r="DZL76" s="343" t="s">
        <v>1300</v>
      </c>
      <c r="DZM76" s="343" t="s">
        <v>252</v>
      </c>
      <c r="DZN76" s="343" t="s">
        <v>1300</v>
      </c>
      <c r="DZO76" s="343" t="s">
        <v>252</v>
      </c>
      <c r="DZP76" s="343" t="s">
        <v>1300</v>
      </c>
      <c r="DZQ76" s="343" t="s">
        <v>252</v>
      </c>
      <c r="DZR76" s="343" t="s">
        <v>1300</v>
      </c>
      <c r="DZS76" s="343" t="s">
        <v>252</v>
      </c>
      <c r="DZT76" s="343" t="s">
        <v>1300</v>
      </c>
      <c r="DZU76" s="343" t="s">
        <v>252</v>
      </c>
      <c r="DZV76" s="343" t="s">
        <v>1300</v>
      </c>
      <c r="DZW76" s="343" t="s">
        <v>252</v>
      </c>
      <c r="DZX76" s="343" t="s">
        <v>1300</v>
      </c>
      <c r="DZY76" s="343" t="s">
        <v>252</v>
      </c>
      <c r="DZZ76" s="343" t="s">
        <v>1300</v>
      </c>
      <c r="EAA76" s="343" t="s">
        <v>252</v>
      </c>
      <c r="EAB76" s="343" t="s">
        <v>1300</v>
      </c>
      <c r="EAC76" s="343" t="s">
        <v>252</v>
      </c>
      <c r="EAD76" s="343" t="s">
        <v>1300</v>
      </c>
      <c r="EAE76" s="343" t="s">
        <v>252</v>
      </c>
      <c r="EAF76" s="343" t="s">
        <v>1300</v>
      </c>
      <c r="EAG76" s="343" t="s">
        <v>252</v>
      </c>
      <c r="EAH76" s="343" t="s">
        <v>1300</v>
      </c>
      <c r="EAI76" s="343" t="s">
        <v>252</v>
      </c>
      <c r="EAJ76" s="343" t="s">
        <v>1300</v>
      </c>
      <c r="EAK76" s="343" t="s">
        <v>252</v>
      </c>
      <c r="EAL76" s="343" t="s">
        <v>1300</v>
      </c>
      <c r="EAM76" s="343" t="s">
        <v>252</v>
      </c>
      <c r="EAN76" s="343" t="s">
        <v>1300</v>
      </c>
      <c r="EAO76" s="343" t="s">
        <v>252</v>
      </c>
      <c r="EAP76" s="343" t="s">
        <v>1300</v>
      </c>
      <c r="EAQ76" s="343" t="s">
        <v>252</v>
      </c>
      <c r="EAR76" s="343" t="s">
        <v>1300</v>
      </c>
      <c r="EAS76" s="343" t="s">
        <v>252</v>
      </c>
      <c r="EAT76" s="343" t="s">
        <v>1300</v>
      </c>
      <c r="EAU76" s="343" t="s">
        <v>252</v>
      </c>
      <c r="EAV76" s="343" t="s">
        <v>1300</v>
      </c>
      <c r="EAW76" s="343" t="s">
        <v>252</v>
      </c>
      <c r="EAX76" s="343" t="s">
        <v>1300</v>
      </c>
      <c r="EAY76" s="343" t="s">
        <v>252</v>
      </c>
      <c r="EAZ76" s="343" t="s">
        <v>1300</v>
      </c>
      <c r="EBA76" s="343" t="s">
        <v>252</v>
      </c>
      <c r="EBB76" s="343" t="s">
        <v>1300</v>
      </c>
      <c r="EBC76" s="343" t="s">
        <v>252</v>
      </c>
      <c r="EBD76" s="343" t="s">
        <v>1300</v>
      </c>
      <c r="EBE76" s="343" t="s">
        <v>252</v>
      </c>
      <c r="EBF76" s="343" t="s">
        <v>1300</v>
      </c>
      <c r="EBG76" s="343" t="s">
        <v>252</v>
      </c>
      <c r="EBH76" s="343" t="s">
        <v>1300</v>
      </c>
      <c r="EBI76" s="343" t="s">
        <v>252</v>
      </c>
      <c r="EBJ76" s="343" t="s">
        <v>1300</v>
      </c>
      <c r="EBK76" s="343" t="s">
        <v>252</v>
      </c>
      <c r="EBL76" s="343" t="s">
        <v>1300</v>
      </c>
      <c r="EBM76" s="343" t="s">
        <v>252</v>
      </c>
      <c r="EBN76" s="343" t="s">
        <v>1300</v>
      </c>
      <c r="EBO76" s="343" t="s">
        <v>252</v>
      </c>
      <c r="EBP76" s="343" t="s">
        <v>1300</v>
      </c>
      <c r="EBQ76" s="343" t="s">
        <v>252</v>
      </c>
      <c r="EBR76" s="343" t="s">
        <v>1300</v>
      </c>
      <c r="EBS76" s="343" t="s">
        <v>252</v>
      </c>
      <c r="EBT76" s="343" t="s">
        <v>1300</v>
      </c>
      <c r="EBU76" s="343" t="s">
        <v>252</v>
      </c>
      <c r="EBV76" s="343" t="s">
        <v>1300</v>
      </c>
      <c r="EBW76" s="343" t="s">
        <v>252</v>
      </c>
      <c r="EBX76" s="343" t="s">
        <v>1300</v>
      </c>
      <c r="EBY76" s="343" t="s">
        <v>252</v>
      </c>
      <c r="EBZ76" s="343" t="s">
        <v>1300</v>
      </c>
      <c r="ECA76" s="343" t="s">
        <v>252</v>
      </c>
      <c r="ECB76" s="343" t="s">
        <v>1300</v>
      </c>
      <c r="ECC76" s="343" t="s">
        <v>252</v>
      </c>
      <c r="ECD76" s="343" t="s">
        <v>1300</v>
      </c>
      <c r="ECE76" s="343" t="s">
        <v>252</v>
      </c>
      <c r="ECF76" s="343" t="s">
        <v>1300</v>
      </c>
      <c r="ECG76" s="343" t="s">
        <v>252</v>
      </c>
      <c r="ECH76" s="343" t="s">
        <v>1300</v>
      </c>
      <c r="ECI76" s="343" t="s">
        <v>252</v>
      </c>
      <c r="ECJ76" s="343" t="s">
        <v>1300</v>
      </c>
      <c r="ECK76" s="343" t="s">
        <v>252</v>
      </c>
      <c r="ECL76" s="343" t="s">
        <v>1300</v>
      </c>
      <c r="ECM76" s="343" t="s">
        <v>252</v>
      </c>
      <c r="ECN76" s="343" t="s">
        <v>1300</v>
      </c>
      <c r="ECO76" s="343" t="s">
        <v>252</v>
      </c>
      <c r="ECP76" s="343" t="s">
        <v>1300</v>
      </c>
      <c r="ECQ76" s="343" t="s">
        <v>252</v>
      </c>
      <c r="ECR76" s="343" t="s">
        <v>1300</v>
      </c>
      <c r="ECS76" s="343" t="s">
        <v>252</v>
      </c>
      <c r="ECT76" s="343" t="s">
        <v>1300</v>
      </c>
      <c r="ECU76" s="343" t="s">
        <v>252</v>
      </c>
      <c r="ECV76" s="343" t="s">
        <v>1300</v>
      </c>
      <c r="ECW76" s="343" t="s">
        <v>252</v>
      </c>
      <c r="ECX76" s="343" t="s">
        <v>1300</v>
      </c>
      <c r="ECY76" s="343" t="s">
        <v>252</v>
      </c>
      <c r="ECZ76" s="343" t="s">
        <v>1300</v>
      </c>
      <c r="EDA76" s="343" t="s">
        <v>252</v>
      </c>
      <c r="EDB76" s="343" t="s">
        <v>1300</v>
      </c>
      <c r="EDC76" s="343" t="s">
        <v>252</v>
      </c>
      <c r="EDD76" s="343" t="s">
        <v>1300</v>
      </c>
      <c r="EDE76" s="343" t="s">
        <v>252</v>
      </c>
      <c r="EDF76" s="343" t="s">
        <v>1300</v>
      </c>
      <c r="EDG76" s="343" t="s">
        <v>252</v>
      </c>
      <c r="EDH76" s="343" t="s">
        <v>1300</v>
      </c>
      <c r="EDI76" s="343" t="s">
        <v>252</v>
      </c>
      <c r="EDJ76" s="343" t="s">
        <v>1300</v>
      </c>
      <c r="EDK76" s="343" t="s">
        <v>252</v>
      </c>
      <c r="EDL76" s="343" t="s">
        <v>1300</v>
      </c>
      <c r="EDM76" s="343" t="s">
        <v>252</v>
      </c>
      <c r="EDN76" s="343" t="s">
        <v>1300</v>
      </c>
      <c r="EDO76" s="343" t="s">
        <v>252</v>
      </c>
      <c r="EDP76" s="343" t="s">
        <v>1300</v>
      </c>
      <c r="EDQ76" s="343" t="s">
        <v>252</v>
      </c>
      <c r="EDR76" s="343" t="s">
        <v>1300</v>
      </c>
      <c r="EDS76" s="343" t="s">
        <v>252</v>
      </c>
      <c r="EDT76" s="343" t="s">
        <v>1300</v>
      </c>
      <c r="EDU76" s="343" t="s">
        <v>252</v>
      </c>
      <c r="EDV76" s="343" t="s">
        <v>1300</v>
      </c>
      <c r="EDW76" s="343" t="s">
        <v>252</v>
      </c>
      <c r="EDX76" s="343" t="s">
        <v>1300</v>
      </c>
      <c r="EDY76" s="343" t="s">
        <v>252</v>
      </c>
      <c r="EDZ76" s="343" t="s">
        <v>1300</v>
      </c>
      <c r="EEA76" s="343" t="s">
        <v>252</v>
      </c>
      <c r="EEB76" s="343" t="s">
        <v>1300</v>
      </c>
      <c r="EEC76" s="343" t="s">
        <v>252</v>
      </c>
      <c r="EED76" s="343" t="s">
        <v>1300</v>
      </c>
      <c r="EEE76" s="343" t="s">
        <v>252</v>
      </c>
      <c r="EEF76" s="343" t="s">
        <v>1300</v>
      </c>
      <c r="EEG76" s="343" t="s">
        <v>252</v>
      </c>
      <c r="EEH76" s="343" t="s">
        <v>1300</v>
      </c>
      <c r="EEI76" s="343" t="s">
        <v>252</v>
      </c>
      <c r="EEJ76" s="343" t="s">
        <v>1300</v>
      </c>
      <c r="EEK76" s="343" t="s">
        <v>252</v>
      </c>
      <c r="EEL76" s="343" t="s">
        <v>1300</v>
      </c>
      <c r="EEM76" s="343" t="s">
        <v>252</v>
      </c>
      <c r="EEN76" s="343" t="s">
        <v>1300</v>
      </c>
      <c r="EEO76" s="343" t="s">
        <v>252</v>
      </c>
      <c r="EEP76" s="343" t="s">
        <v>1300</v>
      </c>
      <c r="EEQ76" s="343" t="s">
        <v>252</v>
      </c>
      <c r="EER76" s="343" t="s">
        <v>1300</v>
      </c>
      <c r="EES76" s="343" t="s">
        <v>252</v>
      </c>
      <c r="EET76" s="343" t="s">
        <v>1300</v>
      </c>
      <c r="EEU76" s="343" t="s">
        <v>252</v>
      </c>
      <c r="EEV76" s="343" t="s">
        <v>1300</v>
      </c>
      <c r="EEW76" s="343" t="s">
        <v>252</v>
      </c>
      <c r="EEX76" s="343" t="s">
        <v>1300</v>
      </c>
      <c r="EEY76" s="343" t="s">
        <v>252</v>
      </c>
      <c r="EEZ76" s="343" t="s">
        <v>1300</v>
      </c>
      <c r="EFA76" s="343" t="s">
        <v>252</v>
      </c>
      <c r="EFB76" s="343" t="s">
        <v>1300</v>
      </c>
      <c r="EFC76" s="343" t="s">
        <v>252</v>
      </c>
      <c r="EFD76" s="343" t="s">
        <v>1300</v>
      </c>
      <c r="EFE76" s="343" t="s">
        <v>252</v>
      </c>
      <c r="EFF76" s="343" t="s">
        <v>1300</v>
      </c>
      <c r="EFG76" s="343" t="s">
        <v>252</v>
      </c>
      <c r="EFH76" s="343" t="s">
        <v>1300</v>
      </c>
      <c r="EFI76" s="343" t="s">
        <v>252</v>
      </c>
      <c r="EFJ76" s="343" t="s">
        <v>1300</v>
      </c>
      <c r="EFK76" s="343" t="s">
        <v>252</v>
      </c>
      <c r="EFL76" s="343" t="s">
        <v>1300</v>
      </c>
      <c r="EFM76" s="343" t="s">
        <v>252</v>
      </c>
      <c r="EFN76" s="343" t="s">
        <v>1300</v>
      </c>
      <c r="EFO76" s="343" t="s">
        <v>252</v>
      </c>
      <c r="EFP76" s="343" t="s">
        <v>1300</v>
      </c>
      <c r="EFQ76" s="343" t="s">
        <v>252</v>
      </c>
      <c r="EFR76" s="343" t="s">
        <v>1300</v>
      </c>
      <c r="EFS76" s="343" t="s">
        <v>252</v>
      </c>
      <c r="EFT76" s="343" t="s">
        <v>1300</v>
      </c>
      <c r="EFU76" s="343" t="s">
        <v>252</v>
      </c>
      <c r="EFV76" s="343" t="s">
        <v>1300</v>
      </c>
      <c r="EFW76" s="343" t="s">
        <v>252</v>
      </c>
      <c r="EFX76" s="343" t="s">
        <v>1300</v>
      </c>
      <c r="EFY76" s="343" t="s">
        <v>252</v>
      </c>
      <c r="EFZ76" s="343" t="s">
        <v>1300</v>
      </c>
      <c r="EGA76" s="343" t="s">
        <v>252</v>
      </c>
      <c r="EGB76" s="343" t="s">
        <v>1300</v>
      </c>
      <c r="EGC76" s="343" t="s">
        <v>252</v>
      </c>
      <c r="EGD76" s="343" t="s">
        <v>1300</v>
      </c>
      <c r="EGE76" s="343" t="s">
        <v>252</v>
      </c>
      <c r="EGF76" s="343" t="s">
        <v>1300</v>
      </c>
      <c r="EGG76" s="343" t="s">
        <v>252</v>
      </c>
      <c r="EGH76" s="343" t="s">
        <v>1300</v>
      </c>
      <c r="EGI76" s="343" t="s">
        <v>252</v>
      </c>
      <c r="EGJ76" s="343" t="s">
        <v>1300</v>
      </c>
      <c r="EGK76" s="343" t="s">
        <v>252</v>
      </c>
      <c r="EGL76" s="343" t="s">
        <v>1300</v>
      </c>
      <c r="EGM76" s="343" t="s">
        <v>252</v>
      </c>
      <c r="EGN76" s="343" t="s">
        <v>1300</v>
      </c>
      <c r="EGO76" s="343" t="s">
        <v>252</v>
      </c>
      <c r="EGP76" s="343" t="s">
        <v>1300</v>
      </c>
      <c r="EGQ76" s="343" t="s">
        <v>252</v>
      </c>
      <c r="EGR76" s="343" t="s">
        <v>1300</v>
      </c>
      <c r="EGS76" s="343" t="s">
        <v>252</v>
      </c>
      <c r="EGT76" s="343" t="s">
        <v>1300</v>
      </c>
      <c r="EGU76" s="343" t="s">
        <v>252</v>
      </c>
      <c r="EGV76" s="343" t="s">
        <v>1300</v>
      </c>
      <c r="EGW76" s="343" t="s">
        <v>252</v>
      </c>
      <c r="EGX76" s="343" t="s">
        <v>1300</v>
      </c>
      <c r="EGY76" s="343" t="s">
        <v>252</v>
      </c>
      <c r="EGZ76" s="343" t="s">
        <v>1300</v>
      </c>
      <c r="EHA76" s="343" t="s">
        <v>252</v>
      </c>
      <c r="EHB76" s="343" t="s">
        <v>1300</v>
      </c>
      <c r="EHC76" s="343" t="s">
        <v>252</v>
      </c>
      <c r="EHD76" s="343" t="s">
        <v>1300</v>
      </c>
      <c r="EHE76" s="343" t="s">
        <v>252</v>
      </c>
      <c r="EHF76" s="343" t="s">
        <v>1300</v>
      </c>
      <c r="EHG76" s="343" t="s">
        <v>252</v>
      </c>
      <c r="EHH76" s="343" t="s">
        <v>1300</v>
      </c>
      <c r="EHI76" s="343" t="s">
        <v>252</v>
      </c>
      <c r="EHJ76" s="343" t="s">
        <v>1300</v>
      </c>
      <c r="EHK76" s="343" t="s">
        <v>252</v>
      </c>
      <c r="EHL76" s="343" t="s">
        <v>1300</v>
      </c>
      <c r="EHM76" s="343" t="s">
        <v>252</v>
      </c>
      <c r="EHN76" s="343" t="s">
        <v>1300</v>
      </c>
      <c r="EHO76" s="343" t="s">
        <v>252</v>
      </c>
      <c r="EHP76" s="343" t="s">
        <v>1300</v>
      </c>
      <c r="EHQ76" s="343" t="s">
        <v>252</v>
      </c>
      <c r="EHR76" s="343" t="s">
        <v>1300</v>
      </c>
      <c r="EHS76" s="343" t="s">
        <v>252</v>
      </c>
      <c r="EHT76" s="343" t="s">
        <v>1300</v>
      </c>
      <c r="EHU76" s="343" t="s">
        <v>252</v>
      </c>
      <c r="EHV76" s="343" t="s">
        <v>1300</v>
      </c>
      <c r="EHW76" s="343" t="s">
        <v>252</v>
      </c>
      <c r="EHX76" s="343" t="s">
        <v>1300</v>
      </c>
      <c r="EHY76" s="343" t="s">
        <v>252</v>
      </c>
      <c r="EHZ76" s="343" t="s">
        <v>1300</v>
      </c>
      <c r="EIA76" s="343" t="s">
        <v>252</v>
      </c>
      <c r="EIB76" s="343" t="s">
        <v>1300</v>
      </c>
      <c r="EIC76" s="343" t="s">
        <v>252</v>
      </c>
      <c r="EID76" s="343" t="s">
        <v>1300</v>
      </c>
      <c r="EIE76" s="343" t="s">
        <v>252</v>
      </c>
      <c r="EIF76" s="343" t="s">
        <v>1300</v>
      </c>
      <c r="EIG76" s="343" t="s">
        <v>252</v>
      </c>
      <c r="EIH76" s="343" t="s">
        <v>1300</v>
      </c>
      <c r="EII76" s="343" t="s">
        <v>252</v>
      </c>
      <c r="EIJ76" s="343" t="s">
        <v>1300</v>
      </c>
      <c r="EIK76" s="343" t="s">
        <v>252</v>
      </c>
      <c r="EIL76" s="343" t="s">
        <v>1300</v>
      </c>
      <c r="EIM76" s="343" t="s">
        <v>252</v>
      </c>
      <c r="EIN76" s="343" t="s">
        <v>1300</v>
      </c>
      <c r="EIO76" s="343" t="s">
        <v>252</v>
      </c>
      <c r="EIP76" s="343" t="s">
        <v>1300</v>
      </c>
      <c r="EIQ76" s="343" t="s">
        <v>252</v>
      </c>
      <c r="EIR76" s="343" t="s">
        <v>1300</v>
      </c>
      <c r="EIS76" s="343" t="s">
        <v>252</v>
      </c>
      <c r="EIT76" s="343" t="s">
        <v>1300</v>
      </c>
      <c r="EIU76" s="343" t="s">
        <v>252</v>
      </c>
      <c r="EIV76" s="343" t="s">
        <v>1300</v>
      </c>
      <c r="EIW76" s="343" t="s">
        <v>252</v>
      </c>
      <c r="EIX76" s="343" t="s">
        <v>1300</v>
      </c>
      <c r="EIY76" s="343" t="s">
        <v>252</v>
      </c>
      <c r="EIZ76" s="343" t="s">
        <v>1300</v>
      </c>
      <c r="EJA76" s="343" t="s">
        <v>252</v>
      </c>
      <c r="EJB76" s="343" t="s">
        <v>1300</v>
      </c>
      <c r="EJC76" s="343" t="s">
        <v>252</v>
      </c>
      <c r="EJD76" s="343" t="s">
        <v>1300</v>
      </c>
      <c r="EJE76" s="343" t="s">
        <v>252</v>
      </c>
      <c r="EJF76" s="343" t="s">
        <v>1300</v>
      </c>
      <c r="EJG76" s="343" t="s">
        <v>252</v>
      </c>
      <c r="EJH76" s="343" t="s">
        <v>1300</v>
      </c>
      <c r="EJI76" s="343" t="s">
        <v>252</v>
      </c>
      <c r="EJJ76" s="343" t="s">
        <v>1300</v>
      </c>
      <c r="EJK76" s="343" t="s">
        <v>252</v>
      </c>
      <c r="EJL76" s="343" t="s">
        <v>1300</v>
      </c>
      <c r="EJM76" s="343" t="s">
        <v>252</v>
      </c>
      <c r="EJN76" s="343" t="s">
        <v>1300</v>
      </c>
      <c r="EJO76" s="343" t="s">
        <v>252</v>
      </c>
      <c r="EJP76" s="343" t="s">
        <v>1300</v>
      </c>
      <c r="EJQ76" s="343" t="s">
        <v>252</v>
      </c>
      <c r="EJR76" s="343" t="s">
        <v>1300</v>
      </c>
      <c r="EJS76" s="343" t="s">
        <v>252</v>
      </c>
      <c r="EJT76" s="343" t="s">
        <v>1300</v>
      </c>
      <c r="EJU76" s="343" t="s">
        <v>252</v>
      </c>
      <c r="EJV76" s="343" t="s">
        <v>1300</v>
      </c>
      <c r="EJW76" s="343" t="s">
        <v>252</v>
      </c>
      <c r="EJX76" s="343" t="s">
        <v>1300</v>
      </c>
      <c r="EJY76" s="343" t="s">
        <v>252</v>
      </c>
      <c r="EJZ76" s="343" t="s">
        <v>1300</v>
      </c>
      <c r="EKA76" s="343" t="s">
        <v>252</v>
      </c>
      <c r="EKB76" s="343" t="s">
        <v>1300</v>
      </c>
      <c r="EKC76" s="343" t="s">
        <v>252</v>
      </c>
      <c r="EKD76" s="343" t="s">
        <v>1300</v>
      </c>
      <c r="EKE76" s="343" t="s">
        <v>252</v>
      </c>
      <c r="EKF76" s="343" t="s">
        <v>1300</v>
      </c>
      <c r="EKG76" s="343" t="s">
        <v>252</v>
      </c>
      <c r="EKH76" s="343" t="s">
        <v>1300</v>
      </c>
      <c r="EKI76" s="343" t="s">
        <v>252</v>
      </c>
      <c r="EKJ76" s="343" t="s">
        <v>1300</v>
      </c>
      <c r="EKK76" s="343" t="s">
        <v>252</v>
      </c>
      <c r="EKL76" s="343" t="s">
        <v>1300</v>
      </c>
      <c r="EKM76" s="343" t="s">
        <v>252</v>
      </c>
      <c r="EKN76" s="343" t="s">
        <v>1300</v>
      </c>
      <c r="EKO76" s="343" t="s">
        <v>252</v>
      </c>
      <c r="EKP76" s="343" t="s">
        <v>1300</v>
      </c>
      <c r="EKQ76" s="343" t="s">
        <v>252</v>
      </c>
      <c r="EKR76" s="343" t="s">
        <v>1300</v>
      </c>
      <c r="EKS76" s="343" t="s">
        <v>252</v>
      </c>
      <c r="EKT76" s="343" t="s">
        <v>1300</v>
      </c>
      <c r="EKU76" s="343" t="s">
        <v>252</v>
      </c>
      <c r="EKV76" s="343" t="s">
        <v>1300</v>
      </c>
      <c r="EKW76" s="343" t="s">
        <v>252</v>
      </c>
      <c r="EKX76" s="343" t="s">
        <v>1300</v>
      </c>
      <c r="EKY76" s="343" t="s">
        <v>252</v>
      </c>
      <c r="EKZ76" s="343" t="s">
        <v>1300</v>
      </c>
      <c r="ELA76" s="343" t="s">
        <v>252</v>
      </c>
      <c r="ELB76" s="343" t="s">
        <v>1300</v>
      </c>
      <c r="ELC76" s="343" t="s">
        <v>252</v>
      </c>
      <c r="ELD76" s="343" t="s">
        <v>1300</v>
      </c>
      <c r="ELE76" s="343" t="s">
        <v>252</v>
      </c>
      <c r="ELF76" s="343" t="s">
        <v>1300</v>
      </c>
      <c r="ELG76" s="343" t="s">
        <v>252</v>
      </c>
      <c r="ELH76" s="343" t="s">
        <v>1300</v>
      </c>
      <c r="ELI76" s="343" t="s">
        <v>252</v>
      </c>
      <c r="ELJ76" s="343" t="s">
        <v>1300</v>
      </c>
      <c r="ELK76" s="343" t="s">
        <v>252</v>
      </c>
      <c r="ELL76" s="343" t="s">
        <v>1300</v>
      </c>
      <c r="ELM76" s="343" t="s">
        <v>252</v>
      </c>
      <c r="ELN76" s="343" t="s">
        <v>1300</v>
      </c>
      <c r="ELO76" s="343" t="s">
        <v>252</v>
      </c>
      <c r="ELP76" s="343" t="s">
        <v>1300</v>
      </c>
      <c r="ELQ76" s="343" t="s">
        <v>252</v>
      </c>
      <c r="ELR76" s="343" t="s">
        <v>1300</v>
      </c>
      <c r="ELS76" s="343" t="s">
        <v>252</v>
      </c>
      <c r="ELT76" s="343" t="s">
        <v>1300</v>
      </c>
      <c r="ELU76" s="343" t="s">
        <v>252</v>
      </c>
      <c r="ELV76" s="343" t="s">
        <v>1300</v>
      </c>
      <c r="ELW76" s="343" t="s">
        <v>252</v>
      </c>
      <c r="ELX76" s="343" t="s">
        <v>1300</v>
      </c>
      <c r="ELY76" s="343" t="s">
        <v>252</v>
      </c>
      <c r="ELZ76" s="343" t="s">
        <v>1300</v>
      </c>
      <c r="EMA76" s="343" t="s">
        <v>252</v>
      </c>
      <c r="EMB76" s="343" t="s">
        <v>1300</v>
      </c>
      <c r="EMC76" s="343" t="s">
        <v>252</v>
      </c>
      <c r="EMD76" s="343" t="s">
        <v>1300</v>
      </c>
      <c r="EME76" s="343" t="s">
        <v>252</v>
      </c>
      <c r="EMF76" s="343" t="s">
        <v>1300</v>
      </c>
      <c r="EMG76" s="343" t="s">
        <v>252</v>
      </c>
      <c r="EMH76" s="343" t="s">
        <v>1300</v>
      </c>
      <c r="EMI76" s="343" t="s">
        <v>252</v>
      </c>
      <c r="EMJ76" s="343" t="s">
        <v>1300</v>
      </c>
      <c r="EMK76" s="343" t="s">
        <v>252</v>
      </c>
      <c r="EML76" s="343" t="s">
        <v>1300</v>
      </c>
      <c r="EMM76" s="343" t="s">
        <v>252</v>
      </c>
      <c r="EMN76" s="343" t="s">
        <v>1300</v>
      </c>
      <c r="EMO76" s="343" t="s">
        <v>252</v>
      </c>
      <c r="EMP76" s="343" t="s">
        <v>1300</v>
      </c>
      <c r="EMQ76" s="343" t="s">
        <v>252</v>
      </c>
      <c r="EMR76" s="343" t="s">
        <v>1300</v>
      </c>
      <c r="EMS76" s="343" t="s">
        <v>252</v>
      </c>
      <c r="EMT76" s="343" t="s">
        <v>1300</v>
      </c>
      <c r="EMU76" s="343" t="s">
        <v>252</v>
      </c>
      <c r="EMV76" s="343" t="s">
        <v>1300</v>
      </c>
      <c r="EMW76" s="343" t="s">
        <v>252</v>
      </c>
      <c r="EMX76" s="343" t="s">
        <v>1300</v>
      </c>
      <c r="EMY76" s="343" t="s">
        <v>252</v>
      </c>
      <c r="EMZ76" s="343" t="s">
        <v>1300</v>
      </c>
      <c r="ENA76" s="343" t="s">
        <v>252</v>
      </c>
      <c r="ENB76" s="343" t="s">
        <v>1300</v>
      </c>
      <c r="ENC76" s="343" t="s">
        <v>252</v>
      </c>
      <c r="END76" s="343" t="s">
        <v>1300</v>
      </c>
      <c r="ENE76" s="343" t="s">
        <v>252</v>
      </c>
      <c r="ENF76" s="343" t="s">
        <v>1300</v>
      </c>
      <c r="ENG76" s="343" t="s">
        <v>252</v>
      </c>
      <c r="ENH76" s="343" t="s">
        <v>1300</v>
      </c>
      <c r="ENI76" s="343" t="s">
        <v>252</v>
      </c>
      <c r="ENJ76" s="343" t="s">
        <v>1300</v>
      </c>
      <c r="ENK76" s="343" t="s">
        <v>252</v>
      </c>
      <c r="ENL76" s="343" t="s">
        <v>1300</v>
      </c>
      <c r="ENM76" s="343" t="s">
        <v>252</v>
      </c>
      <c r="ENN76" s="343" t="s">
        <v>1300</v>
      </c>
      <c r="ENO76" s="343" t="s">
        <v>252</v>
      </c>
      <c r="ENP76" s="343" t="s">
        <v>1300</v>
      </c>
      <c r="ENQ76" s="343" t="s">
        <v>252</v>
      </c>
      <c r="ENR76" s="343" t="s">
        <v>1300</v>
      </c>
      <c r="ENS76" s="343" t="s">
        <v>252</v>
      </c>
      <c r="ENT76" s="343" t="s">
        <v>1300</v>
      </c>
      <c r="ENU76" s="343" t="s">
        <v>252</v>
      </c>
      <c r="ENV76" s="343" t="s">
        <v>1300</v>
      </c>
      <c r="ENW76" s="343" t="s">
        <v>252</v>
      </c>
      <c r="ENX76" s="343" t="s">
        <v>1300</v>
      </c>
      <c r="ENY76" s="343" t="s">
        <v>252</v>
      </c>
      <c r="ENZ76" s="343" t="s">
        <v>1300</v>
      </c>
      <c r="EOA76" s="343" t="s">
        <v>252</v>
      </c>
      <c r="EOB76" s="343" t="s">
        <v>1300</v>
      </c>
      <c r="EOC76" s="343" t="s">
        <v>252</v>
      </c>
      <c r="EOD76" s="343" t="s">
        <v>1300</v>
      </c>
      <c r="EOE76" s="343" t="s">
        <v>252</v>
      </c>
      <c r="EOF76" s="343" t="s">
        <v>1300</v>
      </c>
      <c r="EOG76" s="343" t="s">
        <v>252</v>
      </c>
      <c r="EOH76" s="343" t="s">
        <v>1300</v>
      </c>
      <c r="EOI76" s="343" t="s">
        <v>252</v>
      </c>
      <c r="EOJ76" s="343" t="s">
        <v>1300</v>
      </c>
      <c r="EOK76" s="343" t="s">
        <v>252</v>
      </c>
      <c r="EOL76" s="343" t="s">
        <v>1300</v>
      </c>
      <c r="EOM76" s="343" t="s">
        <v>252</v>
      </c>
      <c r="EON76" s="343" t="s">
        <v>1300</v>
      </c>
      <c r="EOO76" s="343" t="s">
        <v>252</v>
      </c>
      <c r="EOP76" s="343" t="s">
        <v>1300</v>
      </c>
      <c r="EOQ76" s="343" t="s">
        <v>252</v>
      </c>
      <c r="EOR76" s="343" t="s">
        <v>1300</v>
      </c>
      <c r="EOS76" s="343" t="s">
        <v>252</v>
      </c>
      <c r="EOT76" s="343" t="s">
        <v>1300</v>
      </c>
      <c r="EOU76" s="343" t="s">
        <v>252</v>
      </c>
      <c r="EOV76" s="343" t="s">
        <v>1300</v>
      </c>
      <c r="EOW76" s="343" t="s">
        <v>252</v>
      </c>
      <c r="EOX76" s="343" t="s">
        <v>1300</v>
      </c>
      <c r="EOY76" s="343" t="s">
        <v>252</v>
      </c>
      <c r="EOZ76" s="343" t="s">
        <v>1300</v>
      </c>
      <c r="EPA76" s="343" t="s">
        <v>252</v>
      </c>
      <c r="EPB76" s="343" t="s">
        <v>1300</v>
      </c>
      <c r="EPC76" s="343" t="s">
        <v>252</v>
      </c>
      <c r="EPD76" s="343" t="s">
        <v>1300</v>
      </c>
      <c r="EPE76" s="343" t="s">
        <v>252</v>
      </c>
      <c r="EPF76" s="343" t="s">
        <v>1300</v>
      </c>
      <c r="EPG76" s="343" t="s">
        <v>252</v>
      </c>
      <c r="EPH76" s="343" t="s">
        <v>1300</v>
      </c>
      <c r="EPI76" s="343" t="s">
        <v>252</v>
      </c>
      <c r="EPJ76" s="343" t="s">
        <v>1300</v>
      </c>
      <c r="EPK76" s="343" t="s">
        <v>252</v>
      </c>
      <c r="EPL76" s="343" t="s">
        <v>1300</v>
      </c>
      <c r="EPM76" s="343" t="s">
        <v>252</v>
      </c>
      <c r="EPN76" s="343" t="s">
        <v>1300</v>
      </c>
      <c r="EPO76" s="343" t="s">
        <v>252</v>
      </c>
      <c r="EPP76" s="343" t="s">
        <v>1300</v>
      </c>
      <c r="EPQ76" s="343" t="s">
        <v>252</v>
      </c>
      <c r="EPR76" s="343" t="s">
        <v>1300</v>
      </c>
      <c r="EPS76" s="343" t="s">
        <v>252</v>
      </c>
      <c r="EPT76" s="343" t="s">
        <v>1300</v>
      </c>
      <c r="EPU76" s="343" t="s">
        <v>252</v>
      </c>
      <c r="EPV76" s="343" t="s">
        <v>1300</v>
      </c>
      <c r="EPW76" s="343" t="s">
        <v>252</v>
      </c>
      <c r="EPX76" s="343" t="s">
        <v>1300</v>
      </c>
      <c r="EPY76" s="343" t="s">
        <v>252</v>
      </c>
      <c r="EPZ76" s="343" t="s">
        <v>1300</v>
      </c>
      <c r="EQA76" s="343" t="s">
        <v>252</v>
      </c>
      <c r="EQB76" s="343" t="s">
        <v>1300</v>
      </c>
      <c r="EQC76" s="343" t="s">
        <v>252</v>
      </c>
      <c r="EQD76" s="343" t="s">
        <v>1300</v>
      </c>
      <c r="EQE76" s="343" t="s">
        <v>252</v>
      </c>
      <c r="EQF76" s="343" t="s">
        <v>1300</v>
      </c>
      <c r="EQG76" s="343" t="s">
        <v>252</v>
      </c>
      <c r="EQH76" s="343" t="s">
        <v>1300</v>
      </c>
      <c r="EQI76" s="343" t="s">
        <v>252</v>
      </c>
      <c r="EQJ76" s="343" t="s">
        <v>1300</v>
      </c>
      <c r="EQK76" s="343" t="s">
        <v>252</v>
      </c>
      <c r="EQL76" s="343" t="s">
        <v>1300</v>
      </c>
      <c r="EQM76" s="343" t="s">
        <v>252</v>
      </c>
      <c r="EQN76" s="343" t="s">
        <v>1300</v>
      </c>
      <c r="EQO76" s="343" t="s">
        <v>252</v>
      </c>
      <c r="EQP76" s="343" t="s">
        <v>1300</v>
      </c>
      <c r="EQQ76" s="343" t="s">
        <v>252</v>
      </c>
      <c r="EQR76" s="343" t="s">
        <v>1300</v>
      </c>
      <c r="EQS76" s="343" t="s">
        <v>252</v>
      </c>
      <c r="EQT76" s="343" t="s">
        <v>1300</v>
      </c>
      <c r="EQU76" s="343" t="s">
        <v>252</v>
      </c>
      <c r="EQV76" s="343" t="s">
        <v>1300</v>
      </c>
      <c r="EQW76" s="343" t="s">
        <v>252</v>
      </c>
      <c r="EQX76" s="343" t="s">
        <v>1300</v>
      </c>
      <c r="EQY76" s="343" t="s">
        <v>252</v>
      </c>
      <c r="EQZ76" s="343" t="s">
        <v>1300</v>
      </c>
      <c r="ERA76" s="343" t="s">
        <v>252</v>
      </c>
      <c r="ERB76" s="343" t="s">
        <v>1300</v>
      </c>
      <c r="ERC76" s="343" t="s">
        <v>252</v>
      </c>
      <c r="ERD76" s="343" t="s">
        <v>1300</v>
      </c>
      <c r="ERE76" s="343" t="s">
        <v>252</v>
      </c>
      <c r="ERF76" s="343" t="s">
        <v>1300</v>
      </c>
      <c r="ERG76" s="343" t="s">
        <v>252</v>
      </c>
      <c r="ERH76" s="343" t="s">
        <v>1300</v>
      </c>
      <c r="ERI76" s="343" t="s">
        <v>252</v>
      </c>
      <c r="ERJ76" s="343" t="s">
        <v>1300</v>
      </c>
      <c r="ERK76" s="343" t="s">
        <v>252</v>
      </c>
      <c r="ERL76" s="343" t="s">
        <v>1300</v>
      </c>
      <c r="ERM76" s="343" t="s">
        <v>252</v>
      </c>
      <c r="ERN76" s="343" t="s">
        <v>1300</v>
      </c>
      <c r="ERO76" s="343" t="s">
        <v>252</v>
      </c>
      <c r="ERP76" s="343" t="s">
        <v>1300</v>
      </c>
      <c r="ERQ76" s="343" t="s">
        <v>252</v>
      </c>
      <c r="ERR76" s="343" t="s">
        <v>1300</v>
      </c>
      <c r="ERS76" s="343" t="s">
        <v>252</v>
      </c>
      <c r="ERT76" s="343" t="s">
        <v>1300</v>
      </c>
      <c r="ERU76" s="343" t="s">
        <v>252</v>
      </c>
      <c r="ERV76" s="343" t="s">
        <v>1300</v>
      </c>
      <c r="ERW76" s="343" t="s">
        <v>252</v>
      </c>
      <c r="ERX76" s="343" t="s">
        <v>1300</v>
      </c>
      <c r="ERY76" s="343" t="s">
        <v>252</v>
      </c>
      <c r="ERZ76" s="343" t="s">
        <v>1300</v>
      </c>
      <c r="ESA76" s="343" t="s">
        <v>252</v>
      </c>
      <c r="ESB76" s="343" t="s">
        <v>1300</v>
      </c>
      <c r="ESC76" s="343" t="s">
        <v>252</v>
      </c>
      <c r="ESD76" s="343" t="s">
        <v>1300</v>
      </c>
      <c r="ESE76" s="343" t="s">
        <v>252</v>
      </c>
      <c r="ESF76" s="343" t="s">
        <v>1300</v>
      </c>
      <c r="ESG76" s="343" t="s">
        <v>252</v>
      </c>
      <c r="ESH76" s="343" t="s">
        <v>1300</v>
      </c>
      <c r="ESI76" s="343" t="s">
        <v>252</v>
      </c>
      <c r="ESJ76" s="343" t="s">
        <v>1300</v>
      </c>
      <c r="ESK76" s="343" t="s">
        <v>252</v>
      </c>
      <c r="ESL76" s="343" t="s">
        <v>1300</v>
      </c>
      <c r="ESM76" s="343" t="s">
        <v>252</v>
      </c>
      <c r="ESN76" s="343" t="s">
        <v>1300</v>
      </c>
      <c r="ESO76" s="343" t="s">
        <v>252</v>
      </c>
      <c r="ESP76" s="343" t="s">
        <v>1300</v>
      </c>
      <c r="ESQ76" s="343" t="s">
        <v>252</v>
      </c>
      <c r="ESR76" s="343" t="s">
        <v>1300</v>
      </c>
      <c r="ESS76" s="343" t="s">
        <v>252</v>
      </c>
      <c r="EST76" s="343" t="s">
        <v>1300</v>
      </c>
      <c r="ESU76" s="343" t="s">
        <v>252</v>
      </c>
      <c r="ESV76" s="343" t="s">
        <v>1300</v>
      </c>
      <c r="ESW76" s="343" t="s">
        <v>252</v>
      </c>
      <c r="ESX76" s="343" t="s">
        <v>1300</v>
      </c>
      <c r="ESY76" s="343" t="s">
        <v>252</v>
      </c>
      <c r="ESZ76" s="343" t="s">
        <v>1300</v>
      </c>
      <c r="ETA76" s="343" t="s">
        <v>252</v>
      </c>
      <c r="ETB76" s="343" t="s">
        <v>1300</v>
      </c>
      <c r="ETC76" s="343" t="s">
        <v>252</v>
      </c>
      <c r="ETD76" s="343" t="s">
        <v>1300</v>
      </c>
      <c r="ETE76" s="343" t="s">
        <v>252</v>
      </c>
      <c r="ETF76" s="343" t="s">
        <v>1300</v>
      </c>
      <c r="ETG76" s="343" t="s">
        <v>252</v>
      </c>
      <c r="ETH76" s="343" t="s">
        <v>1300</v>
      </c>
      <c r="ETI76" s="343" t="s">
        <v>252</v>
      </c>
      <c r="ETJ76" s="343" t="s">
        <v>1300</v>
      </c>
      <c r="ETK76" s="343" t="s">
        <v>252</v>
      </c>
      <c r="ETL76" s="343" t="s">
        <v>1300</v>
      </c>
      <c r="ETM76" s="343" t="s">
        <v>252</v>
      </c>
      <c r="ETN76" s="343" t="s">
        <v>1300</v>
      </c>
      <c r="ETO76" s="343" t="s">
        <v>252</v>
      </c>
      <c r="ETP76" s="343" t="s">
        <v>1300</v>
      </c>
      <c r="ETQ76" s="343" t="s">
        <v>252</v>
      </c>
      <c r="ETR76" s="343" t="s">
        <v>1300</v>
      </c>
      <c r="ETS76" s="343" t="s">
        <v>252</v>
      </c>
      <c r="ETT76" s="343" t="s">
        <v>1300</v>
      </c>
      <c r="ETU76" s="343" t="s">
        <v>252</v>
      </c>
      <c r="ETV76" s="343" t="s">
        <v>1300</v>
      </c>
      <c r="ETW76" s="343" t="s">
        <v>252</v>
      </c>
      <c r="ETX76" s="343" t="s">
        <v>1300</v>
      </c>
      <c r="ETY76" s="343" t="s">
        <v>252</v>
      </c>
      <c r="ETZ76" s="343" t="s">
        <v>1300</v>
      </c>
      <c r="EUA76" s="343" t="s">
        <v>252</v>
      </c>
      <c r="EUB76" s="343" t="s">
        <v>1300</v>
      </c>
      <c r="EUC76" s="343" t="s">
        <v>252</v>
      </c>
      <c r="EUD76" s="343" t="s">
        <v>1300</v>
      </c>
      <c r="EUE76" s="343" t="s">
        <v>252</v>
      </c>
      <c r="EUF76" s="343" t="s">
        <v>1300</v>
      </c>
      <c r="EUG76" s="343" t="s">
        <v>252</v>
      </c>
      <c r="EUH76" s="343" t="s">
        <v>1300</v>
      </c>
      <c r="EUI76" s="343" t="s">
        <v>252</v>
      </c>
      <c r="EUJ76" s="343" t="s">
        <v>1300</v>
      </c>
      <c r="EUK76" s="343" t="s">
        <v>252</v>
      </c>
      <c r="EUL76" s="343" t="s">
        <v>1300</v>
      </c>
      <c r="EUM76" s="343" t="s">
        <v>252</v>
      </c>
      <c r="EUN76" s="343" t="s">
        <v>1300</v>
      </c>
      <c r="EUO76" s="343" t="s">
        <v>252</v>
      </c>
      <c r="EUP76" s="343" t="s">
        <v>1300</v>
      </c>
      <c r="EUQ76" s="343" t="s">
        <v>252</v>
      </c>
      <c r="EUR76" s="343" t="s">
        <v>1300</v>
      </c>
      <c r="EUS76" s="343" t="s">
        <v>252</v>
      </c>
      <c r="EUT76" s="343" t="s">
        <v>1300</v>
      </c>
      <c r="EUU76" s="343" t="s">
        <v>252</v>
      </c>
      <c r="EUV76" s="343" t="s">
        <v>1300</v>
      </c>
      <c r="EUW76" s="343" t="s">
        <v>252</v>
      </c>
      <c r="EUX76" s="343" t="s">
        <v>1300</v>
      </c>
      <c r="EUY76" s="343" t="s">
        <v>252</v>
      </c>
      <c r="EUZ76" s="343" t="s">
        <v>1300</v>
      </c>
      <c r="EVA76" s="343" t="s">
        <v>252</v>
      </c>
      <c r="EVB76" s="343" t="s">
        <v>1300</v>
      </c>
      <c r="EVC76" s="343" t="s">
        <v>252</v>
      </c>
      <c r="EVD76" s="343" t="s">
        <v>1300</v>
      </c>
      <c r="EVE76" s="343" t="s">
        <v>252</v>
      </c>
      <c r="EVF76" s="343" t="s">
        <v>1300</v>
      </c>
      <c r="EVG76" s="343" t="s">
        <v>252</v>
      </c>
      <c r="EVH76" s="343" t="s">
        <v>1300</v>
      </c>
      <c r="EVI76" s="343" t="s">
        <v>252</v>
      </c>
      <c r="EVJ76" s="343" t="s">
        <v>1300</v>
      </c>
      <c r="EVK76" s="343" t="s">
        <v>252</v>
      </c>
      <c r="EVL76" s="343" t="s">
        <v>1300</v>
      </c>
      <c r="EVM76" s="343" t="s">
        <v>252</v>
      </c>
      <c r="EVN76" s="343" t="s">
        <v>1300</v>
      </c>
      <c r="EVO76" s="343" t="s">
        <v>252</v>
      </c>
      <c r="EVP76" s="343" t="s">
        <v>1300</v>
      </c>
      <c r="EVQ76" s="343" t="s">
        <v>252</v>
      </c>
      <c r="EVR76" s="343" t="s">
        <v>1300</v>
      </c>
      <c r="EVS76" s="343" t="s">
        <v>252</v>
      </c>
      <c r="EVT76" s="343" t="s">
        <v>1300</v>
      </c>
      <c r="EVU76" s="343" t="s">
        <v>252</v>
      </c>
      <c r="EVV76" s="343" t="s">
        <v>1300</v>
      </c>
      <c r="EVW76" s="343" t="s">
        <v>252</v>
      </c>
      <c r="EVX76" s="343" t="s">
        <v>1300</v>
      </c>
      <c r="EVY76" s="343" t="s">
        <v>252</v>
      </c>
      <c r="EVZ76" s="343" t="s">
        <v>1300</v>
      </c>
      <c r="EWA76" s="343" t="s">
        <v>252</v>
      </c>
      <c r="EWB76" s="343" t="s">
        <v>1300</v>
      </c>
      <c r="EWC76" s="343" t="s">
        <v>252</v>
      </c>
      <c r="EWD76" s="343" t="s">
        <v>1300</v>
      </c>
      <c r="EWE76" s="343" t="s">
        <v>252</v>
      </c>
      <c r="EWF76" s="343" t="s">
        <v>1300</v>
      </c>
      <c r="EWG76" s="343" t="s">
        <v>252</v>
      </c>
      <c r="EWH76" s="343" t="s">
        <v>1300</v>
      </c>
      <c r="EWI76" s="343" t="s">
        <v>252</v>
      </c>
      <c r="EWJ76" s="343" t="s">
        <v>1300</v>
      </c>
      <c r="EWK76" s="343" t="s">
        <v>252</v>
      </c>
      <c r="EWL76" s="343" t="s">
        <v>1300</v>
      </c>
      <c r="EWM76" s="343" t="s">
        <v>252</v>
      </c>
      <c r="EWN76" s="343" t="s">
        <v>1300</v>
      </c>
      <c r="EWO76" s="343" t="s">
        <v>252</v>
      </c>
      <c r="EWP76" s="343" t="s">
        <v>1300</v>
      </c>
      <c r="EWQ76" s="343" t="s">
        <v>252</v>
      </c>
      <c r="EWR76" s="343" t="s">
        <v>1300</v>
      </c>
      <c r="EWS76" s="343" t="s">
        <v>252</v>
      </c>
      <c r="EWT76" s="343" t="s">
        <v>1300</v>
      </c>
      <c r="EWU76" s="343" t="s">
        <v>252</v>
      </c>
      <c r="EWV76" s="343" t="s">
        <v>1300</v>
      </c>
      <c r="EWW76" s="343" t="s">
        <v>252</v>
      </c>
      <c r="EWX76" s="343" t="s">
        <v>1300</v>
      </c>
      <c r="EWY76" s="343" t="s">
        <v>252</v>
      </c>
      <c r="EWZ76" s="343" t="s">
        <v>1300</v>
      </c>
      <c r="EXA76" s="343" t="s">
        <v>252</v>
      </c>
      <c r="EXB76" s="343" t="s">
        <v>1300</v>
      </c>
      <c r="EXC76" s="343" t="s">
        <v>252</v>
      </c>
      <c r="EXD76" s="343" t="s">
        <v>1300</v>
      </c>
      <c r="EXE76" s="343" t="s">
        <v>252</v>
      </c>
      <c r="EXF76" s="343" t="s">
        <v>1300</v>
      </c>
      <c r="EXG76" s="343" t="s">
        <v>252</v>
      </c>
      <c r="EXH76" s="343" t="s">
        <v>1300</v>
      </c>
      <c r="EXI76" s="343" t="s">
        <v>252</v>
      </c>
      <c r="EXJ76" s="343" t="s">
        <v>1300</v>
      </c>
      <c r="EXK76" s="343" t="s">
        <v>252</v>
      </c>
      <c r="EXL76" s="343" t="s">
        <v>1300</v>
      </c>
      <c r="EXM76" s="343" t="s">
        <v>252</v>
      </c>
      <c r="EXN76" s="343" t="s">
        <v>1300</v>
      </c>
      <c r="EXO76" s="343" t="s">
        <v>252</v>
      </c>
      <c r="EXP76" s="343" t="s">
        <v>1300</v>
      </c>
      <c r="EXQ76" s="343" t="s">
        <v>252</v>
      </c>
      <c r="EXR76" s="343" t="s">
        <v>1300</v>
      </c>
      <c r="EXS76" s="343" t="s">
        <v>252</v>
      </c>
      <c r="EXT76" s="343" t="s">
        <v>1300</v>
      </c>
      <c r="EXU76" s="343" t="s">
        <v>252</v>
      </c>
      <c r="EXV76" s="343" t="s">
        <v>1300</v>
      </c>
      <c r="EXW76" s="343" t="s">
        <v>252</v>
      </c>
      <c r="EXX76" s="343" t="s">
        <v>1300</v>
      </c>
      <c r="EXY76" s="343" t="s">
        <v>252</v>
      </c>
      <c r="EXZ76" s="343" t="s">
        <v>1300</v>
      </c>
      <c r="EYA76" s="343" t="s">
        <v>252</v>
      </c>
      <c r="EYB76" s="343" t="s">
        <v>1300</v>
      </c>
      <c r="EYC76" s="343" t="s">
        <v>252</v>
      </c>
      <c r="EYD76" s="343" t="s">
        <v>1300</v>
      </c>
      <c r="EYE76" s="343" t="s">
        <v>252</v>
      </c>
      <c r="EYF76" s="343" t="s">
        <v>1300</v>
      </c>
      <c r="EYG76" s="343" t="s">
        <v>252</v>
      </c>
      <c r="EYH76" s="343" t="s">
        <v>1300</v>
      </c>
      <c r="EYI76" s="343" t="s">
        <v>252</v>
      </c>
      <c r="EYJ76" s="343" t="s">
        <v>1300</v>
      </c>
      <c r="EYK76" s="343" t="s">
        <v>252</v>
      </c>
      <c r="EYL76" s="343" t="s">
        <v>1300</v>
      </c>
      <c r="EYM76" s="343" t="s">
        <v>252</v>
      </c>
      <c r="EYN76" s="343" t="s">
        <v>1300</v>
      </c>
      <c r="EYO76" s="343" t="s">
        <v>252</v>
      </c>
      <c r="EYP76" s="343" t="s">
        <v>1300</v>
      </c>
      <c r="EYQ76" s="343" t="s">
        <v>252</v>
      </c>
      <c r="EYR76" s="343" t="s">
        <v>1300</v>
      </c>
      <c r="EYS76" s="343" t="s">
        <v>252</v>
      </c>
      <c r="EYT76" s="343" t="s">
        <v>1300</v>
      </c>
      <c r="EYU76" s="343" t="s">
        <v>252</v>
      </c>
      <c r="EYV76" s="343" t="s">
        <v>1300</v>
      </c>
      <c r="EYW76" s="343" t="s">
        <v>252</v>
      </c>
      <c r="EYX76" s="343" t="s">
        <v>1300</v>
      </c>
      <c r="EYY76" s="343" t="s">
        <v>252</v>
      </c>
      <c r="EYZ76" s="343" t="s">
        <v>1300</v>
      </c>
      <c r="EZA76" s="343" t="s">
        <v>252</v>
      </c>
      <c r="EZB76" s="343" t="s">
        <v>1300</v>
      </c>
      <c r="EZC76" s="343" t="s">
        <v>252</v>
      </c>
      <c r="EZD76" s="343" t="s">
        <v>1300</v>
      </c>
      <c r="EZE76" s="343" t="s">
        <v>252</v>
      </c>
      <c r="EZF76" s="343" t="s">
        <v>1300</v>
      </c>
      <c r="EZG76" s="343" t="s">
        <v>252</v>
      </c>
      <c r="EZH76" s="343" t="s">
        <v>1300</v>
      </c>
      <c r="EZI76" s="343" t="s">
        <v>252</v>
      </c>
      <c r="EZJ76" s="343" t="s">
        <v>1300</v>
      </c>
      <c r="EZK76" s="343" t="s">
        <v>252</v>
      </c>
      <c r="EZL76" s="343" t="s">
        <v>1300</v>
      </c>
      <c r="EZM76" s="343" t="s">
        <v>252</v>
      </c>
      <c r="EZN76" s="343" t="s">
        <v>1300</v>
      </c>
      <c r="EZO76" s="343" t="s">
        <v>252</v>
      </c>
      <c r="EZP76" s="343" t="s">
        <v>1300</v>
      </c>
      <c r="EZQ76" s="343" t="s">
        <v>252</v>
      </c>
      <c r="EZR76" s="343" t="s">
        <v>1300</v>
      </c>
      <c r="EZS76" s="343" t="s">
        <v>252</v>
      </c>
      <c r="EZT76" s="343" t="s">
        <v>1300</v>
      </c>
      <c r="EZU76" s="343" t="s">
        <v>252</v>
      </c>
      <c r="EZV76" s="343" t="s">
        <v>1300</v>
      </c>
      <c r="EZW76" s="343" t="s">
        <v>252</v>
      </c>
      <c r="EZX76" s="343" t="s">
        <v>1300</v>
      </c>
      <c r="EZY76" s="343" t="s">
        <v>252</v>
      </c>
      <c r="EZZ76" s="343" t="s">
        <v>1300</v>
      </c>
      <c r="FAA76" s="343" t="s">
        <v>252</v>
      </c>
      <c r="FAB76" s="343" t="s">
        <v>1300</v>
      </c>
      <c r="FAC76" s="343" t="s">
        <v>252</v>
      </c>
      <c r="FAD76" s="343" t="s">
        <v>1300</v>
      </c>
      <c r="FAE76" s="343" t="s">
        <v>252</v>
      </c>
      <c r="FAF76" s="343" t="s">
        <v>1300</v>
      </c>
      <c r="FAG76" s="343" t="s">
        <v>252</v>
      </c>
      <c r="FAH76" s="343" t="s">
        <v>1300</v>
      </c>
      <c r="FAI76" s="343" t="s">
        <v>252</v>
      </c>
      <c r="FAJ76" s="343" t="s">
        <v>1300</v>
      </c>
      <c r="FAK76" s="343" t="s">
        <v>252</v>
      </c>
      <c r="FAL76" s="343" t="s">
        <v>1300</v>
      </c>
      <c r="FAM76" s="343" t="s">
        <v>252</v>
      </c>
      <c r="FAN76" s="343" t="s">
        <v>1300</v>
      </c>
      <c r="FAO76" s="343" t="s">
        <v>252</v>
      </c>
      <c r="FAP76" s="343" t="s">
        <v>1300</v>
      </c>
      <c r="FAQ76" s="343" t="s">
        <v>252</v>
      </c>
      <c r="FAR76" s="343" t="s">
        <v>1300</v>
      </c>
      <c r="FAS76" s="343" t="s">
        <v>252</v>
      </c>
      <c r="FAT76" s="343" t="s">
        <v>1300</v>
      </c>
      <c r="FAU76" s="343" t="s">
        <v>252</v>
      </c>
      <c r="FAV76" s="343" t="s">
        <v>1300</v>
      </c>
      <c r="FAW76" s="343" t="s">
        <v>252</v>
      </c>
      <c r="FAX76" s="343" t="s">
        <v>1300</v>
      </c>
      <c r="FAY76" s="343" t="s">
        <v>252</v>
      </c>
      <c r="FAZ76" s="343" t="s">
        <v>1300</v>
      </c>
      <c r="FBA76" s="343" t="s">
        <v>252</v>
      </c>
      <c r="FBB76" s="343" t="s">
        <v>1300</v>
      </c>
      <c r="FBC76" s="343" t="s">
        <v>252</v>
      </c>
      <c r="FBD76" s="343" t="s">
        <v>1300</v>
      </c>
      <c r="FBE76" s="343" t="s">
        <v>252</v>
      </c>
      <c r="FBF76" s="343" t="s">
        <v>1300</v>
      </c>
      <c r="FBG76" s="343" t="s">
        <v>252</v>
      </c>
      <c r="FBH76" s="343" t="s">
        <v>1300</v>
      </c>
      <c r="FBI76" s="343" t="s">
        <v>252</v>
      </c>
      <c r="FBJ76" s="343" t="s">
        <v>1300</v>
      </c>
      <c r="FBK76" s="343" t="s">
        <v>252</v>
      </c>
      <c r="FBL76" s="343" t="s">
        <v>1300</v>
      </c>
      <c r="FBM76" s="343" t="s">
        <v>252</v>
      </c>
      <c r="FBN76" s="343" t="s">
        <v>1300</v>
      </c>
      <c r="FBO76" s="343" t="s">
        <v>252</v>
      </c>
      <c r="FBP76" s="343" t="s">
        <v>1300</v>
      </c>
      <c r="FBQ76" s="343" t="s">
        <v>252</v>
      </c>
      <c r="FBR76" s="343" t="s">
        <v>1300</v>
      </c>
      <c r="FBS76" s="343" t="s">
        <v>252</v>
      </c>
      <c r="FBT76" s="343" t="s">
        <v>1300</v>
      </c>
      <c r="FBU76" s="343" t="s">
        <v>252</v>
      </c>
      <c r="FBV76" s="343" t="s">
        <v>1300</v>
      </c>
      <c r="FBW76" s="343" t="s">
        <v>252</v>
      </c>
      <c r="FBX76" s="343" t="s">
        <v>1300</v>
      </c>
      <c r="FBY76" s="343" t="s">
        <v>252</v>
      </c>
      <c r="FBZ76" s="343" t="s">
        <v>1300</v>
      </c>
      <c r="FCA76" s="343" t="s">
        <v>252</v>
      </c>
      <c r="FCB76" s="343" t="s">
        <v>1300</v>
      </c>
      <c r="FCC76" s="343" t="s">
        <v>252</v>
      </c>
      <c r="FCD76" s="343" t="s">
        <v>1300</v>
      </c>
      <c r="FCE76" s="343" t="s">
        <v>252</v>
      </c>
      <c r="FCF76" s="343" t="s">
        <v>1300</v>
      </c>
      <c r="FCG76" s="343" t="s">
        <v>252</v>
      </c>
      <c r="FCH76" s="343" t="s">
        <v>1300</v>
      </c>
      <c r="FCI76" s="343" t="s">
        <v>252</v>
      </c>
      <c r="FCJ76" s="343" t="s">
        <v>1300</v>
      </c>
      <c r="FCK76" s="343" t="s">
        <v>252</v>
      </c>
      <c r="FCL76" s="343" t="s">
        <v>1300</v>
      </c>
      <c r="FCM76" s="343" t="s">
        <v>252</v>
      </c>
      <c r="FCN76" s="343" t="s">
        <v>1300</v>
      </c>
      <c r="FCO76" s="343" t="s">
        <v>252</v>
      </c>
      <c r="FCP76" s="343" t="s">
        <v>1300</v>
      </c>
      <c r="FCQ76" s="343" t="s">
        <v>252</v>
      </c>
      <c r="FCR76" s="343" t="s">
        <v>1300</v>
      </c>
      <c r="FCS76" s="343" t="s">
        <v>252</v>
      </c>
      <c r="FCT76" s="343" t="s">
        <v>1300</v>
      </c>
      <c r="FCU76" s="343" t="s">
        <v>252</v>
      </c>
      <c r="FCV76" s="343" t="s">
        <v>1300</v>
      </c>
      <c r="FCW76" s="343" t="s">
        <v>252</v>
      </c>
      <c r="FCX76" s="343" t="s">
        <v>1300</v>
      </c>
      <c r="FCY76" s="343" t="s">
        <v>252</v>
      </c>
      <c r="FCZ76" s="343" t="s">
        <v>1300</v>
      </c>
      <c r="FDA76" s="343" t="s">
        <v>252</v>
      </c>
      <c r="FDB76" s="343" t="s">
        <v>1300</v>
      </c>
      <c r="FDC76" s="343" t="s">
        <v>252</v>
      </c>
      <c r="FDD76" s="343" t="s">
        <v>1300</v>
      </c>
      <c r="FDE76" s="343" t="s">
        <v>252</v>
      </c>
      <c r="FDF76" s="343" t="s">
        <v>1300</v>
      </c>
      <c r="FDG76" s="343" t="s">
        <v>252</v>
      </c>
      <c r="FDH76" s="343" t="s">
        <v>1300</v>
      </c>
      <c r="FDI76" s="343" t="s">
        <v>252</v>
      </c>
      <c r="FDJ76" s="343" t="s">
        <v>1300</v>
      </c>
      <c r="FDK76" s="343" t="s">
        <v>252</v>
      </c>
      <c r="FDL76" s="343" t="s">
        <v>1300</v>
      </c>
      <c r="FDM76" s="343" t="s">
        <v>252</v>
      </c>
      <c r="FDN76" s="343" t="s">
        <v>1300</v>
      </c>
      <c r="FDO76" s="343" t="s">
        <v>252</v>
      </c>
      <c r="FDP76" s="343" t="s">
        <v>1300</v>
      </c>
      <c r="FDQ76" s="343" t="s">
        <v>252</v>
      </c>
      <c r="FDR76" s="343" t="s">
        <v>1300</v>
      </c>
      <c r="FDS76" s="343" t="s">
        <v>252</v>
      </c>
      <c r="FDT76" s="343" t="s">
        <v>1300</v>
      </c>
      <c r="FDU76" s="343" t="s">
        <v>252</v>
      </c>
      <c r="FDV76" s="343" t="s">
        <v>1300</v>
      </c>
      <c r="FDW76" s="343" t="s">
        <v>252</v>
      </c>
      <c r="FDX76" s="343" t="s">
        <v>1300</v>
      </c>
      <c r="FDY76" s="343" t="s">
        <v>252</v>
      </c>
      <c r="FDZ76" s="343" t="s">
        <v>1300</v>
      </c>
      <c r="FEA76" s="343" t="s">
        <v>252</v>
      </c>
      <c r="FEB76" s="343" t="s">
        <v>1300</v>
      </c>
      <c r="FEC76" s="343" t="s">
        <v>252</v>
      </c>
      <c r="FED76" s="343" t="s">
        <v>1300</v>
      </c>
      <c r="FEE76" s="343" t="s">
        <v>252</v>
      </c>
      <c r="FEF76" s="343" t="s">
        <v>1300</v>
      </c>
      <c r="FEG76" s="343" t="s">
        <v>252</v>
      </c>
      <c r="FEH76" s="343" t="s">
        <v>1300</v>
      </c>
      <c r="FEI76" s="343" t="s">
        <v>252</v>
      </c>
      <c r="FEJ76" s="343" t="s">
        <v>1300</v>
      </c>
      <c r="FEK76" s="343" t="s">
        <v>252</v>
      </c>
      <c r="FEL76" s="343" t="s">
        <v>1300</v>
      </c>
      <c r="FEM76" s="343" t="s">
        <v>252</v>
      </c>
      <c r="FEN76" s="343" t="s">
        <v>1300</v>
      </c>
      <c r="FEO76" s="343" t="s">
        <v>252</v>
      </c>
      <c r="FEP76" s="343" t="s">
        <v>1300</v>
      </c>
      <c r="FEQ76" s="343" t="s">
        <v>252</v>
      </c>
      <c r="FER76" s="343" t="s">
        <v>1300</v>
      </c>
      <c r="FES76" s="343" t="s">
        <v>252</v>
      </c>
      <c r="FET76" s="343" t="s">
        <v>1300</v>
      </c>
      <c r="FEU76" s="343" t="s">
        <v>252</v>
      </c>
      <c r="FEV76" s="343" t="s">
        <v>1300</v>
      </c>
      <c r="FEW76" s="343" t="s">
        <v>252</v>
      </c>
      <c r="FEX76" s="343" t="s">
        <v>1300</v>
      </c>
      <c r="FEY76" s="343" t="s">
        <v>252</v>
      </c>
      <c r="FEZ76" s="343" t="s">
        <v>1300</v>
      </c>
      <c r="FFA76" s="343" t="s">
        <v>252</v>
      </c>
      <c r="FFB76" s="343" t="s">
        <v>1300</v>
      </c>
      <c r="FFC76" s="343" t="s">
        <v>252</v>
      </c>
      <c r="FFD76" s="343" t="s">
        <v>1300</v>
      </c>
      <c r="FFE76" s="343" t="s">
        <v>252</v>
      </c>
      <c r="FFF76" s="343" t="s">
        <v>1300</v>
      </c>
      <c r="FFG76" s="343" t="s">
        <v>252</v>
      </c>
      <c r="FFH76" s="343" t="s">
        <v>1300</v>
      </c>
      <c r="FFI76" s="343" t="s">
        <v>252</v>
      </c>
      <c r="FFJ76" s="343" t="s">
        <v>1300</v>
      </c>
      <c r="FFK76" s="343" t="s">
        <v>252</v>
      </c>
      <c r="FFL76" s="343" t="s">
        <v>1300</v>
      </c>
      <c r="FFM76" s="343" t="s">
        <v>252</v>
      </c>
      <c r="FFN76" s="343" t="s">
        <v>1300</v>
      </c>
      <c r="FFO76" s="343" t="s">
        <v>252</v>
      </c>
      <c r="FFP76" s="343" t="s">
        <v>1300</v>
      </c>
      <c r="FFQ76" s="343" t="s">
        <v>252</v>
      </c>
      <c r="FFR76" s="343" t="s">
        <v>1300</v>
      </c>
      <c r="FFS76" s="343" t="s">
        <v>252</v>
      </c>
      <c r="FFT76" s="343" t="s">
        <v>1300</v>
      </c>
      <c r="FFU76" s="343" t="s">
        <v>252</v>
      </c>
      <c r="FFV76" s="343" t="s">
        <v>1300</v>
      </c>
      <c r="FFW76" s="343" t="s">
        <v>252</v>
      </c>
      <c r="FFX76" s="343" t="s">
        <v>1300</v>
      </c>
      <c r="FFY76" s="343" t="s">
        <v>252</v>
      </c>
      <c r="FFZ76" s="343" t="s">
        <v>1300</v>
      </c>
      <c r="FGA76" s="343" t="s">
        <v>252</v>
      </c>
      <c r="FGB76" s="343" t="s">
        <v>1300</v>
      </c>
      <c r="FGC76" s="343" t="s">
        <v>252</v>
      </c>
      <c r="FGD76" s="343" t="s">
        <v>1300</v>
      </c>
      <c r="FGE76" s="343" t="s">
        <v>252</v>
      </c>
      <c r="FGF76" s="343" t="s">
        <v>1300</v>
      </c>
      <c r="FGG76" s="343" t="s">
        <v>252</v>
      </c>
      <c r="FGH76" s="343" t="s">
        <v>1300</v>
      </c>
      <c r="FGI76" s="343" t="s">
        <v>252</v>
      </c>
      <c r="FGJ76" s="343" t="s">
        <v>1300</v>
      </c>
      <c r="FGK76" s="343" t="s">
        <v>252</v>
      </c>
      <c r="FGL76" s="343" t="s">
        <v>1300</v>
      </c>
      <c r="FGM76" s="343" t="s">
        <v>252</v>
      </c>
      <c r="FGN76" s="343" t="s">
        <v>1300</v>
      </c>
      <c r="FGO76" s="343" t="s">
        <v>252</v>
      </c>
      <c r="FGP76" s="343" t="s">
        <v>1300</v>
      </c>
      <c r="FGQ76" s="343" t="s">
        <v>252</v>
      </c>
      <c r="FGR76" s="343" t="s">
        <v>1300</v>
      </c>
      <c r="FGS76" s="343" t="s">
        <v>252</v>
      </c>
      <c r="FGT76" s="343" t="s">
        <v>1300</v>
      </c>
      <c r="FGU76" s="343" t="s">
        <v>252</v>
      </c>
      <c r="FGV76" s="343" t="s">
        <v>1300</v>
      </c>
      <c r="FGW76" s="343" t="s">
        <v>252</v>
      </c>
      <c r="FGX76" s="343" t="s">
        <v>1300</v>
      </c>
      <c r="FGY76" s="343" t="s">
        <v>252</v>
      </c>
      <c r="FGZ76" s="343" t="s">
        <v>1300</v>
      </c>
      <c r="FHA76" s="343" t="s">
        <v>252</v>
      </c>
      <c r="FHB76" s="343" t="s">
        <v>1300</v>
      </c>
      <c r="FHC76" s="343" t="s">
        <v>252</v>
      </c>
      <c r="FHD76" s="343" t="s">
        <v>1300</v>
      </c>
      <c r="FHE76" s="343" t="s">
        <v>252</v>
      </c>
      <c r="FHF76" s="343" t="s">
        <v>1300</v>
      </c>
      <c r="FHG76" s="343" t="s">
        <v>252</v>
      </c>
      <c r="FHH76" s="343" t="s">
        <v>1300</v>
      </c>
      <c r="FHI76" s="343" t="s">
        <v>252</v>
      </c>
      <c r="FHJ76" s="343" t="s">
        <v>1300</v>
      </c>
      <c r="FHK76" s="343" t="s">
        <v>252</v>
      </c>
      <c r="FHL76" s="343" t="s">
        <v>1300</v>
      </c>
      <c r="FHM76" s="343" t="s">
        <v>252</v>
      </c>
      <c r="FHN76" s="343" t="s">
        <v>1300</v>
      </c>
      <c r="FHO76" s="343" t="s">
        <v>252</v>
      </c>
      <c r="FHP76" s="343" t="s">
        <v>1300</v>
      </c>
      <c r="FHQ76" s="343" t="s">
        <v>252</v>
      </c>
      <c r="FHR76" s="343" t="s">
        <v>1300</v>
      </c>
      <c r="FHS76" s="343" t="s">
        <v>252</v>
      </c>
      <c r="FHT76" s="343" t="s">
        <v>1300</v>
      </c>
      <c r="FHU76" s="343" t="s">
        <v>252</v>
      </c>
      <c r="FHV76" s="343" t="s">
        <v>1300</v>
      </c>
      <c r="FHW76" s="343" t="s">
        <v>252</v>
      </c>
      <c r="FHX76" s="343" t="s">
        <v>1300</v>
      </c>
      <c r="FHY76" s="343" t="s">
        <v>252</v>
      </c>
      <c r="FHZ76" s="343" t="s">
        <v>1300</v>
      </c>
      <c r="FIA76" s="343" t="s">
        <v>252</v>
      </c>
      <c r="FIB76" s="343" t="s">
        <v>1300</v>
      </c>
      <c r="FIC76" s="343" t="s">
        <v>252</v>
      </c>
      <c r="FID76" s="343" t="s">
        <v>1300</v>
      </c>
      <c r="FIE76" s="343" t="s">
        <v>252</v>
      </c>
      <c r="FIF76" s="343" t="s">
        <v>1300</v>
      </c>
      <c r="FIG76" s="343" t="s">
        <v>252</v>
      </c>
      <c r="FIH76" s="343" t="s">
        <v>1300</v>
      </c>
      <c r="FII76" s="343" t="s">
        <v>252</v>
      </c>
      <c r="FIJ76" s="343" t="s">
        <v>1300</v>
      </c>
      <c r="FIK76" s="343" t="s">
        <v>252</v>
      </c>
      <c r="FIL76" s="343" t="s">
        <v>1300</v>
      </c>
      <c r="FIM76" s="343" t="s">
        <v>252</v>
      </c>
      <c r="FIN76" s="343" t="s">
        <v>1300</v>
      </c>
      <c r="FIO76" s="343" t="s">
        <v>252</v>
      </c>
      <c r="FIP76" s="343" t="s">
        <v>1300</v>
      </c>
      <c r="FIQ76" s="343" t="s">
        <v>252</v>
      </c>
      <c r="FIR76" s="343" t="s">
        <v>1300</v>
      </c>
      <c r="FIS76" s="343" t="s">
        <v>252</v>
      </c>
      <c r="FIT76" s="343" t="s">
        <v>1300</v>
      </c>
      <c r="FIU76" s="343" t="s">
        <v>252</v>
      </c>
      <c r="FIV76" s="343" t="s">
        <v>1300</v>
      </c>
      <c r="FIW76" s="343" t="s">
        <v>252</v>
      </c>
      <c r="FIX76" s="343" t="s">
        <v>1300</v>
      </c>
      <c r="FIY76" s="343" t="s">
        <v>252</v>
      </c>
      <c r="FIZ76" s="343" t="s">
        <v>1300</v>
      </c>
      <c r="FJA76" s="343" t="s">
        <v>252</v>
      </c>
      <c r="FJB76" s="343" t="s">
        <v>1300</v>
      </c>
      <c r="FJC76" s="343" t="s">
        <v>252</v>
      </c>
      <c r="FJD76" s="343" t="s">
        <v>1300</v>
      </c>
      <c r="FJE76" s="343" t="s">
        <v>252</v>
      </c>
      <c r="FJF76" s="343" t="s">
        <v>1300</v>
      </c>
      <c r="FJG76" s="343" t="s">
        <v>252</v>
      </c>
      <c r="FJH76" s="343" t="s">
        <v>1300</v>
      </c>
      <c r="FJI76" s="343" t="s">
        <v>252</v>
      </c>
      <c r="FJJ76" s="343" t="s">
        <v>1300</v>
      </c>
      <c r="FJK76" s="343" t="s">
        <v>252</v>
      </c>
      <c r="FJL76" s="343" t="s">
        <v>1300</v>
      </c>
      <c r="FJM76" s="343" t="s">
        <v>252</v>
      </c>
      <c r="FJN76" s="343" t="s">
        <v>1300</v>
      </c>
      <c r="FJO76" s="343" t="s">
        <v>252</v>
      </c>
      <c r="FJP76" s="343" t="s">
        <v>1300</v>
      </c>
      <c r="FJQ76" s="343" t="s">
        <v>252</v>
      </c>
      <c r="FJR76" s="343" t="s">
        <v>1300</v>
      </c>
      <c r="FJS76" s="343" t="s">
        <v>252</v>
      </c>
      <c r="FJT76" s="343" t="s">
        <v>1300</v>
      </c>
      <c r="FJU76" s="343" t="s">
        <v>252</v>
      </c>
      <c r="FJV76" s="343" t="s">
        <v>1300</v>
      </c>
      <c r="FJW76" s="343" t="s">
        <v>252</v>
      </c>
      <c r="FJX76" s="343" t="s">
        <v>1300</v>
      </c>
      <c r="FJY76" s="343" t="s">
        <v>252</v>
      </c>
      <c r="FJZ76" s="343" t="s">
        <v>1300</v>
      </c>
      <c r="FKA76" s="343" t="s">
        <v>252</v>
      </c>
      <c r="FKB76" s="343" t="s">
        <v>1300</v>
      </c>
      <c r="FKC76" s="343" t="s">
        <v>252</v>
      </c>
      <c r="FKD76" s="343" t="s">
        <v>1300</v>
      </c>
      <c r="FKE76" s="343" t="s">
        <v>252</v>
      </c>
      <c r="FKF76" s="343" t="s">
        <v>1300</v>
      </c>
      <c r="FKG76" s="343" t="s">
        <v>252</v>
      </c>
      <c r="FKH76" s="343" t="s">
        <v>1300</v>
      </c>
      <c r="FKI76" s="343" t="s">
        <v>252</v>
      </c>
      <c r="FKJ76" s="343" t="s">
        <v>1300</v>
      </c>
      <c r="FKK76" s="343" t="s">
        <v>252</v>
      </c>
      <c r="FKL76" s="343" t="s">
        <v>1300</v>
      </c>
      <c r="FKM76" s="343" t="s">
        <v>252</v>
      </c>
      <c r="FKN76" s="343" t="s">
        <v>1300</v>
      </c>
      <c r="FKO76" s="343" t="s">
        <v>252</v>
      </c>
      <c r="FKP76" s="343" t="s">
        <v>1300</v>
      </c>
      <c r="FKQ76" s="343" t="s">
        <v>252</v>
      </c>
      <c r="FKR76" s="343" t="s">
        <v>1300</v>
      </c>
      <c r="FKS76" s="343" t="s">
        <v>252</v>
      </c>
      <c r="FKT76" s="343" t="s">
        <v>1300</v>
      </c>
      <c r="FKU76" s="343" t="s">
        <v>252</v>
      </c>
      <c r="FKV76" s="343" t="s">
        <v>1300</v>
      </c>
      <c r="FKW76" s="343" t="s">
        <v>252</v>
      </c>
      <c r="FKX76" s="343" t="s">
        <v>1300</v>
      </c>
      <c r="FKY76" s="343" t="s">
        <v>252</v>
      </c>
      <c r="FKZ76" s="343" t="s">
        <v>1300</v>
      </c>
      <c r="FLA76" s="343" t="s">
        <v>252</v>
      </c>
      <c r="FLB76" s="343" t="s">
        <v>1300</v>
      </c>
      <c r="FLC76" s="343" t="s">
        <v>252</v>
      </c>
      <c r="FLD76" s="343" t="s">
        <v>1300</v>
      </c>
      <c r="FLE76" s="343" t="s">
        <v>252</v>
      </c>
      <c r="FLF76" s="343" t="s">
        <v>1300</v>
      </c>
      <c r="FLG76" s="343" t="s">
        <v>252</v>
      </c>
      <c r="FLH76" s="343" t="s">
        <v>1300</v>
      </c>
      <c r="FLI76" s="343" t="s">
        <v>252</v>
      </c>
      <c r="FLJ76" s="343" t="s">
        <v>1300</v>
      </c>
      <c r="FLK76" s="343" t="s">
        <v>252</v>
      </c>
      <c r="FLL76" s="343" t="s">
        <v>1300</v>
      </c>
      <c r="FLM76" s="343" t="s">
        <v>252</v>
      </c>
      <c r="FLN76" s="343" t="s">
        <v>1300</v>
      </c>
      <c r="FLO76" s="343" t="s">
        <v>252</v>
      </c>
      <c r="FLP76" s="343" t="s">
        <v>1300</v>
      </c>
      <c r="FLQ76" s="343" t="s">
        <v>252</v>
      </c>
      <c r="FLR76" s="343" t="s">
        <v>1300</v>
      </c>
      <c r="FLS76" s="343" t="s">
        <v>252</v>
      </c>
      <c r="FLT76" s="343" t="s">
        <v>1300</v>
      </c>
      <c r="FLU76" s="343" t="s">
        <v>252</v>
      </c>
      <c r="FLV76" s="343" t="s">
        <v>1300</v>
      </c>
      <c r="FLW76" s="343" t="s">
        <v>252</v>
      </c>
      <c r="FLX76" s="343" t="s">
        <v>1300</v>
      </c>
      <c r="FLY76" s="343" t="s">
        <v>252</v>
      </c>
      <c r="FLZ76" s="343" t="s">
        <v>1300</v>
      </c>
      <c r="FMA76" s="343" t="s">
        <v>252</v>
      </c>
      <c r="FMB76" s="343" t="s">
        <v>1300</v>
      </c>
      <c r="FMC76" s="343" t="s">
        <v>252</v>
      </c>
      <c r="FMD76" s="343" t="s">
        <v>1300</v>
      </c>
      <c r="FME76" s="343" t="s">
        <v>252</v>
      </c>
      <c r="FMF76" s="343" t="s">
        <v>1300</v>
      </c>
      <c r="FMG76" s="343" t="s">
        <v>252</v>
      </c>
      <c r="FMH76" s="343" t="s">
        <v>1300</v>
      </c>
      <c r="FMI76" s="343" t="s">
        <v>252</v>
      </c>
      <c r="FMJ76" s="343" t="s">
        <v>1300</v>
      </c>
      <c r="FMK76" s="343" t="s">
        <v>252</v>
      </c>
      <c r="FML76" s="343" t="s">
        <v>1300</v>
      </c>
      <c r="FMM76" s="343" t="s">
        <v>252</v>
      </c>
      <c r="FMN76" s="343" t="s">
        <v>1300</v>
      </c>
      <c r="FMO76" s="343" t="s">
        <v>252</v>
      </c>
      <c r="FMP76" s="343" t="s">
        <v>1300</v>
      </c>
      <c r="FMQ76" s="343" t="s">
        <v>252</v>
      </c>
      <c r="FMR76" s="343" t="s">
        <v>1300</v>
      </c>
      <c r="FMS76" s="343" t="s">
        <v>252</v>
      </c>
      <c r="FMT76" s="343" t="s">
        <v>1300</v>
      </c>
      <c r="FMU76" s="343" t="s">
        <v>252</v>
      </c>
      <c r="FMV76" s="343" t="s">
        <v>1300</v>
      </c>
      <c r="FMW76" s="343" t="s">
        <v>252</v>
      </c>
      <c r="FMX76" s="343" t="s">
        <v>1300</v>
      </c>
      <c r="FMY76" s="343" t="s">
        <v>252</v>
      </c>
      <c r="FMZ76" s="343" t="s">
        <v>1300</v>
      </c>
      <c r="FNA76" s="343" t="s">
        <v>252</v>
      </c>
      <c r="FNB76" s="343" t="s">
        <v>1300</v>
      </c>
      <c r="FNC76" s="343" t="s">
        <v>252</v>
      </c>
      <c r="FND76" s="343" t="s">
        <v>1300</v>
      </c>
      <c r="FNE76" s="343" t="s">
        <v>252</v>
      </c>
      <c r="FNF76" s="343" t="s">
        <v>1300</v>
      </c>
      <c r="FNG76" s="343" t="s">
        <v>252</v>
      </c>
      <c r="FNH76" s="343" t="s">
        <v>1300</v>
      </c>
      <c r="FNI76" s="343" t="s">
        <v>252</v>
      </c>
      <c r="FNJ76" s="343" t="s">
        <v>1300</v>
      </c>
      <c r="FNK76" s="343" t="s">
        <v>252</v>
      </c>
      <c r="FNL76" s="343" t="s">
        <v>1300</v>
      </c>
      <c r="FNM76" s="343" t="s">
        <v>252</v>
      </c>
      <c r="FNN76" s="343" t="s">
        <v>1300</v>
      </c>
      <c r="FNO76" s="343" t="s">
        <v>252</v>
      </c>
      <c r="FNP76" s="343" t="s">
        <v>1300</v>
      </c>
      <c r="FNQ76" s="343" t="s">
        <v>252</v>
      </c>
      <c r="FNR76" s="343" t="s">
        <v>1300</v>
      </c>
      <c r="FNS76" s="343" t="s">
        <v>252</v>
      </c>
      <c r="FNT76" s="343" t="s">
        <v>1300</v>
      </c>
      <c r="FNU76" s="343" t="s">
        <v>252</v>
      </c>
      <c r="FNV76" s="343" t="s">
        <v>1300</v>
      </c>
      <c r="FNW76" s="343" t="s">
        <v>252</v>
      </c>
      <c r="FNX76" s="343" t="s">
        <v>1300</v>
      </c>
      <c r="FNY76" s="343" t="s">
        <v>252</v>
      </c>
      <c r="FNZ76" s="343" t="s">
        <v>1300</v>
      </c>
      <c r="FOA76" s="343" t="s">
        <v>252</v>
      </c>
      <c r="FOB76" s="343" t="s">
        <v>1300</v>
      </c>
      <c r="FOC76" s="343" t="s">
        <v>252</v>
      </c>
      <c r="FOD76" s="343" t="s">
        <v>1300</v>
      </c>
      <c r="FOE76" s="343" t="s">
        <v>252</v>
      </c>
      <c r="FOF76" s="343" t="s">
        <v>1300</v>
      </c>
      <c r="FOG76" s="343" t="s">
        <v>252</v>
      </c>
      <c r="FOH76" s="343" t="s">
        <v>1300</v>
      </c>
      <c r="FOI76" s="343" t="s">
        <v>252</v>
      </c>
      <c r="FOJ76" s="343" t="s">
        <v>1300</v>
      </c>
      <c r="FOK76" s="343" t="s">
        <v>252</v>
      </c>
      <c r="FOL76" s="343" t="s">
        <v>1300</v>
      </c>
      <c r="FOM76" s="343" t="s">
        <v>252</v>
      </c>
      <c r="FON76" s="343" t="s">
        <v>1300</v>
      </c>
      <c r="FOO76" s="343" t="s">
        <v>252</v>
      </c>
      <c r="FOP76" s="343" t="s">
        <v>1300</v>
      </c>
      <c r="FOQ76" s="343" t="s">
        <v>252</v>
      </c>
      <c r="FOR76" s="343" t="s">
        <v>1300</v>
      </c>
      <c r="FOS76" s="343" t="s">
        <v>252</v>
      </c>
      <c r="FOT76" s="343" t="s">
        <v>1300</v>
      </c>
      <c r="FOU76" s="343" t="s">
        <v>252</v>
      </c>
      <c r="FOV76" s="343" t="s">
        <v>1300</v>
      </c>
      <c r="FOW76" s="343" t="s">
        <v>252</v>
      </c>
      <c r="FOX76" s="343" t="s">
        <v>1300</v>
      </c>
      <c r="FOY76" s="343" t="s">
        <v>252</v>
      </c>
      <c r="FOZ76" s="343" t="s">
        <v>1300</v>
      </c>
      <c r="FPA76" s="343" t="s">
        <v>252</v>
      </c>
      <c r="FPB76" s="343" t="s">
        <v>1300</v>
      </c>
      <c r="FPC76" s="343" t="s">
        <v>252</v>
      </c>
      <c r="FPD76" s="343" t="s">
        <v>1300</v>
      </c>
      <c r="FPE76" s="343" t="s">
        <v>252</v>
      </c>
      <c r="FPF76" s="343" t="s">
        <v>1300</v>
      </c>
      <c r="FPG76" s="343" t="s">
        <v>252</v>
      </c>
      <c r="FPH76" s="343" t="s">
        <v>1300</v>
      </c>
      <c r="FPI76" s="343" t="s">
        <v>252</v>
      </c>
      <c r="FPJ76" s="343" t="s">
        <v>1300</v>
      </c>
      <c r="FPK76" s="343" t="s">
        <v>252</v>
      </c>
      <c r="FPL76" s="343" t="s">
        <v>1300</v>
      </c>
      <c r="FPM76" s="343" t="s">
        <v>252</v>
      </c>
      <c r="FPN76" s="343" t="s">
        <v>1300</v>
      </c>
      <c r="FPO76" s="343" t="s">
        <v>252</v>
      </c>
      <c r="FPP76" s="343" t="s">
        <v>1300</v>
      </c>
      <c r="FPQ76" s="343" t="s">
        <v>252</v>
      </c>
      <c r="FPR76" s="343" t="s">
        <v>1300</v>
      </c>
      <c r="FPS76" s="343" t="s">
        <v>252</v>
      </c>
      <c r="FPT76" s="343" t="s">
        <v>1300</v>
      </c>
      <c r="FPU76" s="343" t="s">
        <v>252</v>
      </c>
      <c r="FPV76" s="343" t="s">
        <v>1300</v>
      </c>
      <c r="FPW76" s="343" t="s">
        <v>252</v>
      </c>
      <c r="FPX76" s="343" t="s">
        <v>1300</v>
      </c>
      <c r="FPY76" s="343" t="s">
        <v>252</v>
      </c>
      <c r="FPZ76" s="343" t="s">
        <v>1300</v>
      </c>
      <c r="FQA76" s="343" t="s">
        <v>252</v>
      </c>
      <c r="FQB76" s="343" t="s">
        <v>1300</v>
      </c>
      <c r="FQC76" s="343" t="s">
        <v>252</v>
      </c>
      <c r="FQD76" s="343" t="s">
        <v>1300</v>
      </c>
      <c r="FQE76" s="343" t="s">
        <v>252</v>
      </c>
      <c r="FQF76" s="343" t="s">
        <v>1300</v>
      </c>
      <c r="FQG76" s="343" t="s">
        <v>252</v>
      </c>
      <c r="FQH76" s="343" t="s">
        <v>1300</v>
      </c>
      <c r="FQI76" s="343" t="s">
        <v>252</v>
      </c>
      <c r="FQJ76" s="343" t="s">
        <v>1300</v>
      </c>
      <c r="FQK76" s="343" t="s">
        <v>252</v>
      </c>
      <c r="FQL76" s="343" t="s">
        <v>1300</v>
      </c>
      <c r="FQM76" s="343" t="s">
        <v>252</v>
      </c>
      <c r="FQN76" s="343" t="s">
        <v>1300</v>
      </c>
      <c r="FQO76" s="343" t="s">
        <v>252</v>
      </c>
      <c r="FQP76" s="343" t="s">
        <v>1300</v>
      </c>
      <c r="FQQ76" s="343" t="s">
        <v>252</v>
      </c>
      <c r="FQR76" s="343" t="s">
        <v>1300</v>
      </c>
      <c r="FQS76" s="343" t="s">
        <v>252</v>
      </c>
      <c r="FQT76" s="343" t="s">
        <v>1300</v>
      </c>
      <c r="FQU76" s="343" t="s">
        <v>252</v>
      </c>
      <c r="FQV76" s="343" t="s">
        <v>1300</v>
      </c>
      <c r="FQW76" s="343" t="s">
        <v>252</v>
      </c>
      <c r="FQX76" s="343" t="s">
        <v>1300</v>
      </c>
      <c r="FQY76" s="343" t="s">
        <v>252</v>
      </c>
      <c r="FQZ76" s="343" t="s">
        <v>1300</v>
      </c>
      <c r="FRA76" s="343" t="s">
        <v>252</v>
      </c>
      <c r="FRB76" s="343" t="s">
        <v>1300</v>
      </c>
      <c r="FRC76" s="343" t="s">
        <v>252</v>
      </c>
      <c r="FRD76" s="343" t="s">
        <v>1300</v>
      </c>
      <c r="FRE76" s="343" t="s">
        <v>252</v>
      </c>
      <c r="FRF76" s="343" t="s">
        <v>1300</v>
      </c>
      <c r="FRG76" s="343" t="s">
        <v>252</v>
      </c>
      <c r="FRH76" s="343" t="s">
        <v>1300</v>
      </c>
      <c r="FRI76" s="343" t="s">
        <v>252</v>
      </c>
      <c r="FRJ76" s="343" t="s">
        <v>1300</v>
      </c>
      <c r="FRK76" s="343" t="s">
        <v>252</v>
      </c>
      <c r="FRL76" s="343" t="s">
        <v>1300</v>
      </c>
      <c r="FRM76" s="343" t="s">
        <v>252</v>
      </c>
      <c r="FRN76" s="343" t="s">
        <v>1300</v>
      </c>
      <c r="FRO76" s="343" t="s">
        <v>252</v>
      </c>
      <c r="FRP76" s="343" t="s">
        <v>1300</v>
      </c>
      <c r="FRQ76" s="343" t="s">
        <v>252</v>
      </c>
      <c r="FRR76" s="343" t="s">
        <v>1300</v>
      </c>
      <c r="FRS76" s="343" t="s">
        <v>252</v>
      </c>
      <c r="FRT76" s="343" t="s">
        <v>1300</v>
      </c>
      <c r="FRU76" s="343" t="s">
        <v>252</v>
      </c>
      <c r="FRV76" s="343" t="s">
        <v>1300</v>
      </c>
      <c r="FRW76" s="343" t="s">
        <v>252</v>
      </c>
      <c r="FRX76" s="343" t="s">
        <v>1300</v>
      </c>
      <c r="FRY76" s="343" t="s">
        <v>252</v>
      </c>
      <c r="FRZ76" s="343" t="s">
        <v>1300</v>
      </c>
      <c r="FSA76" s="343" t="s">
        <v>252</v>
      </c>
      <c r="FSB76" s="343" t="s">
        <v>1300</v>
      </c>
      <c r="FSC76" s="343" t="s">
        <v>252</v>
      </c>
      <c r="FSD76" s="343" t="s">
        <v>1300</v>
      </c>
      <c r="FSE76" s="343" t="s">
        <v>252</v>
      </c>
      <c r="FSF76" s="343" t="s">
        <v>1300</v>
      </c>
      <c r="FSG76" s="343" t="s">
        <v>252</v>
      </c>
      <c r="FSH76" s="343" t="s">
        <v>1300</v>
      </c>
      <c r="FSI76" s="343" t="s">
        <v>252</v>
      </c>
      <c r="FSJ76" s="343" t="s">
        <v>1300</v>
      </c>
      <c r="FSK76" s="343" t="s">
        <v>252</v>
      </c>
      <c r="FSL76" s="343" t="s">
        <v>1300</v>
      </c>
      <c r="FSM76" s="343" t="s">
        <v>252</v>
      </c>
      <c r="FSN76" s="343" t="s">
        <v>1300</v>
      </c>
      <c r="FSO76" s="343" t="s">
        <v>252</v>
      </c>
      <c r="FSP76" s="343" t="s">
        <v>1300</v>
      </c>
      <c r="FSQ76" s="343" t="s">
        <v>252</v>
      </c>
      <c r="FSR76" s="343" t="s">
        <v>1300</v>
      </c>
      <c r="FSS76" s="343" t="s">
        <v>252</v>
      </c>
      <c r="FST76" s="343" t="s">
        <v>1300</v>
      </c>
      <c r="FSU76" s="343" t="s">
        <v>252</v>
      </c>
      <c r="FSV76" s="343" t="s">
        <v>1300</v>
      </c>
      <c r="FSW76" s="343" t="s">
        <v>252</v>
      </c>
      <c r="FSX76" s="343" t="s">
        <v>1300</v>
      </c>
      <c r="FSY76" s="343" t="s">
        <v>252</v>
      </c>
      <c r="FSZ76" s="343" t="s">
        <v>1300</v>
      </c>
      <c r="FTA76" s="343" t="s">
        <v>252</v>
      </c>
      <c r="FTB76" s="343" t="s">
        <v>1300</v>
      </c>
      <c r="FTC76" s="343" t="s">
        <v>252</v>
      </c>
      <c r="FTD76" s="343" t="s">
        <v>1300</v>
      </c>
      <c r="FTE76" s="343" t="s">
        <v>252</v>
      </c>
      <c r="FTF76" s="343" t="s">
        <v>1300</v>
      </c>
      <c r="FTG76" s="343" t="s">
        <v>252</v>
      </c>
      <c r="FTH76" s="343" t="s">
        <v>1300</v>
      </c>
      <c r="FTI76" s="343" t="s">
        <v>252</v>
      </c>
      <c r="FTJ76" s="343" t="s">
        <v>1300</v>
      </c>
      <c r="FTK76" s="343" t="s">
        <v>252</v>
      </c>
      <c r="FTL76" s="343" t="s">
        <v>1300</v>
      </c>
      <c r="FTM76" s="343" t="s">
        <v>252</v>
      </c>
      <c r="FTN76" s="343" t="s">
        <v>1300</v>
      </c>
      <c r="FTO76" s="343" t="s">
        <v>252</v>
      </c>
      <c r="FTP76" s="343" t="s">
        <v>1300</v>
      </c>
      <c r="FTQ76" s="343" t="s">
        <v>252</v>
      </c>
      <c r="FTR76" s="343" t="s">
        <v>1300</v>
      </c>
      <c r="FTS76" s="343" t="s">
        <v>252</v>
      </c>
      <c r="FTT76" s="343" t="s">
        <v>1300</v>
      </c>
      <c r="FTU76" s="343" t="s">
        <v>252</v>
      </c>
      <c r="FTV76" s="343" t="s">
        <v>1300</v>
      </c>
      <c r="FTW76" s="343" t="s">
        <v>252</v>
      </c>
      <c r="FTX76" s="343" t="s">
        <v>1300</v>
      </c>
      <c r="FTY76" s="343" t="s">
        <v>252</v>
      </c>
      <c r="FTZ76" s="343" t="s">
        <v>1300</v>
      </c>
      <c r="FUA76" s="343" t="s">
        <v>252</v>
      </c>
      <c r="FUB76" s="343" t="s">
        <v>1300</v>
      </c>
      <c r="FUC76" s="343" t="s">
        <v>252</v>
      </c>
      <c r="FUD76" s="343" t="s">
        <v>1300</v>
      </c>
      <c r="FUE76" s="343" t="s">
        <v>252</v>
      </c>
      <c r="FUF76" s="343" t="s">
        <v>1300</v>
      </c>
      <c r="FUG76" s="343" t="s">
        <v>252</v>
      </c>
      <c r="FUH76" s="343" t="s">
        <v>1300</v>
      </c>
      <c r="FUI76" s="343" t="s">
        <v>252</v>
      </c>
      <c r="FUJ76" s="343" t="s">
        <v>1300</v>
      </c>
      <c r="FUK76" s="343" t="s">
        <v>252</v>
      </c>
      <c r="FUL76" s="343" t="s">
        <v>1300</v>
      </c>
      <c r="FUM76" s="343" t="s">
        <v>252</v>
      </c>
      <c r="FUN76" s="343" t="s">
        <v>1300</v>
      </c>
      <c r="FUO76" s="343" t="s">
        <v>252</v>
      </c>
      <c r="FUP76" s="343" t="s">
        <v>1300</v>
      </c>
      <c r="FUQ76" s="343" t="s">
        <v>252</v>
      </c>
      <c r="FUR76" s="343" t="s">
        <v>1300</v>
      </c>
      <c r="FUS76" s="343" t="s">
        <v>252</v>
      </c>
      <c r="FUT76" s="343" t="s">
        <v>1300</v>
      </c>
      <c r="FUU76" s="343" t="s">
        <v>252</v>
      </c>
      <c r="FUV76" s="343" t="s">
        <v>1300</v>
      </c>
      <c r="FUW76" s="343" t="s">
        <v>252</v>
      </c>
      <c r="FUX76" s="343" t="s">
        <v>1300</v>
      </c>
      <c r="FUY76" s="343" t="s">
        <v>252</v>
      </c>
      <c r="FUZ76" s="343" t="s">
        <v>1300</v>
      </c>
      <c r="FVA76" s="343" t="s">
        <v>252</v>
      </c>
      <c r="FVB76" s="343" t="s">
        <v>1300</v>
      </c>
      <c r="FVC76" s="343" t="s">
        <v>252</v>
      </c>
      <c r="FVD76" s="343" t="s">
        <v>1300</v>
      </c>
      <c r="FVE76" s="343" t="s">
        <v>252</v>
      </c>
      <c r="FVF76" s="343" t="s">
        <v>1300</v>
      </c>
      <c r="FVG76" s="343" t="s">
        <v>252</v>
      </c>
      <c r="FVH76" s="343" t="s">
        <v>1300</v>
      </c>
      <c r="FVI76" s="343" t="s">
        <v>252</v>
      </c>
      <c r="FVJ76" s="343" t="s">
        <v>1300</v>
      </c>
      <c r="FVK76" s="343" t="s">
        <v>252</v>
      </c>
      <c r="FVL76" s="343" t="s">
        <v>1300</v>
      </c>
      <c r="FVM76" s="343" t="s">
        <v>252</v>
      </c>
      <c r="FVN76" s="343" t="s">
        <v>1300</v>
      </c>
      <c r="FVO76" s="343" t="s">
        <v>252</v>
      </c>
      <c r="FVP76" s="343" t="s">
        <v>1300</v>
      </c>
      <c r="FVQ76" s="343" t="s">
        <v>252</v>
      </c>
      <c r="FVR76" s="343" t="s">
        <v>1300</v>
      </c>
      <c r="FVS76" s="343" t="s">
        <v>252</v>
      </c>
      <c r="FVT76" s="343" t="s">
        <v>1300</v>
      </c>
      <c r="FVU76" s="343" t="s">
        <v>252</v>
      </c>
      <c r="FVV76" s="343" t="s">
        <v>1300</v>
      </c>
      <c r="FVW76" s="343" t="s">
        <v>252</v>
      </c>
      <c r="FVX76" s="343" t="s">
        <v>1300</v>
      </c>
      <c r="FVY76" s="343" t="s">
        <v>252</v>
      </c>
      <c r="FVZ76" s="343" t="s">
        <v>1300</v>
      </c>
      <c r="FWA76" s="343" t="s">
        <v>252</v>
      </c>
      <c r="FWB76" s="343" t="s">
        <v>1300</v>
      </c>
      <c r="FWC76" s="343" t="s">
        <v>252</v>
      </c>
      <c r="FWD76" s="343" t="s">
        <v>1300</v>
      </c>
      <c r="FWE76" s="343" t="s">
        <v>252</v>
      </c>
      <c r="FWF76" s="343" t="s">
        <v>1300</v>
      </c>
      <c r="FWG76" s="343" t="s">
        <v>252</v>
      </c>
      <c r="FWH76" s="343" t="s">
        <v>1300</v>
      </c>
      <c r="FWI76" s="343" t="s">
        <v>252</v>
      </c>
      <c r="FWJ76" s="343" t="s">
        <v>1300</v>
      </c>
      <c r="FWK76" s="343" t="s">
        <v>252</v>
      </c>
      <c r="FWL76" s="343" t="s">
        <v>1300</v>
      </c>
      <c r="FWM76" s="343" t="s">
        <v>252</v>
      </c>
      <c r="FWN76" s="343" t="s">
        <v>1300</v>
      </c>
      <c r="FWO76" s="343" t="s">
        <v>252</v>
      </c>
      <c r="FWP76" s="343" t="s">
        <v>1300</v>
      </c>
      <c r="FWQ76" s="343" t="s">
        <v>252</v>
      </c>
      <c r="FWR76" s="343" t="s">
        <v>1300</v>
      </c>
      <c r="FWS76" s="343" t="s">
        <v>252</v>
      </c>
      <c r="FWT76" s="343" t="s">
        <v>1300</v>
      </c>
      <c r="FWU76" s="343" t="s">
        <v>252</v>
      </c>
      <c r="FWV76" s="343" t="s">
        <v>1300</v>
      </c>
      <c r="FWW76" s="343" t="s">
        <v>252</v>
      </c>
      <c r="FWX76" s="343" t="s">
        <v>1300</v>
      </c>
      <c r="FWY76" s="343" t="s">
        <v>252</v>
      </c>
      <c r="FWZ76" s="343" t="s">
        <v>1300</v>
      </c>
      <c r="FXA76" s="343" t="s">
        <v>252</v>
      </c>
      <c r="FXB76" s="343" t="s">
        <v>1300</v>
      </c>
      <c r="FXC76" s="343" t="s">
        <v>252</v>
      </c>
      <c r="FXD76" s="343" t="s">
        <v>1300</v>
      </c>
      <c r="FXE76" s="343" t="s">
        <v>252</v>
      </c>
      <c r="FXF76" s="343" t="s">
        <v>1300</v>
      </c>
      <c r="FXG76" s="343" t="s">
        <v>252</v>
      </c>
      <c r="FXH76" s="343" t="s">
        <v>1300</v>
      </c>
      <c r="FXI76" s="343" t="s">
        <v>252</v>
      </c>
      <c r="FXJ76" s="343" t="s">
        <v>1300</v>
      </c>
      <c r="FXK76" s="343" t="s">
        <v>252</v>
      </c>
      <c r="FXL76" s="343" t="s">
        <v>1300</v>
      </c>
      <c r="FXM76" s="343" t="s">
        <v>252</v>
      </c>
      <c r="FXN76" s="343" t="s">
        <v>1300</v>
      </c>
      <c r="FXO76" s="343" t="s">
        <v>252</v>
      </c>
      <c r="FXP76" s="343" t="s">
        <v>1300</v>
      </c>
      <c r="FXQ76" s="343" t="s">
        <v>252</v>
      </c>
      <c r="FXR76" s="343" t="s">
        <v>1300</v>
      </c>
      <c r="FXS76" s="343" t="s">
        <v>252</v>
      </c>
      <c r="FXT76" s="343" t="s">
        <v>1300</v>
      </c>
      <c r="FXU76" s="343" t="s">
        <v>252</v>
      </c>
      <c r="FXV76" s="343" t="s">
        <v>1300</v>
      </c>
      <c r="FXW76" s="343" t="s">
        <v>252</v>
      </c>
      <c r="FXX76" s="343" t="s">
        <v>1300</v>
      </c>
      <c r="FXY76" s="343" t="s">
        <v>252</v>
      </c>
      <c r="FXZ76" s="343" t="s">
        <v>1300</v>
      </c>
      <c r="FYA76" s="343" t="s">
        <v>252</v>
      </c>
      <c r="FYB76" s="343" t="s">
        <v>1300</v>
      </c>
      <c r="FYC76" s="343" t="s">
        <v>252</v>
      </c>
      <c r="FYD76" s="343" t="s">
        <v>1300</v>
      </c>
      <c r="FYE76" s="343" t="s">
        <v>252</v>
      </c>
      <c r="FYF76" s="343" t="s">
        <v>1300</v>
      </c>
      <c r="FYG76" s="343" t="s">
        <v>252</v>
      </c>
      <c r="FYH76" s="343" t="s">
        <v>1300</v>
      </c>
      <c r="FYI76" s="343" t="s">
        <v>252</v>
      </c>
      <c r="FYJ76" s="343" t="s">
        <v>1300</v>
      </c>
      <c r="FYK76" s="343" t="s">
        <v>252</v>
      </c>
      <c r="FYL76" s="343" t="s">
        <v>1300</v>
      </c>
      <c r="FYM76" s="343" t="s">
        <v>252</v>
      </c>
      <c r="FYN76" s="343" t="s">
        <v>1300</v>
      </c>
      <c r="FYO76" s="343" t="s">
        <v>252</v>
      </c>
      <c r="FYP76" s="343" t="s">
        <v>1300</v>
      </c>
      <c r="FYQ76" s="343" t="s">
        <v>252</v>
      </c>
      <c r="FYR76" s="343" t="s">
        <v>1300</v>
      </c>
      <c r="FYS76" s="343" t="s">
        <v>252</v>
      </c>
      <c r="FYT76" s="343" t="s">
        <v>1300</v>
      </c>
      <c r="FYU76" s="343" t="s">
        <v>252</v>
      </c>
      <c r="FYV76" s="343" t="s">
        <v>1300</v>
      </c>
      <c r="FYW76" s="343" t="s">
        <v>252</v>
      </c>
      <c r="FYX76" s="343" t="s">
        <v>1300</v>
      </c>
      <c r="FYY76" s="343" t="s">
        <v>252</v>
      </c>
      <c r="FYZ76" s="343" t="s">
        <v>1300</v>
      </c>
      <c r="FZA76" s="343" t="s">
        <v>252</v>
      </c>
      <c r="FZB76" s="343" t="s">
        <v>1300</v>
      </c>
      <c r="FZC76" s="343" t="s">
        <v>252</v>
      </c>
      <c r="FZD76" s="343" t="s">
        <v>1300</v>
      </c>
      <c r="FZE76" s="343" t="s">
        <v>252</v>
      </c>
      <c r="FZF76" s="343" t="s">
        <v>1300</v>
      </c>
      <c r="FZG76" s="343" t="s">
        <v>252</v>
      </c>
      <c r="FZH76" s="343" t="s">
        <v>1300</v>
      </c>
      <c r="FZI76" s="343" t="s">
        <v>252</v>
      </c>
      <c r="FZJ76" s="343" t="s">
        <v>1300</v>
      </c>
      <c r="FZK76" s="343" t="s">
        <v>252</v>
      </c>
      <c r="FZL76" s="343" t="s">
        <v>1300</v>
      </c>
      <c r="FZM76" s="343" t="s">
        <v>252</v>
      </c>
      <c r="FZN76" s="343" t="s">
        <v>1300</v>
      </c>
      <c r="FZO76" s="343" t="s">
        <v>252</v>
      </c>
      <c r="FZP76" s="343" t="s">
        <v>1300</v>
      </c>
      <c r="FZQ76" s="343" t="s">
        <v>252</v>
      </c>
      <c r="FZR76" s="343" t="s">
        <v>1300</v>
      </c>
      <c r="FZS76" s="343" t="s">
        <v>252</v>
      </c>
      <c r="FZT76" s="343" t="s">
        <v>1300</v>
      </c>
      <c r="FZU76" s="343" t="s">
        <v>252</v>
      </c>
      <c r="FZV76" s="343" t="s">
        <v>1300</v>
      </c>
      <c r="FZW76" s="343" t="s">
        <v>252</v>
      </c>
      <c r="FZX76" s="343" t="s">
        <v>1300</v>
      </c>
      <c r="FZY76" s="343" t="s">
        <v>252</v>
      </c>
      <c r="FZZ76" s="343" t="s">
        <v>1300</v>
      </c>
      <c r="GAA76" s="343" t="s">
        <v>252</v>
      </c>
      <c r="GAB76" s="343" t="s">
        <v>1300</v>
      </c>
      <c r="GAC76" s="343" t="s">
        <v>252</v>
      </c>
      <c r="GAD76" s="343" t="s">
        <v>1300</v>
      </c>
      <c r="GAE76" s="343" t="s">
        <v>252</v>
      </c>
      <c r="GAF76" s="343" t="s">
        <v>1300</v>
      </c>
      <c r="GAG76" s="343" t="s">
        <v>252</v>
      </c>
      <c r="GAH76" s="343" t="s">
        <v>1300</v>
      </c>
      <c r="GAI76" s="343" t="s">
        <v>252</v>
      </c>
      <c r="GAJ76" s="343" t="s">
        <v>1300</v>
      </c>
      <c r="GAK76" s="343" t="s">
        <v>252</v>
      </c>
      <c r="GAL76" s="343" t="s">
        <v>1300</v>
      </c>
      <c r="GAM76" s="343" t="s">
        <v>252</v>
      </c>
      <c r="GAN76" s="343" t="s">
        <v>1300</v>
      </c>
      <c r="GAO76" s="343" t="s">
        <v>252</v>
      </c>
      <c r="GAP76" s="343" t="s">
        <v>1300</v>
      </c>
      <c r="GAQ76" s="343" t="s">
        <v>252</v>
      </c>
      <c r="GAR76" s="343" t="s">
        <v>1300</v>
      </c>
      <c r="GAS76" s="343" t="s">
        <v>252</v>
      </c>
      <c r="GAT76" s="343" t="s">
        <v>1300</v>
      </c>
      <c r="GAU76" s="343" t="s">
        <v>252</v>
      </c>
      <c r="GAV76" s="343" t="s">
        <v>1300</v>
      </c>
      <c r="GAW76" s="343" t="s">
        <v>252</v>
      </c>
      <c r="GAX76" s="343" t="s">
        <v>1300</v>
      </c>
      <c r="GAY76" s="343" t="s">
        <v>252</v>
      </c>
      <c r="GAZ76" s="343" t="s">
        <v>1300</v>
      </c>
      <c r="GBA76" s="343" t="s">
        <v>252</v>
      </c>
      <c r="GBB76" s="343" t="s">
        <v>1300</v>
      </c>
      <c r="GBC76" s="343" t="s">
        <v>252</v>
      </c>
      <c r="GBD76" s="343" t="s">
        <v>1300</v>
      </c>
      <c r="GBE76" s="343" t="s">
        <v>252</v>
      </c>
      <c r="GBF76" s="343" t="s">
        <v>1300</v>
      </c>
      <c r="GBG76" s="343" t="s">
        <v>252</v>
      </c>
      <c r="GBH76" s="343" t="s">
        <v>1300</v>
      </c>
      <c r="GBI76" s="343" t="s">
        <v>252</v>
      </c>
      <c r="GBJ76" s="343" t="s">
        <v>1300</v>
      </c>
      <c r="GBK76" s="343" t="s">
        <v>252</v>
      </c>
      <c r="GBL76" s="343" t="s">
        <v>1300</v>
      </c>
      <c r="GBM76" s="343" t="s">
        <v>252</v>
      </c>
      <c r="GBN76" s="343" t="s">
        <v>1300</v>
      </c>
      <c r="GBO76" s="343" t="s">
        <v>252</v>
      </c>
      <c r="GBP76" s="343" t="s">
        <v>1300</v>
      </c>
      <c r="GBQ76" s="343" t="s">
        <v>252</v>
      </c>
      <c r="GBR76" s="343" t="s">
        <v>1300</v>
      </c>
      <c r="GBS76" s="343" t="s">
        <v>252</v>
      </c>
      <c r="GBT76" s="343" t="s">
        <v>1300</v>
      </c>
      <c r="GBU76" s="343" t="s">
        <v>252</v>
      </c>
      <c r="GBV76" s="343" t="s">
        <v>1300</v>
      </c>
      <c r="GBW76" s="343" t="s">
        <v>252</v>
      </c>
      <c r="GBX76" s="343" t="s">
        <v>1300</v>
      </c>
      <c r="GBY76" s="343" t="s">
        <v>252</v>
      </c>
      <c r="GBZ76" s="343" t="s">
        <v>1300</v>
      </c>
      <c r="GCA76" s="343" t="s">
        <v>252</v>
      </c>
      <c r="GCB76" s="343" t="s">
        <v>1300</v>
      </c>
      <c r="GCC76" s="343" t="s">
        <v>252</v>
      </c>
      <c r="GCD76" s="343" t="s">
        <v>1300</v>
      </c>
      <c r="GCE76" s="343" t="s">
        <v>252</v>
      </c>
      <c r="GCF76" s="343" t="s">
        <v>1300</v>
      </c>
      <c r="GCG76" s="343" t="s">
        <v>252</v>
      </c>
      <c r="GCH76" s="343" t="s">
        <v>1300</v>
      </c>
      <c r="GCI76" s="343" t="s">
        <v>252</v>
      </c>
      <c r="GCJ76" s="343" t="s">
        <v>1300</v>
      </c>
      <c r="GCK76" s="343" t="s">
        <v>252</v>
      </c>
      <c r="GCL76" s="343" t="s">
        <v>1300</v>
      </c>
      <c r="GCM76" s="343" t="s">
        <v>252</v>
      </c>
      <c r="GCN76" s="343" t="s">
        <v>1300</v>
      </c>
      <c r="GCO76" s="343" t="s">
        <v>252</v>
      </c>
      <c r="GCP76" s="343" t="s">
        <v>1300</v>
      </c>
      <c r="GCQ76" s="343" t="s">
        <v>252</v>
      </c>
      <c r="GCR76" s="343" t="s">
        <v>1300</v>
      </c>
      <c r="GCS76" s="343" t="s">
        <v>252</v>
      </c>
      <c r="GCT76" s="343" t="s">
        <v>1300</v>
      </c>
      <c r="GCU76" s="343" t="s">
        <v>252</v>
      </c>
      <c r="GCV76" s="343" t="s">
        <v>1300</v>
      </c>
      <c r="GCW76" s="343" t="s">
        <v>252</v>
      </c>
      <c r="GCX76" s="343" t="s">
        <v>1300</v>
      </c>
      <c r="GCY76" s="343" t="s">
        <v>252</v>
      </c>
      <c r="GCZ76" s="343" t="s">
        <v>1300</v>
      </c>
      <c r="GDA76" s="343" t="s">
        <v>252</v>
      </c>
      <c r="GDB76" s="343" t="s">
        <v>1300</v>
      </c>
      <c r="GDC76" s="343" t="s">
        <v>252</v>
      </c>
      <c r="GDD76" s="343" t="s">
        <v>1300</v>
      </c>
      <c r="GDE76" s="343" t="s">
        <v>252</v>
      </c>
      <c r="GDF76" s="343" t="s">
        <v>1300</v>
      </c>
      <c r="GDG76" s="343" t="s">
        <v>252</v>
      </c>
      <c r="GDH76" s="343" t="s">
        <v>1300</v>
      </c>
      <c r="GDI76" s="343" t="s">
        <v>252</v>
      </c>
      <c r="GDJ76" s="343" t="s">
        <v>1300</v>
      </c>
      <c r="GDK76" s="343" t="s">
        <v>252</v>
      </c>
      <c r="GDL76" s="343" t="s">
        <v>1300</v>
      </c>
      <c r="GDM76" s="343" t="s">
        <v>252</v>
      </c>
      <c r="GDN76" s="343" t="s">
        <v>1300</v>
      </c>
      <c r="GDO76" s="343" t="s">
        <v>252</v>
      </c>
      <c r="GDP76" s="343" t="s">
        <v>1300</v>
      </c>
      <c r="GDQ76" s="343" t="s">
        <v>252</v>
      </c>
      <c r="GDR76" s="343" t="s">
        <v>1300</v>
      </c>
      <c r="GDS76" s="343" t="s">
        <v>252</v>
      </c>
      <c r="GDT76" s="343" t="s">
        <v>1300</v>
      </c>
      <c r="GDU76" s="343" t="s">
        <v>252</v>
      </c>
      <c r="GDV76" s="343" t="s">
        <v>1300</v>
      </c>
      <c r="GDW76" s="343" t="s">
        <v>252</v>
      </c>
      <c r="GDX76" s="343" t="s">
        <v>1300</v>
      </c>
      <c r="GDY76" s="343" t="s">
        <v>252</v>
      </c>
      <c r="GDZ76" s="343" t="s">
        <v>1300</v>
      </c>
      <c r="GEA76" s="343" t="s">
        <v>252</v>
      </c>
      <c r="GEB76" s="343" t="s">
        <v>1300</v>
      </c>
      <c r="GEC76" s="343" t="s">
        <v>252</v>
      </c>
      <c r="GED76" s="343" t="s">
        <v>1300</v>
      </c>
      <c r="GEE76" s="343" t="s">
        <v>252</v>
      </c>
      <c r="GEF76" s="343" t="s">
        <v>1300</v>
      </c>
      <c r="GEG76" s="343" t="s">
        <v>252</v>
      </c>
      <c r="GEH76" s="343" t="s">
        <v>1300</v>
      </c>
      <c r="GEI76" s="343" t="s">
        <v>252</v>
      </c>
      <c r="GEJ76" s="343" t="s">
        <v>1300</v>
      </c>
      <c r="GEK76" s="343" t="s">
        <v>252</v>
      </c>
      <c r="GEL76" s="343" t="s">
        <v>1300</v>
      </c>
      <c r="GEM76" s="343" t="s">
        <v>252</v>
      </c>
      <c r="GEN76" s="343" t="s">
        <v>1300</v>
      </c>
      <c r="GEO76" s="343" t="s">
        <v>252</v>
      </c>
      <c r="GEP76" s="343" t="s">
        <v>1300</v>
      </c>
      <c r="GEQ76" s="343" t="s">
        <v>252</v>
      </c>
      <c r="GER76" s="343" t="s">
        <v>1300</v>
      </c>
      <c r="GES76" s="343" t="s">
        <v>252</v>
      </c>
      <c r="GET76" s="343" t="s">
        <v>1300</v>
      </c>
      <c r="GEU76" s="343" t="s">
        <v>252</v>
      </c>
      <c r="GEV76" s="343" t="s">
        <v>1300</v>
      </c>
      <c r="GEW76" s="343" t="s">
        <v>252</v>
      </c>
      <c r="GEX76" s="343" t="s">
        <v>1300</v>
      </c>
      <c r="GEY76" s="343" t="s">
        <v>252</v>
      </c>
      <c r="GEZ76" s="343" t="s">
        <v>1300</v>
      </c>
      <c r="GFA76" s="343" t="s">
        <v>252</v>
      </c>
      <c r="GFB76" s="343" t="s">
        <v>1300</v>
      </c>
      <c r="GFC76" s="343" t="s">
        <v>252</v>
      </c>
      <c r="GFD76" s="343" t="s">
        <v>1300</v>
      </c>
      <c r="GFE76" s="343" t="s">
        <v>252</v>
      </c>
      <c r="GFF76" s="343" t="s">
        <v>1300</v>
      </c>
      <c r="GFG76" s="343" t="s">
        <v>252</v>
      </c>
      <c r="GFH76" s="343" t="s">
        <v>1300</v>
      </c>
      <c r="GFI76" s="343" t="s">
        <v>252</v>
      </c>
      <c r="GFJ76" s="343" t="s">
        <v>1300</v>
      </c>
      <c r="GFK76" s="343" t="s">
        <v>252</v>
      </c>
      <c r="GFL76" s="343" t="s">
        <v>1300</v>
      </c>
      <c r="GFM76" s="343" t="s">
        <v>252</v>
      </c>
      <c r="GFN76" s="343" t="s">
        <v>1300</v>
      </c>
      <c r="GFO76" s="343" t="s">
        <v>252</v>
      </c>
      <c r="GFP76" s="343" t="s">
        <v>1300</v>
      </c>
      <c r="GFQ76" s="343" t="s">
        <v>252</v>
      </c>
      <c r="GFR76" s="343" t="s">
        <v>1300</v>
      </c>
      <c r="GFS76" s="343" t="s">
        <v>252</v>
      </c>
      <c r="GFT76" s="343" t="s">
        <v>1300</v>
      </c>
      <c r="GFU76" s="343" t="s">
        <v>252</v>
      </c>
      <c r="GFV76" s="343" t="s">
        <v>1300</v>
      </c>
      <c r="GFW76" s="343" t="s">
        <v>252</v>
      </c>
      <c r="GFX76" s="343" t="s">
        <v>1300</v>
      </c>
      <c r="GFY76" s="343" t="s">
        <v>252</v>
      </c>
      <c r="GFZ76" s="343" t="s">
        <v>1300</v>
      </c>
      <c r="GGA76" s="343" t="s">
        <v>252</v>
      </c>
      <c r="GGB76" s="343" t="s">
        <v>1300</v>
      </c>
      <c r="GGC76" s="343" t="s">
        <v>252</v>
      </c>
      <c r="GGD76" s="343" t="s">
        <v>1300</v>
      </c>
      <c r="GGE76" s="343" t="s">
        <v>252</v>
      </c>
      <c r="GGF76" s="343" t="s">
        <v>1300</v>
      </c>
      <c r="GGG76" s="343" t="s">
        <v>252</v>
      </c>
      <c r="GGH76" s="343" t="s">
        <v>1300</v>
      </c>
      <c r="GGI76" s="343" t="s">
        <v>252</v>
      </c>
      <c r="GGJ76" s="343" t="s">
        <v>1300</v>
      </c>
      <c r="GGK76" s="343" t="s">
        <v>252</v>
      </c>
      <c r="GGL76" s="343" t="s">
        <v>1300</v>
      </c>
      <c r="GGM76" s="343" t="s">
        <v>252</v>
      </c>
      <c r="GGN76" s="343" t="s">
        <v>1300</v>
      </c>
      <c r="GGO76" s="343" t="s">
        <v>252</v>
      </c>
      <c r="GGP76" s="343" t="s">
        <v>1300</v>
      </c>
      <c r="GGQ76" s="343" t="s">
        <v>252</v>
      </c>
      <c r="GGR76" s="343" t="s">
        <v>1300</v>
      </c>
      <c r="GGS76" s="343" t="s">
        <v>252</v>
      </c>
      <c r="GGT76" s="343" t="s">
        <v>1300</v>
      </c>
      <c r="GGU76" s="343" t="s">
        <v>252</v>
      </c>
      <c r="GGV76" s="343" t="s">
        <v>1300</v>
      </c>
      <c r="GGW76" s="343" t="s">
        <v>252</v>
      </c>
      <c r="GGX76" s="343" t="s">
        <v>1300</v>
      </c>
      <c r="GGY76" s="343" t="s">
        <v>252</v>
      </c>
      <c r="GGZ76" s="343" t="s">
        <v>1300</v>
      </c>
      <c r="GHA76" s="343" t="s">
        <v>252</v>
      </c>
      <c r="GHB76" s="343" t="s">
        <v>1300</v>
      </c>
      <c r="GHC76" s="343" t="s">
        <v>252</v>
      </c>
      <c r="GHD76" s="343" t="s">
        <v>1300</v>
      </c>
      <c r="GHE76" s="343" t="s">
        <v>252</v>
      </c>
      <c r="GHF76" s="343" t="s">
        <v>1300</v>
      </c>
      <c r="GHG76" s="343" t="s">
        <v>252</v>
      </c>
      <c r="GHH76" s="343" t="s">
        <v>1300</v>
      </c>
      <c r="GHI76" s="343" t="s">
        <v>252</v>
      </c>
      <c r="GHJ76" s="343" t="s">
        <v>1300</v>
      </c>
      <c r="GHK76" s="343" t="s">
        <v>252</v>
      </c>
      <c r="GHL76" s="343" t="s">
        <v>1300</v>
      </c>
      <c r="GHM76" s="343" t="s">
        <v>252</v>
      </c>
      <c r="GHN76" s="343" t="s">
        <v>1300</v>
      </c>
      <c r="GHO76" s="343" t="s">
        <v>252</v>
      </c>
      <c r="GHP76" s="343" t="s">
        <v>1300</v>
      </c>
      <c r="GHQ76" s="343" t="s">
        <v>252</v>
      </c>
      <c r="GHR76" s="343" t="s">
        <v>1300</v>
      </c>
      <c r="GHS76" s="343" t="s">
        <v>252</v>
      </c>
      <c r="GHT76" s="343" t="s">
        <v>1300</v>
      </c>
      <c r="GHU76" s="343" t="s">
        <v>252</v>
      </c>
      <c r="GHV76" s="343" t="s">
        <v>1300</v>
      </c>
      <c r="GHW76" s="343" t="s">
        <v>252</v>
      </c>
      <c r="GHX76" s="343" t="s">
        <v>1300</v>
      </c>
      <c r="GHY76" s="343" t="s">
        <v>252</v>
      </c>
      <c r="GHZ76" s="343" t="s">
        <v>1300</v>
      </c>
      <c r="GIA76" s="343" t="s">
        <v>252</v>
      </c>
      <c r="GIB76" s="343" t="s">
        <v>1300</v>
      </c>
      <c r="GIC76" s="343" t="s">
        <v>252</v>
      </c>
      <c r="GID76" s="343" t="s">
        <v>1300</v>
      </c>
      <c r="GIE76" s="343" t="s">
        <v>252</v>
      </c>
      <c r="GIF76" s="343" t="s">
        <v>1300</v>
      </c>
      <c r="GIG76" s="343" t="s">
        <v>252</v>
      </c>
      <c r="GIH76" s="343" t="s">
        <v>1300</v>
      </c>
      <c r="GII76" s="343" t="s">
        <v>252</v>
      </c>
      <c r="GIJ76" s="343" t="s">
        <v>1300</v>
      </c>
      <c r="GIK76" s="343" t="s">
        <v>252</v>
      </c>
      <c r="GIL76" s="343" t="s">
        <v>1300</v>
      </c>
      <c r="GIM76" s="343" t="s">
        <v>252</v>
      </c>
      <c r="GIN76" s="343" t="s">
        <v>1300</v>
      </c>
      <c r="GIO76" s="343" t="s">
        <v>252</v>
      </c>
      <c r="GIP76" s="343" t="s">
        <v>1300</v>
      </c>
      <c r="GIQ76" s="343" t="s">
        <v>252</v>
      </c>
      <c r="GIR76" s="343" t="s">
        <v>1300</v>
      </c>
      <c r="GIS76" s="343" t="s">
        <v>252</v>
      </c>
      <c r="GIT76" s="343" t="s">
        <v>1300</v>
      </c>
      <c r="GIU76" s="343" t="s">
        <v>252</v>
      </c>
      <c r="GIV76" s="343" t="s">
        <v>1300</v>
      </c>
      <c r="GIW76" s="343" t="s">
        <v>252</v>
      </c>
      <c r="GIX76" s="343" t="s">
        <v>1300</v>
      </c>
      <c r="GIY76" s="343" t="s">
        <v>252</v>
      </c>
      <c r="GIZ76" s="343" t="s">
        <v>1300</v>
      </c>
      <c r="GJA76" s="343" t="s">
        <v>252</v>
      </c>
      <c r="GJB76" s="343" t="s">
        <v>1300</v>
      </c>
      <c r="GJC76" s="343" t="s">
        <v>252</v>
      </c>
      <c r="GJD76" s="343" t="s">
        <v>1300</v>
      </c>
      <c r="GJE76" s="343" t="s">
        <v>252</v>
      </c>
      <c r="GJF76" s="343" t="s">
        <v>1300</v>
      </c>
      <c r="GJG76" s="343" t="s">
        <v>252</v>
      </c>
      <c r="GJH76" s="343" t="s">
        <v>1300</v>
      </c>
      <c r="GJI76" s="343" t="s">
        <v>252</v>
      </c>
      <c r="GJJ76" s="343" t="s">
        <v>1300</v>
      </c>
      <c r="GJK76" s="343" t="s">
        <v>252</v>
      </c>
      <c r="GJL76" s="343" t="s">
        <v>1300</v>
      </c>
      <c r="GJM76" s="343" t="s">
        <v>252</v>
      </c>
      <c r="GJN76" s="343" t="s">
        <v>1300</v>
      </c>
      <c r="GJO76" s="343" t="s">
        <v>252</v>
      </c>
      <c r="GJP76" s="343" t="s">
        <v>1300</v>
      </c>
      <c r="GJQ76" s="343" t="s">
        <v>252</v>
      </c>
      <c r="GJR76" s="343" t="s">
        <v>1300</v>
      </c>
      <c r="GJS76" s="343" t="s">
        <v>252</v>
      </c>
      <c r="GJT76" s="343" t="s">
        <v>1300</v>
      </c>
      <c r="GJU76" s="343" t="s">
        <v>252</v>
      </c>
      <c r="GJV76" s="343" t="s">
        <v>1300</v>
      </c>
      <c r="GJW76" s="343" t="s">
        <v>252</v>
      </c>
      <c r="GJX76" s="343" t="s">
        <v>1300</v>
      </c>
      <c r="GJY76" s="343" t="s">
        <v>252</v>
      </c>
      <c r="GJZ76" s="343" t="s">
        <v>1300</v>
      </c>
      <c r="GKA76" s="343" t="s">
        <v>252</v>
      </c>
      <c r="GKB76" s="343" t="s">
        <v>1300</v>
      </c>
      <c r="GKC76" s="343" t="s">
        <v>252</v>
      </c>
      <c r="GKD76" s="343" t="s">
        <v>1300</v>
      </c>
      <c r="GKE76" s="343" t="s">
        <v>252</v>
      </c>
      <c r="GKF76" s="343" t="s">
        <v>1300</v>
      </c>
      <c r="GKG76" s="343" t="s">
        <v>252</v>
      </c>
      <c r="GKH76" s="343" t="s">
        <v>1300</v>
      </c>
      <c r="GKI76" s="343" t="s">
        <v>252</v>
      </c>
      <c r="GKJ76" s="343" t="s">
        <v>1300</v>
      </c>
      <c r="GKK76" s="343" t="s">
        <v>252</v>
      </c>
      <c r="GKL76" s="343" t="s">
        <v>1300</v>
      </c>
      <c r="GKM76" s="343" t="s">
        <v>252</v>
      </c>
      <c r="GKN76" s="343" t="s">
        <v>1300</v>
      </c>
      <c r="GKO76" s="343" t="s">
        <v>252</v>
      </c>
      <c r="GKP76" s="343" t="s">
        <v>1300</v>
      </c>
      <c r="GKQ76" s="343" t="s">
        <v>252</v>
      </c>
      <c r="GKR76" s="343" t="s">
        <v>1300</v>
      </c>
      <c r="GKS76" s="343" t="s">
        <v>252</v>
      </c>
      <c r="GKT76" s="343" t="s">
        <v>1300</v>
      </c>
      <c r="GKU76" s="343" t="s">
        <v>252</v>
      </c>
      <c r="GKV76" s="343" t="s">
        <v>1300</v>
      </c>
      <c r="GKW76" s="343" t="s">
        <v>252</v>
      </c>
      <c r="GKX76" s="343" t="s">
        <v>1300</v>
      </c>
      <c r="GKY76" s="343" t="s">
        <v>252</v>
      </c>
      <c r="GKZ76" s="343" t="s">
        <v>1300</v>
      </c>
      <c r="GLA76" s="343" t="s">
        <v>252</v>
      </c>
      <c r="GLB76" s="343" t="s">
        <v>1300</v>
      </c>
      <c r="GLC76" s="343" t="s">
        <v>252</v>
      </c>
      <c r="GLD76" s="343" t="s">
        <v>1300</v>
      </c>
      <c r="GLE76" s="343" t="s">
        <v>252</v>
      </c>
      <c r="GLF76" s="343" t="s">
        <v>1300</v>
      </c>
      <c r="GLG76" s="343" t="s">
        <v>252</v>
      </c>
      <c r="GLH76" s="343" t="s">
        <v>1300</v>
      </c>
      <c r="GLI76" s="343" t="s">
        <v>252</v>
      </c>
      <c r="GLJ76" s="343" t="s">
        <v>1300</v>
      </c>
      <c r="GLK76" s="343" t="s">
        <v>252</v>
      </c>
      <c r="GLL76" s="343" t="s">
        <v>1300</v>
      </c>
      <c r="GLM76" s="343" t="s">
        <v>252</v>
      </c>
      <c r="GLN76" s="343" t="s">
        <v>1300</v>
      </c>
      <c r="GLO76" s="343" t="s">
        <v>252</v>
      </c>
      <c r="GLP76" s="343" t="s">
        <v>1300</v>
      </c>
      <c r="GLQ76" s="343" t="s">
        <v>252</v>
      </c>
      <c r="GLR76" s="343" t="s">
        <v>1300</v>
      </c>
      <c r="GLS76" s="343" t="s">
        <v>252</v>
      </c>
      <c r="GLT76" s="343" t="s">
        <v>1300</v>
      </c>
      <c r="GLU76" s="343" t="s">
        <v>252</v>
      </c>
      <c r="GLV76" s="343" t="s">
        <v>1300</v>
      </c>
      <c r="GLW76" s="343" t="s">
        <v>252</v>
      </c>
      <c r="GLX76" s="343" t="s">
        <v>1300</v>
      </c>
      <c r="GLY76" s="343" t="s">
        <v>252</v>
      </c>
      <c r="GLZ76" s="343" t="s">
        <v>1300</v>
      </c>
      <c r="GMA76" s="343" t="s">
        <v>252</v>
      </c>
      <c r="GMB76" s="343" t="s">
        <v>1300</v>
      </c>
      <c r="GMC76" s="343" t="s">
        <v>252</v>
      </c>
      <c r="GMD76" s="343" t="s">
        <v>1300</v>
      </c>
      <c r="GME76" s="343" t="s">
        <v>252</v>
      </c>
      <c r="GMF76" s="343" t="s">
        <v>1300</v>
      </c>
      <c r="GMG76" s="343" t="s">
        <v>252</v>
      </c>
      <c r="GMH76" s="343" t="s">
        <v>1300</v>
      </c>
      <c r="GMI76" s="343" t="s">
        <v>252</v>
      </c>
      <c r="GMJ76" s="343" t="s">
        <v>1300</v>
      </c>
      <c r="GMK76" s="343" t="s">
        <v>252</v>
      </c>
      <c r="GML76" s="343" t="s">
        <v>1300</v>
      </c>
      <c r="GMM76" s="343" t="s">
        <v>252</v>
      </c>
      <c r="GMN76" s="343" t="s">
        <v>1300</v>
      </c>
      <c r="GMO76" s="343" t="s">
        <v>252</v>
      </c>
      <c r="GMP76" s="343" t="s">
        <v>1300</v>
      </c>
      <c r="GMQ76" s="343" t="s">
        <v>252</v>
      </c>
      <c r="GMR76" s="343" t="s">
        <v>1300</v>
      </c>
      <c r="GMS76" s="343" t="s">
        <v>252</v>
      </c>
      <c r="GMT76" s="343" t="s">
        <v>1300</v>
      </c>
      <c r="GMU76" s="343" t="s">
        <v>252</v>
      </c>
      <c r="GMV76" s="343" t="s">
        <v>1300</v>
      </c>
      <c r="GMW76" s="343" t="s">
        <v>252</v>
      </c>
      <c r="GMX76" s="343" t="s">
        <v>1300</v>
      </c>
      <c r="GMY76" s="343" t="s">
        <v>252</v>
      </c>
      <c r="GMZ76" s="343" t="s">
        <v>1300</v>
      </c>
      <c r="GNA76" s="343" t="s">
        <v>252</v>
      </c>
      <c r="GNB76" s="343" t="s">
        <v>1300</v>
      </c>
      <c r="GNC76" s="343" t="s">
        <v>252</v>
      </c>
      <c r="GND76" s="343" t="s">
        <v>1300</v>
      </c>
      <c r="GNE76" s="343" t="s">
        <v>252</v>
      </c>
      <c r="GNF76" s="343" t="s">
        <v>1300</v>
      </c>
      <c r="GNG76" s="343" t="s">
        <v>252</v>
      </c>
      <c r="GNH76" s="343" t="s">
        <v>1300</v>
      </c>
      <c r="GNI76" s="343" t="s">
        <v>252</v>
      </c>
      <c r="GNJ76" s="343" t="s">
        <v>1300</v>
      </c>
      <c r="GNK76" s="343" t="s">
        <v>252</v>
      </c>
      <c r="GNL76" s="343" t="s">
        <v>1300</v>
      </c>
      <c r="GNM76" s="343" t="s">
        <v>252</v>
      </c>
      <c r="GNN76" s="343" t="s">
        <v>1300</v>
      </c>
      <c r="GNO76" s="343" t="s">
        <v>252</v>
      </c>
      <c r="GNP76" s="343" t="s">
        <v>1300</v>
      </c>
      <c r="GNQ76" s="343" t="s">
        <v>252</v>
      </c>
      <c r="GNR76" s="343" t="s">
        <v>1300</v>
      </c>
      <c r="GNS76" s="343" t="s">
        <v>252</v>
      </c>
      <c r="GNT76" s="343" t="s">
        <v>1300</v>
      </c>
      <c r="GNU76" s="343" t="s">
        <v>252</v>
      </c>
      <c r="GNV76" s="343" t="s">
        <v>1300</v>
      </c>
      <c r="GNW76" s="343" t="s">
        <v>252</v>
      </c>
      <c r="GNX76" s="343" t="s">
        <v>1300</v>
      </c>
      <c r="GNY76" s="343" t="s">
        <v>252</v>
      </c>
      <c r="GNZ76" s="343" t="s">
        <v>1300</v>
      </c>
      <c r="GOA76" s="343" t="s">
        <v>252</v>
      </c>
      <c r="GOB76" s="343" t="s">
        <v>1300</v>
      </c>
      <c r="GOC76" s="343" t="s">
        <v>252</v>
      </c>
      <c r="GOD76" s="343" t="s">
        <v>1300</v>
      </c>
      <c r="GOE76" s="343" t="s">
        <v>252</v>
      </c>
      <c r="GOF76" s="343" t="s">
        <v>1300</v>
      </c>
      <c r="GOG76" s="343" t="s">
        <v>252</v>
      </c>
      <c r="GOH76" s="343" t="s">
        <v>1300</v>
      </c>
      <c r="GOI76" s="343" t="s">
        <v>252</v>
      </c>
      <c r="GOJ76" s="343" t="s">
        <v>1300</v>
      </c>
      <c r="GOK76" s="343" t="s">
        <v>252</v>
      </c>
      <c r="GOL76" s="343" t="s">
        <v>1300</v>
      </c>
      <c r="GOM76" s="343" t="s">
        <v>252</v>
      </c>
      <c r="GON76" s="343" t="s">
        <v>1300</v>
      </c>
      <c r="GOO76" s="343" t="s">
        <v>252</v>
      </c>
      <c r="GOP76" s="343" t="s">
        <v>1300</v>
      </c>
      <c r="GOQ76" s="343" t="s">
        <v>252</v>
      </c>
      <c r="GOR76" s="343" t="s">
        <v>1300</v>
      </c>
      <c r="GOS76" s="343" t="s">
        <v>252</v>
      </c>
      <c r="GOT76" s="343" t="s">
        <v>1300</v>
      </c>
      <c r="GOU76" s="343" t="s">
        <v>252</v>
      </c>
      <c r="GOV76" s="343" t="s">
        <v>1300</v>
      </c>
      <c r="GOW76" s="343" t="s">
        <v>252</v>
      </c>
      <c r="GOX76" s="343" t="s">
        <v>1300</v>
      </c>
      <c r="GOY76" s="343" t="s">
        <v>252</v>
      </c>
      <c r="GOZ76" s="343" t="s">
        <v>1300</v>
      </c>
      <c r="GPA76" s="343" t="s">
        <v>252</v>
      </c>
      <c r="GPB76" s="343" t="s">
        <v>1300</v>
      </c>
      <c r="GPC76" s="343" t="s">
        <v>252</v>
      </c>
      <c r="GPD76" s="343" t="s">
        <v>1300</v>
      </c>
      <c r="GPE76" s="343" t="s">
        <v>252</v>
      </c>
      <c r="GPF76" s="343" t="s">
        <v>1300</v>
      </c>
      <c r="GPG76" s="343" t="s">
        <v>252</v>
      </c>
      <c r="GPH76" s="343" t="s">
        <v>1300</v>
      </c>
      <c r="GPI76" s="343" t="s">
        <v>252</v>
      </c>
      <c r="GPJ76" s="343" t="s">
        <v>1300</v>
      </c>
      <c r="GPK76" s="343" t="s">
        <v>252</v>
      </c>
      <c r="GPL76" s="343" t="s">
        <v>1300</v>
      </c>
      <c r="GPM76" s="343" t="s">
        <v>252</v>
      </c>
      <c r="GPN76" s="343" t="s">
        <v>1300</v>
      </c>
      <c r="GPO76" s="343" t="s">
        <v>252</v>
      </c>
      <c r="GPP76" s="343" t="s">
        <v>1300</v>
      </c>
      <c r="GPQ76" s="343" t="s">
        <v>252</v>
      </c>
      <c r="GPR76" s="343" t="s">
        <v>1300</v>
      </c>
      <c r="GPS76" s="343" t="s">
        <v>252</v>
      </c>
      <c r="GPT76" s="343" t="s">
        <v>1300</v>
      </c>
      <c r="GPU76" s="343" t="s">
        <v>252</v>
      </c>
      <c r="GPV76" s="343" t="s">
        <v>1300</v>
      </c>
      <c r="GPW76" s="343" t="s">
        <v>252</v>
      </c>
      <c r="GPX76" s="343" t="s">
        <v>1300</v>
      </c>
      <c r="GPY76" s="343" t="s">
        <v>252</v>
      </c>
      <c r="GPZ76" s="343" t="s">
        <v>1300</v>
      </c>
      <c r="GQA76" s="343" t="s">
        <v>252</v>
      </c>
      <c r="GQB76" s="343" t="s">
        <v>1300</v>
      </c>
      <c r="GQC76" s="343" t="s">
        <v>252</v>
      </c>
      <c r="GQD76" s="343" t="s">
        <v>1300</v>
      </c>
      <c r="GQE76" s="343" t="s">
        <v>252</v>
      </c>
      <c r="GQF76" s="343" t="s">
        <v>1300</v>
      </c>
      <c r="GQG76" s="343" t="s">
        <v>252</v>
      </c>
      <c r="GQH76" s="343" t="s">
        <v>1300</v>
      </c>
      <c r="GQI76" s="343" t="s">
        <v>252</v>
      </c>
      <c r="GQJ76" s="343" t="s">
        <v>1300</v>
      </c>
      <c r="GQK76" s="343" t="s">
        <v>252</v>
      </c>
      <c r="GQL76" s="343" t="s">
        <v>1300</v>
      </c>
      <c r="GQM76" s="343" t="s">
        <v>252</v>
      </c>
      <c r="GQN76" s="343" t="s">
        <v>1300</v>
      </c>
      <c r="GQO76" s="343" t="s">
        <v>252</v>
      </c>
      <c r="GQP76" s="343" t="s">
        <v>1300</v>
      </c>
      <c r="GQQ76" s="343" t="s">
        <v>252</v>
      </c>
      <c r="GQR76" s="343" t="s">
        <v>1300</v>
      </c>
      <c r="GQS76" s="343" t="s">
        <v>252</v>
      </c>
      <c r="GQT76" s="343" t="s">
        <v>1300</v>
      </c>
      <c r="GQU76" s="343" t="s">
        <v>252</v>
      </c>
      <c r="GQV76" s="343" t="s">
        <v>1300</v>
      </c>
      <c r="GQW76" s="343" t="s">
        <v>252</v>
      </c>
      <c r="GQX76" s="343" t="s">
        <v>1300</v>
      </c>
      <c r="GQY76" s="343" t="s">
        <v>252</v>
      </c>
      <c r="GQZ76" s="343" t="s">
        <v>1300</v>
      </c>
      <c r="GRA76" s="343" t="s">
        <v>252</v>
      </c>
      <c r="GRB76" s="343" t="s">
        <v>1300</v>
      </c>
      <c r="GRC76" s="343" t="s">
        <v>252</v>
      </c>
      <c r="GRD76" s="343" t="s">
        <v>1300</v>
      </c>
      <c r="GRE76" s="343" t="s">
        <v>252</v>
      </c>
      <c r="GRF76" s="343" t="s">
        <v>1300</v>
      </c>
      <c r="GRG76" s="343" t="s">
        <v>252</v>
      </c>
      <c r="GRH76" s="343" t="s">
        <v>1300</v>
      </c>
      <c r="GRI76" s="343" t="s">
        <v>252</v>
      </c>
      <c r="GRJ76" s="343" t="s">
        <v>1300</v>
      </c>
      <c r="GRK76" s="343" t="s">
        <v>252</v>
      </c>
      <c r="GRL76" s="343" t="s">
        <v>1300</v>
      </c>
      <c r="GRM76" s="343" t="s">
        <v>252</v>
      </c>
      <c r="GRN76" s="343" t="s">
        <v>1300</v>
      </c>
      <c r="GRO76" s="343" t="s">
        <v>252</v>
      </c>
      <c r="GRP76" s="343" t="s">
        <v>1300</v>
      </c>
      <c r="GRQ76" s="343" t="s">
        <v>252</v>
      </c>
      <c r="GRR76" s="343" t="s">
        <v>1300</v>
      </c>
      <c r="GRS76" s="343" t="s">
        <v>252</v>
      </c>
      <c r="GRT76" s="343" t="s">
        <v>1300</v>
      </c>
      <c r="GRU76" s="343" t="s">
        <v>252</v>
      </c>
      <c r="GRV76" s="343" t="s">
        <v>1300</v>
      </c>
      <c r="GRW76" s="343" t="s">
        <v>252</v>
      </c>
      <c r="GRX76" s="343" t="s">
        <v>1300</v>
      </c>
      <c r="GRY76" s="343" t="s">
        <v>252</v>
      </c>
      <c r="GRZ76" s="343" t="s">
        <v>1300</v>
      </c>
      <c r="GSA76" s="343" t="s">
        <v>252</v>
      </c>
      <c r="GSB76" s="343" t="s">
        <v>1300</v>
      </c>
      <c r="GSC76" s="343" t="s">
        <v>252</v>
      </c>
      <c r="GSD76" s="343" t="s">
        <v>1300</v>
      </c>
      <c r="GSE76" s="343" t="s">
        <v>252</v>
      </c>
      <c r="GSF76" s="343" t="s">
        <v>1300</v>
      </c>
      <c r="GSG76" s="343" t="s">
        <v>252</v>
      </c>
      <c r="GSH76" s="343" t="s">
        <v>1300</v>
      </c>
      <c r="GSI76" s="343" t="s">
        <v>252</v>
      </c>
      <c r="GSJ76" s="343" t="s">
        <v>1300</v>
      </c>
      <c r="GSK76" s="343" t="s">
        <v>252</v>
      </c>
      <c r="GSL76" s="343" t="s">
        <v>1300</v>
      </c>
      <c r="GSM76" s="343" t="s">
        <v>252</v>
      </c>
      <c r="GSN76" s="343" t="s">
        <v>1300</v>
      </c>
      <c r="GSO76" s="343" t="s">
        <v>252</v>
      </c>
      <c r="GSP76" s="343" t="s">
        <v>1300</v>
      </c>
      <c r="GSQ76" s="343" t="s">
        <v>252</v>
      </c>
      <c r="GSR76" s="343" t="s">
        <v>1300</v>
      </c>
      <c r="GSS76" s="343" t="s">
        <v>252</v>
      </c>
      <c r="GST76" s="343" t="s">
        <v>1300</v>
      </c>
      <c r="GSU76" s="343" t="s">
        <v>252</v>
      </c>
      <c r="GSV76" s="343" t="s">
        <v>1300</v>
      </c>
      <c r="GSW76" s="343" t="s">
        <v>252</v>
      </c>
      <c r="GSX76" s="343" t="s">
        <v>1300</v>
      </c>
      <c r="GSY76" s="343" t="s">
        <v>252</v>
      </c>
      <c r="GSZ76" s="343" t="s">
        <v>1300</v>
      </c>
      <c r="GTA76" s="343" t="s">
        <v>252</v>
      </c>
      <c r="GTB76" s="343" t="s">
        <v>1300</v>
      </c>
      <c r="GTC76" s="343" t="s">
        <v>252</v>
      </c>
      <c r="GTD76" s="343" t="s">
        <v>1300</v>
      </c>
      <c r="GTE76" s="343" t="s">
        <v>252</v>
      </c>
      <c r="GTF76" s="343" t="s">
        <v>1300</v>
      </c>
      <c r="GTG76" s="343" t="s">
        <v>252</v>
      </c>
      <c r="GTH76" s="343" t="s">
        <v>1300</v>
      </c>
      <c r="GTI76" s="343" t="s">
        <v>252</v>
      </c>
      <c r="GTJ76" s="343" t="s">
        <v>1300</v>
      </c>
      <c r="GTK76" s="343" t="s">
        <v>252</v>
      </c>
      <c r="GTL76" s="343" t="s">
        <v>1300</v>
      </c>
      <c r="GTM76" s="343" t="s">
        <v>252</v>
      </c>
      <c r="GTN76" s="343" t="s">
        <v>1300</v>
      </c>
      <c r="GTO76" s="343" t="s">
        <v>252</v>
      </c>
      <c r="GTP76" s="343" t="s">
        <v>1300</v>
      </c>
      <c r="GTQ76" s="343" t="s">
        <v>252</v>
      </c>
      <c r="GTR76" s="343" t="s">
        <v>1300</v>
      </c>
      <c r="GTS76" s="343" t="s">
        <v>252</v>
      </c>
      <c r="GTT76" s="343" t="s">
        <v>1300</v>
      </c>
      <c r="GTU76" s="343" t="s">
        <v>252</v>
      </c>
      <c r="GTV76" s="343" t="s">
        <v>1300</v>
      </c>
      <c r="GTW76" s="343" t="s">
        <v>252</v>
      </c>
      <c r="GTX76" s="343" t="s">
        <v>1300</v>
      </c>
      <c r="GTY76" s="343" t="s">
        <v>252</v>
      </c>
      <c r="GTZ76" s="343" t="s">
        <v>1300</v>
      </c>
      <c r="GUA76" s="343" t="s">
        <v>252</v>
      </c>
      <c r="GUB76" s="343" t="s">
        <v>1300</v>
      </c>
      <c r="GUC76" s="343" t="s">
        <v>252</v>
      </c>
      <c r="GUD76" s="343" t="s">
        <v>1300</v>
      </c>
      <c r="GUE76" s="343" t="s">
        <v>252</v>
      </c>
      <c r="GUF76" s="343" t="s">
        <v>1300</v>
      </c>
      <c r="GUG76" s="343" t="s">
        <v>252</v>
      </c>
      <c r="GUH76" s="343" t="s">
        <v>1300</v>
      </c>
      <c r="GUI76" s="343" t="s">
        <v>252</v>
      </c>
      <c r="GUJ76" s="343" t="s">
        <v>1300</v>
      </c>
      <c r="GUK76" s="343" t="s">
        <v>252</v>
      </c>
      <c r="GUL76" s="343" t="s">
        <v>1300</v>
      </c>
      <c r="GUM76" s="343" t="s">
        <v>252</v>
      </c>
      <c r="GUN76" s="343" t="s">
        <v>1300</v>
      </c>
      <c r="GUO76" s="343" t="s">
        <v>252</v>
      </c>
      <c r="GUP76" s="343" t="s">
        <v>1300</v>
      </c>
      <c r="GUQ76" s="343" t="s">
        <v>252</v>
      </c>
      <c r="GUR76" s="343" t="s">
        <v>1300</v>
      </c>
      <c r="GUS76" s="343" t="s">
        <v>252</v>
      </c>
      <c r="GUT76" s="343" t="s">
        <v>1300</v>
      </c>
      <c r="GUU76" s="343" t="s">
        <v>252</v>
      </c>
      <c r="GUV76" s="343" t="s">
        <v>1300</v>
      </c>
      <c r="GUW76" s="343" t="s">
        <v>252</v>
      </c>
      <c r="GUX76" s="343" t="s">
        <v>1300</v>
      </c>
      <c r="GUY76" s="343" t="s">
        <v>252</v>
      </c>
      <c r="GUZ76" s="343" t="s">
        <v>1300</v>
      </c>
      <c r="GVA76" s="343" t="s">
        <v>252</v>
      </c>
      <c r="GVB76" s="343" t="s">
        <v>1300</v>
      </c>
      <c r="GVC76" s="343" t="s">
        <v>252</v>
      </c>
      <c r="GVD76" s="343" t="s">
        <v>1300</v>
      </c>
      <c r="GVE76" s="343" t="s">
        <v>252</v>
      </c>
      <c r="GVF76" s="343" t="s">
        <v>1300</v>
      </c>
      <c r="GVG76" s="343" t="s">
        <v>252</v>
      </c>
      <c r="GVH76" s="343" t="s">
        <v>1300</v>
      </c>
      <c r="GVI76" s="343" t="s">
        <v>252</v>
      </c>
      <c r="GVJ76" s="343" t="s">
        <v>1300</v>
      </c>
      <c r="GVK76" s="343" t="s">
        <v>252</v>
      </c>
      <c r="GVL76" s="343" t="s">
        <v>1300</v>
      </c>
      <c r="GVM76" s="343" t="s">
        <v>252</v>
      </c>
      <c r="GVN76" s="343" t="s">
        <v>1300</v>
      </c>
      <c r="GVO76" s="343" t="s">
        <v>252</v>
      </c>
      <c r="GVP76" s="343" t="s">
        <v>1300</v>
      </c>
      <c r="GVQ76" s="343" t="s">
        <v>252</v>
      </c>
      <c r="GVR76" s="343" t="s">
        <v>1300</v>
      </c>
      <c r="GVS76" s="343" t="s">
        <v>252</v>
      </c>
      <c r="GVT76" s="343" t="s">
        <v>1300</v>
      </c>
      <c r="GVU76" s="343" t="s">
        <v>252</v>
      </c>
      <c r="GVV76" s="343" t="s">
        <v>1300</v>
      </c>
      <c r="GVW76" s="343" t="s">
        <v>252</v>
      </c>
      <c r="GVX76" s="343" t="s">
        <v>1300</v>
      </c>
      <c r="GVY76" s="343" t="s">
        <v>252</v>
      </c>
      <c r="GVZ76" s="343" t="s">
        <v>1300</v>
      </c>
      <c r="GWA76" s="343" t="s">
        <v>252</v>
      </c>
      <c r="GWB76" s="343" t="s">
        <v>1300</v>
      </c>
      <c r="GWC76" s="343" t="s">
        <v>252</v>
      </c>
      <c r="GWD76" s="343" t="s">
        <v>1300</v>
      </c>
      <c r="GWE76" s="343" t="s">
        <v>252</v>
      </c>
      <c r="GWF76" s="343" t="s">
        <v>1300</v>
      </c>
      <c r="GWG76" s="343" t="s">
        <v>252</v>
      </c>
      <c r="GWH76" s="343" t="s">
        <v>1300</v>
      </c>
      <c r="GWI76" s="343" t="s">
        <v>252</v>
      </c>
      <c r="GWJ76" s="343" t="s">
        <v>1300</v>
      </c>
      <c r="GWK76" s="343" t="s">
        <v>252</v>
      </c>
      <c r="GWL76" s="343" t="s">
        <v>1300</v>
      </c>
      <c r="GWM76" s="343" t="s">
        <v>252</v>
      </c>
      <c r="GWN76" s="343" t="s">
        <v>1300</v>
      </c>
      <c r="GWO76" s="343" t="s">
        <v>252</v>
      </c>
      <c r="GWP76" s="343" t="s">
        <v>1300</v>
      </c>
      <c r="GWQ76" s="343" t="s">
        <v>252</v>
      </c>
      <c r="GWR76" s="343" t="s">
        <v>1300</v>
      </c>
      <c r="GWS76" s="343" t="s">
        <v>252</v>
      </c>
      <c r="GWT76" s="343" t="s">
        <v>1300</v>
      </c>
      <c r="GWU76" s="343" t="s">
        <v>252</v>
      </c>
      <c r="GWV76" s="343" t="s">
        <v>1300</v>
      </c>
      <c r="GWW76" s="343" t="s">
        <v>252</v>
      </c>
      <c r="GWX76" s="343" t="s">
        <v>1300</v>
      </c>
      <c r="GWY76" s="343" t="s">
        <v>252</v>
      </c>
      <c r="GWZ76" s="343" t="s">
        <v>1300</v>
      </c>
      <c r="GXA76" s="343" t="s">
        <v>252</v>
      </c>
      <c r="GXB76" s="343" t="s">
        <v>1300</v>
      </c>
      <c r="GXC76" s="343" t="s">
        <v>252</v>
      </c>
      <c r="GXD76" s="343" t="s">
        <v>1300</v>
      </c>
      <c r="GXE76" s="343" t="s">
        <v>252</v>
      </c>
      <c r="GXF76" s="343" t="s">
        <v>1300</v>
      </c>
      <c r="GXG76" s="343" t="s">
        <v>252</v>
      </c>
      <c r="GXH76" s="343" t="s">
        <v>1300</v>
      </c>
      <c r="GXI76" s="343" t="s">
        <v>252</v>
      </c>
      <c r="GXJ76" s="343" t="s">
        <v>1300</v>
      </c>
      <c r="GXK76" s="343" t="s">
        <v>252</v>
      </c>
      <c r="GXL76" s="343" t="s">
        <v>1300</v>
      </c>
      <c r="GXM76" s="343" t="s">
        <v>252</v>
      </c>
      <c r="GXN76" s="343" t="s">
        <v>1300</v>
      </c>
      <c r="GXO76" s="343" t="s">
        <v>252</v>
      </c>
      <c r="GXP76" s="343" t="s">
        <v>1300</v>
      </c>
      <c r="GXQ76" s="343" t="s">
        <v>252</v>
      </c>
      <c r="GXR76" s="343" t="s">
        <v>1300</v>
      </c>
      <c r="GXS76" s="343" t="s">
        <v>252</v>
      </c>
      <c r="GXT76" s="343" t="s">
        <v>1300</v>
      </c>
      <c r="GXU76" s="343" t="s">
        <v>252</v>
      </c>
      <c r="GXV76" s="343" t="s">
        <v>1300</v>
      </c>
      <c r="GXW76" s="343" t="s">
        <v>252</v>
      </c>
      <c r="GXX76" s="343" t="s">
        <v>1300</v>
      </c>
      <c r="GXY76" s="343" t="s">
        <v>252</v>
      </c>
      <c r="GXZ76" s="343" t="s">
        <v>1300</v>
      </c>
      <c r="GYA76" s="343" t="s">
        <v>252</v>
      </c>
      <c r="GYB76" s="343" t="s">
        <v>1300</v>
      </c>
      <c r="GYC76" s="343" t="s">
        <v>252</v>
      </c>
      <c r="GYD76" s="343" t="s">
        <v>1300</v>
      </c>
      <c r="GYE76" s="343" t="s">
        <v>252</v>
      </c>
      <c r="GYF76" s="343" t="s">
        <v>1300</v>
      </c>
      <c r="GYG76" s="343" t="s">
        <v>252</v>
      </c>
      <c r="GYH76" s="343" t="s">
        <v>1300</v>
      </c>
      <c r="GYI76" s="343" t="s">
        <v>252</v>
      </c>
      <c r="GYJ76" s="343" t="s">
        <v>1300</v>
      </c>
      <c r="GYK76" s="343" t="s">
        <v>252</v>
      </c>
      <c r="GYL76" s="343" t="s">
        <v>1300</v>
      </c>
      <c r="GYM76" s="343" t="s">
        <v>252</v>
      </c>
      <c r="GYN76" s="343" t="s">
        <v>1300</v>
      </c>
      <c r="GYO76" s="343" t="s">
        <v>252</v>
      </c>
      <c r="GYP76" s="343" t="s">
        <v>1300</v>
      </c>
      <c r="GYQ76" s="343" t="s">
        <v>252</v>
      </c>
      <c r="GYR76" s="343" t="s">
        <v>1300</v>
      </c>
      <c r="GYS76" s="343" t="s">
        <v>252</v>
      </c>
      <c r="GYT76" s="343" t="s">
        <v>1300</v>
      </c>
      <c r="GYU76" s="343" t="s">
        <v>252</v>
      </c>
      <c r="GYV76" s="343" t="s">
        <v>1300</v>
      </c>
      <c r="GYW76" s="343" t="s">
        <v>252</v>
      </c>
      <c r="GYX76" s="343" t="s">
        <v>1300</v>
      </c>
      <c r="GYY76" s="343" t="s">
        <v>252</v>
      </c>
      <c r="GYZ76" s="343" t="s">
        <v>1300</v>
      </c>
      <c r="GZA76" s="343" t="s">
        <v>252</v>
      </c>
      <c r="GZB76" s="343" t="s">
        <v>1300</v>
      </c>
      <c r="GZC76" s="343" t="s">
        <v>252</v>
      </c>
      <c r="GZD76" s="343" t="s">
        <v>1300</v>
      </c>
      <c r="GZE76" s="343" t="s">
        <v>252</v>
      </c>
      <c r="GZF76" s="343" t="s">
        <v>1300</v>
      </c>
      <c r="GZG76" s="343" t="s">
        <v>252</v>
      </c>
      <c r="GZH76" s="343" t="s">
        <v>1300</v>
      </c>
      <c r="GZI76" s="343" t="s">
        <v>252</v>
      </c>
      <c r="GZJ76" s="343" t="s">
        <v>1300</v>
      </c>
      <c r="GZK76" s="343" t="s">
        <v>252</v>
      </c>
      <c r="GZL76" s="343" t="s">
        <v>1300</v>
      </c>
      <c r="GZM76" s="343" t="s">
        <v>252</v>
      </c>
      <c r="GZN76" s="343" t="s">
        <v>1300</v>
      </c>
      <c r="GZO76" s="343" t="s">
        <v>252</v>
      </c>
      <c r="GZP76" s="343" t="s">
        <v>1300</v>
      </c>
      <c r="GZQ76" s="343" t="s">
        <v>252</v>
      </c>
      <c r="GZR76" s="343" t="s">
        <v>1300</v>
      </c>
      <c r="GZS76" s="343" t="s">
        <v>252</v>
      </c>
      <c r="GZT76" s="343" t="s">
        <v>1300</v>
      </c>
      <c r="GZU76" s="343" t="s">
        <v>252</v>
      </c>
      <c r="GZV76" s="343" t="s">
        <v>1300</v>
      </c>
      <c r="GZW76" s="343" t="s">
        <v>252</v>
      </c>
      <c r="GZX76" s="343" t="s">
        <v>1300</v>
      </c>
      <c r="GZY76" s="343" t="s">
        <v>252</v>
      </c>
      <c r="GZZ76" s="343" t="s">
        <v>1300</v>
      </c>
      <c r="HAA76" s="343" t="s">
        <v>252</v>
      </c>
      <c r="HAB76" s="343" t="s">
        <v>1300</v>
      </c>
      <c r="HAC76" s="343" t="s">
        <v>252</v>
      </c>
      <c r="HAD76" s="343" t="s">
        <v>1300</v>
      </c>
      <c r="HAE76" s="343" t="s">
        <v>252</v>
      </c>
      <c r="HAF76" s="343" t="s">
        <v>1300</v>
      </c>
      <c r="HAG76" s="343" t="s">
        <v>252</v>
      </c>
      <c r="HAH76" s="343" t="s">
        <v>1300</v>
      </c>
      <c r="HAI76" s="343" t="s">
        <v>252</v>
      </c>
      <c r="HAJ76" s="343" t="s">
        <v>1300</v>
      </c>
      <c r="HAK76" s="343" t="s">
        <v>252</v>
      </c>
      <c r="HAL76" s="343" t="s">
        <v>1300</v>
      </c>
      <c r="HAM76" s="343" t="s">
        <v>252</v>
      </c>
      <c r="HAN76" s="343" t="s">
        <v>1300</v>
      </c>
      <c r="HAO76" s="343" t="s">
        <v>252</v>
      </c>
      <c r="HAP76" s="343" t="s">
        <v>1300</v>
      </c>
      <c r="HAQ76" s="343" t="s">
        <v>252</v>
      </c>
      <c r="HAR76" s="343" t="s">
        <v>1300</v>
      </c>
      <c r="HAS76" s="343" t="s">
        <v>252</v>
      </c>
      <c r="HAT76" s="343" t="s">
        <v>1300</v>
      </c>
      <c r="HAU76" s="343" t="s">
        <v>252</v>
      </c>
      <c r="HAV76" s="343" t="s">
        <v>1300</v>
      </c>
      <c r="HAW76" s="343" t="s">
        <v>252</v>
      </c>
      <c r="HAX76" s="343" t="s">
        <v>1300</v>
      </c>
      <c r="HAY76" s="343" t="s">
        <v>252</v>
      </c>
      <c r="HAZ76" s="343" t="s">
        <v>1300</v>
      </c>
      <c r="HBA76" s="343" t="s">
        <v>252</v>
      </c>
      <c r="HBB76" s="343" t="s">
        <v>1300</v>
      </c>
      <c r="HBC76" s="343" t="s">
        <v>252</v>
      </c>
      <c r="HBD76" s="343" t="s">
        <v>1300</v>
      </c>
      <c r="HBE76" s="343" t="s">
        <v>252</v>
      </c>
      <c r="HBF76" s="343" t="s">
        <v>1300</v>
      </c>
      <c r="HBG76" s="343" t="s">
        <v>252</v>
      </c>
      <c r="HBH76" s="343" t="s">
        <v>1300</v>
      </c>
      <c r="HBI76" s="343" t="s">
        <v>252</v>
      </c>
      <c r="HBJ76" s="343" t="s">
        <v>1300</v>
      </c>
      <c r="HBK76" s="343" t="s">
        <v>252</v>
      </c>
      <c r="HBL76" s="343" t="s">
        <v>1300</v>
      </c>
      <c r="HBM76" s="343" t="s">
        <v>252</v>
      </c>
      <c r="HBN76" s="343" t="s">
        <v>1300</v>
      </c>
      <c r="HBO76" s="343" t="s">
        <v>252</v>
      </c>
      <c r="HBP76" s="343" t="s">
        <v>1300</v>
      </c>
      <c r="HBQ76" s="343" t="s">
        <v>252</v>
      </c>
      <c r="HBR76" s="343" t="s">
        <v>1300</v>
      </c>
      <c r="HBS76" s="343" t="s">
        <v>252</v>
      </c>
      <c r="HBT76" s="343" t="s">
        <v>1300</v>
      </c>
      <c r="HBU76" s="343" t="s">
        <v>252</v>
      </c>
      <c r="HBV76" s="343" t="s">
        <v>1300</v>
      </c>
      <c r="HBW76" s="343" t="s">
        <v>252</v>
      </c>
      <c r="HBX76" s="343" t="s">
        <v>1300</v>
      </c>
      <c r="HBY76" s="343" t="s">
        <v>252</v>
      </c>
      <c r="HBZ76" s="343" t="s">
        <v>1300</v>
      </c>
      <c r="HCA76" s="343" t="s">
        <v>252</v>
      </c>
      <c r="HCB76" s="343" t="s">
        <v>1300</v>
      </c>
      <c r="HCC76" s="343" t="s">
        <v>252</v>
      </c>
      <c r="HCD76" s="343" t="s">
        <v>1300</v>
      </c>
      <c r="HCE76" s="343" t="s">
        <v>252</v>
      </c>
      <c r="HCF76" s="343" t="s">
        <v>1300</v>
      </c>
      <c r="HCG76" s="343" t="s">
        <v>252</v>
      </c>
      <c r="HCH76" s="343" t="s">
        <v>1300</v>
      </c>
      <c r="HCI76" s="343" t="s">
        <v>252</v>
      </c>
      <c r="HCJ76" s="343" t="s">
        <v>1300</v>
      </c>
      <c r="HCK76" s="343" t="s">
        <v>252</v>
      </c>
      <c r="HCL76" s="343" t="s">
        <v>1300</v>
      </c>
      <c r="HCM76" s="343" t="s">
        <v>252</v>
      </c>
      <c r="HCN76" s="343" t="s">
        <v>1300</v>
      </c>
      <c r="HCO76" s="343" t="s">
        <v>252</v>
      </c>
      <c r="HCP76" s="343" t="s">
        <v>1300</v>
      </c>
      <c r="HCQ76" s="343" t="s">
        <v>252</v>
      </c>
      <c r="HCR76" s="343" t="s">
        <v>1300</v>
      </c>
      <c r="HCS76" s="343" t="s">
        <v>252</v>
      </c>
      <c r="HCT76" s="343" t="s">
        <v>1300</v>
      </c>
      <c r="HCU76" s="343" t="s">
        <v>252</v>
      </c>
      <c r="HCV76" s="343" t="s">
        <v>1300</v>
      </c>
      <c r="HCW76" s="343" t="s">
        <v>252</v>
      </c>
      <c r="HCX76" s="343" t="s">
        <v>1300</v>
      </c>
      <c r="HCY76" s="343" t="s">
        <v>252</v>
      </c>
      <c r="HCZ76" s="343" t="s">
        <v>1300</v>
      </c>
      <c r="HDA76" s="343" t="s">
        <v>252</v>
      </c>
      <c r="HDB76" s="343" t="s">
        <v>1300</v>
      </c>
      <c r="HDC76" s="343" t="s">
        <v>252</v>
      </c>
      <c r="HDD76" s="343" t="s">
        <v>1300</v>
      </c>
      <c r="HDE76" s="343" t="s">
        <v>252</v>
      </c>
      <c r="HDF76" s="343" t="s">
        <v>1300</v>
      </c>
      <c r="HDG76" s="343" t="s">
        <v>252</v>
      </c>
      <c r="HDH76" s="343" t="s">
        <v>1300</v>
      </c>
      <c r="HDI76" s="343" t="s">
        <v>252</v>
      </c>
      <c r="HDJ76" s="343" t="s">
        <v>1300</v>
      </c>
      <c r="HDK76" s="343" t="s">
        <v>252</v>
      </c>
      <c r="HDL76" s="343" t="s">
        <v>1300</v>
      </c>
      <c r="HDM76" s="343" t="s">
        <v>252</v>
      </c>
      <c r="HDN76" s="343" t="s">
        <v>1300</v>
      </c>
      <c r="HDO76" s="343" t="s">
        <v>252</v>
      </c>
      <c r="HDP76" s="343" t="s">
        <v>1300</v>
      </c>
      <c r="HDQ76" s="343" t="s">
        <v>252</v>
      </c>
      <c r="HDR76" s="343" t="s">
        <v>1300</v>
      </c>
      <c r="HDS76" s="343" t="s">
        <v>252</v>
      </c>
      <c r="HDT76" s="343" t="s">
        <v>1300</v>
      </c>
      <c r="HDU76" s="343" t="s">
        <v>252</v>
      </c>
      <c r="HDV76" s="343" t="s">
        <v>1300</v>
      </c>
      <c r="HDW76" s="343" t="s">
        <v>252</v>
      </c>
      <c r="HDX76" s="343" t="s">
        <v>1300</v>
      </c>
      <c r="HDY76" s="343" t="s">
        <v>252</v>
      </c>
      <c r="HDZ76" s="343" t="s">
        <v>1300</v>
      </c>
      <c r="HEA76" s="343" t="s">
        <v>252</v>
      </c>
      <c r="HEB76" s="343" t="s">
        <v>1300</v>
      </c>
      <c r="HEC76" s="343" t="s">
        <v>252</v>
      </c>
      <c r="HED76" s="343" t="s">
        <v>1300</v>
      </c>
      <c r="HEE76" s="343" t="s">
        <v>252</v>
      </c>
      <c r="HEF76" s="343" t="s">
        <v>1300</v>
      </c>
      <c r="HEG76" s="343" t="s">
        <v>252</v>
      </c>
      <c r="HEH76" s="343" t="s">
        <v>1300</v>
      </c>
      <c r="HEI76" s="343" t="s">
        <v>252</v>
      </c>
      <c r="HEJ76" s="343" t="s">
        <v>1300</v>
      </c>
      <c r="HEK76" s="343" t="s">
        <v>252</v>
      </c>
      <c r="HEL76" s="343" t="s">
        <v>1300</v>
      </c>
      <c r="HEM76" s="343" t="s">
        <v>252</v>
      </c>
      <c r="HEN76" s="343" t="s">
        <v>1300</v>
      </c>
      <c r="HEO76" s="343" t="s">
        <v>252</v>
      </c>
      <c r="HEP76" s="343" t="s">
        <v>1300</v>
      </c>
      <c r="HEQ76" s="343" t="s">
        <v>252</v>
      </c>
      <c r="HER76" s="343" t="s">
        <v>1300</v>
      </c>
      <c r="HES76" s="343" t="s">
        <v>252</v>
      </c>
      <c r="HET76" s="343" t="s">
        <v>1300</v>
      </c>
      <c r="HEU76" s="343" t="s">
        <v>252</v>
      </c>
      <c r="HEV76" s="343" t="s">
        <v>1300</v>
      </c>
      <c r="HEW76" s="343" t="s">
        <v>252</v>
      </c>
      <c r="HEX76" s="343" t="s">
        <v>1300</v>
      </c>
      <c r="HEY76" s="343" t="s">
        <v>252</v>
      </c>
      <c r="HEZ76" s="343" t="s">
        <v>1300</v>
      </c>
      <c r="HFA76" s="343" t="s">
        <v>252</v>
      </c>
      <c r="HFB76" s="343" t="s">
        <v>1300</v>
      </c>
      <c r="HFC76" s="343" t="s">
        <v>252</v>
      </c>
      <c r="HFD76" s="343" t="s">
        <v>1300</v>
      </c>
      <c r="HFE76" s="343" t="s">
        <v>252</v>
      </c>
      <c r="HFF76" s="343" t="s">
        <v>1300</v>
      </c>
      <c r="HFG76" s="343" t="s">
        <v>252</v>
      </c>
      <c r="HFH76" s="343" t="s">
        <v>1300</v>
      </c>
      <c r="HFI76" s="343" t="s">
        <v>252</v>
      </c>
      <c r="HFJ76" s="343" t="s">
        <v>1300</v>
      </c>
      <c r="HFK76" s="343" t="s">
        <v>252</v>
      </c>
      <c r="HFL76" s="343" t="s">
        <v>1300</v>
      </c>
      <c r="HFM76" s="343" t="s">
        <v>252</v>
      </c>
      <c r="HFN76" s="343" t="s">
        <v>1300</v>
      </c>
      <c r="HFO76" s="343" t="s">
        <v>252</v>
      </c>
      <c r="HFP76" s="343" t="s">
        <v>1300</v>
      </c>
      <c r="HFQ76" s="343" t="s">
        <v>252</v>
      </c>
      <c r="HFR76" s="343" t="s">
        <v>1300</v>
      </c>
      <c r="HFS76" s="343" t="s">
        <v>252</v>
      </c>
      <c r="HFT76" s="343" t="s">
        <v>1300</v>
      </c>
      <c r="HFU76" s="343" t="s">
        <v>252</v>
      </c>
      <c r="HFV76" s="343" t="s">
        <v>1300</v>
      </c>
      <c r="HFW76" s="343" t="s">
        <v>252</v>
      </c>
      <c r="HFX76" s="343" t="s">
        <v>1300</v>
      </c>
      <c r="HFY76" s="343" t="s">
        <v>252</v>
      </c>
      <c r="HFZ76" s="343" t="s">
        <v>1300</v>
      </c>
      <c r="HGA76" s="343" t="s">
        <v>252</v>
      </c>
      <c r="HGB76" s="343" t="s">
        <v>1300</v>
      </c>
      <c r="HGC76" s="343" t="s">
        <v>252</v>
      </c>
      <c r="HGD76" s="343" t="s">
        <v>1300</v>
      </c>
      <c r="HGE76" s="343" t="s">
        <v>252</v>
      </c>
      <c r="HGF76" s="343" t="s">
        <v>1300</v>
      </c>
      <c r="HGG76" s="343" t="s">
        <v>252</v>
      </c>
      <c r="HGH76" s="343" t="s">
        <v>1300</v>
      </c>
      <c r="HGI76" s="343" t="s">
        <v>252</v>
      </c>
      <c r="HGJ76" s="343" t="s">
        <v>1300</v>
      </c>
      <c r="HGK76" s="343" t="s">
        <v>252</v>
      </c>
      <c r="HGL76" s="343" t="s">
        <v>1300</v>
      </c>
      <c r="HGM76" s="343" t="s">
        <v>252</v>
      </c>
      <c r="HGN76" s="343" t="s">
        <v>1300</v>
      </c>
      <c r="HGO76" s="343" t="s">
        <v>252</v>
      </c>
      <c r="HGP76" s="343" t="s">
        <v>1300</v>
      </c>
      <c r="HGQ76" s="343" t="s">
        <v>252</v>
      </c>
      <c r="HGR76" s="343" t="s">
        <v>1300</v>
      </c>
      <c r="HGS76" s="343" t="s">
        <v>252</v>
      </c>
      <c r="HGT76" s="343" t="s">
        <v>1300</v>
      </c>
      <c r="HGU76" s="343" t="s">
        <v>252</v>
      </c>
      <c r="HGV76" s="343" t="s">
        <v>1300</v>
      </c>
      <c r="HGW76" s="343" t="s">
        <v>252</v>
      </c>
      <c r="HGX76" s="343" t="s">
        <v>1300</v>
      </c>
      <c r="HGY76" s="343" t="s">
        <v>252</v>
      </c>
      <c r="HGZ76" s="343" t="s">
        <v>1300</v>
      </c>
      <c r="HHA76" s="343" t="s">
        <v>252</v>
      </c>
      <c r="HHB76" s="343" t="s">
        <v>1300</v>
      </c>
      <c r="HHC76" s="343" t="s">
        <v>252</v>
      </c>
      <c r="HHD76" s="343" t="s">
        <v>1300</v>
      </c>
      <c r="HHE76" s="343" t="s">
        <v>252</v>
      </c>
      <c r="HHF76" s="343" t="s">
        <v>1300</v>
      </c>
      <c r="HHG76" s="343" t="s">
        <v>252</v>
      </c>
      <c r="HHH76" s="343" t="s">
        <v>1300</v>
      </c>
      <c r="HHI76" s="343" t="s">
        <v>252</v>
      </c>
      <c r="HHJ76" s="343" t="s">
        <v>1300</v>
      </c>
      <c r="HHK76" s="343" t="s">
        <v>252</v>
      </c>
      <c r="HHL76" s="343" t="s">
        <v>1300</v>
      </c>
      <c r="HHM76" s="343" t="s">
        <v>252</v>
      </c>
      <c r="HHN76" s="343" t="s">
        <v>1300</v>
      </c>
      <c r="HHO76" s="343" t="s">
        <v>252</v>
      </c>
      <c r="HHP76" s="343" t="s">
        <v>1300</v>
      </c>
      <c r="HHQ76" s="343" t="s">
        <v>252</v>
      </c>
      <c r="HHR76" s="343" t="s">
        <v>1300</v>
      </c>
      <c r="HHS76" s="343" t="s">
        <v>252</v>
      </c>
      <c r="HHT76" s="343" t="s">
        <v>1300</v>
      </c>
      <c r="HHU76" s="343" t="s">
        <v>252</v>
      </c>
      <c r="HHV76" s="343" t="s">
        <v>1300</v>
      </c>
      <c r="HHW76" s="343" t="s">
        <v>252</v>
      </c>
      <c r="HHX76" s="343" t="s">
        <v>1300</v>
      </c>
      <c r="HHY76" s="343" t="s">
        <v>252</v>
      </c>
      <c r="HHZ76" s="343" t="s">
        <v>1300</v>
      </c>
      <c r="HIA76" s="343" t="s">
        <v>252</v>
      </c>
      <c r="HIB76" s="343" t="s">
        <v>1300</v>
      </c>
      <c r="HIC76" s="343" t="s">
        <v>252</v>
      </c>
      <c r="HID76" s="343" t="s">
        <v>1300</v>
      </c>
      <c r="HIE76" s="343" t="s">
        <v>252</v>
      </c>
      <c r="HIF76" s="343" t="s">
        <v>1300</v>
      </c>
      <c r="HIG76" s="343" t="s">
        <v>252</v>
      </c>
      <c r="HIH76" s="343" t="s">
        <v>1300</v>
      </c>
      <c r="HII76" s="343" t="s">
        <v>252</v>
      </c>
      <c r="HIJ76" s="343" t="s">
        <v>1300</v>
      </c>
      <c r="HIK76" s="343" t="s">
        <v>252</v>
      </c>
      <c r="HIL76" s="343" t="s">
        <v>1300</v>
      </c>
      <c r="HIM76" s="343" t="s">
        <v>252</v>
      </c>
      <c r="HIN76" s="343" t="s">
        <v>1300</v>
      </c>
      <c r="HIO76" s="343" t="s">
        <v>252</v>
      </c>
      <c r="HIP76" s="343" t="s">
        <v>1300</v>
      </c>
      <c r="HIQ76" s="343" t="s">
        <v>252</v>
      </c>
      <c r="HIR76" s="343" t="s">
        <v>1300</v>
      </c>
      <c r="HIS76" s="343" t="s">
        <v>252</v>
      </c>
      <c r="HIT76" s="343" t="s">
        <v>1300</v>
      </c>
      <c r="HIU76" s="343" t="s">
        <v>252</v>
      </c>
      <c r="HIV76" s="343" t="s">
        <v>1300</v>
      </c>
      <c r="HIW76" s="343" t="s">
        <v>252</v>
      </c>
      <c r="HIX76" s="343" t="s">
        <v>1300</v>
      </c>
      <c r="HIY76" s="343" t="s">
        <v>252</v>
      </c>
      <c r="HIZ76" s="343" t="s">
        <v>1300</v>
      </c>
      <c r="HJA76" s="343" t="s">
        <v>252</v>
      </c>
      <c r="HJB76" s="343" t="s">
        <v>1300</v>
      </c>
      <c r="HJC76" s="343" t="s">
        <v>252</v>
      </c>
      <c r="HJD76" s="343" t="s">
        <v>1300</v>
      </c>
      <c r="HJE76" s="343" t="s">
        <v>252</v>
      </c>
      <c r="HJF76" s="343" t="s">
        <v>1300</v>
      </c>
      <c r="HJG76" s="343" t="s">
        <v>252</v>
      </c>
      <c r="HJH76" s="343" t="s">
        <v>1300</v>
      </c>
      <c r="HJI76" s="343" t="s">
        <v>252</v>
      </c>
      <c r="HJJ76" s="343" t="s">
        <v>1300</v>
      </c>
      <c r="HJK76" s="343" t="s">
        <v>252</v>
      </c>
      <c r="HJL76" s="343" t="s">
        <v>1300</v>
      </c>
      <c r="HJM76" s="343" t="s">
        <v>252</v>
      </c>
      <c r="HJN76" s="343" t="s">
        <v>1300</v>
      </c>
      <c r="HJO76" s="343" t="s">
        <v>252</v>
      </c>
      <c r="HJP76" s="343" t="s">
        <v>1300</v>
      </c>
      <c r="HJQ76" s="343" t="s">
        <v>252</v>
      </c>
      <c r="HJR76" s="343" t="s">
        <v>1300</v>
      </c>
      <c r="HJS76" s="343" t="s">
        <v>252</v>
      </c>
      <c r="HJT76" s="343" t="s">
        <v>1300</v>
      </c>
      <c r="HJU76" s="343" t="s">
        <v>252</v>
      </c>
      <c r="HJV76" s="343" t="s">
        <v>1300</v>
      </c>
      <c r="HJW76" s="343" t="s">
        <v>252</v>
      </c>
      <c r="HJX76" s="343" t="s">
        <v>1300</v>
      </c>
      <c r="HJY76" s="343" t="s">
        <v>252</v>
      </c>
      <c r="HJZ76" s="343" t="s">
        <v>1300</v>
      </c>
      <c r="HKA76" s="343" t="s">
        <v>252</v>
      </c>
      <c r="HKB76" s="343" t="s">
        <v>1300</v>
      </c>
      <c r="HKC76" s="343" t="s">
        <v>252</v>
      </c>
      <c r="HKD76" s="343" t="s">
        <v>1300</v>
      </c>
      <c r="HKE76" s="343" t="s">
        <v>252</v>
      </c>
      <c r="HKF76" s="343" t="s">
        <v>1300</v>
      </c>
      <c r="HKG76" s="343" t="s">
        <v>252</v>
      </c>
      <c r="HKH76" s="343" t="s">
        <v>1300</v>
      </c>
      <c r="HKI76" s="343" t="s">
        <v>252</v>
      </c>
      <c r="HKJ76" s="343" t="s">
        <v>1300</v>
      </c>
      <c r="HKK76" s="343" t="s">
        <v>252</v>
      </c>
      <c r="HKL76" s="343" t="s">
        <v>1300</v>
      </c>
      <c r="HKM76" s="343" t="s">
        <v>252</v>
      </c>
      <c r="HKN76" s="343" t="s">
        <v>1300</v>
      </c>
      <c r="HKO76" s="343" t="s">
        <v>252</v>
      </c>
      <c r="HKP76" s="343" t="s">
        <v>1300</v>
      </c>
      <c r="HKQ76" s="343" t="s">
        <v>252</v>
      </c>
      <c r="HKR76" s="343" t="s">
        <v>1300</v>
      </c>
      <c r="HKS76" s="343" t="s">
        <v>252</v>
      </c>
      <c r="HKT76" s="343" t="s">
        <v>1300</v>
      </c>
      <c r="HKU76" s="343" t="s">
        <v>252</v>
      </c>
      <c r="HKV76" s="343" t="s">
        <v>1300</v>
      </c>
      <c r="HKW76" s="343" t="s">
        <v>252</v>
      </c>
      <c r="HKX76" s="343" t="s">
        <v>1300</v>
      </c>
      <c r="HKY76" s="343" t="s">
        <v>252</v>
      </c>
      <c r="HKZ76" s="343" t="s">
        <v>1300</v>
      </c>
      <c r="HLA76" s="343" t="s">
        <v>252</v>
      </c>
      <c r="HLB76" s="343" t="s">
        <v>1300</v>
      </c>
      <c r="HLC76" s="343" t="s">
        <v>252</v>
      </c>
      <c r="HLD76" s="343" t="s">
        <v>1300</v>
      </c>
      <c r="HLE76" s="343" t="s">
        <v>252</v>
      </c>
      <c r="HLF76" s="343" t="s">
        <v>1300</v>
      </c>
      <c r="HLG76" s="343" t="s">
        <v>252</v>
      </c>
      <c r="HLH76" s="343" t="s">
        <v>1300</v>
      </c>
      <c r="HLI76" s="343" t="s">
        <v>252</v>
      </c>
      <c r="HLJ76" s="343" t="s">
        <v>1300</v>
      </c>
      <c r="HLK76" s="343" t="s">
        <v>252</v>
      </c>
      <c r="HLL76" s="343" t="s">
        <v>1300</v>
      </c>
      <c r="HLM76" s="343" t="s">
        <v>252</v>
      </c>
      <c r="HLN76" s="343" t="s">
        <v>1300</v>
      </c>
      <c r="HLO76" s="343" t="s">
        <v>252</v>
      </c>
      <c r="HLP76" s="343" t="s">
        <v>1300</v>
      </c>
      <c r="HLQ76" s="343" t="s">
        <v>252</v>
      </c>
      <c r="HLR76" s="343" t="s">
        <v>1300</v>
      </c>
      <c r="HLS76" s="343" t="s">
        <v>252</v>
      </c>
      <c r="HLT76" s="343" t="s">
        <v>1300</v>
      </c>
      <c r="HLU76" s="343" t="s">
        <v>252</v>
      </c>
      <c r="HLV76" s="343" t="s">
        <v>1300</v>
      </c>
      <c r="HLW76" s="343" t="s">
        <v>252</v>
      </c>
      <c r="HLX76" s="343" t="s">
        <v>1300</v>
      </c>
      <c r="HLY76" s="343" t="s">
        <v>252</v>
      </c>
      <c r="HLZ76" s="343" t="s">
        <v>1300</v>
      </c>
      <c r="HMA76" s="343" t="s">
        <v>252</v>
      </c>
      <c r="HMB76" s="343" t="s">
        <v>1300</v>
      </c>
      <c r="HMC76" s="343" t="s">
        <v>252</v>
      </c>
      <c r="HMD76" s="343" t="s">
        <v>1300</v>
      </c>
      <c r="HME76" s="343" t="s">
        <v>252</v>
      </c>
      <c r="HMF76" s="343" t="s">
        <v>1300</v>
      </c>
      <c r="HMG76" s="343" t="s">
        <v>252</v>
      </c>
      <c r="HMH76" s="343" t="s">
        <v>1300</v>
      </c>
      <c r="HMI76" s="343" t="s">
        <v>252</v>
      </c>
      <c r="HMJ76" s="343" t="s">
        <v>1300</v>
      </c>
      <c r="HMK76" s="343" t="s">
        <v>252</v>
      </c>
      <c r="HML76" s="343" t="s">
        <v>1300</v>
      </c>
      <c r="HMM76" s="343" t="s">
        <v>252</v>
      </c>
      <c r="HMN76" s="343" t="s">
        <v>1300</v>
      </c>
      <c r="HMO76" s="343" t="s">
        <v>252</v>
      </c>
      <c r="HMP76" s="343" t="s">
        <v>1300</v>
      </c>
      <c r="HMQ76" s="343" t="s">
        <v>252</v>
      </c>
      <c r="HMR76" s="343" t="s">
        <v>1300</v>
      </c>
      <c r="HMS76" s="343" t="s">
        <v>252</v>
      </c>
      <c r="HMT76" s="343" t="s">
        <v>1300</v>
      </c>
      <c r="HMU76" s="343" t="s">
        <v>252</v>
      </c>
      <c r="HMV76" s="343" t="s">
        <v>1300</v>
      </c>
      <c r="HMW76" s="343" t="s">
        <v>252</v>
      </c>
      <c r="HMX76" s="343" t="s">
        <v>1300</v>
      </c>
      <c r="HMY76" s="343" t="s">
        <v>252</v>
      </c>
      <c r="HMZ76" s="343" t="s">
        <v>1300</v>
      </c>
      <c r="HNA76" s="343" t="s">
        <v>252</v>
      </c>
      <c r="HNB76" s="343" t="s">
        <v>1300</v>
      </c>
      <c r="HNC76" s="343" t="s">
        <v>252</v>
      </c>
      <c r="HND76" s="343" t="s">
        <v>1300</v>
      </c>
      <c r="HNE76" s="343" t="s">
        <v>252</v>
      </c>
      <c r="HNF76" s="343" t="s">
        <v>1300</v>
      </c>
      <c r="HNG76" s="343" t="s">
        <v>252</v>
      </c>
      <c r="HNH76" s="343" t="s">
        <v>1300</v>
      </c>
      <c r="HNI76" s="343" t="s">
        <v>252</v>
      </c>
      <c r="HNJ76" s="343" t="s">
        <v>1300</v>
      </c>
      <c r="HNK76" s="343" t="s">
        <v>252</v>
      </c>
      <c r="HNL76" s="343" t="s">
        <v>1300</v>
      </c>
      <c r="HNM76" s="343" t="s">
        <v>252</v>
      </c>
      <c r="HNN76" s="343" t="s">
        <v>1300</v>
      </c>
      <c r="HNO76" s="343" t="s">
        <v>252</v>
      </c>
      <c r="HNP76" s="343" t="s">
        <v>1300</v>
      </c>
      <c r="HNQ76" s="343" t="s">
        <v>252</v>
      </c>
      <c r="HNR76" s="343" t="s">
        <v>1300</v>
      </c>
      <c r="HNS76" s="343" t="s">
        <v>252</v>
      </c>
      <c r="HNT76" s="343" t="s">
        <v>1300</v>
      </c>
      <c r="HNU76" s="343" t="s">
        <v>252</v>
      </c>
      <c r="HNV76" s="343" t="s">
        <v>1300</v>
      </c>
      <c r="HNW76" s="343" t="s">
        <v>252</v>
      </c>
      <c r="HNX76" s="343" t="s">
        <v>1300</v>
      </c>
      <c r="HNY76" s="343" t="s">
        <v>252</v>
      </c>
      <c r="HNZ76" s="343" t="s">
        <v>1300</v>
      </c>
      <c r="HOA76" s="343" t="s">
        <v>252</v>
      </c>
      <c r="HOB76" s="343" t="s">
        <v>1300</v>
      </c>
      <c r="HOC76" s="343" t="s">
        <v>252</v>
      </c>
      <c r="HOD76" s="343" t="s">
        <v>1300</v>
      </c>
      <c r="HOE76" s="343" t="s">
        <v>252</v>
      </c>
      <c r="HOF76" s="343" t="s">
        <v>1300</v>
      </c>
      <c r="HOG76" s="343" t="s">
        <v>252</v>
      </c>
      <c r="HOH76" s="343" t="s">
        <v>1300</v>
      </c>
      <c r="HOI76" s="343" t="s">
        <v>252</v>
      </c>
      <c r="HOJ76" s="343" t="s">
        <v>1300</v>
      </c>
      <c r="HOK76" s="343" t="s">
        <v>252</v>
      </c>
      <c r="HOL76" s="343" t="s">
        <v>1300</v>
      </c>
      <c r="HOM76" s="343" t="s">
        <v>252</v>
      </c>
      <c r="HON76" s="343" t="s">
        <v>1300</v>
      </c>
      <c r="HOO76" s="343" t="s">
        <v>252</v>
      </c>
      <c r="HOP76" s="343" t="s">
        <v>1300</v>
      </c>
      <c r="HOQ76" s="343" t="s">
        <v>252</v>
      </c>
      <c r="HOR76" s="343" t="s">
        <v>1300</v>
      </c>
      <c r="HOS76" s="343" t="s">
        <v>252</v>
      </c>
      <c r="HOT76" s="343" t="s">
        <v>1300</v>
      </c>
      <c r="HOU76" s="343" t="s">
        <v>252</v>
      </c>
      <c r="HOV76" s="343" t="s">
        <v>1300</v>
      </c>
      <c r="HOW76" s="343" t="s">
        <v>252</v>
      </c>
      <c r="HOX76" s="343" t="s">
        <v>1300</v>
      </c>
      <c r="HOY76" s="343" t="s">
        <v>252</v>
      </c>
      <c r="HOZ76" s="343" t="s">
        <v>1300</v>
      </c>
      <c r="HPA76" s="343" t="s">
        <v>252</v>
      </c>
      <c r="HPB76" s="343" t="s">
        <v>1300</v>
      </c>
      <c r="HPC76" s="343" t="s">
        <v>252</v>
      </c>
      <c r="HPD76" s="343" t="s">
        <v>1300</v>
      </c>
      <c r="HPE76" s="343" t="s">
        <v>252</v>
      </c>
      <c r="HPF76" s="343" t="s">
        <v>1300</v>
      </c>
      <c r="HPG76" s="343" t="s">
        <v>252</v>
      </c>
      <c r="HPH76" s="343" t="s">
        <v>1300</v>
      </c>
      <c r="HPI76" s="343" t="s">
        <v>252</v>
      </c>
      <c r="HPJ76" s="343" t="s">
        <v>1300</v>
      </c>
      <c r="HPK76" s="343" t="s">
        <v>252</v>
      </c>
      <c r="HPL76" s="343" t="s">
        <v>1300</v>
      </c>
      <c r="HPM76" s="343" t="s">
        <v>252</v>
      </c>
      <c r="HPN76" s="343" t="s">
        <v>1300</v>
      </c>
      <c r="HPO76" s="343" t="s">
        <v>252</v>
      </c>
      <c r="HPP76" s="343" t="s">
        <v>1300</v>
      </c>
      <c r="HPQ76" s="343" t="s">
        <v>252</v>
      </c>
      <c r="HPR76" s="343" t="s">
        <v>1300</v>
      </c>
      <c r="HPS76" s="343" t="s">
        <v>252</v>
      </c>
      <c r="HPT76" s="343" t="s">
        <v>1300</v>
      </c>
      <c r="HPU76" s="343" t="s">
        <v>252</v>
      </c>
      <c r="HPV76" s="343" t="s">
        <v>1300</v>
      </c>
      <c r="HPW76" s="343" t="s">
        <v>252</v>
      </c>
      <c r="HPX76" s="343" t="s">
        <v>1300</v>
      </c>
      <c r="HPY76" s="343" t="s">
        <v>252</v>
      </c>
      <c r="HPZ76" s="343" t="s">
        <v>1300</v>
      </c>
      <c r="HQA76" s="343" t="s">
        <v>252</v>
      </c>
      <c r="HQB76" s="343" t="s">
        <v>1300</v>
      </c>
      <c r="HQC76" s="343" t="s">
        <v>252</v>
      </c>
      <c r="HQD76" s="343" t="s">
        <v>1300</v>
      </c>
      <c r="HQE76" s="343" t="s">
        <v>252</v>
      </c>
      <c r="HQF76" s="343" t="s">
        <v>1300</v>
      </c>
      <c r="HQG76" s="343" t="s">
        <v>252</v>
      </c>
      <c r="HQH76" s="343" t="s">
        <v>1300</v>
      </c>
      <c r="HQI76" s="343" t="s">
        <v>252</v>
      </c>
      <c r="HQJ76" s="343" t="s">
        <v>1300</v>
      </c>
      <c r="HQK76" s="343" t="s">
        <v>252</v>
      </c>
      <c r="HQL76" s="343" t="s">
        <v>1300</v>
      </c>
      <c r="HQM76" s="343" t="s">
        <v>252</v>
      </c>
      <c r="HQN76" s="343" t="s">
        <v>1300</v>
      </c>
      <c r="HQO76" s="343" t="s">
        <v>252</v>
      </c>
      <c r="HQP76" s="343" t="s">
        <v>1300</v>
      </c>
      <c r="HQQ76" s="343" t="s">
        <v>252</v>
      </c>
      <c r="HQR76" s="343" t="s">
        <v>1300</v>
      </c>
      <c r="HQS76" s="343" t="s">
        <v>252</v>
      </c>
      <c r="HQT76" s="343" t="s">
        <v>1300</v>
      </c>
      <c r="HQU76" s="343" t="s">
        <v>252</v>
      </c>
      <c r="HQV76" s="343" t="s">
        <v>1300</v>
      </c>
      <c r="HQW76" s="343" t="s">
        <v>252</v>
      </c>
      <c r="HQX76" s="343" t="s">
        <v>1300</v>
      </c>
      <c r="HQY76" s="343" t="s">
        <v>252</v>
      </c>
      <c r="HQZ76" s="343" t="s">
        <v>1300</v>
      </c>
      <c r="HRA76" s="343" t="s">
        <v>252</v>
      </c>
      <c r="HRB76" s="343" t="s">
        <v>1300</v>
      </c>
      <c r="HRC76" s="343" t="s">
        <v>252</v>
      </c>
      <c r="HRD76" s="343" t="s">
        <v>1300</v>
      </c>
      <c r="HRE76" s="343" t="s">
        <v>252</v>
      </c>
      <c r="HRF76" s="343" t="s">
        <v>1300</v>
      </c>
      <c r="HRG76" s="343" t="s">
        <v>252</v>
      </c>
      <c r="HRH76" s="343" t="s">
        <v>1300</v>
      </c>
      <c r="HRI76" s="343" t="s">
        <v>252</v>
      </c>
      <c r="HRJ76" s="343" t="s">
        <v>1300</v>
      </c>
      <c r="HRK76" s="343" t="s">
        <v>252</v>
      </c>
      <c r="HRL76" s="343" t="s">
        <v>1300</v>
      </c>
      <c r="HRM76" s="343" t="s">
        <v>252</v>
      </c>
      <c r="HRN76" s="343" t="s">
        <v>1300</v>
      </c>
      <c r="HRO76" s="343" t="s">
        <v>252</v>
      </c>
      <c r="HRP76" s="343" t="s">
        <v>1300</v>
      </c>
      <c r="HRQ76" s="343" t="s">
        <v>252</v>
      </c>
      <c r="HRR76" s="343" t="s">
        <v>1300</v>
      </c>
      <c r="HRS76" s="343" t="s">
        <v>252</v>
      </c>
      <c r="HRT76" s="343" t="s">
        <v>1300</v>
      </c>
      <c r="HRU76" s="343" t="s">
        <v>252</v>
      </c>
      <c r="HRV76" s="343" t="s">
        <v>1300</v>
      </c>
      <c r="HRW76" s="343" t="s">
        <v>252</v>
      </c>
      <c r="HRX76" s="343" t="s">
        <v>1300</v>
      </c>
      <c r="HRY76" s="343" t="s">
        <v>252</v>
      </c>
      <c r="HRZ76" s="343" t="s">
        <v>1300</v>
      </c>
      <c r="HSA76" s="343" t="s">
        <v>252</v>
      </c>
      <c r="HSB76" s="343" t="s">
        <v>1300</v>
      </c>
      <c r="HSC76" s="343" t="s">
        <v>252</v>
      </c>
      <c r="HSD76" s="343" t="s">
        <v>1300</v>
      </c>
      <c r="HSE76" s="343" t="s">
        <v>252</v>
      </c>
      <c r="HSF76" s="343" t="s">
        <v>1300</v>
      </c>
      <c r="HSG76" s="343" t="s">
        <v>252</v>
      </c>
      <c r="HSH76" s="343" t="s">
        <v>1300</v>
      </c>
      <c r="HSI76" s="343" t="s">
        <v>252</v>
      </c>
      <c r="HSJ76" s="343" t="s">
        <v>1300</v>
      </c>
      <c r="HSK76" s="343" t="s">
        <v>252</v>
      </c>
      <c r="HSL76" s="343" t="s">
        <v>1300</v>
      </c>
      <c r="HSM76" s="343" t="s">
        <v>252</v>
      </c>
      <c r="HSN76" s="343" t="s">
        <v>1300</v>
      </c>
      <c r="HSO76" s="343" t="s">
        <v>252</v>
      </c>
      <c r="HSP76" s="343" t="s">
        <v>1300</v>
      </c>
      <c r="HSQ76" s="343" t="s">
        <v>252</v>
      </c>
      <c r="HSR76" s="343" t="s">
        <v>1300</v>
      </c>
      <c r="HSS76" s="343" t="s">
        <v>252</v>
      </c>
      <c r="HST76" s="343" t="s">
        <v>1300</v>
      </c>
      <c r="HSU76" s="343" t="s">
        <v>252</v>
      </c>
      <c r="HSV76" s="343" t="s">
        <v>1300</v>
      </c>
      <c r="HSW76" s="343" t="s">
        <v>252</v>
      </c>
      <c r="HSX76" s="343" t="s">
        <v>1300</v>
      </c>
      <c r="HSY76" s="343" t="s">
        <v>252</v>
      </c>
      <c r="HSZ76" s="343" t="s">
        <v>1300</v>
      </c>
      <c r="HTA76" s="343" t="s">
        <v>252</v>
      </c>
      <c r="HTB76" s="343" t="s">
        <v>1300</v>
      </c>
      <c r="HTC76" s="343" t="s">
        <v>252</v>
      </c>
      <c r="HTD76" s="343" t="s">
        <v>1300</v>
      </c>
      <c r="HTE76" s="343" t="s">
        <v>252</v>
      </c>
      <c r="HTF76" s="343" t="s">
        <v>1300</v>
      </c>
      <c r="HTG76" s="343" t="s">
        <v>252</v>
      </c>
      <c r="HTH76" s="343" t="s">
        <v>1300</v>
      </c>
      <c r="HTI76" s="343" t="s">
        <v>252</v>
      </c>
      <c r="HTJ76" s="343" t="s">
        <v>1300</v>
      </c>
      <c r="HTK76" s="343" t="s">
        <v>252</v>
      </c>
      <c r="HTL76" s="343" t="s">
        <v>1300</v>
      </c>
      <c r="HTM76" s="343" t="s">
        <v>252</v>
      </c>
      <c r="HTN76" s="343" t="s">
        <v>1300</v>
      </c>
      <c r="HTO76" s="343" t="s">
        <v>252</v>
      </c>
      <c r="HTP76" s="343" t="s">
        <v>1300</v>
      </c>
      <c r="HTQ76" s="343" t="s">
        <v>252</v>
      </c>
      <c r="HTR76" s="343" t="s">
        <v>1300</v>
      </c>
      <c r="HTS76" s="343" t="s">
        <v>252</v>
      </c>
      <c r="HTT76" s="343" t="s">
        <v>1300</v>
      </c>
      <c r="HTU76" s="343" t="s">
        <v>252</v>
      </c>
      <c r="HTV76" s="343" t="s">
        <v>1300</v>
      </c>
      <c r="HTW76" s="343" t="s">
        <v>252</v>
      </c>
      <c r="HTX76" s="343" t="s">
        <v>1300</v>
      </c>
      <c r="HTY76" s="343" t="s">
        <v>252</v>
      </c>
      <c r="HTZ76" s="343" t="s">
        <v>1300</v>
      </c>
      <c r="HUA76" s="343" t="s">
        <v>252</v>
      </c>
      <c r="HUB76" s="343" t="s">
        <v>1300</v>
      </c>
      <c r="HUC76" s="343" t="s">
        <v>252</v>
      </c>
      <c r="HUD76" s="343" t="s">
        <v>1300</v>
      </c>
      <c r="HUE76" s="343" t="s">
        <v>252</v>
      </c>
      <c r="HUF76" s="343" t="s">
        <v>1300</v>
      </c>
      <c r="HUG76" s="343" t="s">
        <v>252</v>
      </c>
      <c r="HUH76" s="343" t="s">
        <v>1300</v>
      </c>
      <c r="HUI76" s="343" t="s">
        <v>252</v>
      </c>
      <c r="HUJ76" s="343" t="s">
        <v>1300</v>
      </c>
      <c r="HUK76" s="343" t="s">
        <v>252</v>
      </c>
      <c r="HUL76" s="343" t="s">
        <v>1300</v>
      </c>
      <c r="HUM76" s="343" t="s">
        <v>252</v>
      </c>
      <c r="HUN76" s="343" t="s">
        <v>1300</v>
      </c>
      <c r="HUO76" s="343" t="s">
        <v>252</v>
      </c>
      <c r="HUP76" s="343" t="s">
        <v>1300</v>
      </c>
      <c r="HUQ76" s="343" t="s">
        <v>252</v>
      </c>
      <c r="HUR76" s="343" t="s">
        <v>1300</v>
      </c>
      <c r="HUS76" s="343" t="s">
        <v>252</v>
      </c>
      <c r="HUT76" s="343" t="s">
        <v>1300</v>
      </c>
      <c r="HUU76" s="343" t="s">
        <v>252</v>
      </c>
      <c r="HUV76" s="343" t="s">
        <v>1300</v>
      </c>
      <c r="HUW76" s="343" t="s">
        <v>252</v>
      </c>
      <c r="HUX76" s="343" t="s">
        <v>1300</v>
      </c>
      <c r="HUY76" s="343" t="s">
        <v>252</v>
      </c>
      <c r="HUZ76" s="343" t="s">
        <v>1300</v>
      </c>
      <c r="HVA76" s="343" t="s">
        <v>252</v>
      </c>
      <c r="HVB76" s="343" t="s">
        <v>1300</v>
      </c>
      <c r="HVC76" s="343" t="s">
        <v>252</v>
      </c>
      <c r="HVD76" s="343" t="s">
        <v>1300</v>
      </c>
      <c r="HVE76" s="343" t="s">
        <v>252</v>
      </c>
      <c r="HVF76" s="343" t="s">
        <v>1300</v>
      </c>
      <c r="HVG76" s="343" t="s">
        <v>252</v>
      </c>
      <c r="HVH76" s="343" t="s">
        <v>1300</v>
      </c>
      <c r="HVI76" s="343" t="s">
        <v>252</v>
      </c>
      <c r="HVJ76" s="343" t="s">
        <v>1300</v>
      </c>
      <c r="HVK76" s="343" t="s">
        <v>252</v>
      </c>
      <c r="HVL76" s="343" t="s">
        <v>1300</v>
      </c>
      <c r="HVM76" s="343" t="s">
        <v>252</v>
      </c>
      <c r="HVN76" s="343" t="s">
        <v>1300</v>
      </c>
      <c r="HVO76" s="343" t="s">
        <v>252</v>
      </c>
      <c r="HVP76" s="343" t="s">
        <v>1300</v>
      </c>
      <c r="HVQ76" s="343" t="s">
        <v>252</v>
      </c>
      <c r="HVR76" s="343" t="s">
        <v>1300</v>
      </c>
      <c r="HVS76" s="343" t="s">
        <v>252</v>
      </c>
      <c r="HVT76" s="343" t="s">
        <v>1300</v>
      </c>
      <c r="HVU76" s="343" t="s">
        <v>252</v>
      </c>
      <c r="HVV76" s="343" t="s">
        <v>1300</v>
      </c>
      <c r="HVW76" s="343" t="s">
        <v>252</v>
      </c>
      <c r="HVX76" s="343" t="s">
        <v>1300</v>
      </c>
      <c r="HVY76" s="343" t="s">
        <v>252</v>
      </c>
      <c r="HVZ76" s="343" t="s">
        <v>1300</v>
      </c>
      <c r="HWA76" s="343" t="s">
        <v>252</v>
      </c>
      <c r="HWB76" s="343" t="s">
        <v>1300</v>
      </c>
      <c r="HWC76" s="343" t="s">
        <v>252</v>
      </c>
      <c r="HWD76" s="343" t="s">
        <v>1300</v>
      </c>
      <c r="HWE76" s="343" t="s">
        <v>252</v>
      </c>
      <c r="HWF76" s="343" t="s">
        <v>1300</v>
      </c>
      <c r="HWG76" s="343" t="s">
        <v>252</v>
      </c>
      <c r="HWH76" s="343" t="s">
        <v>1300</v>
      </c>
      <c r="HWI76" s="343" t="s">
        <v>252</v>
      </c>
      <c r="HWJ76" s="343" t="s">
        <v>1300</v>
      </c>
      <c r="HWK76" s="343" t="s">
        <v>252</v>
      </c>
      <c r="HWL76" s="343" t="s">
        <v>1300</v>
      </c>
      <c r="HWM76" s="343" t="s">
        <v>252</v>
      </c>
      <c r="HWN76" s="343" t="s">
        <v>1300</v>
      </c>
      <c r="HWO76" s="343" t="s">
        <v>252</v>
      </c>
      <c r="HWP76" s="343" t="s">
        <v>1300</v>
      </c>
      <c r="HWQ76" s="343" t="s">
        <v>252</v>
      </c>
      <c r="HWR76" s="343" t="s">
        <v>1300</v>
      </c>
      <c r="HWS76" s="343" t="s">
        <v>252</v>
      </c>
      <c r="HWT76" s="343" t="s">
        <v>1300</v>
      </c>
      <c r="HWU76" s="343" t="s">
        <v>252</v>
      </c>
      <c r="HWV76" s="343" t="s">
        <v>1300</v>
      </c>
      <c r="HWW76" s="343" t="s">
        <v>252</v>
      </c>
      <c r="HWX76" s="343" t="s">
        <v>1300</v>
      </c>
      <c r="HWY76" s="343" t="s">
        <v>252</v>
      </c>
      <c r="HWZ76" s="343" t="s">
        <v>1300</v>
      </c>
      <c r="HXA76" s="343" t="s">
        <v>252</v>
      </c>
      <c r="HXB76" s="343" t="s">
        <v>1300</v>
      </c>
      <c r="HXC76" s="343" t="s">
        <v>252</v>
      </c>
      <c r="HXD76" s="343" t="s">
        <v>1300</v>
      </c>
      <c r="HXE76" s="343" t="s">
        <v>252</v>
      </c>
      <c r="HXF76" s="343" t="s">
        <v>1300</v>
      </c>
      <c r="HXG76" s="343" t="s">
        <v>252</v>
      </c>
      <c r="HXH76" s="343" t="s">
        <v>1300</v>
      </c>
      <c r="HXI76" s="343" t="s">
        <v>252</v>
      </c>
      <c r="HXJ76" s="343" t="s">
        <v>1300</v>
      </c>
      <c r="HXK76" s="343" t="s">
        <v>252</v>
      </c>
      <c r="HXL76" s="343" t="s">
        <v>1300</v>
      </c>
      <c r="HXM76" s="343" t="s">
        <v>252</v>
      </c>
      <c r="HXN76" s="343" t="s">
        <v>1300</v>
      </c>
      <c r="HXO76" s="343" t="s">
        <v>252</v>
      </c>
      <c r="HXP76" s="343" t="s">
        <v>1300</v>
      </c>
      <c r="HXQ76" s="343" t="s">
        <v>252</v>
      </c>
      <c r="HXR76" s="343" t="s">
        <v>1300</v>
      </c>
      <c r="HXS76" s="343" t="s">
        <v>252</v>
      </c>
      <c r="HXT76" s="343" t="s">
        <v>1300</v>
      </c>
      <c r="HXU76" s="343" t="s">
        <v>252</v>
      </c>
      <c r="HXV76" s="343" t="s">
        <v>1300</v>
      </c>
      <c r="HXW76" s="343" t="s">
        <v>252</v>
      </c>
      <c r="HXX76" s="343" t="s">
        <v>1300</v>
      </c>
      <c r="HXY76" s="343" t="s">
        <v>252</v>
      </c>
      <c r="HXZ76" s="343" t="s">
        <v>1300</v>
      </c>
      <c r="HYA76" s="343" t="s">
        <v>252</v>
      </c>
      <c r="HYB76" s="343" t="s">
        <v>1300</v>
      </c>
      <c r="HYC76" s="343" t="s">
        <v>252</v>
      </c>
      <c r="HYD76" s="343" t="s">
        <v>1300</v>
      </c>
      <c r="HYE76" s="343" t="s">
        <v>252</v>
      </c>
      <c r="HYF76" s="343" t="s">
        <v>1300</v>
      </c>
      <c r="HYG76" s="343" t="s">
        <v>252</v>
      </c>
      <c r="HYH76" s="343" t="s">
        <v>1300</v>
      </c>
      <c r="HYI76" s="343" t="s">
        <v>252</v>
      </c>
      <c r="HYJ76" s="343" t="s">
        <v>1300</v>
      </c>
      <c r="HYK76" s="343" t="s">
        <v>252</v>
      </c>
      <c r="HYL76" s="343" t="s">
        <v>1300</v>
      </c>
      <c r="HYM76" s="343" t="s">
        <v>252</v>
      </c>
      <c r="HYN76" s="343" t="s">
        <v>1300</v>
      </c>
      <c r="HYO76" s="343" t="s">
        <v>252</v>
      </c>
      <c r="HYP76" s="343" t="s">
        <v>1300</v>
      </c>
      <c r="HYQ76" s="343" t="s">
        <v>252</v>
      </c>
      <c r="HYR76" s="343" t="s">
        <v>1300</v>
      </c>
      <c r="HYS76" s="343" t="s">
        <v>252</v>
      </c>
      <c r="HYT76" s="343" t="s">
        <v>1300</v>
      </c>
      <c r="HYU76" s="343" t="s">
        <v>252</v>
      </c>
      <c r="HYV76" s="343" t="s">
        <v>1300</v>
      </c>
      <c r="HYW76" s="343" t="s">
        <v>252</v>
      </c>
      <c r="HYX76" s="343" t="s">
        <v>1300</v>
      </c>
      <c r="HYY76" s="343" t="s">
        <v>252</v>
      </c>
      <c r="HYZ76" s="343" t="s">
        <v>1300</v>
      </c>
      <c r="HZA76" s="343" t="s">
        <v>252</v>
      </c>
      <c r="HZB76" s="343" t="s">
        <v>1300</v>
      </c>
      <c r="HZC76" s="343" t="s">
        <v>252</v>
      </c>
      <c r="HZD76" s="343" t="s">
        <v>1300</v>
      </c>
      <c r="HZE76" s="343" t="s">
        <v>252</v>
      </c>
      <c r="HZF76" s="343" t="s">
        <v>1300</v>
      </c>
      <c r="HZG76" s="343" t="s">
        <v>252</v>
      </c>
      <c r="HZH76" s="343" t="s">
        <v>1300</v>
      </c>
      <c r="HZI76" s="343" t="s">
        <v>252</v>
      </c>
      <c r="HZJ76" s="343" t="s">
        <v>1300</v>
      </c>
      <c r="HZK76" s="343" t="s">
        <v>252</v>
      </c>
      <c r="HZL76" s="343" t="s">
        <v>1300</v>
      </c>
      <c r="HZM76" s="343" t="s">
        <v>252</v>
      </c>
      <c r="HZN76" s="343" t="s">
        <v>1300</v>
      </c>
      <c r="HZO76" s="343" t="s">
        <v>252</v>
      </c>
      <c r="HZP76" s="343" t="s">
        <v>1300</v>
      </c>
      <c r="HZQ76" s="343" t="s">
        <v>252</v>
      </c>
      <c r="HZR76" s="343" t="s">
        <v>1300</v>
      </c>
      <c r="HZS76" s="343" t="s">
        <v>252</v>
      </c>
      <c r="HZT76" s="343" t="s">
        <v>1300</v>
      </c>
      <c r="HZU76" s="343" t="s">
        <v>252</v>
      </c>
      <c r="HZV76" s="343" t="s">
        <v>1300</v>
      </c>
      <c r="HZW76" s="343" t="s">
        <v>252</v>
      </c>
      <c r="HZX76" s="343" t="s">
        <v>1300</v>
      </c>
      <c r="HZY76" s="343" t="s">
        <v>252</v>
      </c>
      <c r="HZZ76" s="343" t="s">
        <v>1300</v>
      </c>
      <c r="IAA76" s="343" t="s">
        <v>252</v>
      </c>
      <c r="IAB76" s="343" t="s">
        <v>1300</v>
      </c>
      <c r="IAC76" s="343" t="s">
        <v>252</v>
      </c>
      <c r="IAD76" s="343" t="s">
        <v>1300</v>
      </c>
      <c r="IAE76" s="343" t="s">
        <v>252</v>
      </c>
      <c r="IAF76" s="343" t="s">
        <v>1300</v>
      </c>
      <c r="IAG76" s="343" t="s">
        <v>252</v>
      </c>
      <c r="IAH76" s="343" t="s">
        <v>1300</v>
      </c>
      <c r="IAI76" s="343" t="s">
        <v>252</v>
      </c>
      <c r="IAJ76" s="343" t="s">
        <v>1300</v>
      </c>
      <c r="IAK76" s="343" t="s">
        <v>252</v>
      </c>
      <c r="IAL76" s="343" t="s">
        <v>1300</v>
      </c>
      <c r="IAM76" s="343" t="s">
        <v>252</v>
      </c>
      <c r="IAN76" s="343" t="s">
        <v>1300</v>
      </c>
      <c r="IAO76" s="343" t="s">
        <v>252</v>
      </c>
      <c r="IAP76" s="343" t="s">
        <v>1300</v>
      </c>
      <c r="IAQ76" s="343" t="s">
        <v>252</v>
      </c>
      <c r="IAR76" s="343" t="s">
        <v>1300</v>
      </c>
      <c r="IAS76" s="343" t="s">
        <v>252</v>
      </c>
      <c r="IAT76" s="343" t="s">
        <v>1300</v>
      </c>
      <c r="IAU76" s="343" t="s">
        <v>252</v>
      </c>
      <c r="IAV76" s="343" t="s">
        <v>1300</v>
      </c>
      <c r="IAW76" s="343" t="s">
        <v>252</v>
      </c>
      <c r="IAX76" s="343" t="s">
        <v>1300</v>
      </c>
      <c r="IAY76" s="343" t="s">
        <v>252</v>
      </c>
      <c r="IAZ76" s="343" t="s">
        <v>1300</v>
      </c>
      <c r="IBA76" s="343" t="s">
        <v>252</v>
      </c>
      <c r="IBB76" s="343" t="s">
        <v>1300</v>
      </c>
      <c r="IBC76" s="343" t="s">
        <v>252</v>
      </c>
      <c r="IBD76" s="343" t="s">
        <v>1300</v>
      </c>
      <c r="IBE76" s="343" t="s">
        <v>252</v>
      </c>
      <c r="IBF76" s="343" t="s">
        <v>1300</v>
      </c>
      <c r="IBG76" s="343" t="s">
        <v>252</v>
      </c>
      <c r="IBH76" s="343" t="s">
        <v>1300</v>
      </c>
      <c r="IBI76" s="343" t="s">
        <v>252</v>
      </c>
      <c r="IBJ76" s="343" t="s">
        <v>1300</v>
      </c>
      <c r="IBK76" s="343" t="s">
        <v>252</v>
      </c>
      <c r="IBL76" s="343" t="s">
        <v>1300</v>
      </c>
      <c r="IBM76" s="343" t="s">
        <v>252</v>
      </c>
      <c r="IBN76" s="343" t="s">
        <v>1300</v>
      </c>
      <c r="IBO76" s="343" t="s">
        <v>252</v>
      </c>
      <c r="IBP76" s="343" t="s">
        <v>1300</v>
      </c>
      <c r="IBQ76" s="343" t="s">
        <v>252</v>
      </c>
      <c r="IBR76" s="343" t="s">
        <v>1300</v>
      </c>
      <c r="IBS76" s="343" t="s">
        <v>252</v>
      </c>
      <c r="IBT76" s="343" t="s">
        <v>1300</v>
      </c>
      <c r="IBU76" s="343" t="s">
        <v>252</v>
      </c>
      <c r="IBV76" s="343" t="s">
        <v>1300</v>
      </c>
      <c r="IBW76" s="343" t="s">
        <v>252</v>
      </c>
      <c r="IBX76" s="343" t="s">
        <v>1300</v>
      </c>
      <c r="IBY76" s="343" t="s">
        <v>252</v>
      </c>
      <c r="IBZ76" s="343" t="s">
        <v>1300</v>
      </c>
      <c r="ICA76" s="343" t="s">
        <v>252</v>
      </c>
      <c r="ICB76" s="343" t="s">
        <v>1300</v>
      </c>
      <c r="ICC76" s="343" t="s">
        <v>252</v>
      </c>
      <c r="ICD76" s="343" t="s">
        <v>1300</v>
      </c>
      <c r="ICE76" s="343" t="s">
        <v>252</v>
      </c>
      <c r="ICF76" s="343" t="s">
        <v>1300</v>
      </c>
      <c r="ICG76" s="343" t="s">
        <v>252</v>
      </c>
      <c r="ICH76" s="343" t="s">
        <v>1300</v>
      </c>
      <c r="ICI76" s="343" t="s">
        <v>252</v>
      </c>
      <c r="ICJ76" s="343" t="s">
        <v>1300</v>
      </c>
      <c r="ICK76" s="343" t="s">
        <v>252</v>
      </c>
      <c r="ICL76" s="343" t="s">
        <v>1300</v>
      </c>
      <c r="ICM76" s="343" t="s">
        <v>252</v>
      </c>
      <c r="ICN76" s="343" t="s">
        <v>1300</v>
      </c>
      <c r="ICO76" s="343" t="s">
        <v>252</v>
      </c>
      <c r="ICP76" s="343" t="s">
        <v>1300</v>
      </c>
      <c r="ICQ76" s="343" t="s">
        <v>252</v>
      </c>
      <c r="ICR76" s="343" t="s">
        <v>1300</v>
      </c>
      <c r="ICS76" s="343" t="s">
        <v>252</v>
      </c>
      <c r="ICT76" s="343" t="s">
        <v>1300</v>
      </c>
      <c r="ICU76" s="343" t="s">
        <v>252</v>
      </c>
      <c r="ICV76" s="343" t="s">
        <v>1300</v>
      </c>
      <c r="ICW76" s="343" t="s">
        <v>252</v>
      </c>
      <c r="ICX76" s="343" t="s">
        <v>1300</v>
      </c>
      <c r="ICY76" s="343" t="s">
        <v>252</v>
      </c>
      <c r="ICZ76" s="343" t="s">
        <v>1300</v>
      </c>
      <c r="IDA76" s="343" t="s">
        <v>252</v>
      </c>
      <c r="IDB76" s="343" t="s">
        <v>1300</v>
      </c>
      <c r="IDC76" s="343" t="s">
        <v>252</v>
      </c>
      <c r="IDD76" s="343" t="s">
        <v>1300</v>
      </c>
      <c r="IDE76" s="343" t="s">
        <v>252</v>
      </c>
      <c r="IDF76" s="343" t="s">
        <v>1300</v>
      </c>
      <c r="IDG76" s="343" t="s">
        <v>252</v>
      </c>
      <c r="IDH76" s="343" t="s">
        <v>1300</v>
      </c>
      <c r="IDI76" s="343" t="s">
        <v>252</v>
      </c>
      <c r="IDJ76" s="343" t="s">
        <v>1300</v>
      </c>
      <c r="IDK76" s="343" t="s">
        <v>252</v>
      </c>
      <c r="IDL76" s="343" t="s">
        <v>1300</v>
      </c>
      <c r="IDM76" s="343" t="s">
        <v>252</v>
      </c>
      <c r="IDN76" s="343" t="s">
        <v>1300</v>
      </c>
      <c r="IDO76" s="343" t="s">
        <v>252</v>
      </c>
      <c r="IDP76" s="343" t="s">
        <v>1300</v>
      </c>
      <c r="IDQ76" s="343" t="s">
        <v>252</v>
      </c>
      <c r="IDR76" s="343" t="s">
        <v>1300</v>
      </c>
      <c r="IDS76" s="343" t="s">
        <v>252</v>
      </c>
      <c r="IDT76" s="343" t="s">
        <v>1300</v>
      </c>
      <c r="IDU76" s="343" t="s">
        <v>252</v>
      </c>
      <c r="IDV76" s="343" t="s">
        <v>1300</v>
      </c>
      <c r="IDW76" s="343" t="s">
        <v>252</v>
      </c>
      <c r="IDX76" s="343" t="s">
        <v>1300</v>
      </c>
      <c r="IDY76" s="343" t="s">
        <v>252</v>
      </c>
      <c r="IDZ76" s="343" t="s">
        <v>1300</v>
      </c>
      <c r="IEA76" s="343" t="s">
        <v>252</v>
      </c>
      <c r="IEB76" s="343" t="s">
        <v>1300</v>
      </c>
      <c r="IEC76" s="343" t="s">
        <v>252</v>
      </c>
      <c r="IED76" s="343" t="s">
        <v>1300</v>
      </c>
      <c r="IEE76" s="343" t="s">
        <v>252</v>
      </c>
      <c r="IEF76" s="343" t="s">
        <v>1300</v>
      </c>
      <c r="IEG76" s="343" t="s">
        <v>252</v>
      </c>
      <c r="IEH76" s="343" t="s">
        <v>1300</v>
      </c>
      <c r="IEI76" s="343" t="s">
        <v>252</v>
      </c>
      <c r="IEJ76" s="343" t="s">
        <v>1300</v>
      </c>
      <c r="IEK76" s="343" t="s">
        <v>252</v>
      </c>
      <c r="IEL76" s="343" t="s">
        <v>1300</v>
      </c>
      <c r="IEM76" s="343" t="s">
        <v>252</v>
      </c>
      <c r="IEN76" s="343" t="s">
        <v>1300</v>
      </c>
      <c r="IEO76" s="343" t="s">
        <v>252</v>
      </c>
      <c r="IEP76" s="343" t="s">
        <v>1300</v>
      </c>
      <c r="IEQ76" s="343" t="s">
        <v>252</v>
      </c>
      <c r="IER76" s="343" t="s">
        <v>1300</v>
      </c>
      <c r="IES76" s="343" t="s">
        <v>252</v>
      </c>
      <c r="IET76" s="343" t="s">
        <v>1300</v>
      </c>
      <c r="IEU76" s="343" t="s">
        <v>252</v>
      </c>
      <c r="IEV76" s="343" t="s">
        <v>1300</v>
      </c>
      <c r="IEW76" s="343" t="s">
        <v>252</v>
      </c>
      <c r="IEX76" s="343" t="s">
        <v>1300</v>
      </c>
      <c r="IEY76" s="343" t="s">
        <v>252</v>
      </c>
      <c r="IEZ76" s="343" t="s">
        <v>1300</v>
      </c>
      <c r="IFA76" s="343" t="s">
        <v>252</v>
      </c>
      <c r="IFB76" s="343" t="s">
        <v>1300</v>
      </c>
      <c r="IFC76" s="343" t="s">
        <v>252</v>
      </c>
      <c r="IFD76" s="343" t="s">
        <v>1300</v>
      </c>
      <c r="IFE76" s="343" t="s">
        <v>252</v>
      </c>
      <c r="IFF76" s="343" t="s">
        <v>1300</v>
      </c>
      <c r="IFG76" s="343" t="s">
        <v>252</v>
      </c>
      <c r="IFH76" s="343" t="s">
        <v>1300</v>
      </c>
      <c r="IFI76" s="343" t="s">
        <v>252</v>
      </c>
      <c r="IFJ76" s="343" t="s">
        <v>1300</v>
      </c>
      <c r="IFK76" s="343" t="s">
        <v>252</v>
      </c>
      <c r="IFL76" s="343" t="s">
        <v>1300</v>
      </c>
      <c r="IFM76" s="343" t="s">
        <v>252</v>
      </c>
      <c r="IFN76" s="343" t="s">
        <v>1300</v>
      </c>
      <c r="IFO76" s="343" t="s">
        <v>252</v>
      </c>
      <c r="IFP76" s="343" t="s">
        <v>1300</v>
      </c>
      <c r="IFQ76" s="343" t="s">
        <v>252</v>
      </c>
      <c r="IFR76" s="343" t="s">
        <v>1300</v>
      </c>
      <c r="IFS76" s="343" t="s">
        <v>252</v>
      </c>
      <c r="IFT76" s="343" t="s">
        <v>1300</v>
      </c>
      <c r="IFU76" s="343" t="s">
        <v>252</v>
      </c>
      <c r="IFV76" s="343" t="s">
        <v>1300</v>
      </c>
      <c r="IFW76" s="343" t="s">
        <v>252</v>
      </c>
      <c r="IFX76" s="343" t="s">
        <v>1300</v>
      </c>
      <c r="IFY76" s="343" t="s">
        <v>252</v>
      </c>
      <c r="IFZ76" s="343" t="s">
        <v>1300</v>
      </c>
      <c r="IGA76" s="343" t="s">
        <v>252</v>
      </c>
      <c r="IGB76" s="343" t="s">
        <v>1300</v>
      </c>
      <c r="IGC76" s="343" t="s">
        <v>252</v>
      </c>
      <c r="IGD76" s="343" t="s">
        <v>1300</v>
      </c>
      <c r="IGE76" s="343" t="s">
        <v>252</v>
      </c>
      <c r="IGF76" s="343" t="s">
        <v>1300</v>
      </c>
      <c r="IGG76" s="343" t="s">
        <v>252</v>
      </c>
      <c r="IGH76" s="343" t="s">
        <v>1300</v>
      </c>
      <c r="IGI76" s="343" t="s">
        <v>252</v>
      </c>
      <c r="IGJ76" s="343" t="s">
        <v>1300</v>
      </c>
      <c r="IGK76" s="343" t="s">
        <v>252</v>
      </c>
      <c r="IGL76" s="343" t="s">
        <v>1300</v>
      </c>
      <c r="IGM76" s="343" t="s">
        <v>252</v>
      </c>
      <c r="IGN76" s="343" t="s">
        <v>1300</v>
      </c>
      <c r="IGO76" s="343" t="s">
        <v>252</v>
      </c>
      <c r="IGP76" s="343" t="s">
        <v>1300</v>
      </c>
      <c r="IGQ76" s="343" t="s">
        <v>252</v>
      </c>
      <c r="IGR76" s="343" t="s">
        <v>1300</v>
      </c>
      <c r="IGS76" s="343" t="s">
        <v>252</v>
      </c>
      <c r="IGT76" s="343" t="s">
        <v>1300</v>
      </c>
      <c r="IGU76" s="343" t="s">
        <v>252</v>
      </c>
      <c r="IGV76" s="343" t="s">
        <v>1300</v>
      </c>
      <c r="IGW76" s="343" t="s">
        <v>252</v>
      </c>
      <c r="IGX76" s="343" t="s">
        <v>1300</v>
      </c>
      <c r="IGY76" s="343" t="s">
        <v>252</v>
      </c>
      <c r="IGZ76" s="343" t="s">
        <v>1300</v>
      </c>
      <c r="IHA76" s="343" t="s">
        <v>252</v>
      </c>
      <c r="IHB76" s="343" t="s">
        <v>1300</v>
      </c>
      <c r="IHC76" s="343" t="s">
        <v>252</v>
      </c>
      <c r="IHD76" s="343" t="s">
        <v>1300</v>
      </c>
      <c r="IHE76" s="343" t="s">
        <v>252</v>
      </c>
      <c r="IHF76" s="343" t="s">
        <v>1300</v>
      </c>
      <c r="IHG76" s="343" t="s">
        <v>252</v>
      </c>
      <c r="IHH76" s="343" t="s">
        <v>1300</v>
      </c>
      <c r="IHI76" s="343" t="s">
        <v>252</v>
      </c>
      <c r="IHJ76" s="343" t="s">
        <v>1300</v>
      </c>
      <c r="IHK76" s="343" t="s">
        <v>252</v>
      </c>
      <c r="IHL76" s="343" t="s">
        <v>1300</v>
      </c>
      <c r="IHM76" s="343" t="s">
        <v>252</v>
      </c>
      <c r="IHN76" s="343" t="s">
        <v>1300</v>
      </c>
      <c r="IHO76" s="343" t="s">
        <v>252</v>
      </c>
      <c r="IHP76" s="343" t="s">
        <v>1300</v>
      </c>
      <c r="IHQ76" s="343" t="s">
        <v>252</v>
      </c>
      <c r="IHR76" s="343" t="s">
        <v>1300</v>
      </c>
      <c r="IHS76" s="343" t="s">
        <v>252</v>
      </c>
      <c r="IHT76" s="343" t="s">
        <v>1300</v>
      </c>
      <c r="IHU76" s="343" t="s">
        <v>252</v>
      </c>
      <c r="IHV76" s="343" t="s">
        <v>1300</v>
      </c>
      <c r="IHW76" s="343" t="s">
        <v>252</v>
      </c>
      <c r="IHX76" s="343" t="s">
        <v>1300</v>
      </c>
      <c r="IHY76" s="343" t="s">
        <v>252</v>
      </c>
      <c r="IHZ76" s="343" t="s">
        <v>1300</v>
      </c>
      <c r="IIA76" s="343" t="s">
        <v>252</v>
      </c>
      <c r="IIB76" s="343" t="s">
        <v>1300</v>
      </c>
      <c r="IIC76" s="343" t="s">
        <v>252</v>
      </c>
      <c r="IID76" s="343" t="s">
        <v>1300</v>
      </c>
      <c r="IIE76" s="343" t="s">
        <v>252</v>
      </c>
      <c r="IIF76" s="343" t="s">
        <v>1300</v>
      </c>
      <c r="IIG76" s="343" t="s">
        <v>252</v>
      </c>
      <c r="IIH76" s="343" t="s">
        <v>1300</v>
      </c>
      <c r="III76" s="343" t="s">
        <v>252</v>
      </c>
      <c r="IIJ76" s="343" t="s">
        <v>1300</v>
      </c>
      <c r="IIK76" s="343" t="s">
        <v>252</v>
      </c>
      <c r="IIL76" s="343" t="s">
        <v>1300</v>
      </c>
      <c r="IIM76" s="343" t="s">
        <v>252</v>
      </c>
      <c r="IIN76" s="343" t="s">
        <v>1300</v>
      </c>
      <c r="IIO76" s="343" t="s">
        <v>252</v>
      </c>
      <c r="IIP76" s="343" t="s">
        <v>1300</v>
      </c>
      <c r="IIQ76" s="343" t="s">
        <v>252</v>
      </c>
      <c r="IIR76" s="343" t="s">
        <v>1300</v>
      </c>
      <c r="IIS76" s="343" t="s">
        <v>252</v>
      </c>
      <c r="IIT76" s="343" t="s">
        <v>1300</v>
      </c>
      <c r="IIU76" s="343" t="s">
        <v>252</v>
      </c>
      <c r="IIV76" s="343" t="s">
        <v>1300</v>
      </c>
      <c r="IIW76" s="343" t="s">
        <v>252</v>
      </c>
      <c r="IIX76" s="343" t="s">
        <v>1300</v>
      </c>
      <c r="IIY76" s="343" t="s">
        <v>252</v>
      </c>
      <c r="IIZ76" s="343" t="s">
        <v>1300</v>
      </c>
      <c r="IJA76" s="343" t="s">
        <v>252</v>
      </c>
      <c r="IJB76" s="343" t="s">
        <v>1300</v>
      </c>
      <c r="IJC76" s="343" t="s">
        <v>252</v>
      </c>
      <c r="IJD76" s="343" t="s">
        <v>1300</v>
      </c>
      <c r="IJE76" s="343" t="s">
        <v>252</v>
      </c>
      <c r="IJF76" s="343" t="s">
        <v>1300</v>
      </c>
      <c r="IJG76" s="343" t="s">
        <v>252</v>
      </c>
      <c r="IJH76" s="343" t="s">
        <v>1300</v>
      </c>
      <c r="IJI76" s="343" t="s">
        <v>252</v>
      </c>
      <c r="IJJ76" s="343" t="s">
        <v>1300</v>
      </c>
      <c r="IJK76" s="343" t="s">
        <v>252</v>
      </c>
      <c r="IJL76" s="343" t="s">
        <v>1300</v>
      </c>
      <c r="IJM76" s="343" t="s">
        <v>252</v>
      </c>
      <c r="IJN76" s="343" t="s">
        <v>1300</v>
      </c>
      <c r="IJO76" s="343" t="s">
        <v>252</v>
      </c>
      <c r="IJP76" s="343" t="s">
        <v>1300</v>
      </c>
      <c r="IJQ76" s="343" t="s">
        <v>252</v>
      </c>
      <c r="IJR76" s="343" t="s">
        <v>1300</v>
      </c>
      <c r="IJS76" s="343" t="s">
        <v>252</v>
      </c>
      <c r="IJT76" s="343" t="s">
        <v>1300</v>
      </c>
      <c r="IJU76" s="343" t="s">
        <v>252</v>
      </c>
      <c r="IJV76" s="343" t="s">
        <v>1300</v>
      </c>
      <c r="IJW76" s="343" t="s">
        <v>252</v>
      </c>
      <c r="IJX76" s="343" t="s">
        <v>1300</v>
      </c>
      <c r="IJY76" s="343" t="s">
        <v>252</v>
      </c>
      <c r="IJZ76" s="343" t="s">
        <v>1300</v>
      </c>
      <c r="IKA76" s="343" t="s">
        <v>252</v>
      </c>
      <c r="IKB76" s="343" t="s">
        <v>1300</v>
      </c>
      <c r="IKC76" s="343" t="s">
        <v>252</v>
      </c>
      <c r="IKD76" s="343" t="s">
        <v>1300</v>
      </c>
      <c r="IKE76" s="343" t="s">
        <v>252</v>
      </c>
      <c r="IKF76" s="343" t="s">
        <v>1300</v>
      </c>
      <c r="IKG76" s="343" t="s">
        <v>252</v>
      </c>
      <c r="IKH76" s="343" t="s">
        <v>1300</v>
      </c>
      <c r="IKI76" s="343" t="s">
        <v>252</v>
      </c>
      <c r="IKJ76" s="343" t="s">
        <v>1300</v>
      </c>
      <c r="IKK76" s="343" t="s">
        <v>252</v>
      </c>
      <c r="IKL76" s="343" t="s">
        <v>1300</v>
      </c>
      <c r="IKM76" s="343" t="s">
        <v>252</v>
      </c>
      <c r="IKN76" s="343" t="s">
        <v>1300</v>
      </c>
      <c r="IKO76" s="343" t="s">
        <v>252</v>
      </c>
      <c r="IKP76" s="343" t="s">
        <v>1300</v>
      </c>
      <c r="IKQ76" s="343" t="s">
        <v>252</v>
      </c>
      <c r="IKR76" s="343" t="s">
        <v>1300</v>
      </c>
      <c r="IKS76" s="343" t="s">
        <v>252</v>
      </c>
      <c r="IKT76" s="343" t="s">
        <v>1300</v>
      </c>
      <c r="IKU76" s="343" t="s">
        <v>252</v>
      </c>
      <c r="IKV76" s="343" t="s">
        <v>1300</v>
      </c>
      <c r="IKW76" s="343" t="s">
        <v>252</v>
      </c>
      <c r="IKX76" s="343" t="s">
        <v>1300</v>
      </c>
      <c r="IKY76" s="343" t="s">
        <v>252</v>
      </c>
      <c r="IKZ76" s="343" t="s">
        <v>1300</v>
      </c>
      <c r="ILA76" s="343" t="s">
        <v>252</v>
      </c>
      <c r="ILB76" s="343" t="s">
        <v>1300</v>
      </c>
      <c r="ILC76" s="343" t="s">
        <v>252</v>
      </c>
      <c r="ILD76" s="343" t="s">
        <v>1300</v>
      </c>
      <c r="ILE76" s="343" t="s">
        <v>252</v>
      </c>
      <c r="ILF76" s="343" t="s">
        <v>1300</v>
      </c>
      <c r="ILG76" s="343" t="s">
        <v>252</v>
      </c>
      <c r="ILH76" s="343" t="s">
        <v>1300</v>
      </c>
      <c r="ILI76" s="343" t="s">
        <v>252</v>
      </c>
      <c r="ILJ76" s="343" t="s">
        <v>1300</v>
      </c>
      <c r="ILK76" s="343" t="s">
        <v>252</v>
      </c>
      <c r="ILL76" s="343" t="s">
        <v>1300</v>
      </c>
      <c r="ILM76" s="343" t="s">
        <v>252</v>
      </c>
      <c r="ILN76" s="343" t="s">
        <v>1300</v>
      </c>
      <c r="ILO76" s="343" t="s">
        <v>252</v>
      </c>
      <c r="ILP76" s="343" t="s">
        <v>1300</v>
      </c>
      <c r="ILQ76" s="343" t="s">
        <v>252</v>
      </c>
      <c r="ILR76" s="343" t="s">
        <v>1300</v>
      </c>
      <c r="ILS76" s="343" t="s">
        <v>252</v>
      </c>
      <c r="ILT76" s="343" t="s">
        <v>1300</v>
      </c>
      <c r="ILU76" s="343" t="s">
        <v>252</v>
      </c>
      <c r="ILV76" s="343" t="s">
        <v>1300</v>
      </c>
      <c r="ILW76" s="343" t="s">
        <v>252</v>
      </c>
      <c r="ILX76" s="343" t="s">
        <v>1300</v>
      </c>
      <c r="ILY76" s="343" t="s">
        <v>252</v>
      </c>
      <c r="ILZ76" s="343" t="s">
        <v>1300</v>
      </c>
      <c r="IMA76" s="343" t="s">
        <v>252</v>
      </c>
      <c r="IMB76" s="343" t="s">
        <v>1300</v>
      </c>
      <c r="IMC76" s="343" t="s">
        <v>252</v>
      </c>
      <c r="IMD76" s="343" t="s">
        <v>1300</v>
      </c>
      <c r="IME76" s="343" t="s">
        <v>252</v>
      </c>
      <c r="IMF76" s="343" t="s">
        <v>1300</v>
      </c>
      <c r="IMG76" s="343" t="s">
        <v>252</v>
      </c>
      <c r="IMH76" s="343" t="s">
        <v>1300</v>
      </c>
      <c r="IMI76" s="343" t="s">
        <v>252</v>
      </c>
      <c r="IMJ76" s="343" t="s">
        <v>1300</v>
      </c>
      <c r="IMK76" s="343" t="s">
        <v>252</v>
      </c>
      <c r="IML76" s="343" t="s">
        <v>1300</v>
      </c>
      <c r="IMM76" s="343" t="s">
        <v>252</v>
      </c>
      <c r="IMN76" s="343" t="s">
        <v>1300</v>
      </c>
      <c r="IMO76" s="343" t="s">
        <v>252</v>
      </c>
      <c r="IMP76" s="343" t="s">
        <v>1300</v>
      </c>
      <c r="IMQ76" s="343" t="s">
        <v>252</v>
      </c>
      <c r="IMR76" s="343" t="s">
        <v>1300</v>
      </c>
      <c r="IMS76" s="343" t="s">
        <v>252</v>
      </c>
      <c r="IMT76" s="343" t="s">
        <v>1300</v>
      </c>
      <c r="IMU76" s="343" t="s">
        <v>252</v>
      </c>
      <c r="IMV76" s="343" t="s">
        <v>1300</v>
      </c>
      <c r="IMW76" s="343" t="s">
        <v>252</v>
      </c>
      <c r="IMX76" s="343" t="s">
        <v>1300</v>
      </c>
      <c r="IMY76" s="343" t="s">
        <v>252</v>
      </c>
      <c r="IMZ76" s="343" t="s">
        <v>1300</v>
      </c>
      <c r="INA76" s="343" t="s">
        <v>252</v>
      </c>
      <c r="INB76" s="343" t="s">
        <v>1300</v>
      </c>
      <c r="INC76" s="343" t="s">
        <v>252</v>
      </c>
      <c r="IND76" s="343" t="s">
        <v>1300</v>
      </c>
      <c r="INE76" s="343" t="s">
        <v>252</v>
      </c>
      <c r="INF76" s="343" t="s">
        <v>1300</v>
      </c>
      <c r="ING76" s="343" t="s">
        <v>252</v>
      </c>
      <c r="INH76" s="343" t="s">
        <v>1300</v>
      </c>
      <c r="INI76" s="343" t="s">
        <v>252</v>
      </c>
      <c r="INJ76" s="343" t="s">
        <v>1300</v>
      </c>
      <c r="INK76" s="343" t="s">
        <v>252</v>
      </c>
      <c r="INL76" s="343" t="s">
        <v>1300</v>
      </c>
      <c r="INM76" s="343" t="s">
        <v>252</v>
      </c>
      <c r="INN76" s="343" t="s">
        <v>1300</v>
      </c>
      <c r="INO76" s="343" t="s">
        <v>252</v>
      </c>
      <c r="INP76" s="343" t="s">
        <v>1300</v>
      </c>
      <c r="INQ76" s="343" t="s">
        <v>252</v>
      </c>
      <c r="INR76" s="343" t="s">
        <v>1300</v>
      </c>
      <c r="INS76" s="343" t="s">
        <v>252</v>
      </c>
      <c r="INT76" s="343" t="s">
        <v>1300</v>
      </c>
      <c r="INU76" s="343" t="s">
        <v>252</v>
      </c>
      <c r="INV76" s="343" t="s">
        <v>1300</v>
      </c>
      <c r="INW76" s="343" t="s">
        <v>252</v>
      </c>
      <c r="INX76" s="343" t="s">
        <v>1300</v>
      </c>
      <c r="INY76" s="343" t="s">
        <v>252</v>
      </c>
      <c r="INZ76" s="343" t="s">
        <v>1300</v>
      </c>
      <c r="IOA76" s="343" t="s">
        <v>252</v>
      </c>
      <c r="IOB76" s="343" t="s">
        <v>1300</v>
      </c>
      <c r="IOC76" s="343" t="s">
        <v>252</v>
      </c>
      <c r="IOD76" s="343" t="s">
        <v>1300</v>
      </c>
      <c r="IOE76" s="343" t="s">
        <v>252</v>
      </c>
      <c r="IOF76" s="343" t="s">
        <v>1300</v>
      </c>
      <c r="IOG76" s="343" t="s">
        <v>252</v>
      </c>
      <c r="IOH76" s="343" t="s">
        <v>1300</v>
      </c>
      <c r="IOI76" s="343" t="s">
        <v>252</v>
      </c>
      <c r="IOJ76" s="343" t="s">
        <v>1300</v>
      </c>
      <c r="IOK76" s="343" t="s">
        <v>252</v>
      </c>
      <c r="IOL76" s="343" t="s">
        <v>1300</v>
      </c>
      <c r="IOM76" s="343" t="s">
        <v>252</v>
      </c>
      <c r="ION76" s="343" t="s">
        <v>1300</v>
      </c>
      <c r="IOO76" s="343" t="s">
        <v>252</v>
      </c>
      <c r="IOP76" s="343" t="s">
        <v>1300</v>
      </c>
      <c r="IOQ76" s="343" t="s">
        <v>252</v>
      </c>
      <c r="IOR76" s="343" t="s">
        <v>1300</v>
      </c>
      <c r="IOS76" s="343" t="s">
        <v>252</v>
      </c>
      <c r="IOT76" s="343" t="s">
        <v>1300</v>
      </c>
      <c r="IOU76" s="343" t="s">
        <v>252</v>
      </c>
      <c r="IOV76" s="343" t="s">
        <v>1300</v>
      </c>
      <c r="IOW76" s="343" t="s">
        <v>252</v>
      </c>
      <c r="IOX76" s="343" t="s">
        <v>1300</v>
      </c>
      <c r="IOY76" s="343" t="s">
        <v>252</v>
      </c>
      <c r="IOZ76" s="343" t="s">
        <v>1300</v>
      </c>
      <c r="IPA76" s="343" t="s">
        <v>252</v>
      </c>
      <c r="IPB76" s="343" t="s">
        <v>1300</v>
      </c>
      <c r="IPC76" s="343" t="s">
        <v>252</v>
      </c>
      <c r="IPD76" s="343" t="s">
        <v>1300</v>
      </c>
      <c r="IPE76" s="343" t="s">
        <v>252</v>
      </c>
      <c r="IPF76" s="343" t="s">
        <v>1300</v>
      </c>
      <c r="IPG76" s="343" t="s">
        <v>252</v>
      </c>
      <c r="IPH76" s="343" t="s">
        <v>1300</v>
      </c>
      <c r="IPI76" s="343" t="s">
        <v>252</v>
      </c>
      <c r="IPJ76" s="343" t="s">
        <v>1300</v>
      </c>
      <c r="IPK76" s="343" t="s">
        <v>252</v>
      </c>
      <c r="IPL76" s="343" t="s">
        <v>1300</v>
      </c>
      <c r="IPM76" s="343" t="s">
        <v>252</v>
      </c>
      <c r="IPN76" s="343" t="s">
        <v>1300</v>
      </c>
      <c r="IPO76" s="343" t="s">
        <v>252</v>
      </c>
      <c r="IPP76" s="343" t="s">
        <v>1300</v>
      </c>
      <c r="IPQ76" s="343" t="s">
        <v>252</v>
      </c>
      <c r="IPR76" s="343" t="s">
        <v>1300</v>
      </c>
      <c r="IPS76" s="343" t="s">
        <v>252</v>
      </c>
      <c r="IPT76" s="343" t="s">
        <v>1300</v>
      </c>
      <c r="IPU76" s="343" t="s">
        <v>252</v>
      </c>
      <c r="IPV76" s="343" t="s">
        <v>1300</v>
      </c>
      <c r="IPW76" s="343" t="s">
        <v>252</v>
      </c>
      <c r="IPX76" s="343" t="s">
        <v>1300</v>
      </c>
      <c r="IPY76" s="343" t="s">
        <v>252</v>
      </c>
      <c r="IPZ76" s="343" t="s">
        <v>1300</v>
      </c>
      <c r="IQA76" s="343" t="s">
        <v>252</v>
      </c>
      <c r="IQB76" s="343" t="s">
        <v>1300</v>
      </c>
      <c r="IQC76" s="343" t="s">
        <v>252</v>
      </c>
      <c r="IQD76" s="343" t="s">
        <v>1300</v>
      </c>
      <c r="IQE76" s="343" t="s">
        <v>252</v>
      </c>
      <c r="IQF76" s="343" t="s">
        <v>1300</v>
      </c>
      <c r="IQG76" s="343" t="s">
        <v>252</v>
      </c>
      <c r="IQH76" s="343" t="s">
        <v>1300</v>
      </c>
      <c r="IQI76" s="343" t="s">
        <v>252</v>
      </c>
      <c r="IQJ76" s="343" t="s">
        <v>1300</v>
      </c>
      <c r="IQK76" s="343" t="s">
        <v>252</v>
      </c>
      <c r="IQL76" s="343" t="s">
        <v>1300</v>
      </c>
      <c r="IQM76" s="343" t="s">
        <v>252</v>
      </c>
      <c r="IQN76" s="343" t="s">
        <v>1300</v>
      </c>
      <c r="IQO76" s="343" t="s">
        <v>252</v>
      </c>
      <c r="IQP76" s="343" t="s">
        <v>1300</v>
      </c>
      <c r="IQQ76" s="343" t="s">
        <v>252</v>
      </c>
      <c r="IQR76" s="343" t="s">
        <v>1300</v>
      </c>
      <c r="IQS76" s="343" t="s">
        <v>252</v>
      </c>
      <c r="IQT76" s="343" t="s">
        <v>1300</v>
      </c>
      <c r="IQU76" s="343" t="s">
        <v>252</v>
      </c>
      <c r="IQV76" s="343" t="s">
        <v>1300</v>
      </c>
      <c r="IQW76" s="343" t="s">
        <v>252</v>
      </c>
      <c r="IQX76" s="343" t="s">
        <v>1300</v>
      </c>
      <c r="IQY76" s="343" t="s">
        <v>252</v>
      </c>
      <c r="IQZ76" s="343" t="s">
        <v>1300</v>
      </c>
      <c r="IRA76" s="343" t="s">
        <v>252</v>
      </c>
      <c r="IRB76" s="343" t="s">
        <v>1300</v>
      </c>
      <c r="IRC76" s="343" t="s">
        <v>252</v>
      </c>
      <c r="IRD76" s="343" t="s">
        <v>1300</v>
      </c>
      <c r="IRE76" s="343" t="s">
        <v>252</v>
      </c>
      <c r="IRF76" s="343" t="s">
        <v>1300</v>
      </c>
      <c r="IRG76" s="343" t="s">
        <v>252</v>
      </c>
      <c r="IRH76" s="343" t="s">
        <v>1300</v>
      </c>
      <c r="IRI76" s="343" t="s">
        <v>252</v>
      </c>
      <c r="IRJ76" s="343" t="s">
        <v>1300</v>
      </c>
      <c r="IRK76" s="343" t="s">
        <v>252</v>
      </c>
      <c r="IRL76" s="343" t="s">
        <v>1300</v>
      </c>
      <c r="IRM76" s="343" t="s">
        <v>252</v>
      </c>
      <c r="IRN76" s="343" t="s">
        <v>1300</v>
      </c>
      <c r="IRO76" s="343" t="s">
        <v>252</v>
      </c>
      <c r="IRP76" s="343" t="s">
        <v>1300</v>
      </c>
      <c r="IRQ76" s="343" t="s">
        <v>252</v>
      </c>
      <c r="IRR76" s="343" t="s">
        <v>1300</v>
      </c>
      <c r="IRS76" s="343" t="s">
        <v>252</v>
      </c>
      <c r="IRT76" s="343" t="s">
        <v>1300</v>
      </c>
      <c r="IRU76" s="343" t="s">
        <v>252</v>
      </c>
      <c r="IRV76" s="343" t="s">
        <v>1300</v>
      </c>
      <c r="IRW76" s="343" t="s">
        <v>252</v>
      </c>
      <c r="IRX76" s="343" t="s">
        <v>1300</v>
      </c>
      <c r="IRY76" s="343" t="s">
        <v>252</v>
      </c>
      <c r="IRZ76" s="343" t="s">
        <v>1300</v>
      </c>
      <c r="ISA76" s="343" t="s">
        <v>252</v>
      </c>
      <c r="ISB76" s="343" t="s">
        <v>1300</v>
      </c>
      <c r="ISC76" s="343" t="s">
        <v>252</v>
      </c>
      <c r="ISD76" s="343" t="s">
        <v>1300</v>
      </c>
      <c r="ISE76" s="343" t="s">
        <v>252</v>
      </c>
      <c r="ISF76" s="343" t="s">
        <v>1300</v>
      </c>
      <c r="ISG76" s="343" t="s">
        <v>252</v>
      </c>
      <c r="ISH76" s="343" t="s">
        <v>1300</v>
      </c>
      <c r="ISI76" s="343" t="s">
        <v>252</v>
      </c>
      <c r="ISJ76" s="343" t="s">
        <v>1300</v>
      </c>
      <c r="ISK76" s="343" t="s">
        <v>252</v>
      </c>
      <c r="ISL76" s="343" t="s">
        <v>1300</v>
      </c>
      <c r="ISM76" s="343" t="s">
        <v>252</v>
      </c>
      <c r="ISN76" s="343" t="s">
        <v>1300</v>
      </c>
      <c r="ISO76" s="343" t="s">
        <v>252</v>
      </c>
      <c r="ISP76" s="343" t="s">
        <v>1300</v>
      </c>
      <c r="ISQ76" s="343" t="s">
        <v>252</v>
      </c>
      <c r="ISR76" s="343" t="s">
        <v>1300</v>
      </c>
      <c r="ISS76" s="343" t="s">
        <v>252</v>
      </c>
      <c r="IST76" s="343" t="s">
        <v>1300</v>
      </c>
      <c r="ISU76" s="343" t="s">
        <v>252</v>
      </c>
      <c r="ISV76" s="343" t="s">
        <v>1300</v>
      </c>
      <c r="ISW76" s="343" t="s">
        <v>252</v>
      </c>
      <c r="ISX76" s="343" t="s">
        <v>1300</v>
      </c>
      <c r="ISY76" s="343" t="s">
        <v>252</v>
      </c>
      <c r="ISZ76" s="343" t="s">
        <v>1300</v>
      </c>
      <c r="ITA76" s="343" t="s">
        <v>252</v>
      </c>
      <c r="ITB76" s="343" t="s">
        <v>1300</v>
      </c>
      <c r="ITC76" s="343" t="s">
        <v>252</v>
      </c>
      <c r="ITD76" s="343" t="s">
        <v>1300</v>
      </c>
      <c r="ITE76" s="343" t="s">
        <v>252</v>
      </c>
      <c r="ITF76" s="343" t="s">
        <v>1300</v>
      </c>
      <c r="ITG76" s="343" t="s">
        <v>252</v>
      </c>
      <c r="ITH76" s="343" t="s">
        <v>1300</v>
      </c>
      <c r="ITI76" s="343" t="s">
        <v>252</v>
      </c>
      <c r="ITJ76" s="343" t="s">
        <v>1300</v>
      </c>
      <c r="ITK76" s="343" t="s">
        <v>252</v>
      </c>
      <c r="ITL76" s="343" t="s">
        <v>1300</v>
      </c>
      <c r="ITM76" s="343" t="s">
        <v>252</v>
      </c>
      <c r="ITN76" s="343" t="s">
        <v>1300</v>
      </c>
      <c r="ITO76" s="343" t="s">
        <v>252</v>
      </c>
      <c r="ITP76" s="343" t="s">
        <v>1300</v>
      </c>
      <c r="ITQ76" s="343" t="s">
        <v>252</v>
      </c>
      <c r="ITR76" s="343" t="s">
        <v>1300</v>
      </c>
      <c r="ITS76" s="343" t="s">
        <v>252</v>
      </c>
      <c r="ITT76" s="343" t="s">
        <v>1300</v>
      </c>
      <c r="ITU76" s="343" t="s">
        <v>252</v>
      </c>
      <c r="ITV76" s="343" t="s">
        <v>1300</v>
      </c>
      <c r="ITW76" s="343" t="s">
        <v>252</v>
      </c>
      <c r="ITX76" s="343" t="s">
        <v>1300</v>
      </c>
      <c r="ITY76" s="343" t="s">
        <v>252</v>
      </c>
      <c r="ITZ76" s="343" t="s">
        <v>1300</v>
      </c>
      <c r="IUA76" s="343" t="s">
        <v>252</v>
      </c>
      <c r="IUB76" s="343" t="s">
        <v>1300</v>
      </c>
      <c r="IUC76" s="343" t="s">
        <v>252</v>
      </c>
      <c r="IUD76" s="343" t="s">
        <v>1300</v>
      </c>
      <c r="IUE76" s="343" t="s">
        <v>252</v>
      </c>
      <c r="IUF76" s="343" t="s">
        <v>1300</v>
      </c>
      <c r="IUG76" s="343" t="s">
        <v>252</v>
      </c>
      <c r="IUH76" s="343" t="s">
        <v>1300</v>
      </c>
      <c r="IUI76" s="343" t="s">
        <v>252</v>
      </c>
      <c r="IUJ76" s="343" t="s">
        <v>1300</v>
      </c>
      <c r="IUK76" s="343" t="s">
        <v>252</v>
      </c>
      <c r="IUL76" s="343" t="s">
        <v>1300</v>
      </c>
      <c r="IUM76" s="343" t="s">
        <v>252</v>
      </c>
      <c r="IUN76" s="343" t="s">
        <v>1300</v>
      </c>
      <c r="IUO76" s="343" t="s">
        <v>252</v>
      </c>
      <c r="IUP76" s="343" t="s">
        <v>1300</v>
      </c>
      <c r="IUQ76" s="343" t="s">
        <v>252</v>
      </c>
      <c r="IUR76" s="343" t="s">
        <v>1300</v>
      </c>
      <c r="IUS76" s="343" t="s">
        <v>252</v>
      </c>
      <c r="IUT76" s="343" t="s">
        <v>1300</v>
      </c>
      <c r="IUU76" s="343" t="s">
        <v>252</v>
      </c>
      <c r="IUV76" s="343" t="s">
        <v>1300</v>
      </c>
      <c r="IUW76" s="343" t="s">
        <v>252</v>
      </c>
      <c r="IUX76" s="343" t="s">
        <v>1300</v>
      </c>
      <c r="IUY76" s="343" t="s">
        <v>252</v>
      </c>
      <c r="IUZ76" s="343" t="s">
        <v>1300</v>
      </c>
      <c r="IVA76" s="343" t="s">
        <v>252</v>
      </c>
      <c r="IVB76" s="343" t="s">
        <v>1300</v>
      </c>
      <c r="IVC76" s="343" t="s">
        <v>252</v>
      </c>
      <c r="IVD76" s="343" t="s">
        <v>1300</v>
      </c>
      <c r="IVE76" s="343" t="s">
        <v>252</v>
      </c>
      <c r="IVF76" s="343" t="s">
        <v>1300</v>
      </c>
      <c r="IVG76" s="343" t="s">
        <v>252</v>
      </c>
      <c r="IVH76" s="343" t="s">
        <v>1300</v>
      </c>
      <c r="IVI76" s="343" t="s">
        <v>252</v>
      </c>
      <c r="IVJ76" s="343" t="s">
        <v>1300</v>
      </c>
      <c r="IVK76" s="343" t="s">
        <v>252</v>
      </c>
      <c r="IVL76" s="343" t="s">
        <v>1300</v>
      </c>
      <c r="IVM76" s="343" t="s">
        <v>252</v>
      </c>
      <c r="IVN76" s="343" t="s">
        <v>1300</v>
      </c>
      <c r="IVO76" s="343" t="s">
        <v>252</v>
      </c>
      <c r="IVP76" s="343" t="s">
        <v>1300</v>
      </c>
      <c r="IVQ76" s="343" t="s">
        <v>252</v>
      </c>
      <c r="IVR76" s="343" t="s">
        <v>1300</v>
      </c>
      <c r="IVS76" s="343" t="s">
        <v>252</v>
      </c>
      <c r="IVT76" s="343" t="s">
        <v>1300</v>
      </c>
      <c r="IVU76" s="343" t="s">
        <v>252</v>
      </c>
      <c r="IVV76" s="343" t="s">
        <v>1300</v>
      </c>
      <c r="IVW76" s="343" t="s">
        <v>252</v>
      </c>
      <c r="IVX76" s="343" t="s">
        <v>1300</v>
      </c>
      <c r="IVY76" s="343" t="s">
        <v>252</v>
      </c>
      <c r="IVZ76" s="343" t="s">
        <v>1300</v>
      </c>
      <c r="IWA76" s="343" t="s">
        <v>252</v>
      </c>
      <c r="IWB76" s="343" t="s">
        <v>1300</v>
      </c>
      <c r="IWC76" s="343" t="s">
        <v>252</v>
      </c>
      <c r="IWD76" s="343" t="s">
        <v>1300</v>
      </c>
      <c r="IWE76" s="343" t="s">
        <v>252</v>
      </c>
      <c r="IWF76" s="343" t="s">
        <v>1300</v>
      </c>
      <c r="IWG76" s="343" t="s">
        <v>252</v>
      </c>
      <c r="IWH76" s="343" t="s">
        <v>1300</v>
      </c>
      <c r="IWI76" s="343" t="s">
        <v>252</v>
      </c>
      <c r="IWJ76" s="343" t="s">
        <v>1300</v>
      </c>
      <c r="IWK76" s="343" t="s">
        <v>252</v>
      </c>
      <c r="IWL76" s="343" t="s">
        <v>1300</v>
      </c>
      <c r="IWM76" s="343" t="s">
        <v>252</v>
      </c>
      <c r="IWN76" s="343" t="s">
        <v>1300</v>
      </c>
      <c r="IWO76" s="343" t="s">
        <v>252</v>
      </c>
      <c r="IWP76" s="343" t="s">
        <v>1300</v>
      </c>
      <c r="IWQ76" s="343" t="s">
        <v>252</v>
      </c>
      <c r="IWR76" s="343" t="s">
        <v>1300</v>
      </c>
      <c r="IWS76" s="343" t="s">
        <v>252</v>
      </c>
      <c r="IWT76" s="343" t="s">
        <v>1300</v>
      </c>
      <c r="IWU76" s="343" t="s">
        <v>252</v>
      </c>
      <c r="IWV76" s="343" t="s">
        <v>1300</v>
      </c>
      <c r="IWW76" s="343" t="s">
        <v>252</v>
      </c>
      <c r="IWX76" s="343" t="s">
        <v>1300</v>
      </c>
      <c r="IWY76" s="343" t="s">
        <v>252</v>
      </c>
      <c r="IWZ76" s="343" t="s">
        <v>1300</v>
      </c>
      <c r="IXA76" s="343" t="s">
        <v>252</v>
      </c>
      <c r="IXB76" s="343" t="s">
        <v>1300</v>
      </c>
      <c r="IXC76" s="343" t="s">
        <v>252</v>
      </c>
      <c r="IXD76" s="343" t="s">
        <v>1300</v>
      </c>
      <c r="IXE76" s="343" t="s">
        <v>252</v>
      </c>
      <c r="IXF76" s="343" t="s">
        <v>1300</v>
      </c>
      <c r="IXG76" s="343" t="s">
        <v>252</v>
      </c>
      <c r="IXH76" s="343" t="s">
        <v>1300</v>
      </c>
      <c r="IXI76" s="343" t="s">
        <v>252</v>
      </c>
      <c r="IXJ76" s="343" t="s">
        <v>1300</v>
      </c>
      <c r="IXK76" s="343" t="s">
        <v>252</v>
      </c>
      <c r="IXL76" s="343" t="s">
        <v>1300</v>
      </c>
      <c r="IXM76" s="343" t="s">
        <v>252</v>
      </c>
      <c r="IXN76" s="343" t="s">
        <v>1300</v>
      </c>
      <c r="IXO76" s="343" t="s">
        <v>252</v>
      </c>
      <c r="IXP76" s="343" t="s">
        <v>1300</v>
      </c>
      <c r="IXQ76" s="343" t="s">
        <v>252</v>
      </c>
      <c r="IXR76" s="343" t="s">
        <v>1300</v>
      </c>
      <c r="IXS76" s="343" t="s">
        <v>252</v>
      </c>
      <c r="IXT76" s="343" t="s">
        <v>1300</v>
      </c>
      <c r="IXU76" s="343" t="s">
        <v>252</v>
      </c>
      <c r="IXV76" s="343" t="s">
        <v>1300</v>
      </c>
      <c r="IXW76" s="343" t="s">
        <v>252</v>
      </c>
      <c r="IXX76" s="343" t="s">
        <v>1300</v>
      </c>
      <c r="IXY76" s="343" t="s">
        <v>252</v>
      </c>
      <c r="IXZ76" s="343" t="s">
        <v>1300</v>
      </c>
      <c r="IYA76" s="343" t="s">
        <v>252</v>
      </c>
      <c r="IYB76" s="343" t="s">
        <v>1300</v>
      </c>
      <c r="IYC76" s="343" t="s">
        <v>252</v>
      </c>
      <c r="IYD76" s="343" t="s">
        <v>1300</v>
      </c>
      <c r="IYE76" s="343" t="s">
        <v>252</v>
      </c>
      <c r="IYF76" s="343" t="s">
        <v>1300</v>
      </c>
      <c r="IYG76" s="343" t="s">
        <v>252</v>
      </c>
      <c r="IYH76" s="343" t="s">
        <v>1300</v>
      </c>
      <c r="IYI76" s="343" t="s">
        <v>252</v>
      </c>
      <c r="IYJ76" s="343" t="s">
        <v>1300</v>
      </c>
      <c r="IYK76" s="343" t="s">
        <v>252</v>
      </c>
      <c r="IYL76" s="343" t="s">
        <v>1300</v>
      </c>
      <c r="IYM76" s="343" t="s">
        <v>252</v>
      </c>
      <c r="IYN76" s="343" t="s">
        <v>1300</v>
      </c>
      <c r="IYO76" s="343" t="s">
        <v>252</v>
      </c>
      <c r="IYP76" s="343" t="s">
        <v>1300</v>
      </c>
      <c r="IYQ76" s="343" t="s">
        <v>252</v>
      </c>
      <c r="IYR76" s="343" t="s">
        <v>1300</v>
      </c>
      <c r="IYS76" s="343" t="s">
        <v>252</v>
      </c>
      <c r="IYT76" s="343" t="s">
        <v>1300</v>
      </c>
      <c r="IYU76" s="343" t="s">
        <v>252</v>
      </c>
      <c r="IYV76" s="343" t="s">
        <v>1300</v>
      </c>
      <c r="IYW76" s="343" t="s">
        <v>252</v>
      </c>
      <c r="IYX76" s="343" t="s">
        <v>1300</v>
      </c>
      <c r="IYY76" s="343" t="s">
        <v>252</v>
      </c>
      <c r="IYZ76" s="343" t="s">
        <v>1300</v>
      </c>
      <c r="IZA76" s="343" t="s">
        <v>252</v>
      </c>
      <c r="IZB76" s="343" t="s">
        <v>1300</v>
      </c>
      <c r="IZC76" s="343" t="s">
        <v>252</v>
      </c>
      <c r="IZD76" s="343" t="s">
        <v>1300</v>
      </c>
      <c r="IZE76" s="343" t="s">
        <v>252</v>
      </c>
      <c r="IZF76" s="343" t="s">
        <v>1300</v>
      </c>
      <c r="IZG76" s="343" t="s">
        <v>252</v>
      </c>
      <c r="IZH76" s="343" t="s">
        <v>1300</v>
      </c>
      <c r="IZI76" s="343" t="s">
        <v>252</v>
      </c>
      <c r="IZJ76" s="343" t="s">
        <v>1300</v>
      </c>
      <c r="IZK76" s="343" t="s">
        <v>252</v>
      </c>
      <c r="IZL76" s="343" t="s">
        <v>1300</v>
      </c>
      <c r="IZM76" s="343" t="s">
        <v>252</v>
      </c>
      <c r="IZN76" s="343" t="s">
        <v>1300</v>
      </c>
      <c r="IZO76" s="343" t="s">
        <v>252</v>
      </c>
      <c r="IZP76" s="343" t="s">
        <v>1300</v>
      </c>
      <c r="IZQ76" s="343" t="s">
        <v>252</v>
      </c>
      <c r="IZR76" s="343" t="s">
        <v>1300</v>
      </c>
      <c r="IZS76" s="343" t="s">
        <v>252</v>
      </c>
      <c r="IZT76" s="343" t="s">
        <v>1300</v>
      </c>
      <c r="IZU76" s="343" t="s">
        <v>252</v>
      </c>
      <c r="IZV76" s="343" t="s">
        <v>1300</v>
      </c>
      <c r="IZW76" s="343" t="s">
        <v>252</v>
      </c>
      <c r="IZX76" s="343" t="s">
        <v>1300</v>
      </c>
      <c r="IZY76" s="343" t="s">
        <v>252</v>
      </c>
      <c r="IZZ76" s="343" t="s">
        <v>1300</v>
      </c>
      <c r="JAA76" s="343" t="s">
        <v>252</v>
      </c>
      <c r="JAB76" s="343" t="s">
        <v>1300</v>
      </c>
      <c r="JAC76" s="343" t="s">
        <v>252</v>
      </c>
      <c r="JAD76" s="343" t="s">
        <v>1300</v>
      </c>
      <c r="JAE76" s="343" t="s">
        <v>252</v>
      </c>
      <c r="JAF76" s="343" t="s">
        <v>1300</v>
      </c>
      <c r="JAG76" s="343" t="s">
        <v>252</v>
      </c>
      <c r="JAH76" s="343" t="s">
        <v>1300</v>
      </c>
      <c r="JAI76" s="343" t="s">
        <v>252</v>
      </c>
      <c r="JAJ76" s="343" t="s">
        <v>1300</v>
      </c>
      <c r="JAK76" s="343" t="s">
        <v>252</v>
      </c>
      <c r="JAL76" s="343" t="s">
        <v>1300</v>
      </c>
      <c r="JAM76" s="343" t="s">
        <v>252</v>
      </c>
      <c r="JAN76" s="343" t="s">
        <v>1300</v>
      </c>
      <c r="JAO76" s="343" t="s">
        <v>252</v>
      </c>
      <c r="JAP76" s="343" t="s">
        <v>1300</v>
      </c>
      <c r="JAQ76" s="343" t="s">
        <v>252</v>
      </c>
      <c r="JAR76" s="343" t="s">
        <v>1300</v>
      </c>
      <c r="JAS76" s="343" t="s">
        <v>252</v>
      </c>
      <c r="JAT76" s="343" t="s">
        <v>1300</v>
      </c>
      <c r="JAU76" s="343" t="s">
        <v>252</v>
      </c>
      <c r="JAV76" s="343" t="s">
        <v>1300</v>
      </c>
      <c r="JAW76" s="343" t="s">
        <v>252</v>
      </c>
      <c r="JAX76" s="343" t="s">
        <v>1300</v>
      </c>
      <c r="JAY76" s="343" t="s">
        <v>252</v>
      </c>
      <c r="JAZ76" s="343" t="s">
        <v>1300</v>
      </c>
      <c r="JBA76" s="343" t="s">
        <v>252</v>
      </c>
      <c r="JBB76" s="343" t="s">
        <v>1300</v>
      </c>
      <c r="JBC76" s="343" t="s">
        <v>252</v>
      </c>
      <c r="JBD76" s="343" t="s">
        <v>1300</v>
      </c>
      <c r="JBE76" s="343" t="s">
        <v>252</v>
      </c>
      <c r="JBF76" s="343" t="s">
        <v>1300</v>
      </c>
      <c r="JBG76" s="343" t="s">
        <v>252</v>
      </c>
      <c r="JBH76" s="343" t="s">
        <v>1300</v>
      </c>
      <c r="JBI76" s="343" t="s">
        <v>252</v>
      </c>
      <c r="JBJ76" s="343" t="s">
        <v>1300</v>
      </c>
      <c r="JBK76" s="343" t="s">
        <v>252</v>
      </c>
      <c r="JBL76" s="343" t="s">
        <v>1300</v>
      </c>
      <c r="JBM76" s="343" t="s">
        <v>252</v>
      </c>
      <c r="JBN76" s="343" t="s">
        <v>1300</v>
      </c>
      <c r="JBO76" s="343" t="s">
        <v>252</v>
      </c>
      <c r="JBP76" s="343" t="s">
        <v>1300</v>
      </c>
      <c r="JBQ76" s="343" t="s">
        <v>252</v>
      </c>
      <c r="JBR76" s="343" t="s">
        <v>1300</v>
      </c>
      <c r="JBS76" s="343" t="s">
        <v>252</v>
      </c>
      <c r="JBT76" s="343" t="s">
        <v>1300</v>
      </c>
      <c r="JBU76" s="343" t="s">
        <v>252</v>
      </c>
      <c r="JBV76" s="343" t="s">
        <v>1300</v>
      </c>
      <c r="JBW76" s="343" t="s">
        <v>252</v>
      </c>
      <c r="JBX76" s="343" t="s">
        <v>1300</v>
      </c>
      <c r="JBY76" s="343" t="s">
        <v>252</v>
      </c>
      <c r="JBZ76" s="343" t="s">
        <v>1300</v>
      </c>
      <c r="JCA76" s="343" t="s">
        <v>252</v>
      </c>
      <c r="JCB76" s="343" t="s">
        <v>1300</v>
      </c>
      <c r="JCC76" s="343" t="s">
        <v>252</v>
      </c>
      <c r="JCD76" s="343" t="s">
        <v>1300</v>
      </c>
      <c r="JCE76" s="343" t="s">
        <v>252</v>
      </c>
      <c r="JCF76" s="343" t="s">
        <v>1300</v>
      </c>
      <c r="JCG76" s="343" t="s">
        <v>252</v>
      </c>
      <c r="JCH76" s="343" t="s">
        <v>1300</v>
      </c>
      <c r="JCI76" s="343" t="s">
        <v>252</v>
      </c>
      <c r="JCJ76" s="343" t="s">
        <v>1300</v>
      </c>
      <c r="JCK76" s="343" t="s">
        <v>252</v>
      </c>
      <c r="JCL76" s="343" t="s">
        <v>1300</v>
      </c>
      <c r="JCM76" s="343" t="s">
        <v>252</v>
      </c>
      <c r="JCN76" s="343" t="s">
        <v>1300</v>
      </c>
      <c r="JCO76" s="343" t="s">
        <v>252</v>
      </c>
      <c r="JCP76" s="343" t="s">
        <v>1300</v>
      </c>
      <c r="JCQ76" s="343" t="s">
        <v>252</v>
      </c>
      <c r="JCR76" s="343" t="s">
        <v>1300</v>
      </c>
      <c r="JCS76" s="343" t="s">
        <v>252</v>
      </c>
      <c r="JCT76" s="343" t="s">
        <v>1300</v>
      </c>
      <c r="JCU76" s="343" t="s">
        <v>252</v>
      </c>
      <c r="JCV76" s="343" t="s">
        <v>1300</v>
      </c>
      <c r="JCW76" s="343" t="s">
        <v>252</v>
      </c>
      <c r="JCX76" s="343" t="s">
        <v>1300</v>
      </c>
      <c r="JCY76" s="343" t="s">
        <v>252</v>
      </c>
      <c r="JCZ76" s="343" t="s">
        <v>1300</v>
      </c>
      <c r="JDA76" s="343" t="s">
        <v>252</v>
      </c>
      <c r="JDB76" s="343" t="s">
        <v>1300</v>
      </c>
      <c r="JDC76" s="343" t="s">
        <v>252</v>
      </c>
      <c r="JDD76" s="343" t="s">
        <v>1300</v>
      </c>
      <c r="JDE76" s="343" t="s">
        <v>252</v>
      </c>
      <c r="JDF76" s="343" t="s">
        <v>1300</v>
      </c>
      <c r="JDG76" s="343" t="s">
        <v>252</v>
      </c>
      <c r="JDH76" s="343" t="s">
        <v>1300</v>
      </c>
      <c r="JDI76" s="343" t="s">
        <v>252</v>
      </c>
      <c r="JDJ76" s="343" t="s">
        <v>1300</v>
      </c>
      <c r="JDK76" s="343" t="s">
        <v>252</v>
      </c>
      <c r="JDL76" s="343" t="s">
        <v>1300</v>
      </c>
      <c r="JDM76" s="343" t="s">
        <v>252</v>
      </c>
      <c r="JDN76" s="343" t="s">
        <v>1300</v>
      </c>
      <c r="JDO76" s="343" t="s">
        <v>252</v>
      </c>
      <c r="JDP76" s="343" t="s">
        <v>1300</v>
      </c>
      <c r="JDQ76" s="343" t="s">
        <v>252</v>
      </c>
      <c r="JDR76" s="343" t="s">
        <v>1300</v>
      </c>
      <c r="JDS76" s="343" t="s">
        <v>252</v>
      </c>
      <c r="JDT76" s="343" t="s">
        <v>1300</v>
      </c>
      <c r="JDU76" s="343" t="s">
        <v>252</v>
      </c>
      <c r="JDV76" s="343" t="s">
        <v>1300</v>
      </c>
      <c r="JDW76" s="343" t="s">
        <v>252</v>
      </c>
      <c r="JDX76" s="343" t="s">
        <v>1300</v>
      </c>
      <c r="JDY76" s="343" t="s">
        <v>252</v>
      </c>
      <c r="JDZ76" s="343" t="s">
        <v>1300</v>
      </c>
      <c r="JEA76" s="343" t="s">
        <v>252</v>
      </c>
      <c r="JEB76" s="343" t="s">
        <v>1300</v>
      </c>
      <c r="JEC76" s="343" t="s">
        <v>252</v>
      </c>
      <c r="JED76" s="343" t="s">
        <v>1300</v>
      </c>
      <c r="JEE76" s="343" t="s">
        <v>252</v>
      </c>
      <c r="JEF76" s="343" t="s">
        <v>1300</v>
      </c>
      <c r="JEG76" s="343" t="s">
        <v>252</v>
      </c>
      <c r="JEH76" s="343" t="s">
        <v>1300</v>
      </c>
      <c r="JEI76" s="343" t="s">
        <v>252</v>
      </c>
      <c r="JEJ76" s="343" t="s">
        <v>1300</v>
      </c>
      <c r="JEK76" s="343" t="s">
        <v>252</v>
      </c>
      <c r="JEL76" s="343" t="s">
        <v>1300</v>
      </c>
      <c r="JEM76" s="343" t="s">
        <v>252</v>
      </c>
      <c r="JEN76" s="343" t="s">
        <v>1300</v>
      </c>
      <c r="JEO76" s="343" t="s">
        <v>252</v>
      </c>
      <c r="JEP76" s="343" t="s">
        <v>1300</v>
      </c>
      <c r="JEQ76" s="343" t="s">
        <v>252</v>
      </c>
      <c r="JER76" s="343" t="s">
        <v>1300</v>
      </c>
      <c r="JES76" s="343" t="s">
        <v>252</v>
      </c>
      <c r="JET76" s="343" t="s">
        <v>1300</v>
      </c>
      <c r="JEU76" s="343" t="s">
        <v>252</v>
      </c>
      <c r="JEV76" s="343" t="s">
        <v>1300</v>
      </c>
      <c r="JEW76" s="343" t="s">
        <v>252</v>
      </c>
      <c r="JEX76" s="343" t="s">
        <v>1300</v>
      </c>
      <c r="JEY76" s="343" t="s">
        <v>252</v>
      </c>
      <c r="JEZ76" s="343" t="s">
        <v>1300</v>
      </c>
      <c r="JFA76" s="343" t="s">
        <v>252</v>
      </c>
      <c r="JFB76" s="343" t="s">
        <v>1300</v>
      </c>
      <c r="JFC76" s="343" t="s">
        <v>252</v>
      </c>
      <c r="JFD76" s="343" t="s">
        <v>1300</v>
      </c>
      <c r="JFE76" s="343" t="s">
        <v>252</v>
      </c>
      <c r="JFF76" s="343" t="s">
        <v>1300</v>
      </c>
      <c r="JFG76" s="343" t="s">
        <v>252</v>
      </c>
      <c r="JFH76" s="343" t="s">
        <v>1300</v>
      </c>
      <c r="JFI76" s="343" t="s">
        <v>252</v>
      </c>
      <c r="JFJ76" s="343" t="s">
        <v>1300</v>
      </c>
      <c r="JFK76" s="343" t="s">
        <v>252</v>
      </c>
      <c r="JFL76" s="343" t="s">
        <v>1300</v>
      </c>
      <c r="JFM76" s="343" t="s">
        <v>252</v>
      </c>
      <c r="JFN76" s="343" t="s">
        <v>1300</v>
      </c>
      <c r="JFO76" s="343" t="s">
        <v>252</v>
      </c>
      <c r="JFP76" s="343" t="s">
        <v>1300</v>
      </c>
      <c r="JFQ76" s="343" t="s">
        <v>252</v>
      </c>
      <c r="JFR76" s="343" t="s">
        <v>1300</v>
      </c>
      <c r="JFS76" s="343" t="s">
        <v>252</v>
      </c>
      <c r="JFT76" s="343" t="s">
        <v>1300</v>
      </c>
      <c r="JFU76" s="343" t="s">
        <v>252</v>
      </c>
      <c r="JFV76" s="343" t="s">
        <v>1300</v>
      </c>
      <c r="JFW76" s="343" t="s">
        <v>252</v>
      </c>
      <c r="JFX76" s="343" t="s">
        <v>1300</v>
      </c>
      <c r="JFY76" s="343" t="s">
        <v>252</v>
      </c>
      <c r="JFZ76" s="343" t="s">
        <v>1300</v>
      </c>
      <c r="JGA76" s="343" t="s">
        <v>252</v>
      </c>
      <c r="JGB76" s="343" t="s">
        <v>1300</v>
      </c>
      <c r="JGC76" s="343" t="s">
        <v>252</v>
      </c>
      <c r="JGD76" s="343" t="s">
        <v>1300</v>
      </c>
      <c r="JGE76" s="343" t="s">
        <v>252</v>
      </c>
      <c r="JGF76" s="343" t="s">
        <v>1300</v>
      </c>
      <c r="JGG76" s="343" t="s">
        <v>252</v>
      </c>
      <c r="JGH76" s="343" t="s">
        <v>1300</v>
      </c>
      <c r="JGI76" s="343" t="s">
        <v>252</v>
      </c>
      <c r="JGJ76" s="343" t="s">
        <v>1300</v>
      </c>
      <c r="JGK76" s="343" t="s">
        <v>252</v>
      </c>
      <c r="JGL76" s="343" t="s">
        <v>1300</v>
      </c>
      <c r="JGM76" s="343" t="s">
        <v>252</v>
      </c>
      <c r="JGN76" s="343" t="s">
        <v>1300</v>
      </c>
      <c r="JGO76" s="343" t="s">
        <v>252</v>
      </c>
      <c r="JGP76" s="343" t="s">
        <v>1300</v>
      </c>
      <c r="JGQ76" s="343" t="s">
        <v>252</v>
      </c>
      <c r="JGR76" s="343" t="s">
        <v>1300</v>
      </c>
      <c r="JGS76" s="343" t="s">
        <v>252</v>
      </c>
      <c r="JGT76" s="343" t="s">
        <v>1300</v>
      </c>
      <c r="JGU76" s="343" t="s">
        <v>252</v>
      </c>
      <c r="JGV76" s="343" t="s">
        <v>1300</v>
      </c>
      <c r="JGW76" s="343" t="s">
        <v>252</v>
      </c>
      <c r="JGX76" s="343" t="s">
        <v>1300</v>
      </c>
      <c r="JGY76" s="343" t="s">
        <v>252</v>
      </c>
      <c r="JGZ76" s="343" t="s">
        <v>1300</v>
      </c>
      <c r="JHA76" s="343" t="s">
        <v>252</v>
      </c>
      <c r="JHB76" s="343" t="s">
        <v>1300</v>
      </c>
      <c r="JHC76" s="343" t="s">
        <v>252</v>
      </c>
      <c r="JHD76" s="343" t="s">
        <v>1300</v>
      </c>
      <c r="JHE76" s="343" t="s">
        <v>252</v>
      </c>
      <c r="JHF76" s="343" t="s">
        <v>1300</v>
      </c>
      <c r="JHG76" s="343" t="s">
        <v>252</v>
      </c>
      <c r="JHH76" s="343" t="s">
        <v>1300</v>
      </c>
      <c r="JHI76" s="343" t="s">
        <v>252</v>
      </c>
      <c r="JHJ76" s="343" t="s">
        <v>1300</v>
      </c>
      <c r="JHK76" s="343" t="s">
        <v>252</v>
      </c>
      <c r="JHL76" s="343" t="s">
        <v>1300</v>
      </c>
      <c r="JHM76" s="343" t="s">
        <v>252</v>
      </c>
      <c r="JHN76" s="343" t="s">
        <v>1300</v>
      </c>
      <c r="JHO76" s="343" t="s">
        <v>252</v>
      </c>
      <c r="JHP76" s="343" t="s">
        <v>1300</v>
      </c>
      <c r="JHQ76" s="343" t="s">
        <v>252</v>
      </c>
      <c r="JHR76" s="343" t="s">
        <v>1300</v>
      </c>
      <c r="JHS76" s="343" t="s">
        <v>252</v>
      </c>
      <c r="JHT76" s="343" t="s">
        <v>1300</v>
      </c>
      <c r="JHU76" s="343" t="s">
        <v>252</v>
      </c>
      <c r="JHV76" s="343" t="s">
        <v>1300</v>
      </c>
      <c r="JHW76" s="343" t="s">
        <v>252</v>
      </c>
      <c r="JHX76" s="343" t="s">
        <v>1300</v>
      </c>
      <c r="JHY76" s="343" t="s">
        <v>252</v>
      </c>
      <c r="JHZ76" s="343" t="s">
        <v>1300</v>
      </c>
      <c r="JIA76" s="343" t="s">
        <v>252</v>
      </c>
      <c r="JIB76" s="343" t="s">
        <v>1300</v>
      </c>
      <c r="JIC76" s="343" t="s">
        <v>252</v>
      </c>
      <c r="JID76" s="343" t="s">
        <v>1300</v>
      </c>
      <c r="JIE76" s="343" t="s">
        <v>252</v>
      </c>
      <c r="JIF76" s="343" t="s">
        <v>1300</v>
      </c>
      <c r="JIG76" s="343" t="s">
        <v>252</v>
      </c>
      <c r="JIH76" s="343" t="s">
        <v>1300</v>
      </c>
      <c r="JII76" s="343" t="s">
        <v>252</v>
      </c>
      <c r="JIJ76" s="343" t="s">
        <v>1300</v>
      </c>
      <c r="JIK76" s="343" t="s">
        <v>252</v>
      </c>
      <c r="JIL76" s="343" t="s">
        <v>1300</v>
      </c>
      <c r="JIM76" s="343" t="s">
        <v>252</v>
      </c>
      <c r="JIN76" s="343" t="s">
        <v>1300</v>
      </c>
      <c r="JIO76" s="343" t="s">
        <v>252</v>
      </c>
      <c r="JIP76" s="343" t="s">
        <v>1300</v>
      </c>
      <c r="JIQ76" s="343" t="s">
        <v>252</v>
      </c>
      <c r="JIR76" s="343" t="s">
        <v>1300</v>
      </c>
      <c r="JIS76" s="343" t="s">
        <v>252</v>
      </c>
      <c r="JIT76" s="343" t="s">
        <v>1300</v>
      </c>
      <c r="JIU76" s="343" t="s">
        <v>252</v>
      </c>
      <c r="JIV76" s="343" t="s">
        <v>1300</v>
      </c>
      <c r="JIW76" s="343" t="s">
        <v>252</v>
      </c>
      <c r="JIX76" s="343" t="s">
        <v>1300</v>
      </c>
      <c r="JIY76" s="343" t="s">
        <v>252</v>
      </c>
      <c r="JIZ76" s="343" t="s">
        <v>1300</v>
      </c>
      <c r="JJA76" s="343" t="s">
        <v>252</v>
      </c>
      <c r="JJB76" s="343" t="s">
        <v>1300</v>
      </c>
      <c r="JJC76" s="343" t="s">
        <v>252</v>
      </c>
      <c r="JJD76" s="343" t="s">
        <v>1300</v>
      </c>
      <c r="JJE76" s="343" t="s">
        <v>252</v>
      </c>
      <c r="JJF76" s="343" t="s">
        <v>1300</v>
      </c>
      <c r="JJG76" s="343" t="s">
        <v>252</v>
      </c>
      <c r="JJH76" s="343" t="s">
        <v>1300</v>
      </c>
      <c r="JJI76" s="343" t="s">
        <v>252</v>
      </c>
      <c r="JJJ76" s="343" t="s">
        <v>1300</v>
      </c>
      <c r="JJK76" s="343" t="s">
        <v>252</v>
      </c>
      <c r="JJL76" s="343" t="s">
        <v>1300</v>
      </c>
      <c r="JJM76" s="343" t="s">
        <v>252</v>
      </c>
      <c r="JJN76" s="343" t="s">
        <v>1300</v>
      </c>
      <c r="JJO76" s="343" t="s">
        <v>252</v>
      </c>
      <c r="JJP76" s="343" t="s">
        <v>1300</v>
      </c>
      <c r="JJQ76" s="343" t="s">
        <v>252</v>
      </c>
      <c r="JJR76" s="343" t="s">
        <v>1300</v>
      </c>
      <c r="JJS76" s="343" t="s">
        <v>252</v>
      </c>
      <c r="JJT76" s="343" t="s">
        <v>1300</v>
      </c>
      <c r="JJU76" s="343" t="s">
        <v>252</v>
      </c>
      <c r="JJV76" s="343" t="s">
        <v>1300</v>
      </c>
      <c r="JJW76" s="343" t="s">
        <v>252</v>
      </c>
      <c r="JJX76" s="343" t="s">
        <v>1300</v>
      </c>
      <c r="JJY76" s="343" t="s">
        <v>252</v>
      </c>
      <c r="JJZ76" s="343" t="s">
        <v>1300</v>
      </c>
      <c r="JKA76" s="343" t="s">
        <v>252</v>
      </c>
      <c r="JKB76" s="343" t="s">
        <v>1300</v>
      </c>
      <c r="JKC76" s="343" t="s">
        <v>252</v>
      </c>
      <c r="JKD76" s="343" t="s">
        <v>1300</v>
      </c>
      <c r="JKE76" s="343" t="s">
        <v>252</v>
      </c>
      <c r="JKF76" s="343" t="s">
        <v>1300</v>
      </c>
      <c r="JKG76" s="343" t="s">
        <v>252</v>
      </c>
      <c r="JKH76" s="343" t="s">
        <v>1300</v>
      </c>
      <c r="JKI76" s="343" t="s">
        <v>252</v>
      </c>
      <c r="JKJ76" s="343" t="s">
        <v>1300</v>
      </c>
      <c r="JKK76" s="343" t="s">
        <v>252</v>
      </c>
      <c r="JKL76" s="343" t="s">
        <v>1300</v>
      </c>
      <c r="JKM76" s="343" t="s">
        <v>252</v>
      </c>
      <c r="JKN76" s="343" t="s">
        <v>1300</v>
      </c>
      <c r="JKO76" s="343" t="s">
        <v>252</v>
      </c>
      <c r="JKP76" s="343" t="s">
        <v>1300</v>
      </c>
      <c r="JKQ76" s="343" t="s">
        <v>252</v>
      </c>
      <c r="JKR76" s="343" t="s">
        <v>1300</v>
      </c>
      <c r="JKS76" s="343" t="s">
        <v>252</v>
      </c>
      <c r="JKT76" s="343" t="s">
        <v>1300</v>
      </c>
      <c r="JKU76" s="343" t="s">
        <v>252</v>
      </c>
      <c r="JKV76" s="343" t="s">
        <v>1300</v>
      </c>
      <c r="JKW76" s="343" t="s">
        <v>252</v>
      </c>
      <c r="JKX76" s="343" t="s">
        <v>1300</v>
      </c>
      <c r="JKY76" s="343" t="s">
        <v>252</v>
      </c>
      <c r="JKZ76" s="343" t="s">
        <v>1300</v>
      </c>
      <c r="JLA76" s="343" t="s">
        <v>252</v>
      </c>
      <c r="JLB76" s="343" t="s">
        <v>1300</v>
      </c>
      <c r="JLC76" s="343" t="s">
        <v>252</v>
      </c>
      <c r="JLD76" s="343" t="s">
        <v>1300</v>
      </c>
      <c r="JLE76" s="343" t="s">
        <v>252</v>
      </c>
      <c r="JLF76" s="343" t="s">
        <v>1300</v>
      </c>
      <c r="JLG76" s="343" t="s">
        <v>252</v>
      </c>
      <c r="JLH76" s="343" t="s">
        <v>1300</v>
      </c>
      <c r="JLI76" s="343" t="s">
        <v>252</v>
      </c>
      <c r="JLJ76" s="343" t="s">
        <v>1300</v>
      </c>
      <c r="JLK76" s="343" t="s">
        <v>252</v>
      </c>
      <c r="JLL76" s="343" t="s">
        <v>1300</v>
      </c>
      <c r="JLM76" s="343" t="s">
        <v>252</v>
      </c>
      <c r="JLN76" s="343" t="s">
        <v>1300</v>
      </c>
      <c r="JLO76" s="343" t="s">
        <v>252</v>
      </c>
      <c r="JLP76" s="343" t="s">
        <v>1300</v>
      </c>
      <c r="JLQ76" s="343" t="s">
        <v>252</v>
      </c>
      <c r="JLR76" s="343" t="s">
        <v>1300</v>
      </c>
      <c r="JLS76" s="343" t="s">
        <v>252</v>
      </c>
      <c r="JLT76" s="343" t="s">
        <v>1300</v>
      </c>
      <c r="JLU76" s="343" t="s">
        <v>252</v>
      </c>
      <c r="JLV76" s="343" t="s">
        <v>1300</v>
      </c>
      <c r="JLW76" s="343" t="s">
        <v>252</v>
      </c>
      <c r="JLX76" s="343" t="s">
        <v>1300</v>
      </c>
      <c r="JLY76" s="343" t="s">
        <v>252</v>
      </c>
      <c r="JLZ76" s="343" t="s">
        <v>1300</v>
      </c>
      <c r="JMA76" s="343" t="s">
        <v>252</v>
      </c>
      <c r="JMB76" s="343" t="s">
        <v>1300</v>
      </c>
      <c r="JMC76" s="343" t="s">
        <v>252</v>
      </c>
      <c r="JMD76" s="343" t="s">
        <v>1300</v>
      </c>
      <c r="JME76" s="343" t="s">
        <v>252</v>
      </c>
      <c r="JMF76" s="343" t="s">
        <v>1300</v>
      </c>
      <c r="JMG76" s="343" t="s">
        <v>252</v>
      </c>
      <c r="JMH76" s="343" t="s">
        <v>1300</v>
      </c>
      <c r="JMI76" s="343" t="s">
        <v>252</v>
      </c>
      <c r="JMJ76" s="343" t="s">
        <v>1300</v>
      </c>
      <c r="JMK76" s="343" t="s">
        <v>252</v>
      </c>
      <c r="JML76" s="343" t="s">
        <v>1300</v>
      </c>
      <c r="JMM76" s="343" t="s">
        <v>252</v>
      </c>
      <c r="JMN76" s="343" t="s">
        <v>1300</v>
      </c>
      <c r="JMO76" s="343" t="s">
        <v>252</v>
      </c>
      <c r="JMP76" s="343" t="s">
        <v>1300</v>
      </c>
      <c r="JMQ76" s="343" t="s">
        <v>252</v>
      </c>
      <c r="JMR76" s="343" t="s">
        <v>1300</v>
      </c>
      <c r="JMS76" s="343" t="s">
        <v>252</v>
      </c>
      <c r="JMT76" s="343" t="s">
        <v>1300</v>
      </c>
      <c r="JMU76" s="343" t="s">
        <v>252</v>
      </c>
      <c r="JMV76" s="343" t="s">
        <v>1300</v>
      </c>
      <c r="JMW76" s="343" t="s">
        <v>252</v>
      </c>
      <c r="JMX76" s="343" t="s">
        <v>1300</v>
      </c>
      <c r="JMY76" s="343" t="s">
        <v>252</v>
      </c>
      <c r="JMZ76" s="343" t="s">
        <v>1300</v>
      </c>
      <c r="JNA76" s="343" t="s">
        <v>252</v>
      </c>
      <c r="JNB76" s="343" t="s">
        <v>1300</v>
      </c>
      <c r="JNC76" s="343" t="s">
        <v>252</v>
      </c>
      <c r="JND76" s="343" t="s">
        <v>1300</v>
      </c>
      <c r="JNE76" s="343" t="s">
        <v>252</v>
      </c>
      <c r="JNF76" s="343" t="s">
        <v>1300</v>
      </c>
      <c r="JNG76" s="343" t="s">
        <v>252</v>
      </c>
      <c r="JNH76" s="343" t="s">
        <v>1300</v>
      </c>
      <c r="JNI76" s="343" t="s">
        <v>252</v>
      </c>
      <c r="JNJ76" s="343" t="s">
        <v>1300</v>
      </c>
      <c r="JNK76" s="343" t="s">
        <v>252</v>
      </c>
      <c r="JNL76" s="343" t="s">
        <v>1300</v>
      </c>
      <c r="JNM76" s="343" t="s">
        <v>252</v>
      </c>
      <c r="JNN76" s="343" t="s">
        <v>1300</v>
      </c>
      <c r="JNO76" s="343" t="s">
        <v>252</v>
      </c>
      <c r="JNP76" s="343" t="s">
        <v>1300</v>
      </c>
      <c r="JNQ76" s="343" t="s">
        <v>252</v>
      </c>
      <c r="JNR76" s="343" t="s">
        <v>1300</v>
      </c>
      <c r="JNS76" s="343" t="s">
        <v>252</v>
      </c>
      <c r="JNT76" s="343" t="s">
        <v>1300</v>
      </c>
      <c r="JNU76" s="343" t="s">
        <v>252</v>
      </c>
      <c r="JNV76" s="343" t="s">
        <v>1300</v>
      </c>
      <c r="JNW76" s="343" t="s">
        <v>252</v>
      </c>
      <c r="JNX76" s="343" t="s">
        <v>1300</v>
      </c>
      <c r="JNY76" s="343" t="s">
        <v>252</v>
      </c>
      <c r="JNZ76" s="343" t="s">
        <v>1300</v>
      </c>
      <c r="JOA76" s="343" t="s">
        <v>252</v>
      </c>
      <c r="JOB76" s="343" t="s">
        <v>1300</v>
      </c>
      <c r="JOC76" s="343" t="s">
        <v>252</v>
      </c>
      <c r="JOD76" s="343" t="s">
        <v>1300</v>
      </c>
      <c r="JOE76" s="343" t="s">
        <v>252</v>
      </c>
      <c r="JOF76" s="343" t="s">
        <v>1300</v>
      </c>
      <c r="JOG76" s="343" t="s">
        <v>252</v>
      </c>
      <c r="JOH76" s="343" t="s">
        <v>1300</v>
      </c>
      <c r="JOI76" s="343" t="s">
        <v>252</v>
      </c>
      <c r="JOJ76" s="343" t="s">
        <v>1300</v>
      </c>
      <c r="JOK76" s="343" t="s">
        <v>252</v>
      </c>
      <c r="JOL76" s="343" t="s">
        <v>1300</v>
      </c>
      <c r="JOM76" s="343" t="s">
        <v>252</v>
      </c>
      <c r="JON76" s="343" t="s">
        <v>1300</v>
      </c>
      <c r="JOO76" s="343" t="s">
        <v>252</v>
      </c>
      <c r="JOP76" s="343" t="s">
        <v>1300</v>
      </c>
      <c r="JOQ76" s="343" t="s">
        <v>252</v>
      </c>
      <c r="JOR76" s="343" t="s">
        <v>1300</v>
      </c>
      <c r="JOS76" s="343" t="s">
        <v>252</v>
      </c>
      <c r="JOT76" s="343" t="s">
        <v>1300</v>
      </c>
      <c r="JOU76" s="343" t="s">
        <v>252</v>
      </c>
      <c r="JOV76" s="343" t="s">
        <v>1300</v>
      </c>
      <c r="JOW76" s="343" t="s">
        <v>252</v>
      </c>
      <c r="JOX76" s="343" t="s">
        <v>1300</v>
      </c>
      <c r="JOY76" s="343" t="s">
        <v>252</v>
      </c>
      <c r="JOZ76" s="343" t="s">
        <v>1300</v>
      </c>
      <c r="JPA76" s="343" t="s">
        <v>252</v>
      </c>
      <c r="JPB76" s="343" t="s">
        <v>1300</v>
      </c>
      <c r="JPC76" s="343" t="s">
        <v>252</v>
      </c>
      <c r="JPD76" s="343" t="s">
        <v>1300</v>
      </c>
      <c r="JPE76" s="343" t="s">
        <v>252</v>
      </c>
      <c r="JPF76" s="343" t="s">
        <v>1300</v>
      </c>
      <c r="JPG76" s="343" t="s">
        <v>252</v>
      </c>
      <c r="JPH76" s="343" t="s">
        <v>1300</v>
      </c>
      <c r="JPI76" s="343" t="s">
        <v>252</v>
      </c>
      <c r="JPJ76" s="343" t="s">
        <v>1300</v>
      </c>
      <c r="JPK76" s="343" t="s">
        <v>252</v>
      </c>
      <c r="JPL76" s="343" t="s">
        <v>1300</v>
      </c>
      <c r="JPM76" s="343" t="s">
        <v>252</v>
      </c>
      <c r="JPN76" s="343" t="s">
        <v>1300</v>
      </c>
      <c r="JPO76" s="343" t="s">
        <v>252</v>
      </c>
      <c r="JPP76" s="343" t="s">
        <v>1300</v>
      </c>
      <c r="JPQ76" s="343" t="s">
        <v>252</v>
      </c>
      <c r="JPR76" s="343" t="s">
        <v>1300</v>
      </c>
      <c r="JPS76" s="343" t="s">
        <v>252</v>
      </c>
      <c r="JPT76" s="343" t="s">
        <v>1300</v>
      </c>
      <c r="JPU76" s="343" t="s">
        <v>252</v>
      </c>
      <c r="JPV76" s="343" t="s">
        <v>1300</v>
      </c>
      <c r="JPW76" s="343" t="s">
        <v>252</v>
      </c>
      <c r="JPX76" s="343" t="s">
        <v>1300</v>
      </c>
      <c r="JPY76" s="343" t="s">
        <v>252</v>
      </c>
      <c r="JPZ76" s="343" t="s">
        <v>1300</v>
      </c>
      <c r="JQA76" s="343" t="s">
        <v>252</v>
      </c>
      <c r="JQB76" s="343" t="s">
        <v>1300</v>
      </c>
      <c r="JQC76" s="343" t="s">
        <v>252</v>
      </c>
      <c r="JQD76" s="343" t="s">
        <v>1300</v>
      </c>
      <c r="JQE76" s="343" t="s">
        <v>252</v>
      </c>
      <c r="JQF76" s="343" t="s">
        <v>1300</v>
      </c>
      <c r="JQG76" s="343" t="s">
        <v>252</v>
      </c>
      <c r="JQH76" s="343" t="s">
        <v>1300</v>
      </c>
      <c r="JQI76" s="343" t="s">
        <v>252</v>
      </c>
      <c r="JQJ76" s="343" t="s">
        <v>1300</v>
      </c>
      <c r="JQK76" s="343" t="s">
        <v>252</v>
      </c>
      <c r="JQL76" s="343" t="s">
        <v>1300</v>
      </c>
      <c r="JQM76" s="343" t="s">
        <v>252</v>
      </c>
      <c r="JQN76" s="343" t="s">
        <v>1300</v>
      </c>
      <c r="JQO76" s="343" t="s">
        <v>252</v>
      </c>
      <c r="JQP76" s="343" t="s">
        <v>1300</v>
      </c>
      <c r="JQQ76" s="343" t="s">
        <v>252</v>
      </c>
      <c r="JQR76" s="343" t="s">
        <v>1300</v>
      </c>
      <c r="JQS76" s="343" t="s">
        <v>252</v>
      </c>
      <c r="JQT76" s="343" t="s">
        <v>1300</v>
      </c>
      <c r="JQU76" s="343" t="s">
        <v>252</v>
      </c>
      <c r="JQV76" s="343" t="s">
        <v>1300</v>
      </c>
      <c r="JQW76" s="343" t="s">
        <v>252</v>
      </c>
      <c r="JQX76" s="343" t="s">
        <v>1300</v>
      </c>
      <c r="JQY76" s="343" t="s">
        <v>252</v>
      </c>
      <c r="JQZ76" s="343" t="s">
        <v>1300</v>
      </c>
      <c r="JRA76" s="343" t="s">
        <v>252</v>
      </c>
      <c r="JRB76" s="343" t="s">
        <v>1300</v>
      </c>
      <c r="JRC76" s="343" t="s">
        <v>252</v>
      </c>
      <c r="JRD76" s="343" t="s">
        <v>1300</v>
      </c>
      <c r="JRE76" s="343" t="s">
        <v>252</v>
      </c>
      <c r="JRF76" s="343" t="s">
        <v>1300</v>
      </c>
      <c r="JRG76" s="343" t="s">
        <v>252</v>
      </c>
      <c r="JRH76" s="343" t="s">
        <v>1300</v>
      </c>
      <c r="JRI76" s="343" t="s">
        <v>252</v>
      </c>
      <c r="JRJ76" s="343" t="s">
        <v>1300</v>
      </c>
      <c r="JRK76" s="343" t="s">
        <v>252</v>
      </c>
      <c r="JRL76" s="343" t="s">
        <v>1300</v>
      </c>
      <c r="JRM76" s="343" t="s">
        <v>252</v>
      </c>
      <c r="JRN76" s="343" t="s">
        <v>1300</v>
      </c>
      <c r="JRO76" s="343" t="s">
        <v>252</v>
      </c>
      <c r="JRP76" s="343" t="s">
        <v>1300</v>
      </c>
      <c r="JRQ76" s="343" t="s">
        <v>252</v>
      </c>
      <c r="JRR76" s="343" t="s">
        <v>1300</v>
      </c>
      <c r="JRS76" s="343" t="s">
        <v>252</v>
      </c>
      <c r="JRT76" s="343" t="s">
        <v>1300</v>
      </c>
      <c r="JRU76" s="343" t="s">
        <v>252</v>
      </c>
      <c r="JRV76" s="343" t="s">
        <v>1300</v>
      </c>
      <c r="JRW76" s="343" t="s">
        <v>252</v>
      </c>
      <c r="JRX76" s="343" t="s">
        <v>1300</v>
      </c>
      <c r="JRY76" s="343" t="s">
        <v>252</v>
      </c>
      <c r="JRZ76" s="343" t="s">
        <v>1300</v>
      </c>
      <c r="JSA76" s="343" t="s">
        <v>252</v>
      </c>
      <c r="JSB76" s="343" t="s">
        <v>1300</v>
      </c>
      <c r="JSC76" s="343" t="s">
        <v>252</v>
      </c>
      <c r="JSD76" s="343" t="s">
        <v>1300</v>
      </c>
      <c r="JSE76" s="343" t="s">
        <v>252</v>
      </c>
      <c r="JSF76" s="343" t="s">
        <v>1300</v>
      </c>
      <c r="JSG76" s="343" t="s">
        <v>252</v>
      </c>
      <c r="JSH76" s="343" t="s">
        <v>1300</v>
      </c>
      <c r="JSI76" s="343" t="s">
        <v>252</v>
      </c>
      <c r="JSJ76" s="343" t="s">
        <v>1300</v>
      </c>
      <c r="JSK76" s="343" t="s">
        <v>252</v>
      </c>
      <c r="JSL76" s="343" t="s">
        <v>1300</v>
      </c>
      <c r="JSM76" s="343" t="s">
        <v>252</v>
      </c>
      <c r="JSN76" s="343" t="s">
        <v>1300</v>
      </c>
      <c r="JSO76" s="343" t="s">
        <v>252</v>
      </c>
      <c r="JSP76" s="343" t="s">
        <v>1300</v>
      </c>
      <c r="JSQ76" s="343" t="s">
        <v>252</v>
      </c>
      <c r="JSR76" s="343" t="s">
        <v>1300</v>
      </c>
      <c r="JSS76" s="343" t="s">
        <v>252</v>
      </c>
      <c r="JST76" s="343" t="s">
        <v>1300</v>
      </c>
      <c r="JSU76" s="343" t="s">
        <v>252</v>
      </c>
      <c r="JSV76" s="343" t="s">
        <v>1300</v>
      </c>
      <c r="JSW76" s="343" t="s">
        <v>252</v>
      </c>
      <c r="JSX76" s="343" t="s">
        <v>1300</v>
      </c>
      <c r="JSY76" s="343" t="s">
        <v>252</v>
      </c>
      <c r="JSZ76" s="343" t="s">
        <v>1300</v>
      </c>
      <c r="JTA76" s="343" t="s">
        <v>252</v>
      </c>
      <c r="JTB76" s="343" t="s">
        <v>1300</v>
      </c>
      <c r="JTC76" s="343" t="s">
        <v>252</v>
      </c>
      <c r="JTD76" s="343" t="s">
        <v>1300</v>
      </c>
      <c r="JTE76" s="343" t="s">
        <v>252</v>
      </c>
      <c r="JTF76" s="343" t="s">
        <v>1300</v>
      </c>
      <c r="JTG76" s="343" t="s">
        <v>252</v>
      </c>
      <c r="JTH76" s="343" t="s">
        <v>1300</v>
      </c>
      <c r="JTI76" s="343" t="s">
        <v>252</v>
      </c>
      <c r="JTJ76" s="343" t="s">
        <v>1300</v>
      </c>
      <c r="JTK76" s="343" t="s">
        <v>252</v>
      </c>
      <c r="JTL76" s="343" t="s">
        <v>1300</v>
      </c>
      <c r="JTM76" s="343" t="s">
        <v>252</v>
      </c>
      <c r="JTN76" s="343" t="s">
        <v>1300</v>
      </c>
      <c r="JTO76" s="343" t="s">
        <v>252</v>
      </c>
      <c r="JTP76" s="343" t="s">
        <v>1300</v>
      </c>
      <c r="JTQ76" s="343" t="s">
        <v>252</v>
      </c>
      <c r="JTR76" s="343" t="s">
        <v>1300</v>
      </c>
      <c r="JTS76" s="343" t="s">
        <v>252</v>
      </c>
      <c r="JTT76" s="343" t="s">
        <v>1300</v>
      </c>
      <c r="JTU76" s="343" t="s">
        <v>252</v>
      </c>
      <c r="JTV76" s="343" t="s">
        <v>1300</v>
      </c>
      <c r="JTW76" s="343" t="s">
        <v>252</v>
      </c>
      <c r="JTX76" s="343" t="s">
        <v>1300</v>
      </c>
      <c r="JTY76" s="343" t="s">
        <v>252</v>
      </c>
      <c r="JTZ76" s="343" t="s">
        <v>1300</v>
      </c>
      <c r="JUA76" s="343" t="s">
        <v>252</v>
      </c>
      <c r="JUB76" s="343" t="s">
        <v>1300</v>
      </c>
      <c r="JUC76" s="343" t="s">
        <v>252</v>
      </c>
      <c r="JUD76" s="343" t="s">
        <v>1300</v>
      </c>
      <c r="JUE76" s="343" t="s">
        <v>252</v>
      </c>
      <c r="JUF76" s="343" t="s">
        <v>1300</v>
      </c>
      <c r="JUG76" s="343" t="s">
        <v>252</v>
      </c>
      <c r="JUH76" s="343" t="s">
        <v>1300</v>
      </c>
      <c r="JUI76" s="343" t="s">
        <v>252</v>
      </c>
      <c r="JUJ76" s="343" t="s">
        <v>1300</v>
      </c>
      <c r="JUK76" s="343" t="s">
        <v>252</v>
      </c>
      <c r="JUL76" s="343" t="s">
        <v>1300</v>
      </c>
      <c r="JUM76" s="343" t="s">
        <v>252</v>
      </c>
      <c r="JUN76" s="343" t="s">
        <v>1300</v>
      </c>
      <c r="JUO76" s="343" t="s">
        <v>252</v>
      </c>
      <c r="JUP76" s="343" t="s">
        <v>1300</v>
      </c>
      <c r="JUQ76" s="343" t="s">
        <v>252</v>
      </c>
      <c r="JUR76" s="343" t="s">
        <v>1300</v>
      </c>
      <c r="JUS76" s="343" t="s">
        <v>252</v>
      </c>
      <c r="JUT76" s="343" t="s">
        <v>1300</v>
      </c>
      <c r="JUU76" s="343" t="s">
        <v>252</v>
      </c>
      <c r="JUV76" s="343" t="s">
        <v>1300</v>
      </c>
      <c r="JUW76" s="343" t="s">
        <v>252</v>
      </c>
      <c r="JUX76" s="343" t="s">
        <v>1300</v>
      </c>
      <c r="JUY76" s="343" t="s">
        <v>252</v>
      </c>
      <c r="JUZ76" s="343" t="s">
        <v>1300</v>
      </c>
      <c r="JVA76" s="343" t="s">
        <v>252</v>
      </c>
      <c r="JVB76" s="343" t="s">
        <v>1300</v>
      </c>
      <c r="JVC76" s="343" t="s">
        <v>252</v>
      </c>
      <c r="JVD76" s="343" t="s">
        <v>1300</v>
      </c>
      <c r="JVE76" s="343" t="s">
        <v>252</v>
      </c>
      <c r="JVF76" s="343" t="s">
        <v>1300</v>
      </c>
      <c r="JVG76" s="343" t="s">
        <v>252</v>
      </c>
      <c r="JVH76" s="343" t="s">
        <v>1300</v>
      </c>
      <c r="JVI76" s="343" t="s">
        <v>252</v>
      </c>
      <c r="JVJ76" s="343" t="s">
        <v>1300</v>
      </c>
      <c r="JVK76" s="343" t="s">
        <v>252</v>
      </c>
      <c r="JVL76" s="343" t="s">
        <v>1300</v>
      </c>
      <c r="JVM76" s="343" t="s">
        <v>252</v>
      </c>
      <c r="JVN76" s="343" t="s">
        <v>1300</v>
      </c>
      <c r="JVO76" s="343" t="s">
        <v>252</v>
      </c>
      <c r="JVP76" s="343" t="s">
        <v>1300</v>
      </c>
      <c r="JVQ76" s="343" t="s">
        <v>252</v>
      </c>
      <c r="JVR76" s="343" t="s">
        <v>1300</v>
      </c>
      <c r="JVS76" s="343" t="s">
        <v>252</v>
      </c>
      <c r="JVT76" s="343" t="s">
        <v>1300</v>
      </c>
      <c r="JVU76" s="343" t="s">
        <v>252</v>
      </c>
      <c r="JVV76" s="343" t="s">
        <v>1300</v>
      </c>
      <c r="JVW76" s="343" t="s">
        <v>252</v>
      </c>
      <c r="JVX76" s="343" t="s">
        <v>1300</v>
      </c>
      <c r="JVY76" s="343" t="s">
        <v>252</v>
      </c>
      <c r="JVZ76" s="343" t="s">
        <v>1300</v>
      </c>
      <c r="JWA76" s="343" t="s">
        <v>252</v>
      </c>
      <c r="JWB76" s="343" t="s">
        <v>1300</v>
      </c>
      <c r="JWC76" s="343" t="s">
        <v>252</v>
      </c>
      <c r="JWD76" s="343" t="s">
        <v>1300</v>
      </c>
      <c r="JWE76" s="343" t="s">
        <v>252</v>
      </c>
      <c r="JWF76" s="343" t="s">
        <v>1300</v>
      </c>
      <c r="JWG76" s="343" t="s">
        <v>252</v>
      </c>
      <c r="JWH76" s="343" t="s">
        <v>1300</v>
      </c>
      <c r="JWI76" s="343" t="s">
        <v>252</v>
      </c>
      <c r="JWJ76" s="343" t="s">
        <v>1300</v>
      </c>
      <c r="JWK76" s="343" t="s">
        <v>252</v>
      </c>
      <c r="JWL76" s="343" t="s">
        <v>1300</v>
      </c>
      <c r="JWM76" s="343" t="s">
        <v>252</v>
      </c>
      <c r="JWN76" s="343" t="s">
        <v>1300</v>
      </c>
      <c r="JWO76" s="343" t="s">
        <v>252</v>
      </c>
      <c r="JWP76" s="343" t="s">
        <v>1300</v>
      </c>
      <c r="JWQ76" s="343" t="s">
        <v>252</v>
      </c>
      <c r="JWR76" s="343" t="s">
        <v>1300</v>
      </c>
      <c r="JWS76" s="343" t="s">
        <v>252</v>
      </c>
      <c r="JWT76" s="343" t="s">
        <v>1300</v>
      </c>
      <c r="JWU76" s="343" t="s">
        <v>252</v>
      </c>
      <c r="JWV76" s="343" t="s">
        <v>1300</v>
      </c>
      <c r="JWW76" s="343" t="s">
        <v>252</v>
      </c>
      <c r="JWX76" s="343" t="s">
        <v>1300</v>
      </c>
      <c r="JWY76" s="343" t="s">
        <v>252</v>
      </c>
      <c r="JWZ76" s="343" t="s">
        <v>1300</v>
      </c>
      <c r="JXA76" s="343" t="s">
        <v>252</v>
      </c>
      <c r="JXB76" s="343" t="s">
        <v>1300</v>
      </c>
      <c r="JXC76" s="343" t="s">
        <v>252</v>
      </c>
      <c r="JXD76" s="343" t="s">
        <v>1300</v>
      </c>
      <c r="JXE76" s="343" t="s">
        <v>252</v>
      </c>
      <c r="JXF76" s="343" t="s">
        <v>1300</v>
      </c>
      <c r="JXG76" s="343" t="s">
        <v>252</v>
      </c>
      <c r="JXH76" s="343" t="s">
        <v>1300</v>
      </c>
      <c r="JXI76" s="343" t="s">
        <v>252</v>
      </c>
      <c r="JXJ76" s="343" t="s">
        <v>1300</v>
      </c>
      <c r="JXK76" s="343" t="s">
        <v>252</v>
      </c>
      <c r="JXL76" s="343" t="s">
        <v>1300</v>
      </c>
      <c r="JXM76" s="343" t="s">
        <v>252</v>
      </c>
      <c r="JXN76" s="343" t="s">
        <v>1300</v>
      </c>
      <c r="JXO76" s="343" t="s">
        <v>252</v>
      </c>
      <c r="JXP76" s="343" t="s">
        <v>1300</v>
      </c>
      <c r="JXQ76" s="343" t="s">
        <v>252</v>
      </c>
      <c r="JXR76" s="343" t="s">
        <v>1300</v>
      </c>
      <c r="JXS76" s="343" t="s">
        <v>252</v>
      </c>
      <c r="JXT76" s="343" t="s">
        <v>1300</v>
      </c>
      <c r="JXU76" s="343" t="s">
        <v>252</v>
      </c>
      <c r="JXV76" s="343" t="s">
        <v>1300</v>
      </c>
      <c r="JXW76" s="343" t="s">
        <v>252</v>
      </c>
      <c r="JXX76" s="343" t="s">
        <v>1300</v>
      </c>
      <c r="JXY76" s="343" t="s">
        <v>252</v>
      </c>
      <c r="JXZ76" s="343" t="s">
        <v>1300</v>
      </c>
      <c r="JYA76" s="343" t="s">
        <v>252</v>
      </c>
      <c r="JYB76" s="343" t="s">
        <v>1300</v>
      </c>
      <c r="JYC76" s="343" t="s">
        <v>252</v>
      </c>
      <c r="JYD76" s="343" t="s">
        <v>1300</v>
      </c>
      <c r="JYE76" s="343" t="s">
        <v>252</v>
      </c>
      <c r="JYF76" s="343" t="s">
        <v>1300</v>
      </c>
      <c r="JYG76" s="343" t="s">
        <v>252</v>
      </c>
      <c r="JYH76" s="343" t="s">
        <v>1300</v>
      </c>
      <c r="JYI76" s="343" t="s">
        <v>252</v>
      </c>
      <c r="JYJ76" s="343" t="s">
        <v>1300</v>
      </c>
      <c r="JYK76" s="343" t="s">
        <v>252</v>
      </c>
      <c r="JYL76" s="343" t="s">
        <v>1300</v>
      </c>
      <c r="JYM76" s="343" t="s">
        <v>252</v>
      </c>
      <c r="JYN76" s="343" t="s">
        <v>1300</v>
      </c>
      <c r="JYO76" s="343" t="s">
        <v>252</v>
      </c>
      <c r="JYP76" s="343" t="s">
        <v>1300</v>
      </c>
      <c r="JYQ76" s="343" t="s">
        <v>252</v>
      </c>
      <c r="JYR76" s="343" t="s">
        <v>1300</v>
      </c>
      <c r="JYS76" s="343" t="s">
        <v>252</v>
      </c>
      <c r="JYT76" s="343" t="s">
        <v>1300</v>
      </c>
      <c r="JYU76" s="343" t="s">
        <v>252</v>
      </c>
      <c r="JYV76" s="343" t="s">
        <v>1300</v>
      </c>
      <c r="JYW76" s="343" t="s">
        <v>252</v>
      </c>
      <c r="JYX76" s="343" t="s">
        <v>1300</v>
      </c>
      <c r="JYY76" s="343" t="s">
        <v>252</v>
      </c>
      <c r="JYZ76" s="343" t="s">
        <v>1300</v>
      </c>
      <c r="JZA76" s="343" t="s">
        <v>252</v>
      </c>
      <c r="JZB76" s="343" t="s">
        <v>1300</v>
      </c>
      <c r="JZC76" s="343" t="s">
        <v>252</v>
      </c>
      <c r="JZD76" s="343" t="s">
        <v>1300</v>
      </c>
      <c r="JZE76" s="343" t="s">
        <v>252</v>
      </c>
      <c r="JZF76" s="343" t="s">
        <v>1300</v>
      </c>
      <c r="JZG76" s="343" t="s">
        <v>252</v>
      </c>
      <c r="JZH76" s="343" t="s">
        <v>1300</v>
      </c>
      <c r="JZI76" s="343" t="s">
        <v>252</v>
      </c>
      <c r="JZJ76" s="343" t="s">
        <v>1300</v>
      </c>
      <c r="JZK76" s="343" t="s">
        <v>252</v>
      </c>
      <c r="JZL76" s="343" t="s">
        <v>1300</v>
      </c>
      <c r="JZM76" s="343" t="s">
        <v>252</v>
      </c>
      <c r="JZN76" s="343" t="s">
        <v>1300</v>
      </c>
      <c r="JZO76" s="343" t="s">
        <v>252</v>
      </c>
      <c r="JZP76" s="343" t="s">
        <v>1300</v>
      </c>
      <c r="JZQ76" s="343" t="s">
        <v>252</v>
      </c>
      <c r="JZR76" s="343" t="s">
        <v>1300</v>
      </c>
      <c r="JZS76" s="343" t="s">
        <v>252</v>
      </c>
      <c r="JZT76" s="343" t="s">
        <v>1300</v>
      </c>
      <c r="JZU76" s="343" t="s">
        <v>252</v>
      </c>
      <c r="JZV76" s="343" t="s">
        <v>1300</v>
      </c>
      <c r="JZW76" s="343" t="s">
        <v>252</v>
      </c>
      <c r="JZX76" s="343" t="s">
        <v>1300</v>
      </c>
      <c r="JZY76" s="343" t="s">
        <v>252</v>
      </c>
      <c r="JZZ76" s="343" t="s">
        <v>1300</v>
      </c>
      <c r="KAA76" s="343" t="s">
        <v>252</v>
      </c>
      <c r="KAB76" s="343" t="s">
        <v>1300</v>
      </c>
      <c r="KAC76" s="343" t="s">
        <v>252</v>
      </c>
      <c r="KAD76" s="343" t="s">
        <v>1300</v>
      </c>
      <c r="KAE76" s="343" t="s">
        <v>252</v>
      </c>
      <c r="KAF76" s="343" t="s">
        <v>1300</v>
      </c>
      <c r="KAG76" s="343" t="s">
        <v>252</v>
      </c>
      <c r="KAH76" s="343" t="s">
        <v>1300</v>
      </c>
      <c r="KAI76" s="343" t="s">
        <v>252</v>
      </c>
      <c r="KAJ76" s="343" t="s">
        <v>1300</v>
      </c>
      <c r="KAK76" s="343" t="s">
        <v>252</v>
      </c>
      <c r="KAL76" s="343" t="s">
        <v>1300</v>
      </c>
      <c r="KAM76" s="343" t="s">
        <v>252</v>
      </c>
      <c r="KAN76" s="343" t="s">
        <v>1300</v>
      </c>
      <c r="KAO76" s="343" t="s">
        <v>252</v>
      </c>
      <c r="KAP76" s="343" t="s">
        <v>1300</v>
      </c>
      <c r="KAQ76" s="343" t="s">
        <v>252</v>
      </c>
      <c r="KAR76" s="343" t="s">
        <v>1300</v>
      </c>
      <c r="KAS76" s="343" t="s">
        <v>252</v>
      </c>
      <c r="KAT76" s="343" t="s">
        <v>1300</v>
      </c>
      <c r="KAU76" s="343" t="s">
        <v>252</v>
      </c>
      <c r="KAV76" s="343" t="s">
        <v>1300</v>
      </c>
      <c r="KAW76" s="343" t="s">
        <v>252</v>
      </c>
      <c r="KAX76" s="343" t="s">
        <v>1300</v>
      </c>
      <c r="KAY76" s="343" t="s">
        <v>252</v>
      </c>
      <c r="KAZ76" s="343" t="s">
        <v>1300</v>
      </c>
      <c r="KBA76" s="343" t="s">
        <v>252</v>
      </c>
      <c r="KBB76" s="343" t="s">
        <v>1300</v>
      </c>
      <c r="KBC76" s="343" t="s">
        <v>252</v>
      </c>
      <c r="KBD76" s="343" t="s">
        <v>1300</v>
      </c>
      <c r="KBE76" s="343" t="s">
        <v>252</v>
      </c>
      <c r="KBF76" s="343" t="s">
        <v>1300</v>
      </c>
      <c r="KBG76" s="343" t="s">
        <v>252</v>
      </c>
      <c r="KBH76" s="343" t="s">
        <v>1300</v>
      </c>
      <c r="KBI76" s="343" t="s">
        <v>252</v>
      </c>
      <c r="KBJ76" s="343" t="s">
        <v>1300</v>
      </c>
      <c r="KBK76" s="343" t="s">
        <v>252</v>
      </c>
      <c r="KBL76" s="343" t="s">
        <v>1300</v>
      </c>
      <c r="KBM76" s="343" t="s">
        <v>252</v>
      </c>
      <c r="KBN76" s="343" t="s">
        <v>1300</v>
      </c>
      <c r="KBO76" s="343" t="s">
        <v>252</v>
      </c>
      <c r="KBP76" s="343" t="s">
        <v>1300</v>
      </c>
      <c r="KBQ76" s="343" t="s">
        <v>252</v>
      </c>
      <c r="KBR76" s="343" t="s">
        <v>1300</v>
      </c>
      <c r="KBS76" s="343" t="s">
        <v>252</v>
      </c>
      <c r="KBT76" s="343" t="s">
        <v>1300</v>
      </c>
      <c r="KBU76" s="343" t="s">
        <v>252</v>
      </c>
      <c r="KBV76" s="343" t="s">
        <v>1300</v>
      </c>
      <c r="KBW76" s="343" t="s">
        <v>252</v>
      </c>
      <c r="KBX76" s="343" t="s">
        <v>1300</v>
      </c>
      <c r="KBY76" s="343" t="s">
        <v>252</v>
      </c>
      <c r="KBZ76" s="343" t="s">
        <v>1300</v>
      </c>
      <c r="KCA76" s="343" t="s">
        <v>252</v>
      </c>
      <c r="KCB76" s="343" t="s">
        <v>1300</v>
      </c>
      <c r="KCC76" s="343" t="s">
        <v>252</v>
      </c>
      <c r="KCD76" s="343" t="s">
        <v>1300</v>
      </c>
      <c r="KCE76" s="343" t="s">
        <v>252</v>
      </c>
      <c r="KCF76" s="343" t="s">
        <v>1300</v>
      </c>
      <c r="KCG76" s="343" t="s">
        <v>252</v>
      </c>
      <c r="KCH76" s="343" t="s">
        <v>1300</v>
      </c>
      <c r="KCI76" s="343" t="s">
        <v>252</v>
      </c>
      <c r="KCJ76" s="343" t="s">
        <v>1300</v>
      </c>
      <c r="KCK76" s="343" t="s">
        <v>252</v>
      </c>
      <c r="KCL76" s="343" t="s">
        <v>1300</v>
      </c>
      <c r="KCM76" s="343" t="s">
        <v>252</v>
      </c>
      <c r="KCN76" s="343" t="s">
        <v>1300</v>
      </c>
      <c r="KCO76" s="343" t="s">
        <v>252</v>
      </c>
      <c r="KCP76" s="343" t="s">
        <v>1300</v>
      </c>
      <c r="KCQ76" s="343" t="s">
        <v>252</v>
      </c>
      <c r="KCR76" s="343" t="s">
        <v>1300</v>
      </c>
      <c r="KCS76" s="343" t="s">
        <v>252</v>
      </c>
      <c r="KCT76" s="343" t="s">
        <v>1300</v>
      </c>
      <c r="KCU76" s="343" t="s">
        <v>252</v>
      </c>
      <c r="KCV76" s="343" t="s">
        <v>1300</v>
      </c>
      <c r="KCW76" s="343" t="s">
        <v>252</v>
      </c>
      <c r="KCX76" s="343" t="s">
        <v>1300</v>
      </c>
      <c r="KCY76" s="343" t="s">
        <v>252</v>
      </c>
      <c r="KCZ76" s="343" t="s">
        <v>1300</v>
      </c>
      <c r="KDA76" s="343" t="s">
        <v>252</v>
      </c>
      <c r="KDB76" s="343" t="s">
        <v>1300</v>
      </c>
      <c r="KDC76" s="343" t="s">
        <v>252</v>
      </c>
      <c r="KDD76" s="343" t="s">
        <v>1300</v>
      </c>
      <c r="KDE76" s="343" t="s">
        <v>252</v>
      </c>
      <c r="KDF76" s="343" t="s">
        <v>1300</v>
      </c>
      <c r="KDG76" s="343" t="s">
        <v>252</v>
      </c>
      <c r="KDH76" s="343" t="s">
        <v>1300</v>
      </c>
      <c r="KDI76" s="343" t="s">
        <v>252</v>
      </c>
      <c r="KDJ76" s="343" t="s">
        <v>1300</v>
      </c>
      <c r="KDK76" s="343" t="s">
        <v>252</v>
      </c>
      <c r="KDL76" s="343" t="s">
        <v>1300</v>
      </c>
      <c r="KDM76" s="343" t="s">
        <v>252</v>
      </c>
      <c r="KDN76" s="343" t="s">
        <v>1300</v>
      </c>
      <c r="KDO76" s="343" t="s">
        <v>252</v>
      </c>
      <c r="KDP76" s="343" t="s">
        <v>1300</v>
      </c>
      <c r="KDQ76" s="343" t="s">
        <v>252</v>
      </c>
      <c r="KDR76" s="343" t="s">
        <v>1300</v>
      </c>
      <c r="KDS76" s="343" t="s">
        <v>252</v>
      </c>
      <c r="KDT76" s="343" t="s">
        <v>1300</v>
      </c>
      <c r="KDU76" s="343" t="s">
        <v>252</v>
      </c>
      <c r="KDV76" s="343" t="s">
        <v>1300</v>
      </c>
      <c r="KDW76" s="343" t="s">
        <v>252</v>
      </c>
      <c r="KDX76" s="343" t="s">
        <v>1300</v>
      </c>
      <c r="KDY76" s="343" t="s">
        <v>252</v>
      </c>
      <c r="KDZ76" s="343" t="s">
        <v>1300</v>
      </c>
      <c r="KEA76" s="343" t="s">
        <v>252</v>
      </c>
      <c r="KEB76" s="343" t="s">
        <v>1300</v>
      </c>
      <c r="KEC76" s="343" t="s">
        <v>252</v>
      </c>
      <c r="KED76" s="343" t="s">
        <v>1300</v>
      </c>
      <c r="KEE76" s="343" t="s">
        <v>252</v>
      </c>
      <c r="KEF76" s="343" t="s">
        <v>1300</v>
      </c>
      <c r="KEG76" s="343" t="s">
        <v>252</v>
      </c>
      <c r="KEH76" s="343" t="s">
        <v>1300</v>
      </c>
      <c r="KEI76" s="343" t="s">
        <v>252</v>
      </c>
      <c r="KEJ76" s="343" t="s">
        <v>1300</v>
      </c>
      <c r="KEK76" s="343" t="s">
        <v>252</v>
      </c>
      <c r="KEL76" s="343" t="s">
        <v>1300</v>
      </c>
      <c r="KEM76" s="343" t="s">
        <v>252</v>
      </c>
      <c r="KEN76" s="343" t="s">
        <v>1300</v>
      </c>
      <c r="KEO76" s="343" t="s">
        <v>252</v>
      </c>
      <c r="KEP76" s="343" t="s">
        <v>1300</v>
      </c>
      <c r="KEQ76" s="343" t="s">
        <v>252</v>
      </c>
      <c r="KER76" s="343" t="s">
        <v>1300</v>
      </c>
      <c r="KES76" s="343" t="s">
        <v>252</v>
      </c>
      <c r="KET76" s="343" t="s">
        <v>1300</v>
      </c>
      <c r="KEU76" s="343" t="s">
        <v>252</v>
      </c>
      <c r="KEV76" s="343" t="s">
        <v>1300</v>
      </c>
      <c r="KEW76" s="343" t="s">
        <v>252</v>
      </c>
      <c r="KEX76" s="343" t="s">
        <v>1300</v>
      </c>
      <c r="KEY76" s="343" t="s">
        <v>252</v>
      </c>
      <c r="KEZ76" s="343" t="s">
        <v>1300</v>
      </c>
      <c r="KFA76" s="343" t="s">
        <v>252</v>
      </c>
      <c r="KFB76" s="343" t="s">
        <v>1300</v>
      </c>
      <c r="KFC76" s="343" t="s">
        <v>252</v>
      </c>
      <c r="KFD76" s="343" t="s">
        <v>1300</v>
      </c>
      <c r="KFE76" s="343" t="s">
        <v>252</v>
      </c>
      <c r="KFF76" s="343" t="s">
        <v>1300</v>
      </c>
      <c r="KFG76" s="343" t="s">
        <v>252</v>
      </c>
      <c r="KFH76" s="343" t="s">
        <v>1300</v>
      </c>
      <c r="KFI76" s="343" t="s">
        <v>252</v>
      </c>
      <c r="KFJ76" s="343" t="s">
        <v>1300</v>
      </c>
      <c r="KFK76" s="343" t="s">
        <v>252</v>
      </c>
      <c r="KFL76" s="343" t="s">
        <v>1300</v>
      </c>
      <c r="KFM76" s="343" t="s">
        <v>252</v>
      </c>
      <c r="KFN76" s="343" t="s">
        <v>1300</v>
      </c>
      <c r="KFO76" s="343" t="s">
        <v>252</v>
      </c>
      <c r="KFP76" s="343" t="s">
        <v>1300</v>
      </c>
      <c r="KFQ76" s="343" t="s">
        <v>252</v>
      </c>
      <c r="KFR76" s="343" t="s">
        <v>1300</v>
      </c>
      <c r="KFS76" s="343" t="s">
        <v>252</v>
      </c>
      <c r="KFT76" s="343" t="s">
        <v>1300</v>
      </c>
      <c r="KFU76" s="343" t="s">
        <v>252</v>
      </c>
      <c r="KFV76" s="343" t="s">
        <v>1300</v>
      </c>
      <c r="KFW76" s="343" t="s">
        <v>252</v>
      </c>
      <c r="KFX76" s="343" t="s">
        <v>1300</v>
      </c>
      <c r="KFY76" s="343" t="s">
        <v>252</v>
      </c>
      <c r="KFZ76" s="343" t="s">
        <v>1300</v>
      </c>
      <c r="KGA76" s="343" t="s">
        <v>252</v>
      </c>
      <c r="KGB76" s="343" t="s">
        <v>1300</v>
      </c>
      <c r="KGC76" s="343" t="s">
        <v>252</v>
      </c>
      <c r="KGD76" s="343" t="s">
        <v>1300</v>
      </c>
      <c r="KGE76" s="343" t="s">
        <v>252</v>
      </c>
      <c r="KGF76" s="343" t="s">
        <v>1300</v>
      </c>
      <c r="KGG76" s="343" t="s">
        <v>252</v>
      </c>
      <c r="KGH76" s="343" t="s">
        <v>1300</v>
      </c>
      <c r="KGI76" s="343" t="s">
        <v>252</v>
      </c>
      <c r="KGJ76" s="343" t="s">
        <v>1300</v>
      </c>
      <c r="KGK76" s="343" t="s">
        <v>252</v>
      </c>
      <c r="KGL76" s="343" t="s">
        <v>1300</v>
      </c>
      <c r="KGM76" s="343" t="s">
        <v>252</v>
      </c>
      <c r="KGN76" s="343" t="s">
        <v>1300</v>
      </c>
      <c r="KGO76" s="343" t="s">
        <v>252</v>
      </c>
      <c r="KGP76" s="343" t="s">
        <v>1300</v>
      </c>
      <c r="KGQ76" s="343" t="s">
        <v>252</v>
      </c>
      <c r="KGR76" s="343" t="s">
        <v>1300</v>
      </c>
      <c r="KGS76" s="343" t="s">
        <v>252</v>
      </c>
      <c r="KGT76" s="343" t="s">
        <v>1300</v>
      </c>
      <c r="KGU76" s="343" t="s">
        <v>252</v>
      </c>
      <c r="KGV76" s="343" t="s">
        <v>1300</v>
      </c>
      <c r="KGW76" s="343" t="s">
        <v>252</v>
      </c>
      <c r="KGX76" s="343" t="s">
        <v>1300</v>
      </c>
      <c r="KGY76" s="343" t="s">
        <v>252</v>
      </c>
      <c r="KGZ76" s="343" t="s">
        <v>1300</v>
      </c>
      <c r="KHA76" s="343" t="s">
        <v>252</v>
      </c>
      <c r="KHB76" s="343" t="s">
        <v>1300</v>
      </c>
      <c r="KHC76" s="343" t="s">
        <v>252</v>
      </c>
      <c r="KHD76" s="343" t="s">
        <v>1300</v>
      </c>
      <c r="KHE76" s="343" t="s">
        <v>252</v>
      </c>
      <c r="KHF76" s="343" t="s">
        <v>1300</v>
      </c>
      <c r="KHG76" s="343" t="s">
        <v>252</v>
      </c>
      <c r="KHH76" s="343" t="s">
        <v>1300</v>
      </c>
      <c r="KHI76" s="343" t="s">
        <v>252</v>
      </c>
      <c r="KHJ76" s="343" t="s">
        <v>1300</v>
      </c>
      <c r="KHK76" s="343" t="s">
        <v>252</v>
      </c>
      <c r="KHL76" s="343" t="s">
        <v>1300</v>
      </c>
      <c r="KHM76" s="343" t="s">
        <v>252</v>
      </c>
      <c r="KHN76" s="343" t="s">
        <v>1300</v>
      </c>
      <c r="KHO76" s="343" t="s">
        <v>252</v>
      </c>
      <c r="KHP76" s="343" t="s">
        <v>1300</v>
      </c>
      <c r="KHQ76" s="343" t="s">
        <v>252</v>
      </c>
      <c r="KHR76" s="343" t="s">
        <v>1300</v>
      </c>
      <c r="KHS76" s="343" t="s">
        <v>252</v>
      </c>
      <c r="KHT76" s="343" t="s">
        <v>1300</v>
      </c>
      <c r="KHU76" s="343" t="s">
        <v>252</v>
      </c>
      <c r="KHV76" s="343" t="s">
        <v>1300</v>
      </c>
      <c r="KHW76" s="343" t="s">
        <v>252</v>
      </c>
      <c r="KHX76" s="343" t="s">
        <v>1300</v>
      </c>
      <c r="KHY76" s="343" t="s">
        <v>252</v>
      </c>
      <c r="KHZ76" s="343" t="s">
        <v>1300</v>
      </c>
      <c r="KIA76" s="343" t="s">
        <v>252</v>
      </c>
      <c r="KIB76" s="343" t="s">
        <v>1300</v>
      </c>
      <c r="KIC76" s="343" t="s">
        <v>252</v>
      </c>
      <c r="KID76" s="343" t="s">
        <v>1300</v>
      </c>
      <c r="KIE76" s="343" t="s">
        <v>252</v>
      </c>
      <c r="KIF76" s="343" t="s">
        <v>1300</v>
      </c>
      <c r="KIG76" s="343" t="s">
        <v>252</v>
      </c>
      <c r="KIH76" s="343" t="s">
        <v>1300</v>
      </c>
      <c r="KII76" s="343" t="s">
        <v>252</v>
      </c>
      <c r="KIJ76" s="343" t="s">
        <v>1300</v>
      </c>
      <c r="KIK76" s="343" t="s">
        <v>252</v>
      </c>
      <c r="KIL76" s="343" t="s">
        <v>1300</v>
      </c>
      <c r="KIM76" s="343" t="s">
        <v>252</v>
      </c>
      <c r="KIN76" s="343" t="s">
        <v>1300</v>
      </c>
      <c r="KIO76" s="343" t="s">
        <v>252</v>
      </c>
      <c r="KIP76" s="343" t="s">
        <v>1300</v>
      </c>
      <c r="KIQ76" s="343" t="s">
        <v>252</v>
      </c>
      <c r="KIR76" s="343" t="s">
        <v>1300</v>
      </c>
      <c r="KIS76" s="343" t="s">
        <v>252</v>
      </c>
      <c r="KIT76" s="343" t="s">
        <v>1300</v>
      </c>
      <c r="KIU76" s="343" t="s">
        <v>252</v>
      </c>
      <c r="KIV76" s="343" t="s">
        <v>1300</v>
      </c>
      <c r="KIW76" s="343" t="s">
        <v>252</v>
      </c>
      <c r="KIX76" s="343" t="s">
        <v>1300</v>
      </c>
      <c r="KIY76" s="343" t="s">
        <v>252</v>
      </c>
      <c r="KIZ76" s="343" t="s">
        <v>1300</v>
      </c>
      <c r="KJA76" s="343" t="s">
        <v>252</v>
      </c>
      <c r="KJB76" s="343" t="s">
        <v>1300</v>
      </c>
      <c r="KJC76" s="343" t="s">
        <v>252</v>
      </c>
      <c r="KJD76" s="343" t="s">
        <v>1300</v>
      </c>
      <c r="KJE76" s="343" t="s">
        <v>252</v>
      </c>
      <c r="KJF76" s="343" t="s">
        <v>1300</v>
      </c>
      <c r="KJG76" s="343" t="s">
        <v>252</v>
      </c>
      <c r="KJH76" s="343" t="s">
        <v>1300</v>
      </c>
      <c r="KJI76" s="343" t="s">
        <v>252</v>
      </c>
      <c r="KJJ76" s="343" t="s">
        <v>1300</v>
      </c>
      <c r="KJK76" s="343" t="s">
        <v>252</v>
      </c>
      <c r="KJL76" s="343" t="s">
        <v>1300</v>
      </c>
      <c r="KJM76" s="343" t="s">
        <v>252</v>
      </c>
      <c r="KJN76" s="343" t="s">
        <v>1300</v>
      </c>
      <c r="KJO76" s="343" t="s">
        <v>252</v>
      </c>
      <c r="KJP76" s="343" t="s">
        <v>1300</v>
      </c>
      <c r="KJQ76" s="343" t="s">
        <v>252</v>
      </c>
      <c r="KJR76" s="343" t="s">
        <v>1300</v>
      </c>
      <c r="KJS76" s="343" t="s">
        <v>252</v>
      </c>
      <c r="KJT76" s="343" t="s">
        <v>1300</v>
      </c>
      <c r="KJU76" s="343" t="s">
        <v>252</v>
      </c>
      <c r="KJV76" s="343" t="s">
        <v>1300</v>
      </c>
      <c r="KJW76" s="343" t="s">
        <v>252</v>
      </c>
      <c r="KJX76" s="343" t="s">
        <v>1300</v>
      </c>
      <c r="KJY76" s="343" t="s">
        <v>252</v>
      </c>
      <c r="KJZ76" s="343" t="s">
        <v>1300</v>
      </c>
      <c r="KKA76" s="343" t="s">
        <v>252</v>
      </c>
      <c r="KKB76" s="343" t="s">
        <v>1300</v>
      </c>
      <c r="KKC76" s="343" t="s">
        <v>252</v>
      </c>
      <c r="KKD76" s="343" t="s">
        <v>1300</v>
      </c>
      <c r="KKE76" s="343" t="s">
        <v>252</v>
      </c>
      <c r="KKF76" s="343" t="s">
        <v>1300</v>
      </c>
      <c r="KKG76" s="343" t="s">
        <v>252</v>
      </c>
      <c r="KKH76" s="343" t="s">
        <v>1300</v>
      </c>
      <c r="KKI76" s="343" t="s">
        <v>252</v>
      </c>
      <c r="KKJ76" s="343" t="s">
        <v>1300</v>
      </c>
      <c r="KKK76" s="343" t="s">
        <v>252</v>
      </c>
      <c r="KKL76" s="343" t="s">
        <v>1300</v>
      </c>
      <c r="KKM76" s="343" t="s">
        <v>252</v>
      </c>
      <c r="KKN76" s="343" t="s">
        <v>1300</v>
      </c>
      <c r="KKO76" s="343" t="s">
        <v>252</v>
      </c>
      <c r="KKP76" s="343" t="s">
        <v>1300</v>
      </c>
      <c r="KKQ76" s="343" t="s">
        <v>252</v>
      </c>
      <c r="KKR76" s="343" t="s">
        <v>1300</v>
      </c>
      <c r="KKS76" s="343" t="s">
        <v>252</v>
      </c>
      <c r="KKT76" s="343" t="s">
        <v>1300</v>
      </c>
      <c r="KKU76" s="343" t="s">
        <v>252</v>
      </c>
      <c r="KKV76" s="343" t="s">
        <v>1300</v>
      </c>
      <c r="KKW76" s="343" t="s">
        <v>252</v>
      </c>
      <c r="KKX76" s="343" t="s">
        <v>1300</v>
      </c>
      <c r="KKY76" s="343" t="s">
        <v>252</v>
      </c>
      <c r="KKZ76" s="343" t="s">
        <v>1300</v>
      </c>
      <c r="KLA76" s="343" t="s">
        <v>252</v>
      </c>
      <c r="KLB76" s="343" t="s">
        <v>1300</v>
      </c>
      <c r="KLC76" s="343" t="s">
        <v>252</v>
      </c>
      <c r="KLD76" s="343" t="s">
        <v>1300</v>
      </c>
      <c r="KLE76" s="343" t="s">
        <v>252</v>
      </c>
      <c r="KLF76" s="343" t="s">
        <v>1300</v>
      </c>
      <c r="KLG76" s="343" t="s">
        <v>252</v>
      </c>
      <c r="KLH76" s="343" t="s">
        <v>1300</v>
      </c>
      <c r="KLI76" s="343" t="s">
        <v>252</v>
      </c>
      <c r="KLJ76" s="343" t="s">
        <v>1300</v>
      </c>
      <c r="KLK76" s="343" t="s">
        <v>252</v>
      </c>
      <c r="KLL76" s="343" t="s">
        <v>1300</v>
      </c>
      <c r="KLM76" s="343" t="s">
        <v>252</v>
      </c>
      <c r="KLN76" s="343" t="s">
        <v>1300</v>
      </c>
      <c r="KLO76" s="343" t="s">
        <v>252</v>
      </c>
      <c r="KLP76" s="343" t="s">
        <v>1300</v>
      </c>
      <c r="KLQ76" s="343" t="s">
        <v>252</v>
      </c>
      <c r="KLR76" s="343" t="s">
        <v>1300</v>
      </c>
      <c r="KLS76" s="343" t="s">
        <v>252</v>
      </c>
      <c r="KLT76" s="343" t="s">
        <v>1300</v>
      </c>
      <c r="KLU76" s="343" t="s">
        <v>252</v>
      </c>
      <c r="KLV76" s="343" t="s">
        <v>1300</v>
      </c>
      <c r="KLW76" s="343" t="s">
        <v>252</v>
      </c>
      <c r="KLX76" s="343" t="s">
        <v>1300</v>
      </c>
      <c r="KLY76" s="343" t="s">
        <v>252</v>
      </c>
      <c r="KLZ76" s="343" t="s">
        <v>1300</v>
      </c>
      <c r="KMA76" s="343" t="s">
        <v>252</v>
      </c>
      <c r="KMB76" s="343" t="s">
        <v>1300</v>
      </c>
      <c r="KMC76" s="343" t="s">
        <v>252</v>
      </c>
      <c r="KMD76" s="343" t="s">
        <v>1300</v>
      </c>
      <c r="KME76" s="343" t="s">
        <v>252</v>
      </c>
      <c r="KMF76" s="343" t="s">
        <v>1300</v>
      </c>
      <c r="KMG76" s="343" t="s">
        <v>252</v>
      </c>
      <c r="KMH76" s="343" t="s">
        <v>1300</v>
      </c>
      <c r="KMI76" s="343" t="s">
        <v>252</v>
      </c>
      <c r="KMJ76" s="343" t="s">
        <v>1300</v>
      </c>
      <c r="KMK76" s="343" t="s">
        <v>252</v>
      </c>
      <c r="KML76" s="343" t="s">
        <v>1300</v>
      </c>
      <c r="KMM76" s="343" t="s">
        <v>252</v>
      </c>
      <c r="KMN76" s="343" t="s">
        <v>1300</v>
      </c>
      <c r="KMO76" s="343" t="s">
        <v>252</v>
      </c>
      <c r="KMP76" s="343" t="s">
        <v>1300</v>
      </c>
      <c r="KMQ76" s="343" t="s">
        <v>252</v>
      </c>
      <c r="KMR76" s="343" t="s">
        <v>1300</v>
      </c>
      <c r="KMS76" s="343" t="s">
        <v>252</v>
      </c>
      <c r="KMT76" s="343" t="s">
        <v>1300</v>
      </c>
      <c r="KMU76" s="343" t="s">
        <v>252</v>
      </c>
      <c r="KMV76" s="343" t="s">
        <v>1300</v>
      </c>
      <c r="KMW76" s="343" t="s">
        <v>252</v>
      </c>
      <c r="KMX76" s="343" t="s">
        <v>1300</v>
      </c>
      <c r="KMY76" s="343" t="s">
        <v>252</v>
      </c>
      <c r="KMZ76" s="343" t="s">
        <v>1300</v>
      </c>
      <c r="KNA76" s="343" t="s">
        <v>252</v>
      </c>
      <c r="KNB76" s="343" t="s">
        <v>1300</v>
      </c>
      <c r="KNC76" s="343" t="s">
        <v>252</v>
      </c>
      <c r="KND76" s="343" t="s">
        <v>1300</v>
      </c>
      <c r="KNE76" s="343" t="s">
        <v>252</v>
      </c>
      <c r="KNF76" s="343" t="s">
        <v>1300</v>
      </c>
      <c r="KNG76" s="343" t="s">
        <v>252</v>
      </c>
      <c r="KNH76" s="343" t="s">
        <v>1300</v>
      </c>
      <c r="KNI76" s="343" t="s">
        <v>252</v>
      </c>
      <c r="KNJ76" s="343" t="s">
        <v>1300</v>
      </c>
      <c r="KNK76" s="343" t="s">
        <v>252</v>
      </c>
      <c r="KNL76" s="343" t="s">
        <v>1300</v>
      </c>
      <c r="KNM76" s="343" t="s">
        <v>252</v>
      </c>
      <c r="KNN76" s="343" t="s">
        <v>1300</v>
      </c>
      <c r="KNO76" s="343" t="s">
        <v>252</v>
      </c>
      <c r="KNP76" s="343" t="s">
        <v>1300</v>
      </c>
      <c r="KNQ76" s="343" t="s">
        <v>252</v>
      </c>
      <c r="KNR76" s="343" t="s">
        <v>1300</v>
      </c>
      <c r="KNS76" s="343" t="s">
        <v>252</v>
      </c>
      <c r="KNT76" s="343" t="s">
        <v>1300</v>
      </c>
      <c r="KNU76" s="343" t="s">
        <v>252</v>
      </c>
      <c r="KNV76" s="343" t="s">
        <v>1300</v>
      </c>
      <c r="KNW76" s="343" t="s">
        <v>252</v>
      </c>
      <c r="KNX76" s="343" t="s">
        <v>1300</v>
      </c>
      <c r="KNY76" s="343" t="s">
        <v>252</v>
      </c>
      <c r="KNZ76" s="343" t="s">
        <v>1300</v>
      </c>
      <c r="KOA76" s="343" t="s">
        <v>252</v>
      </c>
      <c r="KOB76" s="343" t="s">
        <v>1300</v>
      </c>
      <c r="KOC76" s="343" t="s">
        <v>252</v>
      </c>
      <c r="KOD76" s="343" t="s">
        <v>1300</v>
      </c>
      <c r="KOE76" s="343" t="s">
        <v>252</v>
      </c>
      <c r="KOF76" s="343" t="s">
        <v>1300</v>
      </c>
      <c r="KOG76" s="343" t="s">
        <v>252</v>
      </c>
      <c r="KOH76" s="343" t="s">
        <v>1300</v>
      </c>
      <c r="KOI76" s="343" t="s">
        <v>252</v>
      </c>
      <c r="KOJ76" s="343" t="s">
        <v>1300</v>
      </c>
      <c r="KOK76" s="343" t="s">
        <v>252</v>
      </c>
      <c r="KOL76" s="343" t="s">
        <v>1300</v>
      </c>
      <c r="KOM76" s="343" t="s">
        <v>252</v>
      </c>
      <c r="KON76" s="343" t="s">
        <v>1300</v>
      </c>
      <c r="KOO76" s="343" t="s">
        <v>252</v>
      </c>
      <c r="KOP76" s="343" t="s">
        <v>1300</v>
      </c>
      <c r="KOQ76" s="343" t="s">
        <v>252</v>
      </c>
      <c r="KOR76" s="343" t="s">
        <v>1300</v>
      </c>
      <c r="KOS76" s="343" t="s">
        <v>252</v>
      </c>
      <c r="KOT76" s="343" t="s">
        <v>1300</v>
      </c>
      <c r="KOU76" s="343" t="s">
        <v>252</v>
      </c>
      <c r="KOV76" s="343" t="s">
        <v>1300</v>
      </c>
      <c r="KOW76" s="343" t="s">
        <v>252</v>
      </c>
      <c r="KOX76" s="343" t="s">
        <v>1300</v>
      </c>
      <c r="KOY76" s="343" t="s">
        <v>252</v>
      </c>
      <c r="KOZ76" s="343" t="s">
        <v>1300</v>
      </c>
      <c r="KPA76" s="343" t="s">
        <v>252</v>
      </c>
      <c r="KPB76" s="343" t="s">
        <v>1300</v>
      </c>
      <c r="KPC76" s="343" t="s">
        <v>252</v>
      </c>
      <c r="KPD76" s="343" t="s">
        <v>1300</v>
      </c>
      <c r="KPE76" s="343" t="s">
        <v>252</v>
      </c>
      <c r="KPF76" s="343" t="s">
        <v>1300</v>
      </c>
      <c r="KPG76" s="343" t="s">
        <v>252</v>
      </c>
      <c r="KPH76" s="343" t="s">
        <v>1300</v>
      </c>
      <c r="KPI76" s="343" t="s">
        <v>252</v>
      </c>
      <c r="KPJ76" s="343" t="s">
        <v>1300</v>
      </c>
      <c r="KPK76" s="343" t="s">
        <v>252</v>
      </c>
      <c r="KPL76" s="343" t="s">
        <v>1300</v>
      </c>
      <c r="KPM76" s="343" t="s">
        <v>252</v>
      </c>
      <c r="KPN76" s="343" t="s">
        <v>1300</v>
      </c>
      <c r="KPO76" s="343" t="s">
        <v>252</v>
      </c>
      <c r="KPP76" s="343" t="s">
        <v>1300</v>
      </c>
      <c r="KPQ76" s="343" t="s">
        <v>252</v>
      </c>
      <c r="KPR76" s="343" t="s">
        <v>1300</v>
      </c>
      <c r="KPS76" s="343" t="s">
        <v>252</v>
      </c>
      <c r="KPT76" s="343" t="s">
        <v>1300</v>
      </c>
      <c r="KPU76" s="343" t="s">
        <v>252</v>
      </c>
      <c r="KPV76" s="343" t="s">
        <v>1300</v>
      </c>
      <c r="KPW76" s="343" t="s">
        <v>252</v>
      </c>
      <c r="KPX76" s="343" t="s">
        <v>1300</v>
      </c>
      <c r="KPY76" s="343" t="s">
        <v>252</v>
      </c>
      <c r="KPZ76" s="343" t="s">
        <v>1300</v>
      </c>
      <c r="KQA76" s="343" t="s">
        <v>252</v>
      </c>
      <c r="KQB76" s="343" t="s">
        <v>1300</v>
      </c>
      <c r="KQC76" s="343" t="s">
        <v>252</v>
      </c>
      <c r="KQD76" s="343" t="s">
        <v>1300</v>
      </c>
      <c r="KQE76" s="343" t="s">
        <v>252</v>
      </c>
      <c r="KQF76" s="343" t="s">
        <v>1300</v>
      </c>
      <c r="KQG76" s="343" t="s">
        <v>252</v>
      </c>
      <c r="KQH76" s="343" t="s">
        <v>1300</v>
      </c>
      <c r="KQI76" s="343" t="s">
        <v>252</v>
      </c>
      <c r="KQJ76" s="343" t="s">
        <v>1300</v>
      </c>
      <c r="KQK76" s="343" t="s">
        <v>252</v>
      </c>
      <c r="KQL76" s="343" t="s">
        <v>1300</v>
      </c>
      <c r="KQM76" s="343" t="s">
        <v>252</v>
      </c>
      <c r="KQN76" s="343" t="s">
        <v>1300</v>
      </c>
      <c r="KQO76" s="343" t="s">
        <v>252</v>
      </c>
      <c r="KQP76" s="343" t="s">
        <v>1300</v>
      </c>
      <c r="KQQ76" s="343" t="s">
        <v>252</v>
      </c>
      <c r="KQR76" s="343" t="s">
        <v>1300</v>
      </c>
      <c r="KQS76" s="343" t="s">
        <v>252</v>
      </c>
      <c r="KQT76" s="343" t="s">
        <v>1300</v>
      </c>
      <c r="KQU76" s="343" t="s">
        <v>252</v>
      </c>
      <c r="KQV76" s="343" t="s">
        <v>1300</v>
      </c>
      <c r="KQW76" s="343" t="s">
        <v>252</v>
      </c>
      <c r="KQX76" s="343" t="s">
        <v>1300</v>
      </c>
      <c r="KQY76" s="343" t="s">
        <v>252</v>
      </c>
      <c r="KQZ76" s="343" t="s">
        <v>1300</v>
      </c>
      <c r="KRA76" s="343" t="s">
        <v>252</v>
      </c>
      <c r="KRB76" s="343" t="s">
        <v>1300</v>
      </c>
      <c r="KRC76" s="343" t="s">
        <v>252</v>
      </c>
      <c r="KRD76" s="343" t="s">
        <v>1300</v>
      </c>
      <c r="KRE76" s="343" t="s">
        <v>252</v>
      </c>
      <c r="KRF76" s="343" t="s">
        <v>1300</v>
      </c>
      <c r="KRG76" s="343" t="s">
        <v>252</v>
      </c>
      <c r="KRH76" s="343" t="s">
        <v>1300</v>
      </c>
      <c r="KRI76" s="343" t="s">
        <v>252</v>
      </c>
      <c r="KRJ76" s="343" t="s">
        <v>1300</v>
      </c>
      <c r="KRK76" s="343" t="s">
        <v>252</v>
      </c>
      <c r="KRL76" s="343" t="s">
        <v>1300</v>
      </c>
      <c r="KRM76" s="343" t="s">
        <v>252</v>
      </c>
      <c r="KRN76" s="343" t="s">
        <v>1300</v>
      </c>
      <c r="KRO76" s="343" t="s">
        <v>252</v>
      </c>
      <c r="KRP76" s="343" t="s">
        <v>1300</v>
      </c>
      <c r="KRQ76" s="343" t="s">
        <v>252</v>
      </c>
      <c r="KRR76" s="343" t="s">
        <v>1300</v>
      </c>
      <c r="KRS76" s="343" t="s">
        <v>252</v>
      </c>
      <c r="KRT76" s="343" t="s">
        <v>1300</v>
      </c>
      <c r="KRU76" s="343" t="s">
        <v>252</v>
      </c>
      <c r="KRV76" s="343" t="s">
        <v>1300</v>
      </c>
      <c r="KRW76" s="343" t="s">
        <v>252</v>
      </c>
      <c r="KRX76" s="343" t="s">
        <v>1300</v>
      </c>
      <c r="KRY76" s="343" t="s">
        <v>252</v>
      </c>
      <c r="KRZ76" s="343" t="s">
        <v>1300</v>
      </c>
      <c r="KSA76" s="343" t="s">
        <v>252</v>
      </c>
      <c r="KSB76" s="343" t="s">
        <v>1300</v>
      </c>
      <c r="KSC76" s="343" t="s">
        <v>252</v>
      </c>
      <c r="KSD76" s="343" t="s">
        <v>1300</v>
      </c>
      <c r="KSE76" s="343" t="s">
        <v>252</v>
      </c>
      <c r="KSF76" s="343" t="s">
        <v>1300</v>
      </c>
      <c r="KSG76" s="343" t="s">
        <v>252</v>
      </c>
      <c r="KSH76" s="343" t="s">
        <v>1300</v>
      </c>
      <c r="KSI76" s="343" t="s">
        <v>252</v>
      </c>
      <c r="KSJ76" s="343" t="s">
        <v>1300</v>
      </c>
      <c r="KSK76" s="343" t="s">
        <v>252</v>
      </c>
      <c r="KSL76" s="343" t="s">
        <v>1300</v>
      </c>
      <c r="KSM76" s="343" t="s">
        <v>252</v>
      </c>
      <c r="KSN76" s="343" t="s">
        <v>1300</v>
      </c>
      <c r="KSO76" s="343" t="s">
        <v>252</v>
      </c>
      <c r="KSP76" s="343" t="s">
        <v>1300</v>
      </c>
      <c r="KSQ76" s="343" t="s">
        <v>252</v>
      </c>
      <c r="KSR76" s="343" t="s">
        <v>1300</v>
      </c>
      <c r="KSS76" s="343" t="s">
        <v>252</v>
      </c>
      <c r="KST76" s="343" t="s">
        <v>1300</v>
      </c>
      <c r="KSU76" s="343" t="s">
        <v>252</v>
      </c>
      <c r="KSV76" s="343" t="s">
        <v>1300</v>
      </c>
      <c r="KSW76" s="343" t="s">
        <v>252</v>
      </c>
      <c r="KSX76" s="343" t="s">
        <v>1300</v>
      </c>
      <c r="KSY76" s="343" t="s">
        <v>252</v>
      </c>
      <c r="KSZ76" s="343" t="s">
        <v>1300</v>
      </c>
      <c r="KTA76" s="343" t="s">
        <v>252</v>
      </c>
      <c r="KTB76" s="343" t="s">
        <v>1300</v>
      </c>
      <c r="KTC76" s="343" t="s">
        <v>252</v>
      </c>
      <c r="KTD76" s="343" t="s">
        <v>1300</v>
      </c>
      <c r="KTE76" s="343" t="s">
        <v>252</v>
      </c>
      <c r="KTF76" s="343" t="s">
        <v>1300</v>
      </c>
      <c r="KTG76" s="343" t="s">
        <v>252</v>
      </c>
      <c r="KTH76" s="343" t="s">
        <v>1300</v>
      </c>
      <c r="KTI76" s="343" t="s">
        <v>252</v>
      </c>
      <c r="KTJ76" s="343" t="s">
        <v>1300</v>
      </c>
      <c r="KTK76" s="343" t="s">
        <v>252</v>
      </c>
      <c r="KTL76" s="343" t="s">
        <v>1300</v>
      </c>
      <c r="KTM76" s="343" t="s">
        <v>252</v>
      </c>
      <c r="KTN76" s="343" t="s">
        <v>1300</v>
      </c>
      <c r="KTO76" s="343" t="s">
        <v>252</v>
      </c>
      <c r="KTP76" s="343" t="s">
        <v>1300</v>
      </c>
      <c r="KTQ76" s="343" t="s">
        <v>252</v>
      </c>
      <c r="KTR76" s="343" t="s">
        <v>1300</v>
      </c>
      <c r="KTS76" s="343" t="s">
        <v>252</v>
      </c>
      <c r="KTT76" s="343" t="s">
        <v>1300</v>
      </c>
      <c r="KTU76" s="343" t="s">
        <v>252</v>
      </c>
      <c r="KTV76" s="343" t="s">
        <v>1300</v>
      </c>
      <c r="KTW76" s="343" t="s">
        <v>252</v>
      </c>
      <c r="KTX76" s="343" t="s">
        <v>1300</v>
      </c>
      <c r="KTY76" s="343" t="s">
        <v>252</v>
      </c>
      <c r="KTZ76" s="343" t="s">
        <v>1300</v>
      </c>
      <c r="KUA76" s="343" t="s">
        <v>252</v>
      </c>
      <c r="KUB76" s="343" t="s">
        <v>1300</v>
      </c>
      <c r="KUC76" s="343" t="s">
        <v>252</v>
      </c>
      <c r="KUD76" s="343" t="s">
        <v>1300</v>
      </c>
      <c r="KUE76" s="343" t="s">
        <v>252</v>
      </c>
      <c r="KUF76" s="343" t="s">
        <v>1300</v>
      </c>
      <c r="KUG76" s="343" t="s">
        <v>252</v>
      </c>
      <c r="KUH76" s="343" t="s">
        <v>1300</v>
      </c>
      <c r="KUI76" s="343" t="s">
        <v>252</v>
      </c>
      <c r="KUJ76" s="343" t="s">
        <v>1300</v>
      </c>
      <c r="KUK76" s="343" t="s">
        <v>252</v>
      </c>
      <c r="KUL76" s="343" t="s">
        <v>1300</v>
      </c>
      <c r="KUM76" s="343" t="s">
        <v>252</v>
      </c>
      <c r="KUN76" s="343" t="s">
        <v>1300</v>
      </c>
      <c r="KUO76" s="343" t="s">
        <v>252</v>
      </c>
      <c r="KUP76" s="343" t="s">
        <v>1300</v>
      </c>
      <c r="KUQ76" s="343" t="s">
        <v>252</v>
      </c>
      <c r="KUR76" s="343" t="s">
        <v>1300</v>
      </c>
      <c r="KUS76" s="343" t="s">
        <v>252</v>
      </c>
      <c r="KUT76" s="343" t="s">
        <v>1300</v>
      </c>
      <c r="KUU76" s="343" t="s">
        <v>252</v>
      </c>
      <c r="KUV76" s="343" t="s">
        <v>1300</v>
      </c>
      <c r="KUW76" s="343" t="s">
        <v>252</v>
      </c>
      <c r="KUX76" s="343" t="s">
        <v>1300</v>
      </c>
      <c r="KUY76" s="343" t="s">
        <v>252</v>
      </c>
      <c r="KUZ76" s="343" t="s">
        <v>1300</v>
      </c>
      <c r="KVA76" s="343" t="s">
        <v>252</v>
      </c>
      <c r="KVB76" s="343" t="s">
        <v>1300</v>
      </c>
      <c r="KVC76" s="343" t="s">
        <v>252</v>
      </c>
      <c r="KVD76" s="343" t="s">
        <v>1300</v>
      </c>
      <c r="KVE76" s="343" t="s">
        <v>252</v>
      </c>
      <c r="KVF76" s="343" t="s">
        <v>1300</v>
      </c>
      <c r="KVG76" s="343" t="s">
        <v>252</v>
      </c>
      <c r="KVH76" s="343" t="s">
        <v>1300</v>
      </c>
      <c r="KVI76" s="343" t="s">
        <v>252</v>
      </c>
      <c r="KVJ76" s="343" t="s">
        <v>1300</v>
      </c>
      <c r="KVK76" s="343" t="s">
        <v>252</v>
      </c>
      <c r="KVL76" s="343" t="s">
        <v>1300</v>
      </c>
      <c r="KVM76" s="343" t="s">
        <v>252</v>
      </c>
      <c r="KVN76" s="343" t="s">
        <v>1300</v>
      </c>
      <c r="KVO76" s="343" t="s">
        <v>252</v>
      </c>
      <c r="KVP76" s="343" t="s">
        <v>1300</v>
      </c>
      <c r="KVQ76" s="343" t="s">
        <v>252</v>
      </c>
      <c r="KVR76" s="343" t="s">
        <v>1300</v>
      </c>
      <c r="KVS76" s="343" t="s">
        <v>252</v>
      </c>
      <c r="KVT76" s="343" t="s">
        <v>1300</v>
      </c>
      <c r="KVU76" s="343" t="s">
        <v>252</v>
      </c>
      <c r="KVV76" s="343" t="s">
        <v>1300</v>
      </c>
      <c r="KVW76" s="343" t="s">
        <v>252</v>
      </c>
      <c r="KVX76" s="343" t="s">
        <v>1300</v>
      </c>
      <c r="KVY76" s="343" t="s">
        <v>252</v>
      </c>
      <c r="KVZ76" s="343" t="s">
        <v>1300</v>
      </c>
      <c r="KWA76" s="343" t="s">
        <v>252</v>
      </c>
      <c r="KWB76" s="343" t="s">
        <v>1300</v>
      </c>
      <c r="KWC76" s="343" t="s">
        <v>252</v>
      </c>
      <c r="KWD76" s="343" t="s">
        <v>1300</v>
      </c>
      <c r="KWE76" s="343" t="s">
        <v>252</v>
      </c>
      <c r="KWF76" s="343" t="s">
        <v>1300</v>
      </c>
      <c r="KWG76" s="343" t="s">
        <v>252</v>
      </c>
      <c r="KWH76" s="343" t="s">
        <v>1300</v>
      </c>
      <c r="KWI76" s="343" t="s">
        <v>252</v>
      </c>
      <c r="KWJ76" s="343" t="s">
        <v>1300</v>
      </c>
      <c r="KWK76" s="343" t="s">
        <v>252</v>
      </c>
      <c r="KWL76" s="343" t="s">
        <v>1300</v>
      </c>
      <c r="KWM76" s="343" t="s">
        <v>252</v>
      </c>
      <c r="KWN76" s="343" t="s">
        <v>1300</v>
      </c>
      <c r="KWO76" s="343" t="s">
        <v>252</v>
      </c>
      <c r="KWP76" s="343" t="s">
        <v>1300</v>
      </c>
      <c r="KWQ76" s="343" t="s">
        <v>252</v>
      </c>
      <c r="KWR76" s="343" t="s">
        <v>1300</v>
      </c>
      <c r="KWS76" s="343" t="s">
        <v>252</v>
      </c>
      <c r="KWT76" s="343" t="s">
        <v>1300</v>
      </c>
      <c r="KWU76" s="343" t="s">
        <v>252</v>
      </c>
      <c r="KWV76" s="343" t="s">
        <v>1300</v>
      </c>
      <c r="KWW76" s="343" t="s">
        <v>252</v>
      </c>
      <c r="KWX76" s="343" t="s">
        <v>1300</v>
      </c>
      <c r="KWY76" s="343" t="s">
        <v>252</v>
      </c>
      <c r="KWZ76" s="343" t="s">
        <v>1300</v>
      </c>
      <c r="KXA76" s="343" t="s">
        <v>252</v>
      </c>
      <c r="KXB76" s="343" t="s">
        <v>1300</v>
      </c>
      <c r="KXC76" s="343" t="s">
        <v>252</v>
      </c>
      <c r="KXD76" s="343" t="s">
        <v>1300</v>
      </c>
      <c r="KXE76" s="343" t="s">
        <v>252</v>
      </c>
      <c r="KXF76" s="343" t="s">
        <v>1300</v>
      </c>
      <c r="KXG76" s="343" t="s">
        <v>252</v>
      </c>
      <c r="KXH76" s="343" t="s">
        <v>1300</v>
      </c>
      <c r="KXI76" s="343" t="s">
        <v>252</v>
      </c>
      <c r="KXJ76" s="343" t="s">
        <v>1300</v>
      </c>
      <c r="KXK76" s="343" t="s">
        <v>252</v>
      </c>
      <c r="KXL76" s="343" t="s">
        <v>1300</v>
      </c>
      <c r="KXM76" s="343" t="s">
        <v>252</v>
      </c>
      <c r="KXN76" s="343" t="s">
        <v>1300</v>
      </c>
      <c r="KXO76" s="343" t="s">
        <v>252</v>
      </c>
      <c r="KXP76" s="343" t="s">
        <v>1300</v>
      </c>
      <c r="KXQ76" s="343" t="s">
        <v>252</v>
      </c>
      <c r="KXR76" s="343" t="s">
        <v>1300</v>
      </c>
      <c r="KXS76" s="343" t="s">
        <v>252</v>
      </c>
      <c r="KXT76" s="343" t="s">
        <v>1300</v>
      </c>
      <c r="KXU76" s="343" t="s">
        <v>252</v>
      </c>
      <c r="KXV76" s="343" t="s">
        <v>1300</v>
      </c>
      <c r="KXW76" s="343" t="s">
        <v>252</v>
      </c>
      <c r="KXX76" s="343" t="s">
        <v>1300</v>
      </c>
      <c r="KXY76" s="343" t="s">
        <v>252</v>
      </c>
      <c r="KXZ76" s="343" t="s">
        <v>1300</v>
      </c>
      <c r="KYA76" s="343" t="s">
        <v>252</v>
      </c>
      <c r="KYB76" s="343" t="s">
        <v>1300</v>
      </c>
      <c r="KYC76" s="343" t="s">
        <v>252</v>
      </c>
      <c r="KYD76" s="343" t="s">
        <v>1300</v>
      </c>
      <c r="KYE76" s="343" t="s">
        <v>252</v>
      </c>
      <c r="KYF76" s="343" t="s">
        <v>1300</v>
      </c>
      <c r="KYG76" s="343" t="s">
        <v>252</v>
      </c>
      <c r="KYH76" s="343" t="s">
        <v>1300</v>
      </c>
      <c r="KYI76" s="343" t="s">
        <v>252</v>
      </c>
      <c r="KYJ76" s="343" t="s">
        <v>1300</v>
      </c>
      <c r="KYK76" s="343" t="s">
        <v>252</v>
      </c>
      <c r="KYL76" s="343" t="s">
        <v>1300</v>
      </c>
      <c r="KYM76" s="343" t="s">
        <v>252</v>
      </c>
      <c r="KYN76" s="343" t="s">
        <v>1300</v>
      </c>
      <c r="KYO76" s="343" t="s">
        <v>252</v>
      </c>
      <c r="KYP76" s="343" t="s">
        <v>1300</v>
      </c>
      <c r="KYQ76" s="343" t="s">
        <v>252</v>
      </c>
      <c r="KYR76" s="343" t="s">
        <v>1300</v>
      </c>
      <c r="KYS76" s="343" t="s">
        <v>252</v>
      </c>
      <c r="KYT76" s="343" t="s">
        <v>1300</v>
      </c>
      <c r="KYU76" s="343" t="s">
        <v>252</v>
      </c>
      <c r="KYV76" s="343" t="s">
        <v>1300</v>
      </c>
      <c r="KYW76" s="343" t="s">
        <v>252</v>
      </c>
      <c r="KYX76" s="343" t="s">
        <v>1300</v>
      </c>
      <c r="KYY76" s="343" t="s">
        <v>252</v>
      </c>
      <c r="KYZ76" s="343" t="s">
        <v>1300</v>
      </c>
      <c r="KZA76" s="343" t="s">
        <v>252</v>
      </c>
      <c r="KZB76" s="343" t="s">
        <v>1300</v>
      </c>
      <c r="KZC76" s="343" t="s">
        <v>252</v>
      </c>
      <c r="KZD76" s="343" t="s">
        <v>1300</v>
      </c>
      <c r="KZE76" s="343" t="s">
        <v>252</v>
      </c>
      <c r="KZF76" s="343" t="s">
        <v>1300</v>
      </c>
      <c r="KZG76" s="343" t="s">
        <v>252</v>
      </c>
      <c r="KZH76" s="343" t="s">
        <v>1300</v>
      </c>
      <c r="KZI76" s="343" t="s">
        <v>252</v>
      </c>
      <c r="KZJ76" s="343" t="s">
        <v>1300</v>
      </c>
      <c r="KZK76" s="343" t="s">
        <v>252</v>
      </c>
      <c r="KZL76" s="343" t="s">
        <v>1300</v>
      </c>
      <c r="KZM76" s="343" t="s">
        <v>252</v>
      </c>
      <c r="KZN76" s="343" t="s">
        <v>1300</v>
      </c>
      <c r="KZO76" s="343" t="s">
        <v>252</v>
      </c>
      <c r="KZP76" s="343" t="s">
        <v>1300</v>
      </c>
      <c r="KZQ76" s="343" t="s">
        <v>252</v>
      </c>
      <c r="KZR76" s="343" t="s">
        <v>1300</v>
      </c>
      <c r="KZS76" s="343" t="s">
        <v>252</v>
      </c>
      <c r="KZT76" s="343" t="s">
        <v>1300</v>
      </c>
      <c r="KZU76" s="343" t="s">
        <v>252</v>
      </c>
      <c r="KZV76" s="343" t="s">
        <v>1300</v>
      </c>
      <c r="KZW76" s="343" t="s">
        <v>252</v>
      </c>
      <c r="KZX76" s="343" t="s">
        <v>1300</v>
      </c>
      <c r="KZY76" s="343" t="s">
        <v>252</v>
      </c>
      <c r="KZZ76" s="343" t="s">
        <v>1300</v>
      </c>
      <c r="LAA76" s="343" t="s">
        <v>252</v>
      </c>
      <c r="LAB76" s="343" t="s">
        <v>1300</v>
      </c>
      <c r="LAC76" s="343" t="s">
        <v>252</v>
      </c>
      <c r="LAD76" s="343" t="s">
        <v>1300</v>
      </c>
      <c r="LAE76" s="343" t="s">
        <v>252</v>
      </c>
      <c r="LAF76" s="343" t="s">
        <v>1300</v>
      </c>
      <c r="LAG76" s="343" t="s">
        <v>252</v>
      </c>
      <c r="LAH76" s="343" t="s">
        <v>1300</v>
      </c>
      <c r="LAI76" s="343" t="s">
        <v>252</v>
      </c>
      <c r="LAJ76" s="343" t="s">
        <v>1300</v>
      </c>
      <c r="LAK76" s="343" t="s">
        <v>252</v>
      </c>
      <c r="LAL76" s="343" t="s">
        <v>1300</v>
      </c>
      <c r="LAM76" s="343" t="s">
        <v>252</v>
      </c>
      <c r="LAN76" s="343" t="s">
        <v>1300</v>
      </c>
      <c r="LAO76" s="343" t="s">
        <v>252</v>
      </c>
      <c r="LAP76" s="343" t="s">
        <v>1300</v>
      </c>
      <c r="LAQ76" s="343" t="s">
        <v>252</v>
      </c>
      <c r="LAR76" s="343" t="s">
        <v>1300</v>
      </c>
      <c r="LAS76" s="343" t="s">
        <v>252</v>
      </c>
      <c r="LAT76" s="343" t="s">
        <v>1300</v>
      </c>
      <c r="LAU76" s="343" t="s">
        <v>252</v>
      </c>
      <c r="LAV76" s="343" t="s">
        <v>1300</v>
      </c>
      <c r="LAW76" s="343" t="s">
        <v>252</v>
      </c>
      <c r="LAX76" s="343" t="s">
        <v>1300</v>
      </c>
      <c r="LAY76" s="343" t="s">
        <v>252</v>
      </c>
      <c r="LAZ76" s="343" t="s">
        <v>1300</v>
      </c>
      <c r="LBA76" s="343" t="s">
        <v>252</v>
      </c>
      <c r="LBB76" s="343" t="s">
        <v>1300</v>
      </c>
      <c r="LBC76" s="343" t="s">
        <v>252</v>
      </c>
      <c r="LBD76" s="343" t="s">
        <v>1300</v>
      </c>
      <c r="LBE76" s="343" t="s">
        <v>252</v>
      </c>
      <c r="LBF76" s="343" t="s">
        <v>1300</v>
      </c>
      <c r="LBG76" s="343" t="s">
        <v>252</v>
      </c>
      <c r="LBH76" s="343" t="s">
        <v>1300</v>
      </c>
      <c r="LBI76" s="343" t="s">
        <v>252</v>
      </c>
      <c r="LBJ76" s="343" t="s">
        <v>1300</v>
      </c>
      <c r="LBK76" s="343" t="s">
        <v>252</v>
      </c>
      <c r="LBL76" s="343" t="s">
        <v>1300</v>
      </c>
      <c r="LBM76" s="343" t="s">
        <v>252</v>
      </c>
      <c r="LBN76" s="343" t="s">
        <v>1300</v>
      </c>
      <c r="LBO76" s="343" t="s">
        <v>252</v>
      </c>
      <c r="LBP76" s="343" t="s">
        <v>1300</v>
      </c>
      <c r="LBQ76" s="343" t="s">
        <v>252</v>
      </c>
      <c r="LBR76" s="343" t="s">
        <v>1300</v>
      </c>
      <c r="LBS76" s="343" t="s">
        <v>252</v>
      </c>
      <c r="LBT76" s="343" t="s">
        <v>1300</v>
      </c>
      <c r="LBU76" s="343" t="s">
        <v>252</v>
      </c>
      <c r="LBV76" s="343" t="s">
        <v>1300</v>
      </c>
      <c r="LBW76" s="343" t="s">
        <v>252</v>
      </c>
      <c r="LBX76" s="343" t="s">
        <v>1300</v>
      </c>
      <c r="LBY76" s="343" t="s">
        <v>252</v>
      </c>
      <c r="LBZ76" s="343" t="s">
        <v>1300</v>
      </c>
      <c r="LCA76" s="343" t="s">
        <v>252</v>
      </c>
      <c r="LCB76" s="343" t="s">
        <v>1300</v>
      </c>
      <c r="LCC76" s="343" t="s">
        <v>252</v>
      </c>
      <c r="LCD76" s="343" t="s">
        <v>1300</v>
      </c>
      <c r="LCE76" s="343" t="s">
        <v>252</v>
      </c>
      <c r="LCF76" s="343" t="s">
        <v>1300</v>
      </c>
      <c r="LCG76" s="343" t="s">
        <v>252</v>
      </c>
      <c r="LCH76" s="343" t="s">
        <v>1300</v>
      </c>
      <c r="LCI76" s="343" t="s">
        <v>252</v>
      </c>
      <c r="LCJ76" s="343" t="s">
        <v>1300</v>
      </c>
      <c r="LCK76" s="343" t="s">
        <v>252</v>
      </c>
      <c r="LCL76" s="343" t="s">
        <v>1300</v>
      </c>
      <c r="LCM76" s="343" t="s">
        <v>252</v>
      </c>
      <c r="LCN76" s="343" t="s">
        <v>1300</v>
      </c>
      <c r="LCO76" s="343" t="s">
        <v>252</v>
      </c>
      <c r="LCP76" s="343" t="s">
        <v>1300</v>
      </c>
      <c r="LCQ76" s="343" t="s">
        <v>252</v>
      </c>
      <c r="LCR76" s="343" t="s">
        <v>1300</v>
      </c>
      <c r="LCS76" s="343" t="s">
        <v>252</v>
      </c>
      <c r="LCT76" s="343" t="s">
        <v>1300</v>
      </c>
      <c r="LCU76" s="343" t="s">
        <v>252</v>
      </c>
      <c r="LCV76" s="343" t="s">
        <v>1300</v>
      </c>
      <c r="LCW76" s="343" t="s">
        <v>252</v>
      </c>
      <c r="LCX76" s="343" t="s">
        <v>1300</v>
      </c>
      <c r="LCY76" s="343" t="s">
        <v>252</v>
      </c>
      <c r="LCZ76" s="343" t="s">
        <v>1300</v>
      </c>
      <c r="LDA76" s="343" t="s">
        <v>252</v>
      </c>
      <c r="LDB76" s="343" t="s">
        <v>1300</v>
      </c>
      <c r="LDC76" s="343" t="s">
        <v>252</v>
      </c>
      <c r="LDD76" s="343" t="s">
        <v>1300</v>
      </c>
      <c r="LDE76" s="343" t="s">
        <v>252</v>
      </c>
      <c r="LDF76" s="343" t="s">
        <v>1300</v>
      </c>
      <c r="LDG76" s="343" t="s">
        <v>252</v>
      </c>
      <c r="LDH76" s="343" t="s">
        <v>1300</v>
      </c>
      <c r="LDI76" s="343" t="s">
        <v>252</v>
      </c>
      <c r="LDJ76" s="343" t="s">
        <v>1300</v>
      </c>
      <c r="LDK76" s="343" t="s">
        <v>252</v>
      </c>
      <c r="LDL76" s="343" t="s">
        <v>1300</v>
      </c>
      <c r="LDM76" s="343" t="s">
        <v>252</v>
      </c>
      <c r="LDN76" s="343" t="s">
        <v>1300</v>
      </c>
      <c r="LDO76" s="343" t="s">
        <v>252</v>
      </c>
      <c r="LDP76" s="343" t="s">
        <v>1300</v>
      </c>
      <c r="LDQ76" s="343" t="s">
        <v>252</v>
      </c>
      <c r="LDR76" s="343" t="s">
        <v>1300</v>
      </c>
      <c r="LDS76" s="343" t="s">
        <v>252</v>
      </c>
      <c r="LDT76" s="343" t="s">
        <v>1300</v>
      </c>
      <c r="LDU76" s="343" t="s">
        <v>252</v>
      </c>
      <c r="LDV76" s="343" t="s">
        <v>1300</v>
      </c>
      <c r="LDW76" s="343" t="s">
        <v>252</v>
      </c>
      <c r="LDX76" s="343" t="s">
        <v>1300</v>
      </c>
      <c r="LDY76" s="343" t="s">
        <v>252</v>
      </c>
      <c r="LDZ76" s="343" t="s">
        <v>1300</v>
      </c>
      <c r="LEA76" s="343" t="s">
        <v>252</v>
      </c>
      <c r="LEB76" s="343" t="s">
        <v>1300</v>
      </c>
      <c r="LEC76" s="343" t="s">
        <v>252</v>
      </c>
      <c r="LED76" s="343" t="s">
        <v>1300</v>
      </c>
      <c r="LEE76" s="343" t="s">
        <v>252</v>
      </c>
      <c r="LEF76" s="343" t="s">
        <v>1300</v>
      </c>
      <c r="LEG76" s="343" t="s">
        <v>252</v>
      </c>
      <c r="LEH76" s="343" t="s">
        <v>1300</v>
      </c>
      <c r="LEI76" s="343" t="s">
        <v>252</v>
      </c>
      <c r="LEJ76" s="343" t="s">
        <v>1300</v>
      </c>
      <c r="LEK76" s="343" t="s">
        <v>252</v>
      </c>
      <c r="LEL76" s="343" t="s">
        <v>1300</v>
      </c>
      <c r="LEM76" s="343" t="s">
        <v>252</v>
      </c>
      <c r="LEN76" s="343" t="s">
        <v>1300</v>
      </c>
      <c r="LEO76" s="343" t="s">
        <v>252</v>
      </c>
      <c r="LEP76" s="343" t="s">
        <v>1300</v>
      </c>
      <c r="LEQ76" s="343" t="s">
        <v>252</v>
      </c>
      <c r="LER76" s="343" t="s">
        <v>1300</v>
      </c>
      <c r="LES76" s="343" t="s">
        <v>252</v>
      </c>
      <c r="LET76" s="343" t="s">
        <v>1300</v>
      </c>
      <c r="LEU76" s="343" t="s">
        <v>252</v>
      </c>
      <c r="LEV76" s="343" t="s">
        <v>1300</v>
      </c>
      <c r="LEW76" s="343" t="s">
        <v>252</v>
      </c>
      <c r="LEX76" s="343" t="s">
        <v>1300</v>
      </c>
      <c r="LEY76" s="343" t="s">
        <v>252</v>
      </c>
      <c r="LEZ76" s="343" t="s">
        <v>1300</v>
      </c>
      <c r="LFA76" s="343" t="s">
        <v>252</v>
      </c>
      <c r="LFB76" s="343" t="s">
        <v>1300</v>
      </c>
      <c r="LFC76" s="343" t="s">
        <v>252</v>
      </c>
      <c r="LFD76" s="343" t="s">
        <v>1300</v>
      </c>
      <c r="LFE76" s="343" t="s">
        <v>252</v>
      </c>
      <c r="LFF76" s="343" t="s">
        <v>1300</v>
      </c>
      <c r="LFG76" s="343" t="s">
        <v>252</v>
      </c>
      <c r="LFH76" s="343" t="s">
        <v>1300</v>
      </c>
      <c r="LFI76" s="343" t="s">
        <v>252</v>
      </c>
      <c r="LFJ76" s="343" t="s">
        <v>1300</v>
      </c>
      <c r="LFK76" s="343" t="s">
        <v>252</v>
      </c>
      <c r="LFL76" s="343" t="s">
        <v>1300</v>
      </c>
      <c r="LFM76" s="343" t="s">
        <v>252</v>
      </c>
      <c r="LFN76" s="343" t="s">
        <v>1300</v>
      </c>
      <c r="LFO76" s="343" t="s">
        <v>252</v>
      </c>
      <c r="LFP76" s="343" t="s">
        <v>1300</v>
      </c>
      <c r="LFQ76" s="343" t="s">
        <v>252</v>
      </c>
      <c r="LFR76" s="343" t="s">
        <v>1300</v>
      </c>
      <c r="LFS76" s="343" t="s">
        <v>252</v>
      </c>
      <c r="LFT76" s="343" t="s">
        <v>1300</v>
      </c>
      <c r="LFU76" s="343" t="s">
        <v>252</v>
      </c>
      <c r="LFV76" s="343" t="s">
        <v>1300</v>
      </c>
      <c r="LFW76" s="343" t="s">
        <v>252</v>
      </c>
      <c r="LFX76" s="343" t="s">
        <v>1300</v>
      </c>
      <c r="LFY76" s="343" t="s">
        <v>252</v>
      </c>
      <c r="LFZ76" s="343" t="s">
        <v>1300</v>
      </c>
      <c r="LGA76" s="343" t="s">
        <v>252</v>
      </c>
      <c r="LGB76" s="343" t="s">
        <v>1300</v>
      </c>
      <c r="LGC76" s="343" t="s">
        <v>252</v>
      </c>
      <c r="LGD76" s="343" t="s">
        <v>1300</v>
      </c>
      <c r="LGE76" s="343" t="s">
        <v>252</v>
      </c>
      <c r="LGF76" s="343" t="s">
        <v>1300</v>
      </c>
      <c r="LGG76" s="343" t="s">
        <v>252</v>
      </c>
      <c r="LGH76" s="343" t="s">
        <v>1300</v>
      </c>
      <c r="LGI76" s="343" t="s">
        <v>252</v>
      </c>
      <c r="LGJ76" s="343" t="s">
        <v>1300</v>
      </c>
      <c r="LGK76" s="343" t="s">
        <v>252</v>
      </c>
      <c r="LGL76" s="343" t="s">
        <v>1300</v>
      </c>
      <c r="LGM76" s="343" t="s">
        <v>252</v>
      </c>
      <c r="LGN76" s="343" t="s">
        <v>1300</v>
      </c>
      <c r="LGO76" s="343" t="s">
        <v>252</v>
      </c>
      <c r="LGP76" s="343" t="s">
        <v>1300</v>
      </c>
      <c r="LGQ76" s="343" t="s">
        <v>252</v>
      </c>
      <c r="LGR76" s="343" t="s">
        <v>1300</v>
      </c>
      <c r="LGS76" s="343" t="s">
        <v>252</v>
      </c>
      <c r="LGT76" s="343" t="s">
        <v>1300</v>
      </c>
      <c r="LGU76" s="343" t="s">
        <v>252</v>
      </c>
      <c r="LGV76" s="343" t="s">
        <v>1300</v>
      </c>
      <c r="LGW76" s="343" t="s">
        <v>252</v>
      </c>
      <c r="LGX76" s="343" t="s">
        <v>1300</v>
      </c>
      <c r="LGY76" s="343" t="s">
        <v>252</v>
      </c>
      <c r="LGZ76" s="343" t="s">
        <v>1300</v>
      </c>
      <c r="LHA76" s="343" t="s">
        <v>252</v>
      </c>
      <c r="LHB76" s="343" t="s">
        <v>1300</v>
      </c>
      <c r="LHC76" s="343" t="s">
        <v>252</v>
      </c>
      <c r="LHD76" s="343" t="s">
        <v>1300</v>
      </c>
      <c r="LHE76" s="343" t="s">
        <v>252</v>
      </c>
      <c r="LHF76" s="343" t="s">
        <v>1300</v>
      </c>
      <c r="LHG76" s="343" t="s">
        <v>252</v>
      </c>
      <c r="LHH76" s="343" t="s">
        <v>1300</v>
      </c>
      <c r="LHI76" s="343" t="s">
        <v>252</v>
      </c>
      <c r="LHJ76" s="343" t="s">
        <v>1300</v>
      </c>
      <c r="LHK76" s="343" t="s">
        <v>252</v>
      </c>
      <c r="LHL76" s="343" t="s">
        <v>1300</v>
      </c>
      <c r="LHM76" s="343" t="s">
        <v>252</v>
      </c>
      <c r="LHN76" s="343" t="s">
        <v>1300</v>
      </c>
      <c r="LHO76" s="343" t="s">
        <v>252</v>
      </c>
      <c r="LHP76" s="343" t="s">
        <v>1300</v>
      </c>
      <c r="LHQ76" s="343" t="s">
        <v>252</v>
      </c>
      <c r="LHR76" s="343" t="s">
        <v>1300</v>
      </c>
      <c r="LHS76" s="343" t="s">
        <v>252</v>
      </c>
      <c r="LHT76" s="343" t="s">
        <v>1300</v>
      </c>
      <c r="LHU76" s="343" t="s">
        <v>252</v>
      </c>
      <c r="LHV76" s="343" t="s">
        <v>1300</v>
      </c>
      <c r="LHW76" s="343" t="s">
        <v>252</v>
      </c>
      <c r="LHX76" s="343" t="s">
        <v>1300</v>
      </c>
      <c r="LHY76" s="343" t="s">
        <v>252</v>
      </c>
      <c r="LHZ76" s="343" t="s">
        <v>1300</v>
      </c>
      <c r="LIA76" s="343" t="s">
        <v>252</v>
      </c>
      <c r="LIB76" s="343" t="s">
        <v>1300</v>
      </c>
      <c r="LIC76" s="343" t="s">
        <v>252</v>
      </c>
      <c r="LID76" s="343" t="s">
        <v>1300</v>
      </c>
      <c r="LIE76" s="343" t="s">
        <v>252</v>
      </c>
      <c r="LIF76" s="343" t="s">
        <v>1300</v>
      </c>
      <c r="LIG76" s="343" t="s">
        <v>252</v>
      </c>
      <c r="LIH76" s="343" t="s">
        <v>1300</v>
      </c>
      <c r="LII76" s="343" t="s">
        <v>252</v>
      </c>
      <c r="LIJ76" s="343" t="s">
        <v>1300</v>
      </c>
      <c r="LIK76" s="343" t="s">
        <v>252</v>
      </c>
      <c r="LIL76" s="343" t="s">
        <v>1300</v>
      </c>
      <c r="LIM76" s="343" t="s">
        <v>252</v>
      </c>
      <c r="LIN76" s="343" t="s">
        <v>1300</v>
      </c>
      <c r="LIO76" s="343" t="s">
        <v>252</v>
      </c>
      <c r="LIP76" s="343" t="s">
        <v>1300</v>
      </c>
      <c r="LIQ76" s="343" t="s">
        <v>252</v>
      </c>
      <c r="LIR76" s="343" t="s">
        <v>1300</v>
      </c>
      <c r="LIS76" s="343" t="s">
        <v>252</v>
      </c>
      <c r="LIT76" s="343" t="s">
        <v>1300</v>
      </c>
      <c r="LIU76" s="343" t="s">
        <v>252</v>
      </c>
      <c r="LIV76" s="343" t="s">
        <v>1300</v>
      </c>
      <c r="LIW76" s="343" t="s">
        <v>252</v>
      </c>
      <c r="LIX76" s="343" t="s">
        <v>1300</v>
      </c>
      <c r="LIY76" s="343" t="s">
        <v>252</v>
      </c>
      <c r="LIZ76" s="343" t="s">
        <v>1300</v>
      </c>
      <c r="LJA76" s="343" t="s">
        <v>252</v>
      </c>
      <c r="LJB76" s="343" t="s">
        <v>1300</v>
      </c>
      <c r="LJC76" s="343" t="s">
        <v>252</v>
      </c>
      <c r="LJD76" s="343" t="s">
        <v>1300</v>
      </c>
      <c r="LJE76" s="343" t="s">
        <v>252</v>
      </c>
      <c r="LJF76" s="343" t="s">
        <v>1300</v>
      </c>
      <c r="LJG76" s="343" t="s">
        <v>252</v>
      </c>
      <c r="LJH76" s="343" t="s">
        <v>1300</v>
      </c>
      <c r="LJI76" s="343" t="s">
        <v>252</v>
      </c>
      <c r="LJJ76" s="343" t="s">
        <v>1300</v>
      </c>
      <c r="LJK76" s="343" t="s">
        <v>252</v>
      </c>
      <c r="LJL76" s="343" t="s">
        <v>1300</v>
      </c>
      <c r="LJM76" s="343" t="s">
        <v>252</v>
      </c>
      <c r="LJN76" s="343" t="s">
        <v>1300</v>
      </c>
      <c r="LJO76" s="343" t="s">
        <v>252</v>
      </c>
      <c r="LJP76" s="343" t="s">
        <v>1300</v>
      </c>
      <c r="LJQ76" s="343" t="s">
        <v>252</v>
      </c>
      <c r="LJR76" s="343" t="s">
        <v>1300</v>
      </c>
      <c r="LJS76" s="343" t="s">
        <v>252</v>
      </c>
      <c r="LJT76" s="343" t="s">
        <v>1300</v>
      </c>
      <c r="LJU76" s="343" t="s">
        <v>252</v>
      </c>
      <c r="LJV76" s="343" t="s">
        <v>1300</v>
      </c>
      <c r="LJW76" s="343" t="s">
        <v>252</v>
      </c>
      <c r="LJX76" s="343" t="s">
        <v>1300</v>
      </c>
      <c r="LJY76" s="343" t="s">
        <v>252</v>
      </c>
      <c r="LJZ76" s="343" t="s">
        <v>1300</v>
      </c>
      <c r="LKA76" s="343" t="s">
        <v>252</v>
      </c>
      <c r="LKB76" s="343" t="s">
        <v>1300</v>
      </c>
      <c r="LKC76" s="343" t="s">
        <v>252</v>
      </c>
      <c r="LKD76" s="343" t="s">
        <v>1300</v>
      </c>
      <c r="LKE76" s="343" t="s">
        <v>252</v>
      </c>
      <c r="LKF76" s="343" t="s">
        <v>1300</v>
      </c>
      <c r="LKG76" s="343" t="s">
        <v>252</v>
      </c>
      <c r="LKH76" s="343" t="s">
        <v>1300</v>
      </c>
      <c r="LKI76" s="343" t="s">
        <v>252</v>
      </c>
      <c r="LKJ76" s="343" t="s">
        <v>1300</v>
      </c>
      <c r="LKK76" s="343" t="s">
        <v>252</v>
      </c>
      <c r="LKL76" s="343" t="s">
        <v>1300</v>
      </c>
      <c r="LKM76" s="343" t="s">
        <v>252</v>
      </c>
      <c r="LKN76" s="343" t="s">
        <v>1300</v>
      </c>
      <c r="LKO76" s="343" t="s">
        <v>252</v>
      </c>
      <c r="LKP76" s="343" t="s">
        <v>1300</v>
      </c>
      <c r="LKQ76" s="343" t="s">
        <v>252</v>
      </c>
      <c r="LKR76" s="343" t="s">
        <v>1300</v>
      </c>
      <c r="LKS76" s="343" t="s">
        <v>252</v>
      </c>
      <c r="LKT76" s="343" t="s">
        <v>1300</v>
      </c>
      <c r="LKU76" s="343" t="s">
        <v>252</v>
      </c>
      <c r="LKV76" s="343" t="s">
        <v>1300</v>
      </c>
      <c r="LKW76" s="343" t="s">
        <v>252</v>
      </c>
      <c r="LKX76" s="343" t="s">
        <v>1300</v>
      </c>
      <c r="LKY76" s="343" t="s">
        <v>252</v>
      </c>
      <c r="LKZ76" s="343" t="s">
        <v>1300</v>
      </c>
      <c r="LLA76" s="343" t="s">
        <v>252</v>
      </c>
      <c r="LLB76" s="343" t="s">
        <v>1300</v>
      </c>
      <c r="LLC76" s="343" t="s">
        <v>252</v>
      </c>
      <c r="LLD76" s="343" t="s">
        <v>1300</v>
      </c>
      <c r="LLE76" s="343" t="s">
        <v>252</v>
      </c>
      <c r="LLF76" s="343" t="s">
        <v>1300</v>
      </c>
      <c r="LLG76" s="343" t="s">
        <v>252</v>
      </c>
      <c r="LLH76" s="343" t="s">
        <v>1300</v>
      </c>
      <c r="LLI76" s="343" t="s">
        <v>252</v>
      </c>
      <c r="LLJ76" s="343" t="s">
        <v>1300</v>
      </c>
      <c r="LLK76" s="343" t="s">
        <v>252</v>
      </c>
      <c r="LLL76" s="343" t="s">
        <v>1300</v>
      </c>
      <c r="LLM76" s="343" t="s">
        <v>252</v>
      </c>
      <c r="LLN76" s="343" t="s">
        <v>1300</v>
      </c>
      <c r="LLO76" s="343" t="s">
        <v>252</v>
      </c>
      <c r="LLP76" s="343" t="s">
        <v>1300</v>
      </c>
      <c r="LLQ76" s="343" t="s">
        <v>252</v>
      </c>
      <c r="LLR76" s="343" t="s">
        <v>1300</v>
      </c>
      <c r="LLS76" s="343" t="s">
        <v>252</v>
      </c>
      <c r="LLT76" s="343" t="s">
        <v>1300</v>
      </c>
      <c r="LLU76" s="343" t="s">
        <v>252</v>
      </c>
      <c r="LLV76" s="343" t="s">
        <v>1300</v>
      </c>
      <c r="LLW76" s="343" t="s">
        <v>252</v>
      </c>
      <c r="LLX76" s="343" t="s">
        <v>1300</v>
      </c>
      <c r="LLY76" s="343" t="s">
        <v>252</v>
      </c>
      <c r="LLZ76" s="343" t="s">
        <v>1300</v>
      </c>
      <c r="LMA76" s="343" t="s">
        <v>252</v>
      </c>
      <c r="LMB76" s="343" t="s">
        <v>1300</v>
      </c>
      <c r="LMC76" s="343" t="s">
        <v>252</v>
      </c>
      <c r="LMD76" s="343" t="s">
        <v>1300</v>
      </c>
      <c r="LME76" s="343" t="s">
        <v>252</v>
      </c>
      <c r="LMF76" s="343" t="s">
        <v>1300</v>
      </c>
      <c r="LMG76" s="343" t="s">
        <v>252</v>
      </c>
      <c r="LMH76" s="343" t="s">
        <v>1300</v>
      </c>
      <c r="LMI76" s="343" t="s">
        <v>252</v>
      </c>
      <c r="LMJ76" s="343" t="s">
        <v>1300</v>
      </c>
      <c r="LMK76" s="343" t="s">
        <v>252</v>
      </c>
      <c r="LML76" s="343" t="s">
        <v>1300</v>
      </c>
      <c r="LMM76" s="343" t="s">
        <v>252</v>
      </c>
      <c r="LMN76" s="343" t="s">
        <v>1300</v>
      </c>
      <c r="LMO76" s="343" t="s">
        <v>252</v>
      </c>
      <c r="LMP76" s="343" t="s">
        <v>1300</v>
      </c>
      <c r="LMQ76" s="343" t="s">
        <v>252</v>
      </c>
      <c r="LMR76" s="343" t="s">
        <v>1300</v>
      </c>
      <c r="LMS76" s="343" t="s">
        <v>252</v>
      </c>
      <c r="LMT76" s="343" t="s">
        <v>1300</v>
      </c>
      <c r="LMU76" s="343" t="s">
        <v>252</v>
      </c>
      <c r="LMV76" s="343" t="s">
        <v>1300</v>
      </c>
      <c r="LMW76" s="343" t="s">
        <v>252</v>
      </c>
      <c r="LMX76" s="343" t="s">
        <v>1300</v>
      </c>
      <c r="LMY76" s="343" t="s">
        <v>252</v>
      </c>
      <c r="LMZ76" s="343" t="s">
        <v>1300</v>
      </c>
      <c r="LNA76" s="343" t="s">
        <v>252</v>
      </c>
      <c r="LNB76" s="343" t="s">
        <v>1300</v>
      </c>
      <c r="LNC76" s="343" t="s">
        <v>252</v>
      </c>
      <c r="LND76" s="343" t="s">
        <v>1300</v>
      </c>
      <c r="LNE76" s="343" t="s">
        <v>252</v>
      </c>
      <c r="LNF76" s="343" t="s">
        <v>1300</v>
      </c>
      <c r="LNG76" s="343" t="s">
        <v>252</v>
      </c>
      <c r="LNH76" s="343" t="s">
        <v>1300</v>
      </c>
      <c r="LNI76" s="343" t="s">
        <v>252</v>
      </c>
      <c r="LNJ76" s="343" t="s">
        <v>1300</v>
      </c>
      <c r="LNK76" s="343" t="s">
        <v>252</v>
      </c>
      <c r="LNL76" s="343" t="s">
        <v>1300</v>
      </c>
      <c r="LNM76" s="343" t="s">
        <v>252</v>
      </c>
      <c r="LNN76" s="343" t="s">
        <v>1300</v>
      </c>
      <c r="LNO76" s="343" t="s">
        <v>252</v>
      </c>
      <c r="LNP76" s="343" t="s">
        <v>1300</v>
      </c>
      <c r="LNQ76" s="343" t="s">
        <v>252</v>
      </c>
      <c r="LNR76" s="343" t="s">
        <v>1300</v>
      </c>
      <c r="LNS76" s="343" t="s">
        <v>252</v>
      </c>
      <c r="LNT76" s="343" t="s">
        <v>1300</v>
      </c>
      <c r="LNU76" s="343" t="s">
        <v>252</v>
      </c>
      <c r="LNV76" s="343" t="s">
        <v>1300</v>
      </c>
      <c r="LNW76" s="343" t="s">
        <v>252</v>
      </c>
      <c r="LNX76" s="343" t="s">
        <v>1300</v>
      </c>
      <c r="LNY76" s="343" t="s">
        <v>252</v>
      </c>
      <c r="LNZ76" s="343" t="s">
        <v>1300</v>
      </c>
      <c r="LOA76" s="343" t="s">
        <v>252</v>
      </c>
      <c r="LOB76" s="343" t="s">
        <v>1300</v>
      </c>
      <c r="LOC76" s="343" t="s">
        <v>252</v>
      </c>
      <c r="LOD76" s="343" t="s">
        <v>1300</v>
      </c>
      <c r="LOE76" s="343" t="s">
        <v>252</v>
      </c>
      <c r="LOF76" s="343" t="s">
        <v>1300</v>
      </c>
      <c r="LOG76" s="343" t="s">
        <v>252</v>
      </c>
      <c r="LOH76" s="343" t="s">
        <v>1300</v>
      </c>
      <c r="LOI76" s="343" t="s">
        <v>252</v>
      </c>
      <c r="LOJ76" s="343" t="s">
        <v>1300</v>
      </c>
      <c r="LOK76" s="343" t="s">
        <v>252</v>
      </c>
      <c r="LOL76" s="343" t="s">
        <v>1300</v>
      </c>
      <c r="LOM76" s="343" t="s">
        <v>252</v>
      </c>
      <c r="LON76" s="343" t="s">
        <v>1300</v>
      </c>
      <c r="LOO76" s="343" t="s">
        <v>252</v>
      </c>
      <c r="LOP76" s="343" t="s">
        <v>1300</v>
      </c>
      <c r="LOQ76" s="343" t="s">
        <v>252</v>
      </c>
      <c r="LOR76" s="343" t="s">
        <v>1300</v>
      </c>
      <c r="LOS76" s="343" t="s">
        <v>252</v>
      </c>
      <c r="LOT76" s="343" t="s">
        <v>1300</v>
      </c>
      <c r="LOU76" s="343" t="s">
        <v>252</v>
      </c>
      <c r="LOV76" s="343" t="s">
        <v>1300</v>
      </c>
      <c r="LOW76" s="343" t="s">
        <v>252</v>
      </c>
      <c r="LOX76" s="343" t="s">
        <v>1300</v>
      </c>
      <c r="LOY76" s="343" t="s">
        <v>252</v>
      </c>
      <c r="LOZ76" s="343" t="s">
        <v>1300</v>
      </c>
      <c r="LPA76" s="343" t="s">
        <v>252</v>
      </c>
      <c r="LPB76" s="343" t="s">
        <v>1300</v>
      </c>
      <c r="LPC76" s="343" t="s">
        <v>252</v>
      </c>
      <c r="LPD76" s="343" t="s">
        <v>1300</v>
      </c>
      <c r="LPE76" s="343" t="s">
        <v>252</v>
      </c>
      <c r="LPF76" s="343" t="s">
        <v>1300</v>
      </c>
      <c r="LPG76" s="343" t="s">
        <v>252</v>
      </c>
      <c r="LPH76" s="343" t="s">
        <v>1300</v>
      </c>
      <c r="LPI76" s="343" t="s">
        <v>252</v>
      </c>
      <c r="LPJ76" s="343" t="s">
        <v>1300</v>
      </c>
      <c r="LPK76" s="343" t="s">
        <v>252</v>
      </c>
      <c r="LPL76" s="343" t="s">
        <v>1300</v>
      </c>
      <c r="LPM76" s="343" t="s">
        <v>252</v>
      </c>
      <c r="LPN76" s="343" t="s">
        <v>1300</v>
      </c>
      <c r="LPO76" s="343" t="s">
        <v>252</v>
      </c>
      <c r="LPP76" s="343" t="s">
        <v>1300</v>
      </c>
      <c r="LPQ76" s="343" t="s">
        <v>252</v>
      </c>
      <c r="LPR76" s="343" t="s">
        <v>1300</v>
      </c>
      <c r="LPS76" s="343" t="s">
        <v>252</v>
      </c>
      <c r="LPT76" s="343" t="s">
        <v>1300</v>
      </c>
      <c r="LPU76" s="343" t="s">
        <v>252</v>
      </c>
      <c r="LPV76" s="343" t="s">
        <v>1300</v>
      </c>
      <c r="LPW76" s="343" t="s">
        <v>252</v>
      </c>
      <c r="LPX76" s="343" t="s">
        <v>1300</v>
      </c>
      <c r="LPY76" s="343" t="s">
        <v>252</v>
      </c>
      <c r="LPZ76" s="343" t="s">
        <v>1300</v>
      </c>
      <c r="LQA76" s="343" t="s">
        <v>252</v>
      </c>
      <c r="LQB76" s="343" t="s">
        <v>1300</v>
      </c>
      <c r="LQC76" s="343" t="s">
        <v>252</v>
      </c>
      <c r="LQD76" s="343" t="s">
        <v>1300</v>
      </c>
      <c r="LQE76" s="343" t="s">
        <v>252</v>
      </c>
      <c r="LQF76" s="343" t="s">
        <v>1300</v>
      </c>
      <c r="LQG76" s="343" t="s">
        <v>252</v>
      </c>
      <c r="LQH76" s="343" t="s">
        <v>1300</v>
      </c>
      <c r="LQI76" s="343" t="s">
        <v>252</v>
      </c>
      <c r="LQJ76" s="343" t="s">
        <v>1300</v>
      </c>
      <c r="LQK76" s="343" t="s">
        <v>252</v>
      </c>
      <c r="LQL76" s="343" t="s">
        <v>1300</v>
      </c>
      <c r="LQM76" s="343" t="s">
        <v>252</v>
      </c>
      <c r="LQN76" s="343" t="s">
        <v>1300</v>
      </c>
      <c r="LQO76" s="343" t="s">
        <v>252</v>
      </c>
      <c r="LQP76" s="343" t="s">
        <v>1300</v>
      </c>
      <c r="LQQ76" s="343" t="s">
        <v>252</v>
      </c>
      <c r="LQR76" s="343" t="s">
        <v>1300</v>
      </c>
      <c r="LQS76" s="343" t="s">
        <v>252</v>
      </c>
      <c r="LQT76" s="343" t="s">
        <v>1300</v>
      </c>
      <c r="LQU76" s="343" t="s">
        <v>252</v>
      </c>
      <c r="LQV76" s="343" t="s">
        <v>1300</v>
      </c>
      <c r="LQW76" s="343" t="s">
        <v>252</v>
      </c>
      <c r="LQX76" s="343" t="s">
        <v>1300</v>
      </c>
      <c r="LQY76" s="343" t="s">
        <v>252</v>
      </c>
      <c r="LQZ76" s="343" t="s">
        <v>1300</v>
      </c>
      <c r="LRA76" s="343" t="s">
        <v>252</v>
      </c>
      <c r="LRB76" s="343" t="s">
        <v>1300</v>
      </c>
      <c r="LRC76" s="343" t="s">
        <v>252</v>
      </c>
      <c r="LRD76" s="343" t="s">
        <v>1300</v>
      </c>
      <c r="LRE76" s="343" t="s">
        <v>252</v>
      </c>
      <c r="LRF76" s="343" t="s">
        <v>1300</v>
      </c>
      <c r="LRG76" s="343" t="s">
        <v>252</v>
      </c>
      <c r="LRH76" s="343" t="s">
        <v>1300</v>
      </c>
      <c r="LRI76" s="343" t="s">
        <v>252</v>
      </c>
      <c r="LRJ76" s="343" t="s">
        <v>1300</v>
      </c>
      <c r="LRK76" s="343" t="s">
        <v>252</v>
      </c>
      <c r="LRL76" s="343" t="s">
        <v>1300</v>
      </c>
      <c r="LRM76" s="343" t="s">
        <v>252</v>
      </c>
      <c r="LRN76" s="343" t="s">
        <v>1300</v>
      </c>
      <c r="LRO76" s="343" t="s">
        <v>252</v>
      </c>
      <c r="LRP76" s="343" t="s">
        <v>1300</v>
      </c>
      <c r="LRQ76" s="343" t="s">
        <v>252</v>
      </c>
      <c r="LRR76" s="343" t="s">
        <v>1300</v>
      </c>
      <c r="LRS76" s="343" t="s">
        <v>252</v>
      </c>
      <c r="LRT76" s="343" t="s">
        <v>1300</v>
      </c>
      <c r="LRU76" s="343" t="s">
        <v>252</v>
      </c>
      <c r="LRV76" s="343" t="s">
        <v>1300</v>
      </c>
      <c r="LRW76" s="343" t="s">
        <v>252</v>
      </c>
      <c r="LRX76" s="343" t="s">
        <v>1300</v>
      </c>
      <c r="LRY76" s="343" t="s">
        <v>252</v>
      </c>
      <c r="LRZ76" s="343" t="s">
        <v>1300</v>
      </c>
      <c r="LSA76" s="343" t="s">
        <v>252</v>
      </c>
      <c r="LSB76" s="343" t="s">
        <v>1300</v>
      </c>
      <c r="LSC76" s="343" t="s">
        <v>252</v>
      </c>
      <c r="LSD76" s="343" t="s">
        <v>1300</v>
      </c>
      <c r="LSE76" s="343" t="s">
        <v>252</v>
      </c>
      <c r="LSF76" s="343" t="s">
        <v>1300</v>
      </c>
      <c r="LSG76" s="343" t="s">
        <v>252</v>
      </c>
      <c r="LSH76" s="343" t="s">
        <v>1300</v>
      </c>
      <c r="LSI76" s="343" t="s">
        <v>252</v>
      </c>
      <c r="LSJ76" s="343" t="s">
        <v>1300</v>
      </c>
      <c r="LSK76" s="343" t="s">
        <v>252</v>
      </c>
      <c r="LSL76" s="343" t="s">
        <v>1300</v>
      </c>
      <c r="LSM76" s="343" t="s">
        <v>252</v>
      </c>
      <c r="LSN76" s="343" t="s">
        <v>1300</v>
      </c>
      <c r="LSO76" s="343" t="s">
        <v>252</v>
      </c>
      <c r="LSP76" s="343" t="s">
        <v>1300</v>
      </c>
      <c r="LSQ76" s="343" t="s">
        <v>252</v>
      </c>
      <c r="LSR76" s="343" t="s">
        <v>1300</v>
      </c>
      <c r="LSS76" s="343" t="s">
        <v>252</v>
      </c>
      <c r="LST76" s="343" t="s">
        <v>1300</v>
      </c>
      <c r="LSU76" s="343" t="s">
        <v>252</v>
      </c>
      <c r="LSV76" s="343" t="s">
        <v>1300</v>
      </c>
      <c r="LSW76" s="343" t="s">
        <v>252</v>
      </c>
      <c r="LSX76" s="343" t="s">
        <v>1300</v>
      </c>
      <c r="LSY76" s="343" t="s">
        <v>252</v>
      </c>
      <c r="LSZ76" s="343" t="s">
        <v>1300</v>
      </c>
      <c r="LTA76" s="343" t="s">
        <v>252</v>
      </c>
      <c r="LTB76" s="343" t="s">
        <v>1300</v>
      </c>
      <c r="LTC76" s="343" t="s">
        <v>252</v>
      </c>
      <c r="LTD76" s="343" t="s">
        <v>1300</v>
      </c>
      <c r="LTE76" s="343" t="s">
        <v>252</v>
      </c>
      <c r="LTF76" s="343" t="s">
        <v>1300</v>
      </c>
      <c r="LTG76" s="343" t="s">
        <v>252</v>
      </c>
      <c r="LTH76" s="343" t="s">
        <v>1300</v>
      </c>
      <c r="LTI76" s="343" t="s">
        <v>252</v>
      </c>
      <c r="LTJ76" s="343" t="s">
        <v>1300</v>
      </c>
      <c r="LTK76" s="343" t="s">
        <v>252</v>
      </c>
      <c r="LTL76" s="343" t="s">
        <v>1300</v>
      </c>
      <c r="LTM76" s="343" t="s">
        <v>252</v>
      </c>
      <c r="LTN76" s="343" t="s">
        <v>1300</v>
      </c>
      <c r="LTO76" s="343" t="s">
        <v>252</v>
      </c>
      <c r="LTP76" s="343" t="s">
        <v>1300</v>
      </c>
      <c r="LTQ76" s="343" t="s">
        <v>252</v>
      </c>
      <c r="LTR76" s="343" t="s">
        <v>1300</v>
      </c>
      <c r="LTS76" s="343" t="s">
        <v>252</v>
      </c>
      <c r="LTT76" s="343" t="s">
        <v>1300</v>
      </c>
      <c r="LTU76" s="343" t="s">
        <v>252</v>
      </c>
      <c r="LTV76" s="343" t="s">
        <v>1300</v>
      </c>
      <c r="LTW76" s="343" t="s">
        <v>252</v>
      </c>
      <c r="LTX76" s="343" t="s">
        <v>1300</v>
      </c>
      <c r="LTY76" s="343" t="s">
        <v>252</v>
      </c>
      <c r="LTZ76" s="343" t="s">
        <v>1300</v>
      </c>
      <c r="LUA76" s="343" t="s">
        <v>252</v>
      </c>
      <c r="LUB76" s="343" t="s">
        <v>1300</v>
      </c>
      <c r="LUC76" s="343" t="s">
        <v>252</v>
      </c>
      <c r="LUD76" s="343" t="s">
        <v>1300</v>
      </c>
      <c r="LUE76" s="343" t="s">
        <v>252</v>
      </c>
      <c r="LUF76" s="343" t="s">
        <v>1300</v>
      </c>
      <c r="LUG76" s="343" t="s">
        <v>252</v>
      </c>
      <c r="LUH76" s="343" t="s">
        <v>1300</v>
      </c>
      <c r="LUI76" s="343" t="s">
        <v>252</v>
      </c>
      <c r="LUJ76" s="343" t="s">
        <v>1300</v>
      </c>
      <c r="LUK76" s="343" t="s">
        <v>252</v>
      </c>
      <c r="LUL76" s="343" t="s">
        <v>1300</v>
      </c>
      <c r="LUM76" s="343" t="s">
        <v>252</v>
      </c>
      <c r="LUN76" s="343" t="s">
        <v>1300</v>
      </c>
      <c r="LUO76" s="343" t="s">
        <v>252</v>
      </c>
      <c r="LUP76" s="343" t="s">
        <v>1300</v>
      </c>
      <c r="LUQ76" s="343" t="s">
        <v>252</v>
      </c>
      <c r="LUR76" s="343" t="s">
        <v>1300</v>
      </c>
      <c r="LUS76" s="343" t="s">
        <v>252</v>
      </c>
      <c r="LUT76" s="343" t="s">
        <v>1300</v>
      </c>
      <c r="LUU76" s="343" t="s">
        <v>252</v>
      </c>
      <c r="LUV76" s="343" t="s">
        <v>1300</v>
      </c>
      <c r="LUW76" s="343" t="s">
        <v>252</v>
      </c>
      <c r="LUX76" s="343" t="s">
        <v>1300</v>
      </c>
      <c r="LUY76" s="343" t="s">
        <v>252</v>
      </c>
      <c r="LUZ76" s="343" t="s">
        <v>1300</v>
      </c>
      <c r="LVA76" s="343" t="s">
        <v>252</v>
      </c>
      <c r="LVB76" s="343" t="s">
        <v>1300</v>
      </c>
      <c r="LVC76" s="343" t="s">
        <v>252</v>
      </c>
      <c r="LVD76" s="343" t="s">
        <v>1300</v>
      </c>
      <c r="LVE76" s="343" t="s">
        <v>252</v>
      </c>
      <c r="LVF76" s="343" t="s">
        <v>1300</v>
      </c>
      <c r="LVG76" s="343" t="s">
        <v>252</v>
      </c>
      <c r="LVH76" s="343" t="s">
        <v>1300</v>
      </c>
      <c r="LVI76" s="343" t="s">
        <v>252</v>
      </c>
      <c r="LVJ76" s="343" t="s">
        <v>1300</v>
      </c>
      <c r="LVK76" s="343" t="s">
        <v>252</v>
      </c>
      <c r="LVL76" s="343" t="s">
        <v>1300</v>
      </c>
      <c r="LVM76" s="343" t="s">
        <v>252</v>
      </c>
      <c r="LVN76" s="343" t="s">
        <v>1300</v>
      </c>
      <c r="LVO76" s="343" t="s">
        <v>252</v>
      </c>
      <c r="LVP76" s="343" t="s">
        <v>1300</v>
      </c>
      <c r="LVQ76" s="343" t="s">
        <v>252</v>
      </c>
      <c r="LVR76" s="343" t="s">
        <v>1300</v>
      </c>
      <c r="LVS76" s="343" t="s">
        <v>252</v>
      </c>
      <c r="LVT76" s="343" t="s">
        <v>1300</v>
      </c>
      <c r="LVU76" s="343" t="s">
        <v>252</v>
      </c>
      <c r="LVV76" s="343" t="s">
        <v>1300</v>
      </c>
      <c r="LVW76" s="343" t="s">
        <v>252</v>
      </c>
      <c r="LVX76" s="343" t="s">
        <v>1300</v>
      </c>
      <c r="LVY76" s="343" t="s">
        <v>252</v>
      </c>
      <c r="LVZ76" s="343" t="s">
        <v>1300</v>
      </c>
      <c r="LWA76" s="343" t="s">
        <v>252</v>
      </c>
      <c r="LWB76" s="343" t="s">
        <v>1300</v>
      </c>
      <c r="LWC76" s="343" t="s">
        <v>252</v>
      </c>
      <c r="LWD76" s="343" t="s">
        <v>1300</v>
      </c>
      <c r="LWE76" s="343" t="s">
        <v>252</v>
      </c>
      <c r="LWF76" s="343" t="s">
        <v>1300</v>
      </c>
      <c r="LWG76" s="343" t="s">
        <v>252</v>
      </c>
      <c r="LWH76" s="343" t="s">
        <v>1300</v>
      </c>
      <c r="LWI76" s="343" t="s">
        <v>252</v>
      </c>
      <c r="LWJ76" s="343" t="s">
        <v>1300</v>
      </c>
      <c r="LWK76" s="343" t="s">
        <v>252</v>
      </c>
      <c r="LWL76" s="343" t="s">
        <v>1300</v>
      </c>
      <c r="LWM76" s="343" t="s">
        <v>252</v>
      </c>
      <c r="LWN76" s="343" t="s">
        <v>1300</v>
      </c>
      <c r="LWO76" s="343" t="s">
        <v>252</v>
      </c>
      <c r="LWP76" s="343" t="s">
        <v>1300</v>
      </c>
      <c r="LWQ76" s="343" t="s">
        <v>252</v>
      </c>
      <c r="LWR76" s="343" t="s">
        <v>1300</v>
      </c>
      <c r="LWS76" s="343" t="s">
        <v>252</v>
      </c>
      <c r="LWT76" s="343" t="s">
        <v>1300</v>
      </c>
      <c r="LWU76" s="343" t="s">
        <v>252</v>
      </c>
      <c r="LWV76" s="343" t="s">
        <v>1300</v>
      </c>
      <c r="LWW76" s="343" t="s">
        <v>252</v>
      </c>
      <c r="LWX76" s="343" t="s">
        <v>1300</v>
      </c>
      <c r="LWY76" s="343" t="s">
        <v>252</v>
      </c>
      <c r="LWZ76" s="343" t="s">
        <v>1300</v>
      </c>
      <c r="LXA76" s="343" t="s">
        <v>252</v>
      </c>
      <c r="LXB76" s="343" t="s">
        <v>1300</v>
      </c>
      <c r="LXC76" s="343" t="s">
        <v>252</v>
      </c>
      <c r="LXD76" s="343" t="s">
        <v>1300</v>
      </c>
      <c r="LXE76" s="343" t="s">
        <v>252</v>
      </c>
      <c r="LXF76" s="343" t="s">
        <v>1300</v>
      </c>
      <c r="LXG76" s="343" t="s">
        <v>252</v>
      </c>
      <c r="LXH76" s="343" t="s">
        <v>1300</v>
      </c>
      <c r="LXI76" s="343" t="s">
        <v>252</v>
      </c>
      <c r="LXJ76" s="343" t="s">
        <v>1300</v>
      </c>
      <c r="LXK76" s="343" t="s">
        <v>252</v>
      </c>
      <c r="LXL76" s="343" t="s">
        <v>1300</v>
      </c>
      <c r="LXM76" s="343" t="s">
        <v>252</v>
      </c>
      <c r="LXN76" s="343" t="s">
        <v>1300</v>
      </c>
      <c r="LXO76" s="343" t="s">
        <v>252</v>
      </c>
      <c r="LXP76" s="343" t="s">
        <v>1300</v>
      </c>
      <c r="LXQ76" s="343" t="s">
        <v>252</v>
      </c>
      <c r="LXR76" s="343" t="s">
        <v>1300</v>
      </c>
      <c r="LXS76" s="343" t="s">
        <v>252</v>
      </c>
      <c r="LXT76" s="343" t="s">
        <v>1300</v>
      </c>
      <c r="LXU76" s="343" t="s">
        <v>252</v>
      </c>
      <c r="LXV76" s="343" t="s">
        <v>1300</v>
      </c>
      <c r="LXW76" s="343" t="s">
        <v>252</v>
      </c>
      <c r="LXX76" s="343" t="s">
        <v>1300</v>
      </c>
      <c r="LXY76" s="343" t="s">
        <v>252</v>
      </c>
      <c r="LXZ76" s="343" t="s">
        <v>1300</v>
      </c>
      <c r="LYA76" s="343" t="s">
        <v>252</v>
      </c>
      <c r="LYB76" s="343" t="s">
        <v>1300</v>
      </c>
      <c r="LYC76" s="343" t="s">
        <v>252</v>
      </c>
      <c r="LYD76" s="343" t="s">
        <v>1300</v>
      </c>
      <c r="LYE76" s="343" t="s">
        <v>252</v>
      </c>
      <c r="LYF76" s="343" t="s">
        <v>1300</v>
      </c>
      <c r="LYG76" s="343" t="s">
        <v>252</v>
      </c>
      <c r="LYH76" s="343" t="s">
        <v>1300</v>
      </c>
      <c r="LYI76" s="343" t="s">
        <v>252</v>
      </c>
      <c r="LYJ76" s="343" t="s">
        <v>1300</v>
      </c>
      <c r="LYK76" s="343" t="s">
        <v>252</v>
      </c>
      <c r="LYL76" s="343" t="s">
        <v>1300</v>
      </c>
      <c r="LYM76" s="343" t="s">
        <v>252</v>
      </c>
      <c r="LYN76" s="343" t="s">
        <v>1300</v>
      </c>
      <c r="LYO76" s="343" t="s">
        <v>252</v>
      </c>
      <c r="LYP76" s="343" t="s">
        <v>1300</v>
      </c>
      <c r="LYQ76" s="343" t="s">
        <v>252</v>
      </c>
      <c r="LYR76" s="343" t="s">
        <v>1300</v>
      </c>
      <c r="LYS76" s="343" t="s">
        <v>252</v>
      </c>
      <c r="LYT76" s="343" t="s">
        <v>1300</v>
      </c>
      <c r="LYU76" s="343" t="s">
        <v>252</v>
      </c>
      <c r="LYV76" s="343" t="s">
        <v>1300</v>
      </c>
      <c r="LYW76" s="343" t="s">
        <v>252</v>
      </c>
      <c r="LYX76" s="343" t="s">
        <v>1300</v>
      </c>
      <c r="LYY76" s="343" t="s">
        <v>252</v>
      </c>
      <c r="LYZ76" s="343" t="s">
        <v>1300</v>
      </c>
      <c r="LZA76" s="343" t="s">
        <v>252</v>
      </c>
      <c r="LZB76" s="343" t="s">
        <v>1300</v>
      </c>
      <c r="LZC76" s="343" t="s">
        <v>252</v>
      </c>
      <c r="LZD76" s="343" t="s">
        <v>1300</v>
      </c>
      <c r="LZE76" s="343" t="s">
        <v>252</v>
      </c>
      <c r="LZF76" s="343" t="s">
        <v>1300</v>
      </c>
      <c r="LZG76" s="343" t="s">
        <v>252</v>
      </c>
      <c r="LZH76" s="343" t="s">
        <v>1300</v>
      </c>
      <c r="LZI76" s="343" t="s">
        <v>252</v>
      </c>
      <c r="LZJ76" s="343" t="s">
        <v>1300</v>
      </c>
      <c r="LZK76" s="343" t="s">
        <v>252</v>
      </c>
      <c r="LZL76" s="343" t="s">
        <v>1300</v>
      </c>
      <c r="LZM76" s="343" t="s">
        <v>252</v>
      </c>
      <c r="LZN76" s="343" t="s">
        <v>1300</v>
      </c>
      <c r="LZO76" s="343" t="s">
        <v>252</v>
      </c>
      <c r="LZP76" s="343" t="s">
        <v>1300</v>
      </c>
      <c r="LZQ76" s="343" t="s">
        <v>252</v>
      </c>
      <c r="LZR76" s="343" t="s">
        <v>1300</v>
      </c>
      <c r="LZS76" s="343" t="s">
        <v>252</v>
      </c>
      <c r="LZT76" s="343" t="s">
        <v>1300</v>
      </c>
      <c r="LZU76" s="343" t="s">
        <v>252</v>
      </c>
      <c r="LZV76" s="343" t="s">
        <v>1300</v>
      </c>
      <c r="LZW76" s="343" t="s">
        <v>252</v>
      </c>
      <c r="LZX76" s="343" t="s">
        <v>1300</v>
      </c>
      <c r="LZY76" s="343" t="s">
        <v>252</v>
      </c>
      <c r="LZZ76" s="343" t="s">
        <v>1300</v>
      </c>
      <c r="MAA76" s="343" t="s">
        <v>252</v>
      </c>
      <c r="MAB76" s="343" t="s">
        <v>1300</v>
      </c>
      <c r="MAC76" s="343" t="s">
        <v>252</v>
      </c>
      <c r="MAD76" s="343" t="s">
        <v>1300</v>
      </c>
      <c r="MAE76" s="343" t="s">
        <v>252</v>
      </c>
      <c r="MAF76" s="343" t="s">
        <v>1300</v>
      </c>
      <c r="MAG76" s="343" t="s">
        <v>252</v>
      </c>
      <c r="MAH76" s="343" t="s">
        <v>1300</v>
      </c>
      <c r="MAI76" s="343" t="s">
        <v>252</v>
      </c>
      <c r="MAJ76" s="343" t="s">
        <v>1300</v>
      </c>
      <c r="MAK76" s="343" t="s">
        <v>252</v>
      </c>
      <c r="MAL76" s="343" t="s">
        <v>1300</v>
      </c>
      <c r="MAM76" s="343" t="s">
        <v>252</v>
      </c>
      <c r="MAN76" s="343" t="s">
        <v>1300</v>
      </c>
      <c r="MAO76" s="343" t="s">
        <v>252</v>
      </c>
      <c r="MAP76" s="343" t="s">
        <v>1300</v>
      </c>
      <c r="MAQ76" s="343" t="s">
        <v>252</v>
      </c>
      <c r="MAR76" s="343" t="s">
        <v>1300</v>
      </c>
      <c r="MAS76" s="343" t="s">
        <v>252</v>
      </c>
      <c r="MAT76" s="343" t="s">
        <v>1300</v>
      </c>
      <c r="MAU76" s="343" t="s">
        <v>252</v>
      </c>
      <c r="MAV76" s="343" t="s">
        <v>1300</v>
      </c>
      <c r="MAW76" s="343" t="s">
        <v>252</v>
      </c>
      <c r="MAX76" s="343" t="s">
        <v>1300</v>
      </c>
      <c r="MAY76" s="343" t="s">
        <v>252</v>
      </c>
      <c r="MAZ76" s="343" t="s">
        <v>1300</v>
      </c>
      <c r="MBA76" s="343" t="s">
        <v>252</v>
      </c>
      <c r="MBB76" s="343" t="s">
        <v>1300</v>
      </c>
      <c r="MBC76" s="343" t="s">
        <v>252</v>
      </c>
      <c r="MBD76" s="343" t="s">
        <v>1300</v>
      </c>
      <c r="MBE76" s="343" t="s">
        <v>252</v>
      </c>
      <c r="MBF76" s="343" t="s">
        <v>1300</v>
      </c>
      <c r="MBG76" s="343" t="s">
        <v>252</v>
      </c>
      <c r="MBH76" s="343" t="s">
        <v>1300</v>
      </c>
      <c r="MBI76" s="343" t="s">
        <v>252</v>
      </c>
      <c r="MBJ76" s="343" t="s">
        <v>1300</v>
      </c>
      <c r="MBK76" s="343" t="s">
        <v>252</v>
      </c>
      <c r="MBL76" s="343" t="s">
        <v>1300</v>
      </c>
      <c r="MBM76" s="343" t="s">
        <v>252</v>
      </c>
      <c r="MBN76" s="343" t="s">
        <v>1300</v>
      </c>
      <c r="MBO76" s="343" t="s">
        <v>252</v>
      </c>
      <c r="MBP76" s="343" t="s">
        <v>1300</v>
      </c>
      <c r="MBQ76" s="343" t="s">
        <v>252</v>
      </c>
      <c r="MBR76" s="343" t="s">
        <v>1300</v>
      </c>
      <c r="MBS76" s="343" t="s">
        <v>252</v>
      </c>
      <c r="MBT76" s="343" t="s">
        <v>1300</v>
      </c>
      <c r="MBU76" s="343" t="s">
        <v>252</v>
      </c>
      <c r="MBV76" s="343" t="s">
        <v>1300</v>
      </c>
      <c r="MBW76" s="343" t="s">
        <v>252</v>
      </c>
      <c r="MBX76" s="343" t="s">
        <v>1300</v>
      </c>
      <c r="MBY76" s="343" t="s">
        <v>252</v>
      </c>
      <c r="MBZ76" s="343" t="s">
        <v>1300</v>
      </c>
      <c r="MCA76" s="343" t="s">
        <v>252</v>
      </c>
      <c r="MCB76" s="343" t="s">
        <v>1300</v>
      </c>
      <c r="MCC76" s="343" t="s">
        <v>252</v>
      </c>
      <c r="MCD76" s="343" t="s">
        <v>1300</v>
      </c>
      <c r="MCE76" s="343" t="s">
        <v>252</v>
      </c>
      <c r="MCF76" s="343" t="s">
        <v>1300</v>
      </c>
      <c r="MCG76" s="343" t="s">
        <v>252</v>
      </c>
      <c r="MCH76" s="343" t="s">
        <v>1300</v>
      </c>
      <c r="MCI76" s="343" t="s">
        <v>252</v>
      </c>
      <c r="MCJ76" s="343" t="s">
        <v>1300</v>
      </c>
      <c r="MCK76" s="343" t="s">
        <v>252</v>
      </c>
      <c r="MCL76" s="343" t="s">
        <v>1300</v>
      </c>
      <c r="MCM76" s="343" t="s">
        <v>252</v>
      </c>
      <c r="MCN76" s="343" t="s">
        <v>1300</v>
      </c>
      <c r="MCO76" s="343" t="s">
        <v>252</v>
      </c>
      <c r="MCP76" s="343" t="s">
        <v>1300</v>
      </c>
      <c r="MCQ76" s="343" t="s">
        <v>252</v>
      </c>
      <c r="MCR76" s="343" t="s">
        <v>1300</v>
      </c>
      <c r="MCS76" s="343" t="s">
        <v>252</v>
      </c>
      <c r="MCT76" s="343" t="s">
        <v>1300</v>
      </c>
      <c r="MCU76" s="343" t="s">
        <v>252</v>
      </c>
      <c r="MCV76" s="343" t="s">
        <v>1300</v>
      </c>
      <c r="MCW76" s="343" t="s">
        <v>252</v>
      </c>
      <c r="MCX76" s="343" t="s">
        <v>1300</v>
      </c>
      <c r="MCY76" s="343" t="s">
        <v>252</v>
      </c>
      <c r="MCZ76" s="343" t="s">
        <v>1300</v>
      </c>
      <c r="MDA76" s="343" t="s">
        <v>252</v>
      </c>
      <c r="MDB76" s="343" t="s">
        <v>1300</v>
      </c>
      <c r="MDC76" s="343" t="s">
        <v>252</v>
      </c>
      <c r="MDD76" s="343" t="s">
        <v>1300</v>
      </c>
      <c r="MDE76" s="343" t="s">
        <v>252</v>
      </c>
      <c r="MDF76" s="343" t="s">
        <v>1300</v>
      </c>
      <c r="MDG76" s="343" t="s">
        <v>252</v>
      </c>
      <c r="MDH76" s="343" t="s">
        <v>1300</v>
      </c>
      <c r="MDI76" s="343" t="s">
        <v>252</v>
      </c>
      <c r="MDJ76" s="343" t="s">
        <v>1300</v>
      </c>
      <c r="MDK76" s="343" t="s">
        <v>252</v>
      </c>
      <c r="MDL76" s="343" t="s">
        <v>1300</v>
      </c>
      <c r="MDM76" s="343" t="s">
        <v>252</v>
      </c>
      <c r="MDN76" s="343" t="s">
        <v>1300</v>
      </c>
      <c r="MDO76" s="343" t="s">
        <v>252</v>
      </c>
      <c r="MDP76" s="343" t="s">
        <v>1300</v>
      </c>
      <c r="MDQ76" s="343" t="s">
        <v>252</v>
      </c>
      <c r="MDR76" s="343" t="s">
        <v>1300</v>
      </c>
      <c r="MDS76" s="343" t="s">
        <v>252</v>
      </c>
      <c r="MDT76" s="343" t="s">
        <v>1300</v>
      </c>
      <c r="MDU76" s="343" t="s">
        <v>252</v>
      </c>
      <c r="MDV76" s="343" t="s">
        <v>1300</v>
      </c>
      <c r="MDW76" s="343" t="s">
        <v>252</v>
      </c>
      <c r="MDX76" s="343" t="s">
        <v>1300</v>
      </c>
      <c r="MDY76" s="343" t="s">
        <v>252</v>
      </c>
      <c r="MDZ76" s="343" t="s">
        <v>1300</v>
      </c>
      <c r="MEA76" s="343" t="s">
        <v>252</v>
      </c>
      <c r="MEB76" s="343" t="s">
        <v>1300</v>
      </c>
      <c r="MEC76" s="343" t="s">
        <v>252</v>
      </c>
      <c r="MED76" s="343" t="s">
        <v>1300</v>
      </c>
      <c r="MEE76" s="343" t="s">
        <v>252</v>
      </c>
      <c r="MEF76" s="343" t="s">
        <v>1300</v>
      </c>
      <c r="MEG76" s="343" t="s">
        <v>252</v>
      </c>
      <c r="MEH76" s="343" t="s">
        <v>1300</v>
      </c>
      <c r="MEI76" s="343" t="s">
        <v>252</v>
      </c>
      <c r="MEJ76" s="343" t="s">
        <v>1300</v>
      </c>
      <c r="MEK76" s="343" t="s">
        <v>252</v>
      </c>
      <c r="MEL76" s="343" t="s">
        <v>1300</v>
      </c>
      <c r="MEM76" s="343" t="s">
        <v>252</v>
      </c>
      <c r="MEN76" s="343" t="s">
        <v>1300</v>
      </c>
      <c r="MEO76" s="343" t="s">
        <v>252</v>
      </c>
      <c r="MEP76" s="343" t="s">
        <v>1300</v>
      </c>
      <c r="MEQ76" s="343" t="s">
        <v>252</v>
      </c>
      <c r="MER76" s="343" t="s">
        <v>1300</v>
      </c>
      <c r="MES76" s="343" t="s">
        <v>252</v>
      </c>
      <c r="MET76" s="343" t="s">
        <v>1300</v>
      </c>
      <c r="MEU76" s="343" t="s">
        <v>252</v>
      </c>
      <c r="MEV76" s="343" t="s">
        <v>1300</v>
      </c>
      <c r="MEW76" s="343" t="s">
        <v>252</v>
      </c>
      <c r="MEX76" s="343" t="s">
        <v>1300</v>
      </c>
      <c r="MEY76" s="343" t="s">
        <v>252</v>
      </c>
      <c r="MEZ76" s="343" t="s">
        <v>1300</v>
      </c>
      <c r="MFA76" s="343" t="s">
        <v>252</v>
      </c>
      <c r="MFB76" s="343" t="s">
        <v>1300</v>
      </c>
      <c r="MFC76" s="343" t="s">
        <v>252</v>
      </c>
      <c r="MFD76" s="343" t="s">
        <v>1300</v>
      </c>
      <c r="MFE76" s="343" t="s">
        <v>252</v>
      </c>
      <c r="MFF76" s="343" t="s">
        <v>1300</v>
      </c>
      <c r="MFG76" s="343" t="s">
        <v>252</v>
      </c>
      <c r="MFH76" s="343" t="s">
        <v>1300</v>
      </c>
      <c r="MFI76" s="343" t="s">
        <v>252</v>
      </c>
      <c r="MFJ76" s="343" t="s">
        <v>1300</v>
      </c>
      <c r="MFK76" s="343" t="s">
        <v>252</v>
      </c>
      <c r="MFL76" s="343" t="s">
        <v>1300</v>
      </c>
      <c r="MFM76" s="343" t="s">
        <v>252</v>
      </c>
      <c r="MFN76" s="343" t="s">
        <v>1300</v>
      </c>
      <c r="MFO76" s="343" t="s">
        <v>252</v>
      </c>
      <c r="MFP76" s="343" t="s">
        <v>1300</v>
      </c>
      <c r="MFQ76" s="343" t="s">
        <v>252</v>
      </c>
      <c r="MFR76" s="343" t="s">
        <v>1300</v>
      </c>
      <c r="MFS76" s="343" t="s">
        <v>252</v>
      </c>
      <c r="MFT76" s="343" t="s">
        <v>1300</v>
      </c>
      <c r="MFU76" s="343" t="s">
        <v>252</v>
      </c>
      <c r="MFV76" s="343" t="s">
        <v>1300</v>
      </c>
      <c r="MFW76" s="343" t="s">
        <v>252</v>
      </c>
      <c r="MFX76" s="343" t="s">
        <v>1300</v>
      </c>
      <c r="MFY76" s="343" t="s">
        <v>252</v>
      </c>
      <c r="MFZ76" s="343" t="s">
        <v>1300</v>
      </c>
      <c r="MGA76" s="343" t="s">
        <v>252</v>
      </c>
      <c r="MGB76" s="343" t="s">
        <v>1300</v>
      </c>
      <c r="MGC76" s="343" t="s">
        <v>252</v>
      </c>
      <c r="MGD76" s="343" t="s">
        <v>1300</v>
      </c>
      <c r="MGE76" s="343" t="s">
        <v>252</v>
      </c>
      <c r="MGF76" s="343" t="s">
        <v>1300</v>
      </c>
      <c r="MGG76" s="343" t="s">
        <v>252</v>
      </c>
      <c r="MGH76" s="343" t="s">
        <v>1300</v>
      </c>
      <c r="MGI76" s="343" t="s">
        <v>252</v>
      </c>
      <c r="MGJ76" s="343" t="s">
        <v>1300</v>
      </c>
      <c r="MGK76" s="343" t="s">
        <v>252</v>
      </c>
      <c r="MGL76" s="343" t="s">
        <v>1300</v>
      </c>
      <c r="MGM76" s="343" t="s">
        <v>252</v>
      </c>
      <c r="MGN76" s="343" t="s">
        <v>1300</v>
      </c>
      <c r="MGO76" s="343" t="s">
        <v>252</v>
      </c>
      <c r="MGP76" s="343" t="s">
        <v>1300</v>
      </c>
      <c r="MGQ76" s="343" t="s">
        <v>252</v>
      </c>
      <c r="MGR76" s="343" t="s">
        <v>1300</v>
      </c>
      <c r="MGS76" s="343" t="s">
        <v>252</v>
      </c>
      <c r="MGT76" s="343" t="s">
        <v>1300</v>
      </c>
      <c r="MGU76" s="343" t="s">
        <v>252</v>
      </c>
      <c r="MGV76" s="343" t="s">
        <v>1300</v>
      </c>
      <c r="MGW76" s="343" t="s">
        <v>252</v>
      </c>
      <c r="MGX76" s="343" t="s">
        <v>1300</v>
      </c>
      <c r="MGY76" s="343" t="s">
        <v>252</v>
      </c>
      <c r="MGZ76" s="343" t="s">
        <v>1300</v>
      </c>
      <c r="MHA76" s="343" t="s">
        <v>252</v>
      </c>
      <c r="MHB76" s="343" t="s">
        <v>1300</v>
      </c>
      <c r="MHC76" s="343" t="s">
        <v>252</v>
      </c>
      <c r="MHD76" s="343" t="s">
        <v>1300</v>
      </c>
      <c r="MHE76" s="343" t="s">
        <v>252</v>
      </c>
      <c r="MHF76" s="343" t="s">
        <v>1300</v>
      </c>
      <c r="MHG76" s="343" t="s">
        <v>252</v>
      </c>
      <c r="MHH76" s="343" t="s">
        <v>1300</v>
      </c>
      <c r="MHI76" s="343" t="s">
        <v>252</v>
      </c>
      <c r="MHJ76" s="343" t="s">
        <v>1300</v>
      </c>
      <c r="MHK76" s="343" t="s">
        <v>252</v>
      </c>
      <c r="MHL76" s="343" t="s">
        <v>1300</v>
      </c>
      <c r="MHM76" s="343" t="s">
        <v>252</v>
      </c>
      <c r="MHN76" s="343" t="s">
        <v>1300</v>
      </c>
      <c r="MHO76" s="343" t="s">
        <v>252</v>
      </c>
      <c r="MHP76" s="343" t="s">
        <v>1300</v>
      </c>
      <c r="MHQ76" s="343" t="s">
        <v>252</v>
      </c>
      <c r="MHR76" s="343" t="s">
        <v>1300</v>
      </c>
      <c r="MHS76" s="343" t="s">
        <v>252</v>
      </c>
      <c r="MHT76" s="343" t="s">
        <v>1300</v>
      </c>
      <c r="MHU76" s="343" t="s">
        <v>252</v>
      </c>
      <c r="MHV76" s="343" t="s">
        <v>1300</v>
      </c>
      <c r="MHW76" s="343" t="s">
        <v>252</v>
      </c>
      <c r="MHX76" s="343" t="s">
        <v>1300</v>
      </c>
      <c r="MHY76" s="343" t="s">
        <v>252</v>
      </c>
      <c r="MHZ76" s="343" t="s">
        <v>1300</v>
      </c>
      <c r="MIA76" s="343" t="s">
        <v>252</v>
      </c>
      <c r="MIB76" s="343" t="s">
        <v>1300</v>
      </c>
      <c r="MIC76" s="343" t="s">
        <v>252</v>
      </c>
      <c r="MID76" s="343" t="s">
        <v>1300</v>
      </c>
      <c r="MIE76" s="343" t="s">
        <v>252</v>
      </c>
      <c r="MIF76" s="343" t="s">
        <v>1300</v>
      </c>
      <c r="MIG76" s="343" t="s">
        <v>252</v>
      </c>
      <c r="MIH76" s="343" t="s">
        <v>1300</v>
      </c>
      <c r="MII76" s="343" t="s">
        <v>252</v>
      </c>
      <c r="MIJ76" s="343" t="s">
        <v>1300</v>
      </c>
      <c r="MIK76" s="343" t="s">
        <v>252</v>
      </c>
      <c r="MIL76" s="343" t="s">
        <v>1300</v>
      </c>
      <c r="MIM76" s="343" t="s">
        <v>252</v>
      </c>
      <c r="MIN76" s="343" t="s">
        <v>1300</v>
      </c>
      <c r="MIO76" s="343" t="s">
        <v>252</v>
      </c>
      <c r="MIP76" s="343" t="s">
        <v>1300</v>
      </c>
      <c r="MIQ76" s="343" t="s">
        <v>252</v>
      </c>
      <c r="MIR76" s="343" t="s">
        <v>1300</v>
      </c>
      <c r="MIS76" s="343" t="s">
        <v>252</v>
      </c>
      <c r="MIT76" s="343" t="s">
        <v>1300</v>
      </c>
      <c r="MIU76" s="343" t="s">
        <v>252</v>
      </c>
      <c r="MIV76" s="343" t="s">
        <v>1300</v>
      </c>
      <c r="MIW76" s="343" t="s">
        <v>252</v>
      </c>
      <c r="MIX76" s="343" t="s">
        <v>1300</v>
      </c>
      <c r="MIY76" s="343" t="s">
        <v>252</v>
      </c>
      <c r="MIZ76" s="343" t="s">
        <v>1300</v>
      </c>
      <c r="MJA76" s="343" t="s">
        <v>252</v>
      </c>
      <c r="MJB76" s="343" t="s">
        <v>1300</v>
      </c>
      <c r="MJC76" s="343" t="s">
        <v>252</v>
      </c>
      <c r="MJD76" s="343" t="s">
        <v>1300</v>
      </c>
      <c r="MJE76" s="343" t="s">
        <v>252</v>
      </c>
      <c r="MJF76" s="343" t="s">
        <v>1300</v>
      </c>
      <c r="MJG76" s="343" t="s">
        <v>252</v>
      </c>
      <c r="MJH76" s="343" t="s">
        <v>1300</v>
      </c>
      <c r="MJI76" s="343" t="s">
        <v>252</v>
      </c>
      <c r="MJJ76" s="343" t="s">
        <v>1300</v>
      </c>
      <c r="MJK76" s="343" t="s">
        <v>252</v>
      </c>
      <c r="MJL76" s="343" t="s">
        <v>1300</v>
      </c>
      <c r="MJM76" s="343" t="s">
        <v>252</v>
      </c>
      <c r="MJN76" s="343" t="s">
        <v>1300</v>
      </c>
      <c r="MJO76" s="343" t="s">
        <v>252</v>
      </c>
      <c r="MJP76" s="343" t="s">
        <v>1300</v>
      </c>
      <c r="MJQ76" s="343" t="s">
        <v>252</v>
      </c>
      <c r="MJR76" s="343" t="s">
        <v>1300</v>
      </c>
      <c r="MJS76" s="343" t="s">
        <v>252</v>
      </c>
      <c r="MJT76" s="343" t="s">
        <v>1300</v>
      </c>
      <c r="MJU76" s="343" t="s">
        <v>252</v>
      </c>
      <c r="MJV76" s="343" t="s">
        <v>1300</v>
      </c>
      <c r="MJW76" s="343" t="s">
        <v>252</v>
      </c>
      <c r="MJX76" s="343" t="s">
        <v>1300</v>
      </c>
      <c r="MJY76" s="343" t="s">
        <v>252</v>
      </c>
      <c r="MJZ76" s="343" t="s">
        <v>1300</v>
      </c>
      <c r="MKA76" s="343" t="s">
        <v>252</v>
      </c>
      <c r="MKB76" s="343" t="s">
        <v>1300</v>
      </c>
      <c r="MKC76" s="343" t="s">
        <v>252</v>
      </c>
      <c r="MKD76" s="343" t="s">
        <v>1300</v>
      </c>
      <c r="MKE76" s="343" t="s">
        <v>252</v>
      </c>
      <c r="MKF76" s="343" t="s">
        <v>1300</v>
      </c>
      <c r="MKG76" s="343" t="s">
        <v>252</v>
      </c>
      <c r="MKH76" s="343" t="s">
        <v>1300</v>
      </c>
      <c r="MKI76" s="343" t="s">
        <v>252</v>
      </c>
      <c r="MKJ76" s="343" t="s">
        <v>1300</v>
      </c>
      <c r="MKK76" s="343" t="s">
        <v>252</v>
      </c>
      <c r="MKL76" s="343" t="s">
        <v>1300</v>
      </c>
      <c r="MKM76" s="343" t="s">
        <v>252</v>
      </c>
      <c r="MKN76" s="343" t="s">
        <v>1300</v>
      </c>
      <c r="MKO76" s="343" t="s">
        <v>252</v>
      </c>
      <c r="MKP76" s="343" t="s">
        <v>1300</v>
      </c>
      <c r="MKQ76" s="343" t="s">
        <v>252</v>
      </c>
      <c r="MKR76" s="343" t="s">
        <v>1300</v>
      </c>
      <c r="MKS76" s="343" t="s">
        <v>252</v>
      </c>
      <c r="MKT76" s="343" t="s">
        <v>1300</v>
      </c>
      <c r="MKU76" s="343" t="s">
        <v>252</v>
      </c>
      <c r="MKV76" s="343" t="s">
        <v>1300</v>
      </c>
      <c r="MKW76" s="343" t="s">
        <v>252</v>
      </c>
      <c r="MKX76" s="343" t="s">
        <v>1300</v>
      </c>
      <c r="MKY76" s="343" t="s">
        <v>252</v>
      </c>
      <c r="MKZ76" s="343" t="s">
        <v>1300</v>
      </c>
      <c r="MLA76" s="343" t="s">
        <v>252</v>
      </c>
      <c r="MLB76" s="343" t="s">
        <v>1300</v>
      </c>
      <c r="MLC76" s="343" t="s">
        <v>252</v>
      </c>
      <c r="MLD76" s="343" t="s">
        <v>1300</v>
      </c>
      <c r="MLE76" s="343" t="s">
        <v>252</v>
      </c>
      <c r="MLF76" s="343" t="s">
        <v>1300</v>
      </c>
      <c r="MLG76" s="343" t="s">
        <v>252</v>
      </c>
      <c r="MLH76" s="343" t="s">
        <v>1300</v>
      </c>
      <c r="MLI76" s="343" t="s">
        <v>252</v>
      </c>
      <c r="MLJ76" s="343" t="s">
        <v>1300</v>
      </c>
      <c r="MLK76" s="343" t="s">
        <v>252</v>
      </c>
      <c r="MLL76" s="343" t="s">
        <v>1300</v>
      </c>
      <c r="MLM76" s="343" t="s">
        <v>252</v>
      </c>
      <c r="MLN76" s="343" t="s">
        <v>1300</v>
      </c>
      <c r="MLO76" s="343" t="s">
        <v>252</v>
      </c>
      <c r="MLP76" s="343" t="s">
        <v>1300</v>
      </c>
      <c r="MLQ76" s="343" t="s">
        <v>252</v>
      </c>
      <c r="MLR76" s="343" t="s">
        <v>1300</v>
      </c>
      <c r="MLS76" s="343" t="s">
        <v>252</v>
      </c>
      <c r="MLT76" s="343" t="s">
        <v>1300</v>
      </c>
      <c r="MLU76" s="343" t="s">
        <v>252</v>
      </c>
      <c r="MLV76" s="343" t="s">
        <v>1300</v>
      </c>
      <c r="MLW76" s="343" t="s">
        <v>252</v>
      </c>
      <c r="MLX76" s="343" t="s">
        <v>1300</v>
      </c>
      <c r="MLY76" s="343" t="s">
        <v>252</v>
      </c>
      <c r="MLZ76" s="343" t="s">
        <v>1300</v>
      </c>
      <c r="MMA76" s="343" t="s">
        <v>252</v>
      </c>
      <c r="MMB76" s="343" t="s">
        <v>1300</v>
      </c>
      <c r="MMC76" s="343" t="s">
        <v>252</v>
      </c>
      <c r="MMD76" s="343" t="s">
        <v>1300</v>
      </c>
      <c r="MME76" s="343" t="s">
        <v>252</v>
      </c>
      <c r="MMF76" s="343" t="s">
        <v>1300</v>
      </c>
      <c r="MMG76" s="343" t="s">
        <v>252</v>
      </c>
      <c r="MMH76" s="343" t="s">
        <v>1300</v>
      </c>
      <c r="MMI76" s="343" t="s">
        <v>252</v>
      </c>
      <c r="MMJ76" s="343" t="s">
        <v>1300</v>
      </c>
      <c r="MMK76" s="343" t="s">
        <v>252</v>
      </c>
      <c r="MML76" s="343" t="s">
        <v>1300</v>
      </c>
      <c r="MMM76" s="343" t="s">
        <v>252</v>
      </c>
      <c r="MMN76" s="343" t="s">
        <v>1300</v>
      </c>
      <c r="MMO76" s="343" t="s">
        <v>252</v>
      </c>
      <c r="MMP76" s="343" t="s">
        <v>1300</v>
      </c>
      <c r="MMQ76" s="343" t="s">
        <v>252</v>
      </c>
      <c r="MMR76" s="343" t="s">
        <v>1300</v>
      </c>
      <c r="MMS76" s="343" t="s">
        <v>252</v>
      </c>
      <c r="MMT76" s="343" t="s">
        <v>1300</v>
      </c>
      <c r="MMU76" s="343" t="s">
        <v>252</v>
      </c>
      <c r="MMV76" s="343" t="s">
        <v>1300</v>
      </c>
      <c r="MMW76" s="343" t="s">
        <v>252</v>
      </c>
      <c r="MMX76" s="343" t="s">
        <v>1300</v>
      </c>
      <c r="MMY76" s="343" t="s">
        <v>252</v>
      </c>
      <c r="MMZ76" s="343" t="s">
        <v>1300</v>
      </c>
      <c r="MNA76" s="343" t="s">
        <v>252</v>
      </c>
      <c r="MNB76" s="343" t="s">
        <v>1300</v>
      </c>
      <c r="MNC76" s="343" t="s">
        <v>252</v>
      </c>
      <c r="MND76" s="343" t="s">
        <v>1300</v>
      </c>
      <c r="MNE76" s="343" t="s">
        <v>252</v>
      </c>
      <c r="MNF76" s="343" t="s">
        <v>1300</v>
      </c>
      <c r="MNG76" s="343" t="s">
        <v>252</v>
      </c>
      <c r="MNH76" s="343" t="s">
        <v>1300</v>
      </c>
      <c r="MNI76" s="343" t="s">
        <v>252</v>
      </c>
      <c r="MNJ76" s="343" t="s">
        <v>1300</v>
      </c>
      <c r="MNK76" s="343" t="s">
        <v>252</v>
      </c>
      <c r="MNL76" s="343" t="s">
        <v>1300</v>
      </c>
      <c r="MNM76" s="343" t="s">
        <v>252</v>
      </c>
      <c r="MNN76" s="343" t="s">
        <v>1300</v>
      </c>
      <c r="MNO76" s="343" t="s">
        <v>252</v>
      </c>
      <c r="MNP76" s="343" t="s">
        <v>1300</v>
      </c>
      <c r="MNQ76" s="343" t="s">
        <v>252</v>
      </c>
      <c r="MNR76" s="343" t="s">
        <v>1300</v>
      </c>
      <c r="MNS76" s="343" t="s">
        <v>252</v>
      </c>
      <c r="MNT76" s="343" t="s">
        <v>1300</v>
      </c>
      <c r="MNU76" s="343" t="s">
        <v>252</v>
      </c>
      <c r="MNV76" s="343" t="s">
        <v>1300</v>
      </c>
      <c r="MNW76" s="343" t="s">
        <v>252</v>
      </c>
      <c r="MNX76" s="343" t="s">
        <v>1300</v>
      </c>
      <c r="MNY76" s="343" t="s">
        <v>252</v>
      </c>
      <c r="MNZ76" s="343" t="s">
        <v>1300</v>
      </c>
      <c r="MOA76" s="343" t="s">
        <v>252</v>
      </c>
      <c r="MOB76" s="343" t="s">
        <v>1300</v>
      </c>
      <c r="MOC76" s="343" t="s">
        <v>252</v>
      </c>
      <c r="MOD76" s="343" t="s">
        <v>1300</v>
      </c>
      <c r="MOE76" s="343" t="s">
        <v>252</v>
      </c>
      <c r="MOF76" s="343" t="s">
        <v>1300</v>
      </c>
      <c r="MOG76" s="343" t="s">
        <v>252</v>
      </c>
      <c r="MOH76" s="343" t="s">
        <v>1300</v>
      </c>
      <c r="MOI76" s="343" t="s">
        <v>252</v>
      </c>
      <c r="MOJ76" s="343" t="s">
        <v>1300</v>
      </c>
      <c r="MOK76" s="343" t="s">
        <v>252</v>
      </c>
      <c r="MOL76" s="343" t="s">
        <v>1300</v>
      </c>
      <c r="MOM76" s="343" t="s">
        <v>252</v>
      </c>
      <c r="MON76" s="343" t="s">
        <v>1300</v>
      </c>
      <c r="MOO76" s="343" t="s">
        <v>252</v>
      </c>
      <c r="MOP76" s="343" t="s">
        <v>1300</v>
      </c>
      <c r="MOQ76" s="343" t="s">
        <v>252</v>
      </c>
      <c r="MOR76" s="343" t="s">
        <v>1300</v>
      </c>
      <c r="MOS76" s="343" t="s">
        <v>252</v>
      </c>
      <c r="MOT76" s="343" t="s">
        <v>1300</v>
      </c>
      <c r="MOU76" s="343" t="s">
        <v>252</v>
      </c>
      <c r="MOV76" s="343" t="s">
        <v>1300</v>
      </c>
      <c r="MOW76" s="343" t="s">
        <v>252</v>
      </c>
      <c r="MOX76" s="343" t="s">
        <v>1300</v>
      </c>
      <c r="MOY76" s="343" t="s">
        <v>252</v>
      </c>
      <c r="MOZ76" s="343" t="s">
        <v>1300</v>
      </c>
      <c r="MPA76" s="343" t="s">
        <v>252</v>
      </c>
      <c r="MPB76" s="343" t="s">
        <v>1300</v>
      </c>
      <c r="MPC76" s="343" t="s">
        <v>252</v>
      </c>
      <c r="MPD76" s="343" t="s">
        <v>1300</v>
      </c>
      <c r="MPE76" s="343" t="s">
        <v>252</v>
      </c>
      <c r="MPF76" s="343" t="s">
        <v>1300</v>
      </c>
      <c r="MPG76" s="343" t="s">
        <v>252</v>
      </c>
      <c r="MPH76" s="343" t="s">
        <v>1300</v>
      </c>
      <c r="MPI76" s="343" t="s">
        <v>252</v>
      </c>
      <c r="MPJ76" s="343" t="s">
        <v>1300</v>
      </c>
      <c r="MPK76" s="343" t="s">
        <v>252</v>
      </c>
      <c r="MPL76" s="343" t="s">
        <v>1300</v>
      </c>
      <c r="MPM76" s="343" t="s">
        <v>252</v>
      </c>
      <c r="MPN76" s="343" t="s">
        <v>1300</v>
      </c>
      <c r="MPO76" s="343" t="s">
        <v>252</v>
      </c>
      <c r="MPP76" s="343" t="s">
        <v>1300</v>
      </c>
      <c r="MPQ76" s="343" t="s">
        <v>252</v>
      </c>
      <c r="MPR76" s="343" t="s">
        <v>1300</v>
      </c>
      <c r="MPS76" s="343" t="s">
        <v>252</v>
      </c>
      <c r="MPT76" s="343" t="s">
        <v>1300</v>
      </c>
      <c r="MPU76" s="343" t="s">
        <v>252</v>
      </c>
      <c r="MPV76" s="343" t="s">
        <v>1300</v>
      </c>
      <c r="MPW76" s="343" t="s">
        <v>252</v>
      </c>
      <c r="MPX76" s="343" t="s">
        <v>1300</v>
      </c>
      <c r="MPY76" s="343" t="s">
        <v>252</v>
      </c>
      <c r="MPZ76" s="343" t="s">
        <v>1300</v>
      </c>
      <c r="MQA76" s="343" t="s">
        <v>252</v>
      </c>
      <c r="MQB76" s="343" t="s">
        <v>1300</v>
      </c>
      <c r="MQC76" s="343" t="s">
        <v>252</v>
      </c>
      <c r="MQD76" s="343" t="s">
        <v>1300</v>
      </c>
      <c r="MQE76" s="343" t="s">
        <v>252</v>
      </c>
      <c r="MQF76" s="343" t="s">
        <v>1300</v>
      </c>
      <c r="MQG76" s="343" t="s">
        <v>252</v>
      </c>
      <c r="MQH76" s="343" t="s">
        <v>1300</v>
      </c>
      <c r="MQI76" s="343" t="s">
        <v>252</v>
      </c>
      <c r="MQJ76" s="343" t="s">
        <v>1300</v>
      </c>
      <c r="MQK76" s="343" t="s">
        <v>252</v>
      </c>
      <c r="MQL76" s="343" t="s">
        <v>1300</v>
      </c>
      <c r="MQM76" s="343" t="s">
        <v>252</v>
      </c>
      <c r="MQN76" s="343" t="s">
        <v>1300</v>
      </c>
      <c r="MQO76" s="343" t="s">
        <v>252</v>
      </c>
      <c r="MQP76" s="343" t="s">
        <v>1300</v>
      </c>
      <c r="MQQ76" s="343" t="s">
        <v>252</v>
      </c>
      <c r="MQR76" s="343" t="s">
        <v>1300</v>
      </c>
      <c r="MQS76" s="343" t="s">
        <v>252</v>
      </c>
      <c r="MQT76" s="343" t="s">
        <v>1300</v>
      </c>
      <c r="MQU76" s="343" t="s">
        <v>252</v>
      </c>
      <c r="MQV76" s="343" t="s">
        <v>1300</v>
      </c>
      <c r="MQW76" s="343" t="s">
        <v>252</v>
      </c>
      <c r="MQX76" s="343" t="s">
        <v>1300</v>
      </c>
      <c r="MQY76" s="343" t="s">
        <v>252</v>
      </c>
      <c r="MQZ76" s="343" t="s">
        <v>1300</v>
      </c>
      <c r="MRA76" s="343" t="s">
        <v>252</v>
      </c>
      <c r="MRB76" s="343" t="s">
        <v>1300</v>
      </c>
      <c r="MRC76" s="343" t="s">
        <v>252</v>
      </c>
      <c r="MRD76" s="343" t="s">
        <v>1300</v>
      </c>
      <c r="MRE76" s="343" t="s">
        <v>252</v>
      </c>
      <c r="MRF76" s="343" t="s">
        <v>1300</v>
      </c>
      <c r="MRG76" s="343" t="s">
        <v>252</v>
      </c>
      <c r="MRH76" s="343" t="s">
        <v>1300</v>
      </c>
      <c r="MRI76" s="343" t="s">
        <v>252</v>
      </c>
      <c r="MRJ76" s="343" t="s">
        <v>1300</v>
      </c>
      <c r="MRK76" s="343" t="s">
        <v>252</v>
      </c>
      <c r="MRL76" s="343" t="s">
        <v>1300</v>
      </c>
      <c r="MRM76" s="343" t="s">
        <v>252</v>
      </c>
      <c r="MRN76" s="343" t="s">
        <v>1300</v>
      </c>
      <c r="MRO76" s="343" t="s">
        <v>252</v>
      </c>
      <c r="MRP76" s="343" t="s">
        <v>1300</v>
      </c>
      <c r="MRQ76" s="343" t="s">
        <v>252</v>
      </c>
      <c r="MRR76" s="343" t="s">
        <v>1300</v>
      </c>
      <c r="MRS76" s="343" t="s">
        <v>252</v>
      </c>
      <c r="MRT76" s="343" t="s">
        <v>1300</v>
      </c>
      <c r="MRU76" s="343" t="s">
        <v>252</v>
      </c>
      <c r="MRV76" s="343" t="s">
        <v>1300</v>
      </c>
      <c r="MRW76" s="343" t="s">
        <v>252</v>
      </c>
      <c r="MRX76" s="343" t="s">
        <v>1300</v>
      </c>
      <c r="MRY76" s="343" t="s">
        <v>252</v>
      </c>
      <c r="MRZ76" s="343" t="s">
        <v>1300</v>
      </c>
      <c r="MSA76" s="343" t="s">
        <v>252</v>
      </c>
      <c r="MSB76" s="343" t="s">
        <v>1300</v>
      </c>
      <c r="MSC76" s="343" t="s">
        <v>252</v>
      </c>
      <c r="MSD76" s="343" t="s">
        <v>1300</v>
      </c>
      <c r="MSE76" s="343" t="s">
        <v>252</v>
      </c>
      <c r="MSF76" s="343" t="s">
        <v>1300</v>
      </c>
      <c r="MSG76" s="343" t="s">
        <v>252</v>
      </c>
      <c r="MSH76" s="343" t="s">
        <v>1300</v>
      </c>
      <c r="MSI76" s="343" t="s">
        <v>252</v>
      </c>
      <c r="MSJ76" s="343" t="s">
        <v>1300</v>
      </c>
      <c r="MSK76" s="343" t="s">
        <v>252</v>
      </c>
      <c r="MSL76" s="343" t="s">
        <v>1300</v>
      </c>
      <c r="MSM76" s="343" t="s">
        <v>252</v>
      </c>
      <c r="MSN76" s="343" t="s">
        <v>1300</v>
      </c>
      <c r="MSO76" s="343" t="s">
        <v>252</v>
      </c>
      <c r="MSP76" s="343" t="s">
        <v>1300</v>
      </c>
      <c r="MSQ76" s="343" t="s">
        <v>252</v>
      </c>
      <c r="MSR76" s="343" t="s">
        <v>1300</v>
      </c>
      <c r="MSS76" s="343" t="s">
        <v>252</v>
      </c>
      <c r="MST76" s="343" t="s">
        <v>1300</v>
      </c>
      <c r="MSU76" s="343" t="s">
        <v>252</v>
      </c>
      <c r="MSV76" s="343" t="s">
        <v>1300</v>
      </c>
      <c r="MSW76" s="343" t="s">
        <v>252</v>
      </c>
      <c r="MSX76" s="343" t="s">
        <v>1300</v>
      </c>
      <c r="MSY76" s="343" t="s">
        <v>252</v>
      </c>
      <c r="MSZ76" s="343" t="s">
        <v>1300</v>
      </c>
      <c r="MTA76" s="343" t="s">
        <v>252</v>
      </c>
      <c r="MTB76" s="343" t="s">
        <v>1300</v>
      </c>
      <c r="MTC76" s="343" t="s">
        <v>252</v>
      </c>
      <c r="MTD76" s="343" t="s">
        <v>1300</v>
      </c>
      <c r="MTE76" s="343" t="s">
        <v>252</v>
      </c>
      <c r="MTF76" s="343" t="s">
        <v>1300</v>
      </c>
      <c r="MTG76" s="343" t="s">
        <v>252</v>
      </c>
      <c r="MTH76" s="343" t="s">
        <v>1300</v>
      </c>
      <c r="MTI76" s="343" t="s">
        <v>252</v>
      </c>
      <c r="MTJ76" s="343" t="s">
        <v>1300</v>
      </c>
      <c r="MTK76" s="343" t="s">
        <v>252</v>
      </c>
      <c r="MTL76" s="343" t="s">
        <v>1300</v>
      </c>
      <c r="MTM76" s="343" t="s">
        <v>252</v>
      </c>
      <c r="MTN76" s="343" t="s">
        <v>1300</v>
      </c>
      <c r="MTO76" s="343" t="s">
        <v>252</v>
      </c>
      <c r="MTP76" s="343" t="s">
        <v>1300</v>
      </c>
      <c r="MTQ76" s="343" t="s">
        <v>252</v>
      </c>
      <c r="MTR76" s="343" t="s">
        <v>1300</v>
      </c>
      <c r="MTS76" s="343" t="s">
        <v>252</v>
      </c>
      <c r="MTT76" s="343" t="s">
        <v>1300</v>
      </c>
      <c r="MTU76" s="343" t="s">
        <v>252</v>
      </c>
      <c r="MTV76" s="343" t="s">
        <v>1300</v>
      </c>
      <c r="MTW76" s="343" t="s">
        <v>252</v>
      </c>
      <c r="MTX76" s="343" t="s">
        <v>1300</v>
      </c>
      <c r="MTY76" s="343" t="s">
        <v>252</v>
      </c>
      <c r="MTZ76" s="343" t="s">
        <v>1300</v>
      </c>
      <c r="MUA76" s="343" t="s">
        <v>252</v>
      </c>
      <c r="MUB76" s="343" t="s">
        <v>1300</v>
      </c>
      <c r="MUC76" s="343" t="s">
        <v>252</v>
      </c>
      <c r="MUD76" s="343" t="s">
        <v>1300</v>
      </c>
      <c r="MUE76" s="343" t="s">
        <v>252</v>
      </c>
      <c r="MUF76" s="343" t="s">
        <v>1300</v>
      </c>
      <c r="MUG76" s="343" t="s">
        <v>252</v>
      </c>
      <c r="MUH76" s="343" t="s">
        <v>1300</v>
      </c>
      <c r="MUI76" s="343" t="s">
        <v>252</v>
      </c>
      <c r="MUJ76" s="343" t="s">
        <v>1300</v>
      </c>
      <c r="MUK76" s="343" t="s">
        <v>252</v>
      </c>
      <c r="MUL76" s="343" t="s">
        <v>1300</v>
      </c>
      <c r="MUM76" s="343" t="s">
        <v>252</v>
      </c>
      <c r="MUN76" s="343" t="s">
        <v>1300</v>
      </c>
      <c r="MUO76" s="343" t="s">
        <v>252</v>
      </c>
      <c r="MUP76" s="343" t="s">
        <v>1300</v>
      </c>
      <c r="MUQ76" s="343" t="s">
        <v>252</v>
      </c>
      <c r="MUR76" s="343" t="s">
        <v>1300</v>
      </c>
      <c r="MUS76" s="343" t="s">
        <v>252</v>
      </c>
      <c r="MUT76" s="343" t="s">
        <v>1300</v>
      </c>
      <c r="MUU76" s="343" t="s">
        <v>252</v>
      </c>
      <c r="MUV76" s="343" t="s">
        <v>1300</v>
      </c>
      <c r="MUW76" s="343" t="s">
        <v>252</v>
      </c>
      <c r="MUX76" s="343" t="s">
        <v>1300</v>
      </c>
      <c r="MUY76" s="343" t="s">
        <v>252</v>
      </c>
      <c r="MUZ76" s="343" t="s">
        <v>1300</v>
      </c>
      <c r="MVA76" s="343" t="s">
        <v>252</v>
      </c>
      <c r="MVB76" s="343" t="s">
        <v>1300</v>
      </c>
      <c r="MVC76" s="343" t="s">
        <v>252</v>
      </c>
      <c r="MVD76" s="343" t="s">
        <v>1300</v>
      </c>
      <c r="MVE76" s="343" t="s">
        <v>252</v>
      </c>
      <c r="MVF76" s="343" t="s">
        <v>1300</v>
      </c>
      <c r="MVG76" s="343" t="s">
        <v>252</v>
      </c>
      <c r="MVH76" s="343" t="s">
        <v>1300</v>
      </c>
      <c r="MVI76" s="343" t="s">
        <v>252</v>
      </c>
      <c r="MVJ76" s="343" t="s">
        <v>1300</v>
      </c>
      <c r="MVK76" s="343" t="s">
        <v>252</v>
      </c>
      <c r="MVL76" s="343" t="s">
        <v>1300</v>
      </c>
      <c r="MVM76" s="343" t="s">
        <v>252</v>
      </c>
      <c r="MVN76" s="343" t="s">
        <v>1300</v>
      </c>
      <c r="MVO76" s="343" t="s">
        <v>252</v>
      </c>
      <c r="MVP76" s="343" t="s">
        <v>1300</v>
      </c>
      <c r="MVQ76" s="343" t="s">
        <v>252</v>
      </c>
      <c r="MVR76" s="343" t="s">
        <v>1300</v>
      </c>
      <c r="MVS76" s="343" t="s">
        <v>252</v>
      </c>
      <c r="MVT76" s="343" t="s">
        <v>1300</v>
      </c>
      <c r="MVU76" s="343" t="s">
        <v>252</v>
      </c>
      <c r="MVV76" s="343" t="s">
        <v>1300</v>
      </c>
      <c r="MVW76" s="343" t="s">
        <v>252</v>
      </c>
      <c r="MVX76" s="343" t="s">
        <v>1300</v>
      </c>
      <c r="MVY76" s="343" t="s">
        <v>252</v>
      </c>
      <c r="MVZ76" s="343" t="s">
        <v>1300</v>
      </c>
      <c r="MWA76" s="343" t="s">
        <v>252</v>
      </c>
      <c r="MWB76" s="343" t="s">
        <v>1300</v>
      </c>
      <c r="MWC76" s="343" t="s">
        <v>252</v>
      </c>
      <c r="MWD76" s="343" t="s">
        <v>1300</v>
      </c>
      <c r="MWE76" s="343" t="s">
        <v>252</v>
      </c>
      <c r="MWF76" s="343" t="s">
        <v>1300</v>
      </c>
      <c r="MWG76" s="343" t="s">
        <v>252</v>
      </c>
      <c r="MWH76" s="343" t="s">
        <v>1300</v>
      </c>
      <c r="MWI76" s="343" t="s">
        <v>252</v>
      </c>
      <c r="MWJ76" s="343" t="s">
        <v>1300</v>
      </c>
      <c r="MWK76" s="343" t="s">
        <v>252</v>
      </c>
      <c r="MWL76" s="343" t="s">
        <v>1300</v>
      </c>
      <c r="MWM76" s="343" t="s">
        <v>252</v>
      </c>
      <c r="MWN76" s="343" t="s">
        <v>1300</v>
      </c>
      <c r="MWO76" s="343" t="s">
        <v>252</v>
      </c>
      <c r="MWP76" s="343" t="s">
        <v>1300</v>
      </c>
      <c r="MWQ76" s="343" t="s">
        <v>252</v>
      </c>
      <c r="MWR76" s="343" t="s">
        <v>1300</v>
      </c>
      <c r="MWS76" s="343" t="s">
        <v>252</v>
      </c>
      <c r="MWT76" s="343" t="s">
        <v>1300</v>
      </c>
      <c r="MWU76" s="343" t="s">
        <v>252</v>
      </c>
      <c r="MWV76" s="343" t="s">
        <v>1300</v>
      </c>
      <c r="MWW76" s="343" t="s">
        <v>252</v>
      </c>
      <c r="MWX76" s="343" t="s">
        <v>1300</v>
      </c>
      <c r="MWY76" s="343" t="s">
        <v>252</v>
      </c>
      <c r="MWZ76" s="343" t="s">
        <v>1300</v>
      </c>
      <c r="MXA76" s="343" t="s">
        <v>252</v>
      </c>
      <c r="MXB76" s="343" t="s">
        <v>1300</v>
      </c>
      <c r="MXC76" s="343" t="s">
        <v>252</v>
      </c>
      <c r="MXD76" s="343" t="s">
        <v>1300</v>
      </c>
      <c r="MXE76" s="343" t="s">
        <v>252</v>
      </c>
      <c r="MXF76" s="343" t="s">
        <v>1300</v>
      </c>
      <c r="MXG76" s="343" t="s">
        <v>252</v>
      </c>
      <c r="MXH76" s="343" t="s">
        <v>1300</v>
      </c>
      <c r="MXI76" s="343" t="s">
        <v>252</v>
      </c>
      <c r="MXJ76" s="343" t="s">
        <v>1300</v>
      </c>
      <c r="MXK76" s="343" t="s">
        <v>252</v>
      </c>
      <c r="MXL76" s="343" t="s">
        <v>1300</v>
      </c>
      <c r="MXM76" s="343" t="s">
        <v>252</v>
      </c>
      <c r="MXN76" s="343" t="s">
        <v>1300</v>
      </c>
      <c r="MXO76" s="343" t="s">
        <v>252</v>
      </c>
      <c r="MXP76" s="343" t="s">
        <v>1300</v>
      </c>
      <c r="MXQ76" s="343" t="s">
        <v>252</v>
      </c>
      <c r="MXR76" s="343" t="s">
        <v>1300</v>
      </c>
      <c r="MXS76" s="343" t="s">
        <v>252</v>
      </c>
      <c r="MXT76" s="343" t="s">
        <v>1300</v>
      </c>
      <c r="MXU76" s="343" t="s">
        <v>252</v>
      </c>
      <c r="MXV76" s="343" t="s">
        <v>1300</v>
      </c>
      <c r="MXW76" s="343" t="s">
        <v>252</v>
      </c>
      <c r="MXX76" s="343" t="s">
        <v>1300</v>
      </c>
      <c r="MXY76" s="343" t="s">
        <v>252</v>
      </c>
      <c r="MXZ76" s="343" t="s">
        <v>1300</v>
      </c>
      <c r="MYA76" s="343" t="s">
        <v>252</v>
      </c>
      <c r="MYB76" s="343" t="s">
        <v>1300</v>
      </c>
      <c r="MYC76" s="343" t="s">
        <v>252</v>
      </c>
      <c r="MYD76" s="343" t="s">
        <v>1300</v>
      </c>
      <c r="MYE76" s="343" t="s">
        <v>252</v>
      </c>
      <c r="MYF76" s="343" t="s">
        <v>1300</v>
      </c>
      <c r="MYG76" s="343" t="s">
        <v>252</v>
      </c>
      <c r="MYH76" s="343" t="s">
        <v>1300</v>
      </c>
      <c r="MYI76" s="343" t="s">
        <v>252</v>
      </c>
      <c r="MYJ76" s="343" t="s">
        <v>1300</v>
      </c>
      <c r="MYK76" s="343" t="s">
        <v>252</v>
      </c>
      <c r="MYL76" s="343" t="s">
        <v>1300</v>
      </c>
      <c r="MYM76" s="343" t="s">
        <v>252</v>
      </c>
      <c r="MYN76" s="343" t="s">
        <v>1300</v>
      </c>
      <c r="MYO76" s="343" t="s">
        <v>252</v>
      </c>
      <c r="MYP76" s="343" t="s">
        <v>1300</v>
      </c>
      <c r="MYQ76" s="343" t="s">
        <v>252</v>
      </c>
      <c r="MYR76" s="343" t="s">
        <v>1300</v>
      </c>
      <c r="MYS76" s="343" t="s">
        <v>252</v>
      </c>
      <c r="MYT76" s="343" t="s">
        <v>1300</v>
      </c>
      <c r="MYU76" s="343" t="s">
        <v>252</v>
      </c>
      <c r="MYV76" s="343" t="s">
        <v>1300</v>
      </c>
      <c r="MYW76" s="343" t="s">
        <v>252</v>
      </c>
      <c r="MYX76" s="343" t="s">
        <v>1300</v>
      </c>
      <c r="MYY76" s="343" t="s">
        <v>252</v>
      </c>
      <c r="MYZ76" s="343" t="s">
        <v>1300</v>
      </c>
      <c r="MZA76" s="343" t="s">
        <v>252</v>
      </c>
      <c r="MZB76" s="343" t="s">
        <v>1300</v>
      </c>
      <c r="MZC76" s="343" t="s">
        <v>252</v>
      </c>
      <c r="MZD76" s="343" t="s">
        <v>1300</v>
      </c>
      <c r="MZE76" s="343" t="s">
        <v>252</v>
      </c>
      <c r="MZF76" s="343" t="s">
        <v>1300</v>
      </c>
      <c r="MZG76" s="343" t="s">
        <v>252</v>
      </c>
      <c r="MZH76" s="343" t="s">
        <v>1300</v>
      </c>
      <c r="MZI76" s="343" t="s">
        <v>252</v>
      </c>
      <c r="MZJ76" s="343" t="s">
        <v>1300</v>
      </c>
      <c r="MZK76" s="343" t="s">
        <v>252</v>
      </c>
      <c r="MZL76" s="343" t="s">
        <v>1300</v>
      </c>
      <c r="MZM76" s="343" t="s">
        <v>252</v>
      </c>
      <c r="MZN76" s="343" t="s">
        <v>1300</v>
      </c>
      <c r="MZO76" s="343" t="s">
        <v>252</v>
      </c>
      <c r="MZP76" s="343" t="s">
        <v>1300</v>
      </c>
      <c r="MZQ76" s="343" t="s">
        <v>252</v>
      </c>
      <c r="MZR76" s="343" t="s">
        <v>1300</v>
      </c>
      <c r="MZS76" s="343" t="s">
        <v>252</v>
      </c>
      <c r="MZT76" s="343" t="s">
        <v>1300</v>
      </c>
      <c r="MZU76" s="343" t="s">
        <v>252</v>
      </c>
      <c r="MZV76" s="343" t="s">
        <v>1300</v>
      </c>
      <c r="MZW76" s="343" t="s">
        <v>252</v>
      </c>
      <c r="MZX76" s="343" t="s">
        <v>1300</v>
      </c>
      <c r="MZY76" s="343" t="s">
        <v>252</v>
      </c>
      <c r="MZZ76" s="343" t="s">
        <v>1300</v>
      </c>
      <c r="NAA76" s="343" t="s">
        <v>252</v>
      </c>
      <c r="NAB76" s="343" t="s">
        <v>1300</v>
      </c>
      <c r="NAC76" s="343" t="s">
        <v>252</v>
      </c>
      <c r="NAD76" s="343" t="s">
        <v>1300</v>
      </c>
      <c r="NAE76" s="343" t="s">
        <v>252</v>
      </c>
      <c r="NAF76" s="343" t="s">
        <v>1300</v>
      </c>
      <c r="NAG76" s="343" t="s">
        <v>252</v>
      </c>
      <c r="NAH76" s="343" t="s">
        <v>1300</v>
      </c>
      <c r="NAI76" s="343" t="s">
        <v>252</v>
      </c>
      <c r="NAJ76" s="343" t="s">
        <v>1300</v>
      </c>
      <c r="NAK76" s="343" t="s">
        <v>252</v>
      </c>
      <c r="NAL76" s="343" t="s">
        <v>1300</v>
      </c>
      <c r="NAM76" s="343" t="s">
        <v>252</v>
      </c>
      <c r="NAN76" s="343" t="s">
        <v>1300</v>
      </c>
      <c r="NAO76" s="343" t="s">
        <v>252</v>
      </c>
      <c r="NAP76" s="343" t="s">
        <v>1300</v>
      </c>
      <c r="NAQ76" s="343" t="s">
        <v>252</v>
      </c>
      <c r="NAR76" s="343" t="s">
        <v>1300</v>
      </c>
      <c r="NAS76" s="343" t="s">
        <v>252</v>
      </c>
      <c r="NAT76" s="343" t="s">
        <v>1300</v>
      </c>
      <c r="NAU76" s="343" t="s">
        <v>252</v>
      </c>
      <c r="NAV76" s="343" t="s">
        <v>1300</v>
      </c>
      <c r="NAW76" s="343" t="s">
        <v>252</v>
      </c>
      <c r="NAX76" s="343" t="s">
        <v>1300</v>
      </c>
      <c r="NAY76" s="343" t="s">
        <v>252</v>
      </c>
      <c r="NAZ76" s="343" t="s">
        <v>1300</v>
      </c>
      <c r="NBA76" s="343" t="s">
        <v>252</v>
      </c>
      <c r="NBB76" s="343" t="s">
        <v>1300</v>
      </c>
      <c r="NBC76" s="343" t="s">
        <v>252</v>
      </c>
      <c r="NBD76" s="343" t="s">
        <v>1300</v>
      </c>
      <c r="NBE76" s="343" t="s">
        <v>252</v>
      </c>
      <c r="NBF76" s="343" t="s">
        <v>1300</v>
      </c>
      <c r="NBG76" s="343" t="s">
        <v>252</v>
      </c>
      <c r="NBH76" s="343" t="s">
        <v>1300</v>
      </c>
      <c r="NBI76" s="343" t="s">
        <v>252</v>
      </c>
      <c r="NBJ76" s="343" t="s">
        <v>1300</v>
      </c>
      <c r="NBK76" s="343" t="s">
        <v>252</v>
      </c>
      <c r="NBL76" s="343" t="s">
        <v>1300</v>
      </c>
      <c r="NBM76" s="343" t="s">
        <v>252</v>
      </c>
      <c r="NBN76" s="343" t="s">
        <v>1300</v>
      </c>
      <c r="NBO76" s="343" t="s">
        <v>252</v>
      </c>
      <c r="NBP76" s="343" t="s">
        <v>1300</v>
      </c>
      <c r="NBQ76" s="343" t="s">
        <v>252</v>
      </c>
      <c r="NBR76" s="343" t="s">
        <v>1300</v>
      </c>
      <c r="NBS76" s="343" t="s">
        <v>252</v>
      </c>
      <c r="NBT76" s="343" t="s">
        <v>1300</v>
      </c>
      <c r="NBU76" s="343" t="s">
        <v>252</v>
      </c>
      <c r="NBV76" s="343" t="s">
        <v>1300</v>
      </c>
      <c r="NBW76" s="343" t="s">
        <v>252</v>
      </c>
      <c r="NBX76" s="343" t="s">
        <v>1300</v>
      </c>
      <c r="NBY76" s="343" t="s">
        <v>252</v>
      </c>
      <c r="NBZ76" s="343" t="s">
        <v>1300</v>
      </c>
      <c r="NCA76" s="343" t="s">
        <v>252</v>
      </c>
      <c r="NCB76" s="343" t="s">
        <v>1300</v>
      </c>
      <c r="NCC76" s="343" t="s">
        <v>252</v>
      </c>
      <c r="NCD76" s="343" t="s">
        <v>1300</v>
      </c>
      <c r="NCE76" s="343" t="s">
        <v>252</v>
      </c>
      <c r="NCF76" s="343" t="s">
        <v>1300</v>
      </c>
      <c r="NCG76" s="343" t="s">
        <v>252</v>
      </c>
      <c r="NCH76" s="343" t="s">
        <v>1300</v>
      </c>
      <c r="NCI76" s="343" t="s">
        <v>252</v>
      </c>
      <c r="NCJ76" s="343" t="s">
        <v>1300</v>
      </c>
      <c r="NCK76" s="343" t="s">
        <v>252</v>
      </c>
      <c r="NCL76" s="343" t="s">
        <v>1300</v>
      </c>
      <c r="NCM76" s="343" t="s">
        <v>252</v>
      </c>
      <c r="NCN76" s="343" t="s">
        <v>1300</v>
      </c>
      <c r="NCO76" s="343" t="s">
        <v>252</v>
      </c>
      <c r="NCP76" s="343" t="s">
        <v>1300</v>
      </c>
      <c r="NCQ76" s="343" t="s">
        <v>252</v>
      </c>
      <c r="NCR76" s="343" t="s">
        <v>1300</v>
      </c>
      <c r="NCS76" s="343" t="s">
        <v>252</v>
      </c>
      <c r="NCT76" s="343" t="s">
        <v>1300</v>
      </c>
      <c r="NCU76" s="343" t="s">
        <v>252</v>
      </c>
      <c r="NCV76" s="343" t="s">
        <v>1300</v>
      </c>
      <c r="NCW76" s="343" t="s">
        <v>252</v>
      </c>
      <c r="NCX76" s="343" t="s">
        <v>1300</v>
      </c>
      <c r="NCY76" s="343" t="s">
        <v>252</v>
      </c>
      <c r="NCZ76" s="343" t="s">
        <v>1300</v>
      </c>
      <c r="NDA76" s="343" t="s">
        <v>252</v>
      </c>
      <c r="NDB76" s="343" t="s">
        <v>1300</v>
      </c>
      <c r="NDC76" s="343" t="s">
        <v>252</v>
      </c>
      <c r="NDD76" s="343" t="s">
        <v>1300</v>
      </c>
      <c r="NDE76" s="343" t="s">
        <v>252</v>
      </c>
      <c r="NDF76" s="343" t="s">
        <v>1300</v>
      </c>
      <c r="NDG76" s="343" t="s">
        <v>252</v>
      </c>
      <c r="NDH76" s="343" t="s">
        <v>1300</v>
      </c>
      <c r="NDI76" s="343" t="s">
        <v>252</v>
      </c>
      <c r="NDJ76" s="343" t="s">
        <v>1300</v>
      </c>
      <c r="NDK76" s="343" t="s">
        <v>252</v>
      </c>
      <c r="NDL76" s="343" t="s">
        <v>1300</v>
      </c>
      <c r="NDM76" s="343" t="s">
        <v>252</v>
      </c>
      <c r="NDN76" s="343" t="s">
        <v>1300</v>
      </c>
      <c r="NDO76" s="343" t="s">
        <v>252</v>
      </c>
      <c r="NDP76" s="343" t="s">
        <v>1300</v>
      </c>
      <c r="NDQ76" s="343" t="s">
        <v>252</v>
      </c>
      <c r="NDR76" s="343" t="s">
        <v>1300</v>
      </c>
      <c r="NDS76" s="343" t="s">
        <v>252</v>
      </c>
      <c r="NDT76" s="343" t="s">
        <v>1300</v>
      </c>
      <c r="NDU76" s="343" t="s">
        <v>252</v>
      </c>
      <c r="NDV76" s="343" t="s">
        <v>1300</v>
      </c>
      <c r="NDW76" s="343" t="s">
        <v>252</v>
      </c>
      <c r="NDX76" s="343" t="s">
        <v>1300</v>
      </c>
      <c r="NDY76" s="343" t="s">
        <v>252</v>
      </c>
      <c r="NDZ76" s="343" t="s">
        <v>1300</v>
      </c>
      <c r="NEA76" s="343" t="s">
        <v>252</v>
      </c>
      <c r="NEB76" s="343" t="s">
        <v>1300</v>
      </c>
      <c r="NEC76" s="343" t="s">
        <v>252</v>
      </c>
      <c r="NED76" s="343" t="s">
        <v>1300</v>
      </c>
      <c r="NEE76" s="343" t="s">
        <v>252</v>
      </c>
      <c r="NEF76" s="343" t="s">
        <v>1300</v>
      </c>
      <c r="NEG76" s="343" t="s">
        <v>252</v>
      </c>
      <c r="NEH76" s="343" t="s">
        <v>1300</v>
      </c>
      <c r="NEI76" s="343" t="s">
        <v>252</v>
      </c>
      <c r="NEJ76" s="343" t="s">
        <v>1300</v>
      </c>
      <c r="NEK76" s="343" t="s">
        <v>252</v>
      </c>
      <c r="NEL76" s="343" t="s">
        <v>1300</v>
      </c>
      <c r="NEM76" s="343" t="s">
        <v>252</v>
      </c>
      <c r="NEN76" s="343" t="s">
        <v>1300</v>
      </c>
      <c r="NEO76" s="343" t="s">
        <v>252</v>
      </c>
      <c r="NEP76" s="343" t="s">
        <v>1300</v>
      </c>
      <c r="NEQ76" s="343" t="s">
        <v>252</v>
      </c>
      <c r="NER76" s="343" t="s">
        <v>1300</v>
      </c>
      <c r="NES76" s="343" t="s">
        <v>252</v>
      </c>
      <c r="NET76" s="343" t="s">
        <v>1300</v>
      </c>
      <c r="NEU76" s="343" t="s">
        <v>252</v>
      </c>
      <c r="NEV76" s="343" t="s">
        <v>1300</v>
      </c>
      <c r="NEW76" s="343" t="s">
        <v>252</v>
      </c>
      <c r="NEX76" s="343" t="s">
        <v>1300</v>
      </c>
      <c r="NEY76" s="343" t="s">
        <v>252</v>
      </c>
      <c r="NEZ76" s="343" t="s">
        <v>1300</v>
      </c>
      <c r="NFA76" s="343" t="s">
        <v>252</v>
      </c>
      <c r="NFB76" s="343" t="s">
        <v>1300</v>
      </c>
      <c r="NFC76" s="343" t="s">
        <v>252</v>
      </c>
      <c r="NFD76" s="343" t="s">
        <v>1300</v>
      </c>
      <c r="NFE76" s="343" t="s">
        <v>252</v>
      </c>
      <c r="NFF76" s="343" t="s">
        <v>1300</v>
      </c>
      <c r="NFG76" s="343" t="s">
        <v>252</v>
      </c>
      <c r="NFH76" s="343" t="s">
        <v>1300</v>
      </c>
      <c r="NFI76" s="343" t="s">
        <v>252</v>
      </c>
      <c r="NFJ76" s="343" t="s">
        <v>1300</v>
      </c>
      <c r="NFK76" s="343" t="s">
        <v>252</v>
      </c>
      <c r="NFL76" s="343" t="s">
        <v>1300</v>
      </c>
      <c r="NFM76" s="343" t="s">
        <v>252</v>
      </c>
      <c r="NFN76" s="343" t="s">
        <v>1300</v>
      </c>
      <c r="NFO76" s="343" t="s">
        <v>252</v>
      </c>
      <c r="NFP76" s="343" t="s">
        <v>1300</v>
      </c>
      <c r="NFQ76" s="343" t="s">
        <v>252</v>
      </c>
      <c r="NFR76" s="343" t="s">
        <v>1300</v>
      </c>
      <c r="NFS76" s="343" t="s">
        <v>252</v>
      </c>
      <c r="NFT76" s="343" t="s">
        <v>1300</v>
      </c>
      <c r="NFU76" s="343" t="s">
        <v>252</v>
      </c>
      <c r="NFV76" s="343" t="s">
        <v>1300</v>
      </c>
      <c r="NFW76" s="343" t="s">
        <v>252</v>
      </c>
      <c r="NFX76" s="343" t="s">
        <v>1300</v>
      </c>
      <c r="NFY76" s="343" t="s">
        <v>252</v>
      </c>
      <c r="NFZ76" s="343" t="s">
        <v>1300</v>
      </c>
      <c r="NGA76" s="343" t="s">
        <v>252</v>
      </c>
      <c r="NGB76" s="343" t="s">
        <v>1300</v>
      </c>
      <c r="NGC76" s="343" t="s">
        <v>252</v>
      </c>
      <c r="NGD76" s="343" t="s">
        <v>1300</v>
      </c>
      <c r="NGE76" s="343" t="s">
        <v>252</v>
      </c>
      <c r="NGF76" s="343" t="s">
        <v>1300</v>
      </c>
      <c r="NGG76" s="343" t="s">
        <v>252</v>
      </c>
      <c r="NGH76" s="343" t="s">
        <v>1300</v>
      </c>
      <c r="NGI76" s="343" t="s">
        <v>252</v>
      </c>
      <c r="NGJ76" s="343" t="s">
        <v>1300</v>
      </c>
      <c r="NGK76" s="343" t="s">
        <v>252</v>
      </c>
      <c r="NGL76" s="343" t="s">
        <v>1300</v>
      </c>
      <c r="NGM76" s="343" t="s">
        <v>252</v>
      </c>
      <c r="NGN76" s="343" t="s">
        <v>1300</v>
      </c>
      <c r="NGO76" s="343" t="s">
        <v>252</v>
      </c>
      <c r="NGP76" s="343" t="s">
        <v>1300</v>
      </c>
      <c r="NGQ76" s="343" t="s">
        <v>252</v>
      </c>
      <c r="NGR76" s="343" t="s">
        <v>1300</v>
      </c>
      <c r="NGS76" s="343" t="s">
        <v>252</v>
      </c>
      <c r="NGT76" s="343" t="s">
        <v>1300</v>
      </c>
      <c r="NGU76" s="343" t="s">
        <v>252</v>
      </c>
      <c r="NGV76" s="343" t="s">
        <v>1300</v>
      </c>
      <c r="NGW76" s="343" t="s">
        <v>252</v>
      </c>
      <c r="NGX76" s="343" t="s">
        <v>1300</v>
      </c>
      <c r="NGY76" s="343" t="s">
        <v>252</v>
      </c>
      <c r="NGZ76" s="343" t="s">
        <v>1300</v>
      </c>
      <c r="NHA76" s="343" t="s">
        <v>252</v>
      </c>
      <c r="NHB76" s="343" t="s">
        <v>1300</v>
      </c>
      <c r="NHC76" s="343" t="s">
        <v>252</v>
      </c>
      <c r="NHD76" s="343" t="s">
        <v>1300</v>
      </c>
      <c r="NHE76" s="343" t="s">
        <v>252</v>
      </c>
      <c r="NHF76" s="343" t="s">
        <v>1300</v>
      </c>
      <c r="NHG76" s="343" t="s">
        <v>252</v>
      </c>
      <c r="NHH76" s="343" t="s">
        <v>1300</v>
      </c>
      <c r="NHI76" s="343" t="s">
        <v>252</v>
      </c>
      <c r="NHJ76" s="343" t="s">
        <v>1300</v>
      </c>
      <c r="NHK76" s="343" t="s">
        <v>252</v>
      </c>
      <c r="NHL76" s="343" t="s">
        <v>1300</v>
      </c>
      <c r="NHM76" s="343" t="s">
        <v>252</v>
      </c>
      <c r="NHN76" s="343" t="s">
        <v>1300</v>
      </c>
      <c r="NHO76" s="343" t="s">
        <v>252</v>
      </c>
      <c r="NHP76" s="343" t="s">
        <v>1300</v>
      </c>
      <c r="NHQ76" s="343" t="s">
        <v>252</v>
      </c>
      <c r="NHR76" s="343" t="s">
        <v>1300</v>
      </c>
      <c r="NHS76" s="343" t="s">
        <v>252</v>
      </c>
      <c r="NHT76" s="343" t="s">
        <v>1300</v>
      </c>
      <c r="NHU76" s="343" t="s">
        <v>252</v>
      </c>
      <c r="NHV76" s="343" t="s">
        <v>1300</v>
      </c>
      <c r="NHW76" s="343" t="s">
        <v>252</v>
      </c>
      <c r="NHX76" s="343" t="s">
        <v>1300</v>
      </c>
      <c r="NHY76" s="343" t="s">
        <v>252</v>
      </c>
      <c r="NHZ76" s="343" t="s">
        <v>1300</v>
      </c>
      <c r="NIA76" s="343" t="s">
        <v>252</v>
      </c>
      <c r="NIB76" s="343" t="s">
        <v>1300</v>
      </c>
      <c r="NIC76" s="343" t="s">
        <v>252</v>
      </c>
      <c r="NID76" s="343" t="s">
        <v>1300</v>
      </c>
      <c r="NIE76" s="343" t="s">
        <v>252</v>
      </c>
      <c r="NIF76" s="343" t="s">
        <v>1300</v>
      </c>
      <c r="NIG76" s="343" t="s">
        <v>252</v>
      </c>
      <c r="NIH76" s="343" t="s">
        <v>1300</v>
      </c>
      <c r="NII76" s="343" t="s">
        <v>252</v>
      </c>
      <c r="NIJ76" s="343" t="s">
        <v>1300</v>
      </c>
      <c r="NIK76" s="343" t="s">
        <v>252</v>
      </c>
      <c r="NIL76" s="343" t="s">
        <v>1300</v>
      </c>
      <c r="NIM76" s="343" t="s">
        <v>252</v>
      </c>
      <c r="NIN76" s="343" t="s">
        <v>1300</v>
      </c>
      <c r="NIO76" s="343" t="s">
        <v>252</v>
      </c>
      <c r="NIP76" s="343" t="s">
        <v>1300</v>
      </c>
      <c r="NIQ76" s="343" t="s">
        <v>252</v>
      </c>
      <c r="NIR76" s="343" t="s">
        <v>1300</v>
      </c>
      <c r="NIS76" s="343" t="s">
        <v>252</v>
      </c>
      <c r="NIT76" s="343" t="s">
        <v>1300</v>
      </c>
      <c r="NIU76" s="343" t="s">
        <v>252</v>
      </c>
      <c r="NIV76" s="343" t="s">
        <v>1300</v>
      </c>
      <c r="NIW76" s="343" t="s">
        <v>252</v>
      </c>
      <c r="NIX76" s="343" t="s">
        <v>1300</v>
      </c>
      <c r="NIY76" s="343" t="s">
        <v>252</v>
      </c>
      <c r="NIZ76" s="343" t="s">
        <v>1300</v>
      </c>
      <c r="NJA76" s="343" t="s">
        <v>252</v>
      </c>
      <c r="NJB76" s="343" t="s">
        <v>1300</v>
      </c>
      <c r="NJC76" s="343" t="s">
        <v>252</v>
      </c>
      <c r="NJD76" s="343" t="s">
        <v>1300</v>
      </c>
      <c r="NJE76" s="343" t="s">
        <v>252</v>
      </c>
      <c r="NJF76" s="343" t="s">
        <v>1300</v>
      </c>
      <c r="NJG76" s="343" t="s">
        <v>252</v>
      </c>
      <c r="NJH76" s="343" t="s">
        <v>1300</v>
      </c>
      <c r="NJI76" s="343" t="s">
        <v>252</v>
      </c>
      <c r="NJJ76" s="343" t="s">
        <v>1300</v>
      </c>
      <c r="NJK76" s="343" t="s">
        <v>252</v>
      </c>
      <c r="NJL76" s="343" t="s">
        <v>1300</v>
      </c>
      <c r="NJM76" s="343" t="s">
        <v>252</v>
      </c>
      <c r="NJN76" s="343" t="s">
        <v>1300</v>
      </c>
      <c r="NJO76" s="343" t="s">
        <v>252</v>
      </c>
      <c r="NJP76" s="343" t="s">
        <v>1300</v>
      </c>
      <c r="NJQ76" s="343" t="s">
        <v>252</v>
      </c>
      <c r="NJR76" s="343" t="s">
        <v>1300</v>
      </c>
      <c r="NJS76" s="343" t="s">
        <v>252</v>
      </c>
      <c r="NJT76" s="343" t="s">
        <v>1300</v>
      </c>
      <c r="NJU76" s="343" t="s">
        <v>252</v>
      </c>
      <c r="NJV76" s="343" t="s">
        <v>1300</v>
      </c>
      <c r="NJW76" s="343" t="s">
        <v>252</v>
      </c>
      <c r="NJX76" s="343" t="s">
        <v>1300</v>
      </c>
      <c r="NJY76" s="343" t="s">
        <v>252</v>
      </c>
      <c r="NJZ76" s="343" t="s">
        <v>1300</v>
      </c>
      <c r="NKA76" s="343" t="s">
        <v>252</v>
      </c>
      <c r="NKB76" s="343" t="s">
        <v>1300</v>
      </c>
      <c r="NKC76" s="343" t="s">
        <v>252</v>
      </c>
      <c r="NKD76" s="343" t="s">
        <v>1300</v>
      </c>
      <c r="NKE76" s="343" t="s">
        <v>252</v>
      </c>
      <c r="NKF76" s="343" t="s">
        <v>1300</v>
      </c>
      <c r="NKG76" s="343" t="s">
        <v>252</v>
      </c>
      <c r="NKH76" s="343" t="s">
        <v>1300</v>
      </c>
      <c r="NKI76" s="343" t="s">
        <v>252</v>
      </c>
      <c r="NKJ76" s="343" t="s">
        <v>1300</v>
      </c>
      <c r="NKK76" s="343" t="s">
        <v>252</v>
      </c>
      <c r="NKL76" s="343" t="s">
        <v>1300</v>
      </c>
      <c r="NKM76" s="343" t="s">
        <v>252</v>
      </c>
      <c r="NKN76" s="343" t="s">
        <v>1300</v>
      </c>
      <c r="NKO76" s="343" t="s">
        <v>252</v>
      </c>
      <c r="NKP76" s="343" t="s">
        <v>1300</v>
      </c>
      <c r="NKQ76" s="343" t="s">
        <v>252</v>
      </c>
      <c r="NKR76" s="343" t="s">
        <v>1300</v>
      </c>
      <c r="NKS76" s="343" t="s">
        <v>252</v>
      </c>
      <c r="NKT76" s="343" t="s">
        <v>1300</v>
      </c>
      <c r="NKU76" s="343" t="s">
        <v>252</v>
      </c>
      <c r="NKV76" s="343" t="s">
        <v>1300</v>
      </c>
      <c r="NKW76" s="343" t="s">
        <v>252</v>
      </c>
      <c r="NKX76" s="343" t="s">
        <v>1300</v>
      </c>
      <c r="NKY76" s="343" t="s">
        <v>252</v>
      </c>
      <c r="NKZ76" s="343" t="s">
        <v>1300</v>
      </c>
      <c r="NLA76" s="343" t="s">
        <v>252</v>
      </c>
      <c r="NLB76" s="343" t="s">
        <v>1300</v>
      </c>
      <c r="NLC76" s="343" t="s">
        <v>252</v>
      </c>
      <c r="NLD76" s="343" t="s">
        <v>1300</v>
      </c>
      <c r="NLE76" s="343" t="s">
        <v>252</v>
      </c>
      <c r="NLF76" s="343" t="s">
        <v>1300</v>
      </c>
      <c r="NLG76" s="343" t="s">
        <v>252</v>
      </c>
      <c r="NLH76" s="343" t="s">
        <v>1300</v>
      </c>
      <c r="NLI76" s="343" t="s">
        <v>252</v>
      </c>
      <c r="NLJ76" s="343" t="s">
        <v>1300</v>
      </c>
      <c r="NLK76" s="343" t="s">
        <v>252</v>
      </c>
      <c r="NLL76" s="343" t="s">
        <v>1300</v>
      </c>
      <c r="NLM76" s="343" t="s">
        <v>252</v>
      </c>
      <c r="NLN76" s="343" t="s">
        <v>1300</v>
      </c>
      <c r="NLO76" s="343" t="s">
        <v>252</v>
      </c>
      <c r="NLP76" s="343" t="s">
        <v>1300</v>
      </c>
      <c r="NLQ76" s="343" t="s">
        <v>252</v>
      </c>
      <c r="NLR76" s="343" t="s">
        <v>1300</v>
      </c>
      <c r="NLS76" s="343" t="s">
        <v>252</v>
      </c>
      <c r="NLT76" s="343" t="s">
        <v>1300</v>
      </c>
      <c r="NLU76" s="343" t="s">
        <v>252</v>
      </c>
      <c r="NLV76" s="343" t="s">
        <v>1300</v>
      </c>
      <c r="NLW76" s="343" t="s">
        <v>252</v>
      </c>
      <c r="NLX76" s="343" t="s">
        <v>1300</v>
      </c>
      <c r="NLY76" s="343" t="s">
        <v>252</v>
      </c>
      <c r="NLZ76" s="343" t="s">
        <v>1300</v>
      </c>
      <c r="NMA76" s="343" t="s">
        <v>252</v>
      </c>
      <c r="NMB76" s="343" t="s">
        <v>1300</v>
      </c>
      <c r="NMC76" s="343" t="s">
        <v>252</v>
      </c>
      <c r="NMD76" s="343" t="s">
        <v>1300</v>
      </c>
      <c r="NME76" s="343" t="s">
        <v>252</v>
      </c>
      <c r="NMF76" s="343" t="s">
        <v>1300</v>
      </c>
      <c r="NMG76" s="343" t="s">
        <v>252</v>
      </c>
      <c r="NMH76" s="343" t="s">
        <v>1300</v>
      </c>
      <c r="NMI76" s="343" t="s">
        <v>252</v>
      </c>
      <c r="NMJ76" s="343" t="s">
        <v>1300</v>
      </c>
      <c r="NMK76" s="343" t="s">
        <v>252</v>
      </c>
      <c r="NML76" s="343" t="s">
        <v>1300</v>
      </c>
      <c r="NMM76" s="343" t="s">
        <v>252</v>
      </c>
      <c r="NMN76" s="343" t="s">
        <v>1300</v>
      </c>
      <c r="NMO76" s="343" t="s">
        <v>252</v>
      </c>
      <c r="NMP76" s="343" t="s">
        <v>1300</v>
      </c>
      <c r="NMQ76" s="343" t="s">
        <v>252</v>
      </c>
      <c r="NMR76" s="343" t="s">
        <v>1300</v>
      </c>
      <c r="NMS76" s="343" t="s">
        <v>252</v>
      </c>
      <c r="NMT76" s="343" t="s">
        <v>1300</v>
      </c>
      <c r="NMU76" s="343" t="s">
        <v>252</v>
      </c>
      <c r="NMV76" s="343" t="s">
        <v>1300</v>
      </c>
      <c r="NMW76" s="343" t="s">
        <v>252</v>
      </c>
      <c r="NMX76" s="343" t="s">
        <v>1300</v>
      </c>
      <c r="NMY76" s="343" t="s">
        <v>252</v>
      </c>
      <c r="NMZ76" s="343" t="s">
        <v>1300</v>
      </c>
      <c r="NNA76" s="343" t="s">
        <v>252</v>
      </c>
      <c r="NNB76" s="343" t="s">
        <v>1300</v>
      </c>
      <c r="NNC76" s="343" t="s">
        <v>252</v>
      </c>
      <c r="NND76" s="343" t="s">
        <v>1300</v>
      </c>
      <c r="NNE76" s="343" t="s">
        <v>252</v>
      </c>
      <c r="NNF76" s="343" t="s">
        <v>1300</v>
      </c>
      <c r="NNG76" s="343" t="s">
        <v>252</v>
      </c>
      <c r="NNH76" s="343" t="s">
        <v>1300</v>
      </c>
      <c r="NNI76" s="343" t="s">
        <v>252</v>
      </c>
      <c r="NNJ76" s="343" t="s">
        <v>1300</v>
      </c>
      <c r="NNK76" s="343" t="s">
        <v>252</v>
      </c>
      <c r="NNL76" s="343" t="s">
        <v>1300</v>
      </c>
      <c r="NNM76" s="343" t="s">
        <v>252</v>
      </c>
      <c r="NNN76" s="343" t="s">
        <v>1300</v>
      </c>
      <c r="NNO76" s="343" t="s">
        <v>252</v>
      </c>
      <c r="NNP76" s="343" t="s">
        <v>1300</v>
      </c>
      <c r="NNQ76" s="343" t="s">
        <v>252</v>
      </c>
      <c r="NNR76" s="343" t="s">
        <v>1300</v>
      </c>
      <c r="NNS76" s="343" t="s">
        <v>252</v>
      </c>
      <c r="NNT76" s="343" t="s">
        <v>1300</v>
      </c>
      <c r="NNU76" s="343" t="s">
        <v>252</v>
      </c>
      <c r="NNV76" s="343" t="s">
        <v>1300</v>
      </c>
      <c r="NNW76" s="343" t="s">
        <v>252</v>
      </c>
      <c r="NNX76" s="343" t="s">
        <v>1300</v>
      </c>
      <c r="NNY76" s="343" t="s">
        <v>252</v>
      </c>
      <c r="NNZ76" s="343" t="s">
        <v>1300</v>
      </c>
      <c r="NOA76" s="343" t="s">
        <v>252</v>
      </c>
      <c r="NOB76" s="343" t="s">
        <v>1300</v>
      </c>
      <c r="NOC76" s="343" t="s">
        <v>252</v>
      </c>
      <c r="NOD76" s="343" t="s">
        <v>1300</v>
      </c>
      <c r="NOE76" s="343" t="s">
        <v>252</v>
      </c>
      <c r="NOF76" s="343" t="s">
        <v>1300</v>
      </c>
      <c r="NOG76" s="343" t="s">
        <v>252</v>
      </c>
      <c r="NOH76" s="343" t="s">
        <v>1300</v>
      </c>
      <c r="NOI76" s="343" t="s">
        <v>252</v>
      </c>
      <c r="NOJ76" s="343" t="s">
        <v>1300</v>
      </c>
      <c r="NOK76" s="343" t="s">
        <v>252</v>
      </c>
      <c r="NOL76" s="343" t="s">
        <v>1300</v>
      </c>
      <c r="NOM76" s="343" t="s">
        <v>252</v>
      </c>
      <c r="NON76" s="343" t="s">
        <v>1300</v>
      </c>
      <c r="NOO76" s="343" t="s">
        <v>252</v>
      </c>
      <c r="NOP76" s="343" t="s">
        <v>1300</v>
      </c>
      <c r="NOQ76" s="343" t="s">
        <v>252</v>
      </c>
      <c r="NOR76" s="343" t="s">
        <v>1300</v>
      </c>
      <c r="NOS76" s="343" t="s">
        <v>252</v>
      </c>
      <c r="NOT76" s="343" t="s">
        <v>1300</v>
      </c>
      <c r="NOU76" s="343" t="s">
        <v>252</v>
      </c>
      <c r="NOV76" s="343" t="s">
        <v>1300</v>
      </c>
      <c r="NOW76" s="343" t="s">
        <v>252</v>
      </c>
      <c r="NOX76" s="343" t="s">
        <v>1300</v>
      </c>
      <c r="NOY76" s="343" t="s">
        <v>252</v>
      </c>
      <c r="NOZ76" s="343" t="s">
        <v>1300</v>
      </c>
      <c r="NPA76" s="343" t="s">
        <v>252</v>
      </c>
      <c r="NPB76" s="343" t="s">
        <v>1300</v>
      </c>
      <c r="NPC76" s="343" t="s">
        <v>252</v>
      </c>
      <c r="NPD76" s="343" t="s">
        <v>1300</v>
      </c>
      <c r="NPE76" s="343" t="s">
        <v>252</v>
      </c>
      <c r="NPF76" s="343" t="s">
        <v>1300</v>
      </c>
      <c r="NPG76" s="343" t="s">
        <v>252</v>
      </c>
      <c r="NPH76" s="343" t="s">
        <v>1300</v>
      </c>
      <c r="NPI76" s="343" t="s">
        <v>252</v>
      </c>
      <c r="NPJ76" s="343" t="s">
        <v>1300</v>
      </c>
      <c r="NPK76" s="343" t="s">
        <v>252</v>
      </c>
      <c r="NPL76" s="343" t="s">
        <v>1300</v>
      </c>
      <c r="NPM76" s="343" t="s">
        <v>252</v>
      </c>
      <c r="NPN76" s="343" t="s">
        <v>1300</v>
      </c>
      <c r="NPO76" s="343" t="s">
        <v>252</v>
      </c>
      <c r="NPP76" s="343" t="s">
        <v>1300</v>
      </c>
      <c r="NPQ76" s="343" t="s">
        <v>252</v>
      </c>
      <c r="NPR76" s="343" t="s">
        <v>1300</v>
      </c>
      <c r="NPS76" s="343" t="s">
        <v>252</v>
      </c>
      <c r="NPT76" s="343" t="s">
        <v>1300</v>
      </c>
      <c r="NPU76" s="343" t="s">
        <v>252</v>
      </c>
      <c r="NPV76" s="343" t="s">
        <v>1300</v>
      </c>
      <c r="NPW76" s="343" t="s">
        <v>252</v>
      </c>
      <c r="NPX76" s="343" t="s">
        <v>1300</v>
      </c>
      <c r="NPY76" s="343" t="s">
        <v>252</v>
      </c>
      <c r="NPZ76" s="343" t="s">
        <v>1300</v>
      </c>
      <c r="NQA76" s="343" t="s">
        <v>252</v>
      </c>
      <c r="NQB76" s="343" t="s">
        <v>1300</v>
      </c>
      <c r="NQC76" s="343" t="s">
        <v>252</v>
      </c>
      <c r="NQD76" s="343" t="s">
        <v>1300</v>
      </c>
      <c r="NQE76" s="343" t="s">
        <v>252</v>
      </c>
      <c r="NQF76" s="343" t="s">
        <v>1300</v>
      </c>
      <c r="NQG76" s="343" t="s">
        <v>252</v>
      </c>
      <c r="NQH76" s="343" t="s">
        <v>1300</v>
      </c>
      <c r="NQI76" s="343" t="s">
        <v>252</v>
      </c>
      <c r="NQJ76" s="343" t="s">
        <v>1300</v>
      </c>
      <c r="NQK76" s="343" t="s">
        <v>252</v>
      </c>
      <c r="NQL76" s="343" t="s">
        <v>1300</v>
      </c>
      <c r="NQM76" s="343" t="s">
        <v>252</v>
      </c>
      <c r="NQN76" s="343" t="s">
        <v>1300</v>
      </c>
      <c r="NQO76" s="343" t="s">
        <v>252</v>
      </c>
      <c r="NQP76" s="343" t="s">
        <v>1300</v>
      </c>
      <c r="NQQ76" s="343" t="s">
        <v>252</v>
      </c>
      <c r="NQR76" s="343" t="s">
        <v>1300</v>
      </c>
      <c r="NQS76" s="343" t="s">
        <v>252</v>
      </c>
      <c r="NQT76" s="343" t="s">
        <v>1300</v>
      </c>
      <c r="NQU76" s="343" t="s">
        <v>252</v>
      </c>
      <c r="NQV76" s="343" t="s">
        <v>1300</v>
      </c>
      <c r="NQW76" s="343" t="s">
        <v>252</v>
      </c>
      <c r="NQX76" s="343" t="s">
        <v>1300</v>
      </c>
      <c r="NQY76" s="343" t="s">
        <v>252</v>
      </c>
      <c r="NQZ76" s="343" t="s">
        <v>1300</v>
      </c>
      <c r="NRA76" s="343" t="s">
        <v>252</v>
      </c>
      <c r="NRB76" s="343" t="s">
        <v>1300</v>
      </c>
      <c r="NRC76" s="343" t="s">
        <v>252</v>
      </c>
      <c r="NRD76" s="343" t="s">
        <v>1300</v>
      </c>
      <c r="NRE76" s="343" t="s">
        <v>252</v>
      </c>
      <c r="NRF76" s="343" t="s">
        <v>1300</v>
      </c>
      <c r="NRG76" s="343" t="s">
        <v>252</v>
      </c>
      <c r="NRH76" s="343" t="s">
        <v>1300</v>
      </c>
      <c r="NRI76" s="343" t="s">
        <v>252</v>
      </c>
      <c r="NRJ76" s="343" t="s">
        <v>1300</v>
      </c>
      <c r="NRK76" s="343" t="s">
        <v>252</v>
      </c>
      <c r="NRL76" s="343" t="s">
        <v>1300</v>
      </c>
      <c r="NRM76" s="343" t="s">
        <v>252</v>
      </c>
      <c r="NRN76" s="343" t="s">
        <v>1300</v>
      </c>
      <c r="NRO76" s="343" t="s">
        <v>252</v>
      </c>
      <c r="NRP76" s="343" t="s">
        <v>1300</v>
      </c>
      <c r="NRQ76" s="343" t="s">
        <v>252</v>
      </c>
      <c r="NRR76" s="343" t="s">
        <v>1300</v>
      </c>
      <c r="NRS76" s="343" t="s">
        <v>252</v>
      </c>
      <c r="NRT76" s="343" t="s">
        <v>1300</v>
      </c>
      <c r="NRU76" s="343" t="s">
        <v>252</v>
      </c>
      <c r="NRV76" s="343" t="s">
        <v>1300</v>
      </c>
      <c r="NRW76" s="343" t="s">
        <v>252</v>
      </c>
      <c r="NRX76" s="343" t="s">
        <v>1300</v>
      </c>
      <c r="NRY76" s="343" t="s">
        <v>252</v>
      </c>
      <c r="NRZ76" s="343" t="s">
        <v>1300</v>
      </c>
      <c r="NSA76" s="343" t="s">
        <v>252</v>
      </c>
      <c r="NSB76" s="343" t="s">
        <v>1300</v>
      </c>
      <c r="NSC76" s="343" t="s">
        <v>252</v>
      </c>
      <c r="NSD76" s="343" t="s">
        <v>1300</v>
      </c>
      <c r="NSE76" s="343" t="s">
        <v>252</v>
      </c>
      <c r="NSF76" s="343" t="s">
        <v>1300</v>
      </c>
      <c r="NSG76" s="343" t="s">
        <v>252</v>
      </c>
      <c r="NSH76" s="343" t="s">
        <v>1300</v>
      </c>
      <c r="NSI76" s="343" t="s">
        <v>252</v>
      </c>
      <c r="NSJ76" s="343" t="s">
        <v>1300</v>
      </c>
      <c r="NSK76" s="343" t="s">
        <v>252</v>
      </c>
      <c r="NSL76" s="343" t="s">
        <v>1300</v>
      </c>
      <c r="NSM76" s="343" t="s">
        <v>252</v>
      </c>
      <c r="NSN76" s="343" t="s">
        <v>1300</v>
      </c>
      <c r="NSO76" s="343" t="s">
        <v>252</v>
      </c>
      <c r="NSP76" s="343" t="s">
        <v>1300</v>
      </c>
      <c r="NSQ76" s="343" t="s">
        <v>252</v>
      </c>
      <c r="NSR76" s="343" t="s">
        <v>1300</v>
      </c>
      <c r="NSS76" s="343" t="s">
        <v>252</v>
      </c>
      <c r="NST76" s="343" t="s">
        <v>1300</v>
      </c>
      <c r="NSU76" s="343" t="s">
        <v>252</v>
      </c>
      <c r="NSV76" s="343" t="s">
        <v>1300</v>
      </c>
      <c r="NSW76" s="343" t="s">
        <v>252</v>
      </c>
      <c r="NSX76" s="343" t="s">
        <v>1300</v>
      </c>
      <c r="NSY76" s="343" t="s">
        <v>252</v>
      </c>
      <c r="NSZ76" s="343" t="s">
        <v>1300</v>
      </c>
      <c r="NTA76" s="343" t="s">
        <v>252</v>
      </c>
      <c r="NTB76" s="343" t="s">
        <v>1300</v>
      </c>
      <c r="NTC76" s="343" t="s">
        <v>252</v>
      </c>
      <c r="NTD76" s="343" t="s">
        <v>1300</v>
      </c>
      <c r="NTE76" s="343" t="s">
        <v>252</v>
      </c>
      <c r="NTF76" s="343" t="s">
        <v>1300</v>
      </c>
      <c r="NTG76" s="343" t="s">
        <v>252</v>
      </c>
      <c r="NTH76" s="343" t="s">
        <v>1300</v>
      </c>
      <c r="NTI76" s="343" t="s">
        <v>252</v>
      </c>
      <c r="NTJ76" s="343" t="s">
        <v>1300</v>
      </c>
      <c r="NTK76" s="343" t="s">
        <v>252</v>
      </c>
      <c r="NTL76" s="343" t="s">
        <v>1300</v>
      </c>
      <c r="NTM76" s="343" t="s">
        <v>252</v>
      </c>
      <c r="NTN76" s="343" t="s">
        <v>1300</v>
      </c>
      <c r="NTO76" s="343" t="s">
        <v>252</v>
      </c>
      <c r="NTP76" s="343" t="s">
        <v>1300</v>
      </c>
      <c r="NTQ76" s="343" t="s">
        <v>252</v>
      </c>
      <c r="NTR76" s="343" t="s">
        <v>1300</v>
      </c>
      <c r="NTS76" s="343" t="s">
        <v>252</v>
      </c>
      <c r="NTT76" s="343" t="s">
        <v>1300</v>
      </c>
      <c r="NTU76" s="343" t="s">
        <v>252</v>
      </c>
      <c r="NTV76" s="343" t="s">
        <v>1300</v>
      </c>
      <c r="NTW76" s="343" t="s">
        <v>252</v>
      </c>
      <c r="NTX76" s="343" t="s">
        <v>1300</v>
      </c>
      <c r="NTY76" s="343" t="s">
        <v>252</v>
      </c>
      <c r="NTZ76" s="343" t="s">
        <v>1300</v>
      </c>
      <c r="NUA76" s="343" t="s">
        <v>252</v>
      </c>
      <c r="NUB76" s="343" t="s">
        <v>1300</v>
      </c>
      <c r="NUC76" s="343" t="s">
        <v>252</v>
      </c>
      <c r="NUD76" s="343" t="s">
        <v>1300</v>
      </c>
      <c r="NUE76" s="343" t="s">
        <v>252</v>
      </c>
      <c r="NUF76" s="343" t="s">
        <v>1300</v>
      </c>
      <c r="NUG76" s="343" t="s">
        <v>252</v>
      </c>
      <c r="NUH76" s="343" t="s">
        <v>1300</v>
      </c>
      <c r="NUI76" s="343" t="s">
        <v>252</v>
      </c>
      <c r="NUJ76" s="343" t="s">
        <v>1300</v>
      </c>
      <c r="NUK76" s="343" t="s">
        <v>252</v>
      </c>
      <c r="NUL76" s="343" t="s">
        <v>1300</v>
      </c>
      <c r="NUM76" s="343" t="s">
        <v>252</v>
      </c>
      <c r="NUN76" s="343" t="s">
        <v>1300</v>
      </c>
      <c r="NUO76" s="343" t="s">
        <v>252</v>
      </c>
      <c r="NUP76" s="343" t="s">
        <v>1300</v>
      </c>
      <c r="NUQ76" s="343" t="s">
        <v>252</v>
      </c>
      <c r="NUR76" s="343" t="s">
        <v>1300</v>
      </c>
      <c r="NUS76" s="343" t="s">
        <v>252</v>
      </c>
      <c r="NUT76" s="343" t="s">
        <v>1300</v>
      </c>
      <c r="NUU76" s="343" t="s">
        <v>252</v>
      </c>
      <c r="NUV76" s="343" t="s">
        <v>1300</v>
      </c>
      <c r="NUW76" s="343" t="s">
        <v>252</v>
      </c>
      <c r="NUX76" s="343" t="s">
        <v>1300</v>
      </c>
      <c r="NUY76" s="343" t="s">
        <v>252</v>
      </c>
      <c r="NUZ76" s="343" t="s">
        <v>1300</v>
      </c>
      <c r="NVA76" s="343" t="s">
        <v>252</v>
      </c>
      <c r="NVB76" s="343" t="s">
        <v>1300</v>
      </c>
      <c r="NVC76" s="343" t="s">
        <v>252</v>
      </c>
      <c r="NVD76" s="343" t="s">
        <v>1300</v>
      </c>
      <c r="NVE76" s="343" t="s">
        <v>252</v>
      </c>
      <c r="NVF76" s="343" t="s">
        <v>1300</v>
      </c>
      <c r="NVG76" s="343" t="s">
        <v>252</v>
      </c>
      <c r="NVH76" s="343" t="s">
        <v>1300</v>
      </c>
      <c r="NVI76" s="343" t="s">
        <v>252</v>
      </c>
      <c r="NVJ76" s="343" t="s">
        <v>1300</v>
      </c>
      <c r="NVK76" s="343" t="s">
        <v>252</v>
      </c>
      <c r="NVL76" s="343" t="s">
        <v>1300</v>
      </c>
      <c r="NVM76" s="343" t="s">
        <v>252</v>
      </c>
      <c r="NVN76" s="343" t="s">
        <v>1300</v>
      </c>
      <c r="NVO76" s="343" t="s">
        <v>252</v>
      </c>
      <c r="NVP76" s="343" t="s">
        <v>1300</v>
      </c>
      <c r="NVQ76" s="343" t="s">
        <v>252</v>
      </c>
      <c r="NVR76" s="343" t="s">
        <v>1300</v>
      </c>
      <c r="NVS76" s="343" t="s">
        <v>252</v>
      </c>
      <c r="NVT76" s="343" t="s">
        <v>1300</v>
      </c>
      <c r="NVU76" s="343" t="s">
        <v>252</v>
      </c>
      <c r="NVV76" s="343" t="s">
        <v>1300</v>
      </c>
      <c r="NVW76" s="343" t="s">
        <v>252</v>
      </c>
      <c r="NVX76" s="343" t="s">
        <v>1300</v>
      </c>
      <c r="NVY76" s="343" t="s">
        <v>252</v>
      </c>
      <c r="NVZ76" s="343" t="s">
        <v>1300</v>
      </c>
      <c r="NWA76" s="343" t="s">
        <v>252</v>
      </c>
      <c r="NWB76" s="343" t="s">
        <v>1300</v>
      </c>
      <c r="NWC76" s="343" t="s">
        <v>252</v>
      </c>
      <c r="NWD76" s="343" t="s">
        <v>1300</v>
      </c>
      <c r="NWE76" s="343" t="s">
        <v>252</v>
      </c>
      <c r="NWF76" s="343" t="s">
        <v>1300</v>
      </c>
      <c r="NWG76" s="343" t="s">
        <v>252</v>
      </c>
      <c r="NWH76" s="343" t="s">
        <v>1300</v>
      </c>
      <c r="NWI76" s="343" t="s">
        <v>252</v>
      </c>
      <c r="NWJ76" s="343" t="s">
        <v>1300</v>
      </c>
      <c r="NWK76" s="343" t="s">
        <v>252</v>
      </c>
      <c r="NWL76" s="343" t="s">
        <v>1300</v>
      </c>
      <c r="NWM76" s="343" t="s">
        <v>252</v>
      </c>
      <c r="NWN76" s="343" t="s">
        <v>1300</v>
      </c>
      <c r="NWO76" s="343" t="s">
        <v>252</v>
      </c>
      <c r="NWP76" s="343" t="s">
        <v>1300</v>
      </c>
      <c r="NWQ76" s="343" t="s">
        <v>252</v>
      </c>
      <c r="NWR76" s="343" t="s">
        <v>1300</v>
      </c>
      <c r="NWS76" s="343" t="s">
        <v>252</v>
      </c>
      <c r="NWT76" s="343" t="s">
        <v>1300</v>
      </c>
      <c r="NWU76" s="343" t="s">
        <v>252</v>
      </c>
      <c r="NWV76" s="343" t="s">
        <v>1300</v>
      </c>
      <c r="NWW76" s="343" t="s">
        <v>252</v>
      </c>
      <c r="NWX76" s="343" t="s">
        <v>1300</v>
      </c>
      <c r="NWY76" s="343" t="s">
        <v>252</v>
      </c>
      <c r="NWZ76" s="343" t="s">
        <v>1300</v>
      </c>
      <c r="NXA76" s="343" t="s">
        <v>252</v>
      </c>
      <c r="NXB76" s="343" t="s">
        <v>1300</v>
      </c>
      <c r="NXC76" s="343" t="s">
        <v>252</v>
      </c>
      <c r="NXD76" s="343" t="s">
        <v>1300</v>
      </c>
      <c r="NXE76" s="343" t="s">
        <v>252</v>
      </c>
      <c r="NXF76" s="343" t="s">
        <v>1300</v>
      </c>
      <c r="NXG76" s="343" t="s">
        <v>252</v>
      </c>
      <c r="NXH76" s="343" t="s">
        <v>1300</v>
      </c>
      <c r="NXI76" s="343" t="s">
        <v>252</v>
      </c>
      <c r="NXJ76" s="343" t="s">
        <v>1300</v>
      </c>
      <c r="NXK76" s="343" t="s">
        <v>252</v>
      </c>
      <c r="NXL76" s="343" t="s">
        <v>1300</v>
      </c>
      <c r="NXM76" s="343" t="s">
        <v>252</v>
      </c>
      <c r="NXN76" s="343" t="s">
        <v>1300</v>
      </c>
      <c r="NXO76" s="343" t="s">
        <v>252</v>
      </c>
      <c r="NXP76" s="343" t="s">
        <v>1300</v>
      </c>
      <c r="NXQ76" s="343" t="s">
        <v>252</v>
      </c>
      <c r="NXR76" s="343" t="s">
        <v>1300</v>
      </c>
      <c r="NXS76" s="343" t="s">
        <v>252</v>
      </c>
      <c r="NXT76" s="343" t="s">
        <v>1300</v>
      </c>
      <c r="NXU76" s="343" t="s">
        <v>252</v>
      </c>
      <c r="NXV76" s="343" t="s">
        <v>1300</v>
      </c>
      <c r="NXW76" s="343" t="s">
        <v>252</v>
      </c>
      <c r="NXX76" s="343" t="s">
        <v>1300</v>
      </c>
      <c r="NXY76" s="343" t="s">
        <v>252</v>
      </c>
      <c r="NXZ76" s="343" t="s">
        <v>1300</v>
      </c>
      <c r="NYA76" s="343" t="s">
        <v>252</v>
      </c>
      <c r="NYB76" s="343" t="s">
        <v>1300</v>
      </c>
      <c r="NYC76" s="343" t="s">
        <v>252</v>
      </c>
      <c r="NYD76" s="343" t="s">
        <v>1300</v>
      </c>
      <c r="NYE76" s="343" t="s">
        <v>252</v>
      </c>
      <c r="NYF76" s="343" t="s">
        <v>1300</v>
      </c>
      <c r="NYG76" s="343" t="s">
        <v>252</v>
      </c>
      <c r="NYH76" s="343" t="s">
        <v>1300</v>
      </c>
      <c r="NYI76" s="343" t="s">
        <v>252</v>
      </c>
      <c r="NYJ76" s="343" t="s">
        <v>1300</v>
      </c>
      <c r="NYK76" s="343" t="s">
        <v>252</v>
      </c>
      <c r="NYL76" s="343" t="s">
        <v>1300</v>
      </c>
      <c r="NYM76" s="343" t="s">
        <v>252</v>
      </c>
      <c r="NYN76" s="343" t="s">
        <v>1300</v>
      </c>
      <c r="NYO76" s="343" t="s">
        <v>252</v>
      </c>
      <c r="NYP76" s="343" t="s">
        <v>1300</v>
      </c>
      <c r="NYQ76" s="343" t="s">
        <v>252</v>
      </c>
      <c r="NYR76" s="343" t="s">
        <v>1300</v>
      </c>
      <c r="NYS76" s="343" t="s">
        <v>252</v>
      </c>
      <c r="NYT76" s="343" t="s">
        <v>1300</v>
      </c>
      <c r="NYU76" s="343" t="s">
        <v>252</v>
      </c>
      <c r="NYV76" s="343" t="s">
        <v>1300</v>
      </c>
      <c r="NYW76" s="343" t="s">
        <v>252</v>
      </c>
      <c r="NYX76" s="343" t="s">
        <v>1300</v>
      </c>
      <c r="NYY76" s="343" t="s">
        <v>252</v>
      </c>
      <c r="NYZ76" s="343" t="s">
        <v>1300</v>
      </c>
      <c r="NZA76" s="343" t="s">
        <v>252</v>
      </c>
      <c r="NZB76" s="343" t="s">
        <v>1300</v>
      </c>
      <c r="NZC76" s="343" t="s">
        <v>252</v>
      </c>
      <c r="NZD76" s="343" t="s">
        <v>1300</v>
      </c>
      <c r="NZE76" s="343" t="s">
        <v>252</v>
      </c>
      <c r="NZF76" s="343" t="s">
        <v>1300</v>
      </c>
      <c r="NZG76" s="343" t="s">
        <v>252</v>
      </c>
      <c r="NZH76" s="343" t="s">
        <v>1300</v>
      </c>
      <c r="NZI76" s="343" t="s">
        <v>252</v>
      </c>
      <c r="NZJ76" s="343" t="s">
        <v>1300</v>
      </c>
      <c r="NZK76" s="343" t="s">
        <v>252</v>
      </c>
      <c r="NZL76" s="343" t="s">
        <v>1300</v>
      </c>
      <c r="NZM76" s="343" t="s">
        <v>252</v>
      </c>
      <c r="NZN76" s="343" t="s">
        <v>1300</v>
      </c>
      <c r="NZO76" s="343" t="s">
        <v>252</v>
      </c>
      <c r="NZP76" s="343" t="s">
        <v>1300</v>
      </c>
      <c r="NZQ76" s="343" t="s">
        <v>252</v>
      </c>
      <c r="NZR76" s="343" t="s">
        <v>1300</v>
      </c>
      <c r="NZS76" s="343" t="s">
        <v>252</v>
      </c>
      <c r="NZT76" s="343" t="s">
        <v>1300</v>
      </c>
      <c r="NZU76" s="343" t="s">
        <v>252</v>
      </c>
      <c r="NZV76" s="343" t="s">
        <v>1300</v>
      </c>
      <c r="NZW76" s="343" t="s">
        <v>252</v>
      </c>
      <c r="NZX76" s="343" t="s">
        <v>1300</v>
      </c>
      <c r="NZY76" s="343" t="s">
        <v>252</v>
      </c>
      <c r="NZZ76" s="343" t="s">
        <v>1300</v>
      </c>
      <c r="OAA76" s="343" t="s">
        <v>252</v>
      </c>
      <c r="OAB76" s="343" t="s">
        <v>1300</v>
      </c>
      <c r="OAC76" s="343" t="s">
        <v>252</v>
      </c>
      <c r="OAD76" s="343" t="s">
        <v>1300</v>
      </c>
      <c r="OAE76" s="343" t="s">
        <v>252</v>
      </c>
      <c r="OAF76" s="343" t="s">
        <v>1300</v>
      </c>
      <c r="OAG76" s="343" t="s">
        <v>252</v>
      </c>
      <c r="OAH76" s="343" t="s">
        <v>1300</v>
      </c>
      <c r="OAI76" s="343" t="s">
        <v>252</v>
      </c>
      <c r="OAJ76" s="343" t="s">
        <v>1300</v>
      </c>
      <c r="OAK76" s="343" t="s">
        <v>252</v>
      </c>
      <c r="OAL76" s="343" t="s">
        <v>1300</v>
      </c>
      <c r="OAM76" s="343" t="s">
        <v>252</v>
      </c>
      <c r="OAN76" s="343" t="s">
        <v>1300</v>
      </c>
      <c r="OAO76" s="343" t="s">
        <v>252</v>
      </c>
      <c r="OAP76" s="343" t="s">
        <v>1300</v>
      </c>
      <c r="OAQ76" s="343" t="s">
        <v>252</v>
      </c>
      <c r="OAR76" s="343" t="s">
        <v>1300</v>
      </c>
      <c r="OAS76" s="343" t="s">
        <v>252</v>
      </c>
      <c r="OAT76" s="343" t="s">
        <v>1300</v>
      </c>
      <c r="OAU76" s="343" t="s">
        <v>252</v>
      </c>
      <c r="OAV76" s="343" t="s">
        <v>1300</v>
      </c>
      <c r="OAW76" s="343" t="s">
        <v>252</v>
      </c>
      <c r="OAX76" s="343" t="s">
        <v>1300</v>
      </c>
      <c r="OAY76" s="343" t="s">
        <v>252</v>
      </c>
      <c r="OAZ76" s="343" t="s">
        <v>1300</v>
      </c>
      <c r="OBA76" s="343" t="s">
        <v>252</v>
      </c>
      <c r="OBB76" s="343" t="s">
        <v>1300</v>
      </c>
      <c r="OBC76" s="343" t="s">
        <v>252</v>
      </c>
      <c r="OBD76" s="343" t="s">
        <v>1300</v>
      </c>
      <c r="OBE76" s="343" t="s">
        <v>252</v>
      </c>
      <c r="OBF76" s="343" t="s">
        <v>1300</v>
      </c>
      <c r="OBG76" s="343" t="s">
        <v>252</v>
      </c>
      <c r="OBH76" s="343" t="s">
        <v>1300</v>
      </c>
      <c r="OBI76" s="343" t="s">
        <v>252</v>
      </c>
      <c r="OBJ76" s="343" t="s">
        <v>1300</v>
      </c>
      <c r="OBK76" s="343" t="s">
        <v>252</v>
      </c>
      <c r="OBL76" s="343" t="s">
        <v>1300</v>
      </c>
      <c r="OBM76" s="343" t="s">
        <v>252</v>
      </c>
      <c r="OBN76" s="343" t="s">
        <v>1300</v>
      </c>
      <c r="OBO76" s="343" t="s">
        <v>252</v>
      </c>
      <c r="OBP76" s="343" t="s">
        <v>1300</v>
      </c>
      <c r="OBQ76" s="343" t="s">
        <v>252</v>
      </c>
      <c r="OBR76" s="343" t="s">
        <v>1300</v>
      </c>
      <c r="OBS76" s="343" t="s">
        <v>252</v>
      </c>
      <c r="OBT76" s="343" t="s">
        <v>1300</v>
      </c>
      <c r="OBU76" s="343" t="s">
        <v>252</v>
      </c>
      <c r="OBV76" s="343" t="s">
        <v>1300</v>
      </c>
      <c r="OBW76" s="343" t="s">
        <v>252</v>
      </c>
      <c r="OBX76" s="343" t="s">
        <v>1300</v>
      </c>
      <c r="OBY76" s="343" t="s">
        <v>252</v>
      </c>
      <c r="OBZ76" s="343" t="s">
        <v>1300</v>
      </c>
      <c r="OCA76" s="343" t="s">
        <v>252</v>
      </c>
      <c r="OCB76" s="343" t="s">
        <v>1300</v>
      </c>
      <c r="OCC76" s="343" t="s">
        <v>252</v>
      </c>
      <c r="OCD76" s="343" t="s">
        <v>1300</v>
      </c>
      <c r="OCE76" s="343" t="s">
        <v>252</v>
      </c>
      <c r="OCF76" s="343" t="s">
        <v>1300</v>
      </c>
      <c r="OCG76" s="343" t="s">
        <v>252</v>
      </c>
      <c r="OCH76" s="343" t="s">
        <v>1300</v>
      </c>
      <c r="OCI76" s="343" t="s">
        <v>252</v>
      </c>
      <c r="OCJ76" s="343" t="s">
        <v>1300</v>
      </c>
      <c r="OCK76" s="343" t="s">
        <v>252</v>
      </c>
      <c r="OCL76" s="343" t="s">
        <v>1300</v>
      </c>
      <c r="OCM76" s="343" t="s">
        <v>252</v>
      </c>
      <c r="OCN76" s="343" t="s">
        <v>1300</v>
      </c>
      <c r="OCO76" s="343" t="s">
        <v>252</v>
      </c>
      <c r="OCP76" s="343" t="s">
        <v>1300</v>
      </c>
      <c r="OCQ76" s="343" t="s">
        <v>252</v>
      </c>
      <c r="OCR76" s="343" t="s">
        <v>1300</v>
      </c>
      <c r="OCS76" s="343" t="s">
        <v>252</v>
      </c>
      <c r="OCT76" s="343" t="s">
        <v>1300</v>
      </c>
      <c r="OCU76" s="343" t="s">
        <v>252</v>
      </c>
      <c r="OCV76" s="343" t="s">
        <v>1300</v>
      </c>
      <c r="OCW76" s="343" t="s">
        <v>252</v>
      </c>
      <c r="OCX76" s="343" t="s">
        <v>1300</v>
      </c>
      <c r="OCY76" s="343" t="s">
        <v>252</v>
      </c>
      <c r="OCZ76" s="343" t="s">
        <v>1300</v>
      </c>
      <c r="ODA76" s="343" t="s">
        <v>252</v>
      </c>
      <c r="ODB76" s="343" t="s">
        <v>1300</v>
      </c>
      <c r="ODC76" s="343" t="s">
        <v>252</v>
      </c>
      <c r="ODD76" s="343" t="s">
        <v>1300</v>
      </c>
      <c r="ODE76" s="343" t="s">
        <v>252</v>
      </c>
      <c r="ODF76" s="343" t="s">
        <v>1300</v>
      </c>
      <c r="ODG76" s="343" t="s">
        <v>252</v>
      </c>
      <c r="ODH76" s="343" t="s">
        <v>1300</v>
      </c>
      <c r="ODI76" s="343" t="s">
        <v>252</v>
      </c>
      <c r="ODJ76" s="343" t="s">
        <v>1300</v>
      </c>
      <c r="ODK76" s="343" t="s">
        <v>252</v>
      </c>
      <c r="ODL76" s="343" t="s">
        <v>1300</v>
      </c>
      <c r="ODM76" s="343" t="s">
        <v>252</v>
      </c>
      <c r="ODN76" s="343" t="s">
        <v>1300</v>
      </c>
      <c r="ODO76" s="343" t="s">
        <v>252</v>
      </c>
      <c r="ODP76" s="343" t="s">
        <v>1300</v>
      </c>
      <c r="ODQ76" s="343" t="s">
        <v>252</v>
      </c>
      <c r="ODR76" s="343" t="s">
        <v>1300</v>
      </c>
      <c r="ODS76" s="343" t="s">
        <v>252</v>
      </c>
      <c r="ODT76" s="343" t="s">
        <v>1300</v>
      </c>
      <c r="ODU76" s="343" t="s">
        <v>252</v>
      </c>
      <c r="ODV76" s="343" t="s">
        <v>1300</v>
      </c>
      <c r="ODW76" s="343" t="s">
        <v>252</v>
      </c>
      <c r="ODX76" s="343" t="s">
        <v>1300</v>
      </c>
      <c r="ODY76" s="343" t="s">
        <v>252</v>
      </c>
      <c r="ODZ76" s="343" t="s">
        <v>1300</v>
      </c>
      <c r="OEA76" s="343" t="s">
        <v>252</v>
      </c>
      <c r="OEB76" s="343" t="s">
        <v>1300</v>
      </c>
      <c r="OEC76" s="343" t="s">
        <v>252</v>
      </c>
      <c r="OED76" s="343" t="s">
        <v>1300</v>
      </c>
      <c r="OEE76" s="343" t="s">
        <v>252</v>
      </c>
      <c r="OEF76" s="343" t="s">
        <v>1300</v>
      </c>
      <c r="OEG76" s="343" t="s">
        <v>252</v>
      </c>
      <c r="OEH76" s="343" t="s">
        <v>1300</v>
      </c>
      <c r="OEI76" s="343" t="s">
        <v>252</v>
      </c>
      <c r="OEJ76" s="343" t="s">
        <v>1300</v>
      </c>
      <c r="OEK76" s="343" t="s">
        <v>252</v>
      </c>
      <c r="OEL76" s="343" t="s">
        <v>1300</v>
      </c>
      <c r="OEM76" s="343" t="s">
        <v>252</v>
      </c>
      <c r="OEN76" s="343" t="s">
        <v>1300</v>
      </c>
      <c r="OEO76" s="343" t="s">
        <v>252</v>
      </c>
      <c r="OEP76" s="343" t="s">
        <v>1300</v>
      </c>
      <c r="OEQ76" s="343" t="s">
        <v>252</v>
      </c>
      <c r="OER76" s="343" t="s">
        <v>1300</v>
      </c>
      <c r="OES76" s="343" t="s">
        <v>252</v>
      </c>
      <c r="OET76" s="343" t="s">
        <v>1300</v>
      </c>
      <c r="OEU76" s="343" t="s">
        <v>252</v>
      </c>
      <c r="OEV76" s="343" t="s">
        <v>1300</v>
      </c>
      <c r="OEW76" s="343" t="s">
        <v>252</v>
      </c>
      <c r="OEX76" s="343" t="s">
        <v>1300</v>
      </c>
      <c r="OEY76" s="343" t="s">
        <v>252</v>
      </c>
      <c r="OEZ76" s="343" t="s">
        <v>1300</v>
      </c>
      <c r="OFA76" s="343" t="s">
        <v>252</v>
      </c>
      <c r="OFB76" s="343" t="s">
        <v>1300</v>
      </c>
      <c r="OFC76" s="343" t="s">
        <v>252</v>
      </c>
      <c r="OFD76" s="343" t="s">
        <v>1300</v>
      </c>
      <c r="OFE76" s="343" t="s">
        <v>252</v>
      </c>
      <c r="OFF76" s="343" t="s">
        <v>1300</v>
      </c>
      <c r="OFG76" s="343" t="s">
        <v>252</v>
      </c>
      <c r="OFH76" s="343" t="s">
        <v>1300</v>
      </c>
      <c r="OFI76" s="343" t="s">
        <v>252</v>
      </c>
      <c r="OFJ76" s="343" t="s">
        <v>1300</v>
      </c>
      <c r="OFK76" s="343" t="s">
        <v>252</v>
      </c>
      <c r="OFL76" s="343" t="s">
        <v>1300</v>
      </c>
      <c r="OFM76" s="343" t="s">
        <v>252</v>
      </c>
      <c r="OFN76" s="343" t="s">
        <v>1300</v>
      </c>
      <c r="OFO76" s="343" t="s">
        <v>252</v>
      </c>
      <c r="OFP76" s="343" t="s">
        <v>1300</v>
      </c>
      <c r="OFQ76" s="343" t="s">
        <v>252</v>
      </c>
      <c r="OFR76" s="343" t="s">
        <v>1300</v>
      </c>
      <c r="OFS76" s="343" t="s">
        <v>252</v>
      </c>
      <c r="OFT76" s="343" t="s">
        <v>1300</v>
      </c>
      <c r="OFU76" s="343" t="s">
        <v>252</v>
      </c>
      <c r="OFV76" s="343" t="s">
        <v>1300</v>
      </c>
      <c r="OFW76" s="343" t="s">
        <v>252</v>
      </c>
      <c r="OFX76" s="343" t="s">
        <v>1300</v>
      </c>
      <c r="OFY76" s="343" t="s">
        <v>252</v>
      </c>
      <c r="OFZ76" s="343" t="s">
        <v>1300</v>
      </c>
      <c r="OGA76" s="343" t="s">
        <v>252</v>
      </c>
      <c r="OGB76" s="343" t="s">
        <v>1300</v>
      </c>
      <c r="OGC76" s="343" t="s">
        <v>252</v>
      </c>
      <c r="OGD76" s="343" t="s">
        <v>1300</v>
      </c>
      <c r="OGE76" s="343" t="s">
        <v>252</v>
      </c>
      <c r="OGF76" s="343" t="s">
        <v>1300</v>
      </c>
      <c r="OGG76" s="343" t="s">
        <v>252</v>
      </c>
      <c r="OGH76" s="343" t="s">
        <v>1300</v>
      </c>
      <c r="OGI76" s="343" t="s">
        <v>252</v>
      </c>
      <c r="OGJ76" s="343" t="s">
        <v>1300</v>
      </c>
      <c r="OGK76" s="343" t="s">
        <v>252</v>
      </c>
      <c r="OGL76" s="343" t="s">
        <v>1300</v>
      </c>
      <c r="OGM76" s="343" t="s">
        <v>252</v>
      </c>
      <c r="OGN76" s="343" t="s">
        <v>1300</v>
      </c>
      <c r="OGO76" s="343" t="s">
        <v>252</v>
      </c>
      <c r="OGP76" s="343" t="s">
        <v>1300</v>
      </c>
      <c r="OGQ76" s="343" t="s">
        <v>252</v>
      </c>
      <c r="OGR76" s="343" t="s">
        <v>1300</v>
      </c>
      <c r="OGS76" s="343" t="s">
        <v>252</v>
      </c>
      <c r="OGT76" s="343" t="s">
        <v>1300</v>
      </c>
      <c r="OGU76" s="343" t="s">
        <v>252</v>
      </c>
      <c r="OGV76" s="343" t="s">
        <v>1300</v>
      </c>
      <c r="OGW76" s="343" t="s">
        <v>252</v>
      </c>
      <c r="OGX76" s="343" t="s">
        <v>1300</v>
      </c>
      <c r="OGY76" s="343" t="s">
        <v>252</v>
      </c>
      <c r="OGZ76" s="343" t="s">
        <v>1300</v>
      </c>
      <c r="OHA76" s="343" t="s">
        <v>252</v>
      </c>
      <c r="OHB76" s="343" t="s">
        <v>1300</v>
      </c>
      <c r="OHC76" s="343" t="s">
        <v>252</v>
      </c>
      <c r="OHD76" s="343" t="s">
        <v>1300</v>
      </c>
      <c r="OHE76" s="343" t="s">
        <v>252</v>
      </c>
      <c r="OHF76" s="343" t="s">
        <v>1300</v>
      </c>
      <c r="OHG76" s="343" t="s">
        <v>252</v>
      </c>
      <c r="OHH76" s="343" t="s">
        <v>1300</v>
      </c>
      <c r="OHI76" s="343" t="s">
        <v>252</v>
      </c>
      <c r="OHJ76" s="343" t="s">
        <v>1300</v>
      </c>
      <c r="OHK76" s="343" t="s">
        <v>252</v>
      </c>
      <c r="OHL76" s="343" t="s">
        <v>1300</v>
      </c>
      <c r="OHM76" s="343" t="s">
        <v>252</v>
      </c>
      <c r="OHN76" s="343" t="s">
        <v>1300</v>
      </c>
      <c r="OHO76" s="343" t="s">
        <v>252</v>
      </c>
      <c r="OHP76" s="343" t="s">
        <v>1300</v>
      </c>
      <c r="OHQ76" s="343" t="s">
        <v>252</v>
      </c>
      <c r="OHR76" s="343" t="s">
        <v>1300</v>
      </c>
      <c r="OHS76" s="343" t="s">
        <v>252</v>
      </c>
      <c r="OHT76" s="343" t="s">
        <v>1300</v>
      </c>
      <c r="OHU76" s="343" t="s">
        <v>252</v>
      </c>
      <c r="OHV76" s="343" t="s">
        <v>1300</v>
      </c>
      <c r="OHW76" s="343" t="s">
        <v>252</v>
      </c>
      <c r="OHX76" s="343" t="s">
        <v>1300</v>
      </c>
      <c r="OHY76" s="343" t="s">
        <v>252</v>
      </c>
      <c r="OHZ76" s="343" t="s">
        <v>1300</v>
      </c>
      <c r="OIA76" s="343" t="s">
        <v>252</v>
      </c>
      <c r="OIB76" s="343" t="s">
        <v>1300</v>
      </c>
      <c r="OIC76" s="343" t="s">
        <v>252</v>
      </c>
      <c r="OID76" s="343" t="s">
        <v>1300</v>
      </c>
      <c r="OIE76" s="343" t="s">
        <v>252</v>
      </c>
      <c r="OIF76" s="343" t="s">
        <v>1300</v>
      </c>
      <c r="OIG76" s="343" t="s">
        <v>252</v>
      </c>
      <c r="OIH76" s="343" t="s">
        <v>1300</v>
      </c>
      <c r="OII76" s="343" t="s">
        <v>252</v>
      </c>
      <c r="OIJ76" s="343" t="s">
        <v>1300</v>
      </c>
      <c r="OIK76" s="343" t="s">
        <v>252</v>
      </c>
      <c r="OIL76" s="343" t="s">
        <v>1300</v>
      </c>
      <c r="OIM76" s="343" t="s">
        <v>252</v>
      </c>
      <c r="OIN76" s="343" t="s">
        <v>1300</v>
      </c>
      <c r="OIO76" s="343" t="s">
        <v>252</v>
      </c>
      <c r="OIP76" s="343" t="s">
        <v>1300</v>
      </c>
      <c r="OIQ76" s="343" t="s">
        <v>252</v>
      </c>
      <c r="OIR76" s="343" t="s">
        <v>1300</v>
      </c>
      <c r="OIS76" s="343" t="s">
        <v>252</v>
      </c>
      <c r="OIT76" s="343" t="s">
        <v>1300</v>
      </c>
      <c r="OIU76" s="343" t="s">
        <v>252</v>
      </c>
      <c r="OIV76" s="343" t="s">
        <v>1300</v>
      </c>
      <c r="OIW76" s="343" t="s">
        <v>252</v>
      </c>
      <c r="OIX76" s="343" t="s">
        <v>1300</v>
      </c>
      <c r="OIY76" s="343" t="s">
        <v>252</v>
      </c>
      <c r="OIZ76" s="343" t="s">
        <v>1300</v>
      </c>
      <c r="OJA76" s="343" t="s">
        <v>252</v>
      </c>
      <c r="OJB76" s="343" t="s">
        <v>1300</v>
      </c>
      <c r="OJC76" s="343" t="s">
        <v>252</v>
      </c>
      <c r="OJD76" s="343" t="s">
        <v>1300</v>
      </c>
      <c r="OJE76" s="343" t="s">
        <v>252</v>
      </c>
      <c r="OJF76" s="343" t="s">
        <v>1300</v>
      </c>
      <c r="OJG76" s="343" t="s">
        <v>252</v>
      </c>
      <c r="OJH76" s="343" t="s">
        <v>1300</v>
      </c>
      <c r="OJI76" s="343" t="s">
        <v>252</v>
      </c>
      <c r="OJJ76" s="343" t="s">
        <v>1300</v>
      </c>
      <c r="OJK76" s="343" t="s">
        <v>252</v>
      </c>
      <c r="OJL76" s="343" t="s">
        <v>1300</v>
      </c>
      <c r="OJM76" s="343" t="s">
        <v>252</v>
      </c>
      <c r="OJN76" s="343" t="s">
        <v>1300</v>
      </c>
      <c r="OJO76" s="343" t="s">
        <v>252</v>
      </c>
      <c r="OJP76" s="343" t="s">
        <v>1300</v>
      </c>
      <c r="OJQ76" s="343" t="s">
        <v>252</v>
      </c>
      <c r="OJR76" s="343" t="s">
        <v>1300</v>
      </c>
      <c r="OJS76" s="343" t="s">
        <v>252</v>
      </c>
      <c r="OJT76" s="343" t="s">
        <v>1300</v>
      </c>
      <c r="OJU76" s="343" t="s">
        <v>252</v>
      </c>
      <c r="OJV76" s="343" t="s">
        <v>1300</v>
      </c>
      <c r="OJW76" s="343" t="s">
        <v>252</v>
      </c>
      <c r="OJX76" s="343" t="s">
        <v>1300</v>
      </c>
      <c r="OJY76" s="343" t="s">
        <v>252</v>
      </c>
      <c r="OJZ76" s="343" t="s">
        <v>1300</v>
      </c>
      <c r="OKA76" s="343" t="s">
        <v>252</v>
      </c>
      <c r="OKB76" s="343" t="s">
        <v>1300</v>
      </c>
      <c r="OKC76" s="343" t="s">
        <v>252</v>
      </c>
      <c r="OKD76" s="343" t="s">
        <v>1300</v>
      </c>
      <c r="OKE76" s="343" t="s">
        <v>252</v>
      </c>
      <c r="OKF76" s="343" t="s">
        <v>1300</v>
      </c>
      <c r="OKG76" s="343" t="s">
        <v>252</v>
      </c>
      <c r="OKH76" s="343" t="s">
        <v>1300</v>
      </c>
      <c r="OKI76" s="343" t="s">
        <v>252</v>
      </c>
      <c r="OKJ76" s="343" t="s">
        <v>1300</v>
      </c>
      <c r="OKK76" s="343" t="s">
        <v>252</v>
      </c>
      <c r="OKL76" s="343" t="s">
        <v>1300</v>
      </c>
      <c r="OKM76" s="343" t="s">
        <v>252</v>
      </c>
      <c r="OKN76" s="343" t="s">
        <v>1300</v>
      </c>
      <c r="OKO76" s="343" t="s">
        <v>252</v>
      </c>
      <c r="OKP76" s="343" t="s">
        <v>1300</v>
      </c>
      <c r="OKQ76" s="343" t="s">
        <v>252</v>
      </c>
      <c r="OKR76" s="343" t="s">
        <v>1300</v>
      </c>
      <c r="OKS76" s="343" t="s">
        <v>252</v>
      </c>
      <c r="OKT76" s="343" t="s">
        <v>1300</v>
      </c>
      <c r="OKU76" s="343" t="s">
        <v>252</v>
      </c>
      <c r="OKV76" s="343" t="s">
        <v>1300</v>
      </c>
      <c r="OKW76" s="343" t="s">
        <v>252</v>
      </c>
      <c r="OKX76" s="343" t="s">
        <v>1300</v>
      </c>
      <c r="OKY76" s="343" t="s">
        <v>252</v>
      </c>
      <c r="OKZ76" s="343" t="s">
        <v>1300</v>
      </c>
      <c r="OLA76" s="343" t="s">
        <v>252</v>
      </c>
      <c r="OLB76" s="343" t="s">
        <v>1300</v>
      </c>
      <c r="OLC76" s="343" t="s">
        <v>252</v>
      </c>
      <c r="OLD76" s="343" t="s">
        <v>1300</v>
      </c>
      <c r="OLE76" s="343" t="s">
        <v>252</v>
      </c>
      <c r="OLF76" s="343" t="s">
        <v>1300</v>
      </c>
      <c r="OLG76" s="343" t="s">
        <v>252</v>
      </c>
      <c r="OLH76" s="343" t="s">
        <v>1300</v>
      </c>
      <c r="OLI76" s="343" t="s">
        <v>252</v>
      </c>
      <c r="OLJ76" s="343" t="s">
        <v>1300</v>
      </c>
      <c r="OLK76" s="343" t="s">
        <v>252</v>
      </c>
      <c r="OLL76" s="343" t="s">
        <v>1300</v>
      </c>
      <c r="OLM76" s="343" t="s">
        <v>252</v>
      </c>
      <c r="OLN76" s="343" t="s">
        <v>1300</v>
      </c>
      <c r="OLO76" s="343" t="s">
        <v>252</v>
      </c>
      <c r="OLP76" s="343" t="s">
        <v>1300</v>
      </c>
      <c r="OLQ76" s="343" t="s">
        <v>252</v>
      </c>
      <c r="OLR76" s="343" t="s">
        <v>1300</v>
      </c>
      <c r="OLS76" s="343" t="s">
        <v>252</v>
      </c>
      <c r="OLT76" s="343" t="s">
        <v>1300</v>
      </c>
      <c r="OLU76" s="343" t="s">
        <v>252</v>
      </c>
      <c r="OLV76" s="343" t="s">
        <v>1300</v>
      </c>
      <c r="OLW76" s="343" t="s">
        <v>252</v>
      </c>
      <c r="OLX76" s="343" t="s">
        <v>1300</v>
      </c>
      <c r="OLY76" s="343" t="s">
        <v>252</v>
      </c>
      <c r="OLZ76" s="343" t="s">
        <v>1300</v>
      </c>
      <c r="OMA76" s="343" t="s">
        <v>252</v>
      </c>
      <c r="OMB76" s="343" t="s">
        <v>1300</v>
      </c>
      <c r="OMC76" s="343" t="s">
        <v>252</v>
      </c>
      <c r="OMD76" s="343" t="s">
        <v>1300</v>
      </c>
      <c r="OME76" s="343" t="s">
        <v>252</v>
      </c>
      <c r="OMF76" s="343" t="s">
        <v>1300</v>
      </c>
      <c r="OMG76" s="343" t="s">
        <v>252</v>
      </c>
      <c r="OMH76" s="343" t="s">
        <v>1300</v>
      </c>
      <c r="OMI76" s="343" t="s">
        <v>252</v>
      </c>
      <c r="OMJ76" s="343" t="s">
        <v>1300</v>
      </c>
      <c r="OMK76" s="343" t="s">
        <v>252</v>
      </c>
      <c r="OML76" s="343" t="s">
        <v>1300</v>
      </c>
      <c r="OMM76" s="343" t="s">
        <v>252</v>
      </c>
      <c r="OMN76" s="343" t="s">
        <v>1300</v>
      </c>
      <c r="OMO76" s="343" t="s">
        <v>252</v>
      </c>
      <c r="OMP76" s="343" t="s">
        <v>1300</v>
      </c>
      <c r="OMQ76" s="343" t="s">
        <v>252</v>
      </c>
      <c r="OMR76" s="343" t="s">
        <v>1300</v>
      </c>
      <c r="OMS76" s="343" t="s">
        <v>252</v>
      </c>
      <c r="OMT76" s="343" t="s">
        <v>1300</v>
      </c>
      <c r="OMU76" s="343" t="s">
        <v>252</v>
      </c>
      <c r="OMV76" s="343" t="s">
        <v>1300</v>
      </c>
      <c r="OMW76" s="343" t="s">
        <v>252</v>
      </c>
      <c r="OMX76" s="343" t="s">
        <v>1300</v>
      </c>
      <c r="OMY76" s="343" t="s">
        <v>252</v>
      </c>
      <c r="OMZ76" s="343" t="s">
        <v>1300</v>
      </c>
      <c r="ONA76" s="343" t="s">
        <v>252</v>
      </c>
      <c r="ONB76" s="343" t="s">
        <v>1300</v>
      </c>
      <c r="ONC76" s="343" t="s">
        <v>252</v>
      </c>
      <c r="OND76" s="343" t="s">
        <v>1300</v>
      </c>
      <c r="ONE76" s="343" t="s">
        <v>252</v>
      </c>
      <c r="ONF76" s="343" t="s">
        <v>1300</v>
      </c>
      <c r="ONG76" s="343" t="s">
        <v>252</v>
      </c>
      <c r="ONH76" s="343" t="s">
        <v>1300</v>
      </c>
      <c r="ONI76" s="343" t="s">
        <v>252</v>
      </c>
      <c r="ONJ76" s="343" t="s">
        <v>1300</v>
      </c>
      <c r="ONK76" s="343" t="s">
        <v>252</v>
      </c>
      <c r="ONL76" s="343" t="s">
        <v>1300</v>
      </c>
      <c r="ONM76" s="343" t="s">
        <v>252</v>
      </c>
      <c r="ONN76" s="343" t="s">
        <v>1300</v>
      </c>
      <c r="ONO76" s="343" t="s">
        <v>252</v>
      </c>
      <c r="ONP76" s="343" t="s">
        <v>1300</v>
      </c>
      <c r="ONQ76" s="343" t="s">
        <v>252</v>
      </c>
      <c r="ONR76" s="343" t="s">
        <v>1300</v>
      </c>
      <c r="ONS76" s="343" t="s">
        <v>252</v>
      </c>
      <c r="ONT76" s="343" t="s">
        <v>1300</v>
      </c>
      <c r="ONU76" s="343" t="s">
        <v>252</v>
      </c>
      <c r="ONV76" s="343" t="s">
        <v>1300</v>
      </c>
      <c r="ONW76" s="343" t="s">
        <v>252</v>
      </c>
      <c r="ONX76" s="343" t="s">
        <v>1300</v>
      </c>
      <c r="ONY76" s="343" t="s">
        <v>252</v>
      </c>
      <c r="ONZ76" s="343" t="s">
        <v>1300</v>
      </c>
      <c r="OOA76" s="343" t="s">
        <v>252</v>
      </c>
      <c r="OOB76" s="343" t="s">
        <v>1300</v>
      </c>
      <c r="OOC76" s="343" t="s">
        <v>252</v>
      </c>
      <c r="OOD76" s="343" t="s">
        <v>1300</v>
      </c>
      <c r="OOE76" s="343" t="s">
        <v>252</v>
      </c>
      <c r="OOF76" s="343" t="s">
        <v>1300</v>
      </c>
      <c r="OOG76" s="343" t="s">
        <v>252</v>
      </c>
      <c r="OOH76" s="343" t="s">
        <v>1300</v>
      </c>
      <c r="OOI76" s="343" t="s">
        <v>252</v>
      </c>
      <c r="OOJ76" s="343" t="s">
        <v>1300</v>
      </c>
      <c r="OOK76" s="343" t="s">
        <v>252</v>
      </c>
      <c r="OOL76" s="343" t="s">
        <v>1300</v>
      </c>
      <c r="OOM76" s="343" t="s">
        <v>252</v>
      </c>
      <c r="OON76" s="343" t="s">
        <v>1300</v>
      </c>
      <c r="OOO76" s="343" t="s">
        <v>252</v>
      </c>
      <c r="OOP76" s="343" t="s">
        <v>1300</v>
      </c>
      <c r="OOQ76" s="343" t="s">
        <v>252</v>
      </c>
      <c r="OOR76" s="343" t="s">
        <v>1300</v>
      </c>
      <c r="OOS76" s="343" t="s">
        <v>252</v>
      </c>
      <c r="OOT76" s="343" t="s">
        <v>1300</v>
      </c>
      <c r="OOU76" s="343" t="s">
        <v>252</v>
      </c>
      <c r="OOV76" s="343" t="s">
        <v>1300</v>
      </c>
      <c r="OOW76" s="343" t="s">
        <v>252</v>
      </c>
      <c r="OOX76" s="343" t="s">
        <v>1300</v>
      </c>
      <c r="OOY76" s="343" t="s">
        <v>252</v>
      </c>
      <c r="OOZ76" s="343" t="s">
        <v>1300</v>
      </c>
      <c r="OPA76" s="343" t="s">
        <v>252</v>
      </c>
      <c r="OPB76" s="343" t="s">
        <v>1300</v>
      </c>
      <c r="OPC76" s="343" t="s">
        <v>252</v>
      </c>
      <c r="OPD76" s="343" t="s">
        <v>1300</v>
      </c>
      <c r="OPE76" s="343" t="s">
        <v>252</v>
      </c>
      <c r="OPF76" s="343" t="s">
        <v>1300</v>
      </c>
      <c r="OPG76" s="343" t="s">
        <v>252</v>
      </c>
      <c r="OPH76" s="343" t="s">
        <v>1300</v>
      </c>
      <c r="OPI76" s="343" t="s">
        <v>252</v>
      </c>
      <c r="OPJ76" s="343" t="s">
        <v>1300</v>
      </c>
      <c r="OPK76" s="343" t="s">
        <v>252</v>
      </c>
      <c r="OPL76" s="343" t="s">
        <v>1300</v>
      </c>
      <c r="OPM76" s="343" t="s">
        <v>252</v>
      </c>
      <c r="OPN76" s="343" t="s">
        <v>1300</v>
      </c>
      <c r="OPO76" s="343" t="s">
        <v>252</v>
      </c>
      <c r="OPP76" s="343" t="s">
        <v>1300</v>
      </c>
      <c r="OPQ76" s="343" t="s">
        <v>252</v>
      </c>
      <c r="OPR76" s="343" t="s">
        <v>1300</v>
      </c>
      <c r="OPS76" s="343" t="s">
        <v>252</v>
      </c>
      <c r="OPT76" s="343" t="s">
        <v>1300</v>
      </c>
      <c r="OPU76" s="343" t="s">
        <v>252</v>
      </c>
      <c r="OPV76" s="343" t="s">
        <v>1300</v>
      </c>
      <c r="OPW76" s="343" t="s">
        <v>252</v>
      </c>
      <c r="OPX76" s="343" t="s">
        <v>1300</v>
      </c>
      <c r="OPY76" s="343" t="s">
        <v>252</v>
      </c>
      <c r="OPZ76" s="343" t="s">
        <v>1300</v>
      </c>
      <c r="OQA76" s="343" t="s">
        <v>252</v>
      </c>
      <c r="OQB76" s="343" t="s">
        <v>1300</v>
      </c>
      <c r="OQC76" s="343" t="s">
        <v>252</v>
      </c>
      <c r="OQD76" s="343" t="s">
        <v>1300</v>
      </c>
      <c r="OQE76" s="343" t="s">
        <v>252</v>
      </c>
      <c r="OQF76" s="343" t="s">
        <v>1300</v>
      </c>
      <c r="OQG76" s="343" t="s">
        <v>252</v>
      </c>
      <c r="OQH76" s="343" t="s">
        <v>1300</v>
      </c>
      <c r="OQI76" s="343" t="s">
        <v>252</v>
      </c>
      <c r="OQJ76" s="343" t="s">
        <v>1300</v>
      </c>
      <c r="OQK76" s="343" t="s">
        <v>252</v>
      </c>
      <c r="OQL76" s="343" t="s">
        <v>1300</v>
      </c>
      <c r="OQM76" s="343" t="s">
        <v>252</v>
      </c>
      <c r="OQN76" s="343" t="s">
        <v>1300</v>
      </c>
      <c r="OQO76" s="343" t="s">
        <v>252</v>
      </c>
      <c r="OQP76" s="343" t="s">
        <v>1300</v>
      </c>
      <c r="OQQ76" s="343" t="s">
        <v>252</v>
      </c>
      <c r="OQR76" s="343" t="s">
        <v>1300</v>
      </c>
      <c r="OQS76" s="343" t="s">
        <v>252</v>
      </c>
      <c r="OQT76" s="343" t="s">
        <v>1300</v>
      </c>
      <c r="OQU76" s="343" t="s">
        <v>252</v>
      </c>
      <c r="OQV76" s="343" t="s">
        <v>1300</v>
      </c>
      <c r="OQW76" s="343" t="s">
        <v>252</v>
      </c>
      <c r="OQX76" s="343" t="s">
        <v>1300</v>
      </c>
      <c r="OQY76" s="343" t="s">
        <v>252</v>
      </c>
      <c r="OQZ76" s="343" t="s">
        <v>1300</v>
      </c>
      <c r="ORA76" s="343" t="s">
        <v>252</v>
      </c>
      <c r="ORB76" s="343" t="s">
        <v>1300</v>
      </c>
      <c r="ORC76" s="343" t="s">
        <v>252</v>
      </c>
      <c r="ORD76" s="343" t="s">
        <v>1300</v>
      </c>
      <c r="ORE76" s="343" t="s">
        <v>252</v>
      </c>
      <c r="ORF76" s="343" t="s">
        <v>1300</v>
      </c>
      <c r="ORG76" s="343" t="s">
        <v>252</v>
      </c>
      <c r="ORH76" s="343" t="s">
        <v>1300</v>
      </c>
      <c r="ORI76" s="343" t="s">
        <v>252</v>
      </c>
      <c r="ORJ76" s="343" t="s">
        <v>1300</v>
      </c>
      <c r="ORK76" s="343" t="s">
        <v>252</v>
      </c>
      <c r="ORL76" s="343" t="s">
        <v>1300</v>
      </c>
      <c r="ORM76" s="343" t="s">
        <v>252</v>
      </c>
      <c r="ORN76" s="343" t="s">
        <v>1300</v>
      </c>
      <c r="ORO76" s="343" t="s">
        <v>252</v>
      </c>
      <c r="ORP76" s="343" t="s">
        <v>1300</v>
      </c>
      <c r="ORQ76" s="343" t="s">
        <v>252</v>
      </c>
      <c r="ORR76" s="343" t="s">
        <v>1300</v>
      </c>
      <c r="ORS76" s="343" t="s">
        <v>252</v>
      </c>
      <c r="ORT76" s="343" t="s">
        <v>1300</v>
      </c>
      <c r="ORU76" s="343" t="s">
        <v>252</v>
      </c>
      <c r="ORV76" s="343" t="s">
        <v>1300</v>
      </c>
      <c r="ORW76" s="343" t="s">
        <v>252</v>
      </c>
      <c r="ORX76" s="343" t="s">
        <v>1300</v>
      </c>
      <c r="ORY76" s="343" t="s">
        <v>252</v>
      </c>
      <c r="ORZ76" s="343" t="s">
        <v>1300</v>
      </c>
      <c r="OSA76" s="343" t="s">
        <v>252</v>
      </c>
      <c r="OSB76" s="343" t="s">
        <v>1300</v>
      </c>
      <c r="OSC76" s="343" t="s">
        <v>252</v>
      </c>
      <c r="OSD76" s="343" t="s">
        <v>1300</v>
      </c>
      <c r="OSE76" s="343" t="s">
        <v>252</v>
      </c>
      <c r="OSF76" s="343" t="s">
        <v>1300</v>
      </c>
      <c r="OSG76" s="343" t="s">
        <v>252</v>
      </c>
      <c r="OSH76" s="343" t="s">
        <v>1300</v>
      </c>
      <c r="OSI76" s="343" t="s">
        <v>252</v>
      </c>
      <c r="OSJ76" s="343" t="s">
        <v>1300</v>
      </c>
      <c r="OSK76" s="343" t="s">
        <v>252</v>
      </c>
      <c r="OSL76" s="343" t="s">
        <v>1300</v>
      </c>
      <c r="OSM76" s="343" t="s">
        <v>252</v>
      </c>
      <c r="OSN76" s="343" t="s">
        <v>1300</v>
      </c>
      <c r="OSO76" s="343" t="s">
        <v>252</v>
      </c>
      <c r="OSP76" s="343" t="s">
        <v>1300</v>
      </c>
      <c r="OSQ76" s="343" t="s">
        <v>252</v>
      </c>
      <c r="OSR76" s="343" t="s">
        <v>1300</v>
      </c>
      <c r="OSS76" s="343" t="s">
        <v>252</v>
      </c>
      <c r="OST76" s="343" t="s">
        <v>1300</v>
      </c>
      <c r="OSU76" s="343" t="s">
        <v>252</v>
      </c>
      <c r="OSV76" s="343" t="s">
        <v>1300</v>
      </c>
      <c r="OSW76" s="343" t="s">
        <v>252</v>
      </c>
      <c r="OSX76" s="343" t="s">
        <v>1300</v>
      </c>
      <c r="OSY76" s="343" t="s">
        <v>252</v>
      </c>
      <c r="OSZ76" s="343" t="s">
        <v>1300</v>
      </c>
      <c r="OTA76" s="343" t="s">
        <v>252</v>
      </c>
      <c r="OTB76" s="343" t="s">
        <v>1300</v>
      </c>
      <c r="OTC76" s="343" t="s">
        <v>252</v>
      </c>
      <c r="OTD76" s="343" t="s">
        <v>1300</v>
      </c>
      <c r="OTE76" s="343" t="s">
        <v>252</v>
      </c>
      <c r="OTF76" s="343" t="s">
        <v>1300</v>
      </c>
      <c r="OTG76" s="343" t="s">
        <v>252</v>
      </c>
      <c r="OTH76" s="343" t="s">
        <v>1300</v>
      </c>
      <c r="OTI76" s="343" t="s">
        <v>252</v>
      </c>
      <c r="OTJ76" s="343" t="s">
        <v>1300</v>
      </c>
      <c r="OTK76" s="343" t="s">
        <v>252</v>
      </c>
      <c r="OTL76" s="343" t="s">
        <v>1300</v>
      </c>
      <c r="OTM76" s="343" t="s">
        <v>252</v>
      </c>
      <c r="OTN76" s="343" t="s">
        <v>1300</v>
      </c>
      <c r="OTO76" s="343" t="s">
        <v>252</v>
      </c>
      <c r="OTP76" s="343" t="s">
        <v>1300</v>
      </c>
      <c r="OTQ76" s="343" t="s">
        <v>252</v>
      </c>
      <c r="OTR76" s="343" t="s">
        <v>1300</v>
      </c>
      <c r="OTS76" s="343" t="s">
        <v>252</v>
      </c>
      <c r="OTT76" s="343" t="s">
        <v>1300</v>
      </c>
      <c r="OTU76" s="343" t="s">
        <v>252</v>
      </c>
      <c r="OTV76" s="343" t="s">
        <v>1300</v>
      </c>
      <c r="OTW76" s="343" t="s">
        <v>252</v>
      </c>
      <c r="OTX76" s="343" t="s">
        <v>1300</v>
      </c>
      <c r="OTY76" s="343" t="s">
        <v>252</v>
      </c>
      <c r="OTZ76" s="343" t="s">
        <v>1300</v>
      </c>
      <c r="OUA76" s="343" t="s">
        <v>252</v>
      </c>
      <c r="OUB76" s="343" t="s">
        <v>1300</v>
      </c>
      <c r="OUC76" s="343" t="s">
        <v>252</v>
      </c>
      <c r="OUD76" s="343" t="s">
        <v>1300</v>
      </c>
      <c r="OUE76" s="343" t="s">
        <v>252</v>
      </c>
      <c r="OUF76" s="343" t="s">
        <v>1300</v>
      </c>
      <c r="OUG76" s="343" t="s">
        <v>252</v>
      </c>
      <c r="OUH76" s="343" t="s">
        <v>1300</v>
      </c>
      <c r="OUI76" s="343" t="s">
        <v>252</v>
      </c>
      <c r="OUJ76" s="343" t="s">
        <v>1300</v>
      </c>
      <c r="OUK76" s="343" t="s">
        <v>252</v>
      </c>
      <c r="OUL76" s="343" t="s">
        <v>1300</v>
      </c>
      <c r="OUM76" s="343" t="s">
        <v>252</v>
      </c>
      <c r="OUN76" s="343" t="s">
        <v>1300</v>
      </c>
      <c r="OUO76" s="343" t="s">
        <v>252</v>
      </c>
      <c r="OUP76" s="343" t="s">
        <v>1300</v>
      </c>
      <c r="OUQ76" s="343" t="s">
        <v>252</v>
      </c>
      <c r="OUR76" s="343" t="s">
        <v>1300</v>
      </c>
      <c r="OUS76" s="343" t="s">
        <v>252</v>
      </c>
      <c r="OUT76" s="343" t="s">
        <v>1300</v>
      </c>
      <c r="OUU76" s="343" t="s">
        <v>252</v>
      </c>
      <c r="OUV76" s="343" t="s">
        <v>1300</v>
      </c>
      <c r="OUW76" s="343" t="s">
        <v>252</v>
      </c>
      <c r="OUX76" s="343" t="s">
        <v>1300</v>
      </c>
      <c r="OUY76" s="343" t="s">
        <v>252</v>
      </c>
      <c r="OUZ76" s="343" t="s">
        <v>1300</v>
      </c>
      <c r="OVA76" s="343" t="s">
        <v>252</v>
      </c>
      <c r="OVB76" s="343" t="s">
        <v>1300</v>
      </c>
      <c r="OVC76" s="343" t="s">
        <v>252</v>
      </c>
      <c r="OVD76" s="343" t="s">
        <v>1300</v>
      </c>
      <c r="OVE76" s="343" t="s">
        <v>252</v>
      </c>
      <c r="OVF76" s="343" t="s">
        <v>1300</v>
      </c>
      <c r="OVG76" s="343" t="s">
        <v>252</v>
      </c>
      <c r="OVH76" s="343" t="s">
        <v>1300</v>
      </c>
      <c r="OVI76" s="343" t="s">
        <v>252</v>
      </c>
      <c r="OVJ76" s="343" t="s">
        <v>1300</v>
      </c>
      <c r="OVK76" s="343" t="s">
        <v>252</v>
      </c>
      <c r="OVL76" s="343" t="s">
        <v>1300</v>
      </c>
      <c r="OVM76" s="343" t="s">
        <v>252</v>
      </c>
      <c r="OVN76" s="343" t="s">
        <v>1300</v>
      </c>
      <c r="OVO76" s="343" t="s">
        <v>252</v>
      </c>
      <c r="OVP76" s="343" t="s">
        <v>1300</v>
      </c>
      <c r="OVQ76" s="343" t="s">
        <v>252</v>
      </c>
      <c r="OVR76" s="343" t="s">
        <v>1300</v>
      </c>
      <c r="OVS76" s="343" t="s">
        <v>252</v>
      </c>
      <c r="OVT76" s="343" t="s">
        <v>1300</v>
      </c>
      <c r="OVU76" s="343" t="s">
        <v>252</v>
      </c>
      <c r="OVV76" s="343" t="s">
        <v>1300</v>
      </c>
      <c r="OVW76" s="343" t="s">
        <v>252</v>
      </c>
      <c r="OVX76" s="343" t="s">
        <v>1300</v>
      </c>
      <c r="OVY76" s="343" t="s">
        <v>252</v>
      </c>
      <c r="OVZ76" s="343" t="s">
        <v>1300</v>
      </c>
      <c r="OWA76" s="343" t="s">
        <v>252</v>
      </c>
      <c r="OWB76" s="343" t="s">
        <v>1300</v>
      </c>
      <c r="OWC76" s="343" t="s">
        <v>252</v>
      </c>
      <c r="OWD76" s="343" t="s">
        <v>1300</v>
      </c>
      <c r="OWE76" s="343" t="s">
        <v>252</v>
      </c>
      <c r="OWF76" s="343" t="s">
        <v>1300</v>
      </c>
      <c r="OWG76" s="343" t="s">
        <v>252</v>
      </c>
      <c r="OWH76" s="343" t="s">
        <v>1300</v>
      </c>
      <c r="OWI76" s="343" t="s">
        <v>252</v>
      </c>
      <c r="OWJ76" s="343" t="s">
        <v>1300</v>
      </c>
      <c r="OWK76" s="343" t="s">
        <v>252</v>
      </c>
      <c r="OWL76" s="343" t="s">
        <v>1300</v>
      </c>
      <c r="OWM76" s="343" t="s">
        <v>252</v>
      </c>
      <c r="OWN76" s="343" t="s">
        <v>1300</v>
      </c>
      <c r="OWO76" s="343" t="s">
        <v>252</v>
      </c>
      <c r="OWP76" s="343" t="s">
        <v>1300</v>
      </c>
      <c r="OWQ76" s="343" t="s">
        <v>252</v>
      </c>
      <c r="OWR76" s="343" t="s">
        <v>1300</v>
      </c>
      <c r="OWS76" s="343" t="s">
        <v>252</v>
      </c>
      <c r="OWT76" s="343" t="s">
        <v>1300</v>
      </c>
      <c r="OWU76" s="343" t="s">
        <v>252</v>
      </c>
      <c r="OWV76" s="343" t="s">
        <v>1300</v>
      </c>
      <c r="OWW76" s="343" t="s">
        <v>252</v>
      </c>
      <c r="OWX76" s="343" t="s">
        <v>1300</v>
      </c>
      <c r="OWY76" s="343" t="s">
        <v>252</v>
      </c>
      <c r="OWZ76" s="343" t="s">
        <v>1300</v>
      </c>
      <c r="OXA76" s="343" t="s">
        <v>252</v>
      </c>
      <c r="OXB76" s="343" t="s">
        <v>1300</v>
      </c>
      <c r="OXC76" s="343" t="s">
        <v>252</v>
      </c>
      <c r="OXD76" s="343" t="s">
        <v>1300</v>
      </c>
      <c r="OXE76" s="343" t="s">
        <v>252</v>
      </c>
      <c r="OXF76" s="343" t="s">
        <v>1300</v>
      </c>
      <c r="OXG76" s="343" t="s">
        <v>252</v>
      </c>
      <c r="OXH76" s="343" t="s">
        <v>1300</v>
      </c>
      <c r="OXI76" s="343" t="s">
        <v>252</v>
      </c>
      <c r="OXJ76" s="343" t="s">
        <v>1300</v>
      </c>
      <c r="OXK76" s="343" t="s">
        <v>252</v>
      </c>
      <c r="OXL76" s="343" t="s">
        <v>1300</v>
      </c>
      <c r="OXM76" s="343" t="s">
        <v>252</v>
      </c>
      <c r="OXN76" s="343" t="s">
        <v>1300</v>
      </c>
      <c r="OXO76" s="343" t="s">
        <v>252</v>
      </c>
      <c r="OXP76" s="343" t="s">
        <v>1300</v>
      </c>
      <c r="OXQ76" s="343" t="s">
        <v>252</v>
      </c>
      <c r="OXR76" s="343" t="s">
        <v>1300</v>
      </c>
      <c r="OXS76" s="343" t="s">
        <v>252</v>
      </c>
      <c r="OXT76" s="343" t="s">
        <v>1300</v>
      </c>
      <c r="OXU76" s="343" t="s">
        <v>252</v>
      </c>
      <c r="OXV76" s="343" t="s">
        <v>1300</v>
      </c>
      <c r="OXW76" s="343" t="s">
        <v>252</v>
      </c>
      <c r="OXX76" s="343" t="s">
        <v>1300</v>
      </c>
      <c r="OXY76" s="343" t="s">
        <v>252</v>
      </c>
      <c r="OXZ76" s="343" t="s">
        <v>1300</v>
      </c>
      <c r="OYA76" s="343" t="s">
        <v>252</v>
      </c>
      <c r="OYB76" s="343" t="s">
        <v>1300</v>
      </c>
      <c r="OYC76" s="343" t="s">
        <v>252</v>
      </c>
      <c r="OYD76" s="343" t="s">
        <v>1300</v>
      </c>
      <c r="OYE76" s="343" t="s">
        <v>252</v>
      </c>
      <c r="OYF76" s="343" t="s">
        <v>1300</v>
      </c>
      <c r="OYG76" s="343" t="s">
        <v>252</v>
      </c>
      <c r="OYH76" s="343" t="s">
        <v>1300</v>
      </c>
      <c r="OYI76" s="343" t="s">
        <v>252</v>
      </c>
      <c r="OYJ76" s="343" t="s">
        <v>1300</v>
      </c>
      <c r="OYK76" s="343" t="s">
        <v>252</v>
      </c>
      <c r="OYL76" s="343" t="s">
        <v>1300</v>
      </c>
      <c r="OYM76" s="343" t="s">
        <v>252</v>
      </c>
      <c r="OYN76" s="343" t="s">
        <v>1300</v>
      </c>
      <c r="OYO76" s="343" t="s">
        <v>252</v>
      </c>
      <c r="OYP76" s="343" t="s">
        <v>1300</v>
      </c>
      <c r="OYQ76" s="343" t="s">
        <v>252</v>
      </c>
      <c r="OYR76" s="343" t="s">
        <v>1300</v>
      </c>
      <c r="OYS76" s="343" t="s">
        <v>252</v>
      </c>
      <c r="OYT76" s="343" t="s">
        <v>1300</v>
      </c>
      <c r="OYU76" s="343" t="s">
        <v>252</v>
      </c>
      <c r="OYV76" s="343" t="s">
        <v>1300</v>
      </c>
      <c r="OYW76" s="343" t="s">
        <v>252</v>
      </c>
      <c r="OYX76" s="343" t="s">
        <v>1300</v>
      </c>
      <c r="OYY76" s="343" t="s">
        <v>252</v>
      </c>
      <c r="OYZ76" s="343" t="s">
        <v>1300</v>
      </c>
      <c r="OZA76" s="343" t="s">
        <v>252</v>
      </c>
      <c r="OZB76" s="343" t="s">
        <v>1300</v>
      </c>
      <c r="OZC76" s="343" t="s">
        <v>252</v>
      </c>
      <c r="OZD76" s="343" t="s">
        <v>1300</v>
      </c>
      <c r="OZE76" s="343" t="s">
        <v>252</v>
      </c>
      <c r="OZF76" s="343" t="s">
        <v>1300</v>
      </c>
      <c r="OZG76" s="343" t="s">
        <v>252</v>
      </c>
      <c r="OZH76" s="343" t="s">
        <v>1300</v>
      </c>
      <c r="OZI76" s="343" t="s">
        <v>252</v>
      </c>
      <c r="OZJ76" s="343" t="s">
        <v>1300</v>
      </c>
      <c r="OZK76" s="343" t="s">
        <v>252</v>
      </c>
      <c r="OZL76" s="343" t="s">
        <v>1300</v>
      </c>
      <c r="OZM76" s="343" t="s">
        <v>252</v>
      </c>
      <c r="OZN76" s="343" t="s">
        <v>1300</v>
      </c>
      <c r="OZO76" s="343" t="s">
        <v>252</v>
      </c>
      <c r="OZP76" s="343" t="s">
        <v>1300</v>
      </c>
      <c r="OZQ76" s="343" t="s">
        <v>252</v>
      </c>
      <c r="OZR76" s="343" t="s">
        <v>1300</v>
      </c>
      <c r="OZS76" s="343" t="s">
        <v>252</v>
      </c>
      <c r="OZT76" s="343" t="s">
        <v>1300</v>
      </c>
      <c r="OZU76" s="343" t="s">
        <v>252</v>
      </c>
      <c r="OZV76" s="343" t="s">
        <v>1300</v>
      </c>
      <c r="OZW76" s="343" t="s">
        <v>252</v>
      </c>
      <c r="OZX76" s="343" t="s">
        <v>1300</v>
      </c>
      <c r="OZY76" s="343" t="s">
        <v>252</v>
      </c>
      <c r="OZZ76" s="343" t="s">
        <v>1300</v>
      </c>
      <c r="PAA76" s="343" t="s">
        <v>252</v>
      </c>
      <c r="PAB76" s="343" t="s">
        <v>1300</v>
      </c>
      <c r="PAC76" s="343" t="s">
        <v>252</v>
      </c>
      <c r="PAD76" s="343" t="s">
        <v>1300</v>
      </c>
      <c r="PAE76" s="343" t="s">
        <v>252</v>
      </c>
      <c r="PAF76" s="343" t="s">
        <v>1300</v>
      </c>
      <c r="PAG76" s="343" t="s">
        <v>252</v>
      </c>
      <c r="PAH76" s="343" t="s">
        <v>1300</v>
      </c>
      <c r="PAI76" s="343" t="s">
        <v>252</v>
      </c>
      <c r="PAJ76" s="343" t="s">
        <v>1300</v>
      </c>
      <c r="PAK76" s="343" t="s">
        <v>252</v>
      </c>
      <c r="PAL76" s="343" t="s">
        <v>1300</v>
      </c>
      <c r="PAM76" s="343" t="s">
        <v>252</v>
      </c>
      <c r="PAN76" s="343" t="s">
        <v>1300</v>
      </c>
      <c r="PAO76" s="343" t="s">
        <v>252</v>
      </c>
      <c r="PAP76" s="343" t="s">
        <v>1300</v>
      </c>
      <c r="PAQ76" s="343" t="s">
        <v>252</v>
      </c>
      <c r="PAR76" s="343" t="s">
        <v>1300</v>
      </c>
      <c r="PAS76" s="343" t="s">
        <v>252</v>
      </c>
      <c r="PAT76" s="343" t="s">
        <v>1300</v>
      </c>
      <c r="PAU76" s="343" t="s">
        <v>252</v>
      </c>
      <c r="PAV76" s="343" t="s">
        <v>1300</v>
      </c>
      <c r="PAW76" s="343" t="s">
        <v>252</v>
      </c>
      <c r="PAX76" s="343" t="s">
        <v>1300</v>
      </c>
      <c r="PAY76" s="343" t="s">
        <v>252</v>
      </c>
      <c r="PAZ76" s="343" t="s">
        <v>1300</v>
      </c>
      <c r="PBA76" s="343" t="s">
        <v>252</v>
      </c>
      <c r="PBB76" s="343" t="s">
        <v>1300</v>
      </c>
      <c r="PBC76" s="343" t="s">
        <v>252</v>
      </c>
      <c r="PBD76" s="343" t="s">
        <v>1300</v>
      </c>
      <c r="PBE76" s="343" t="s">
        <v>252</v>
      </c>
      <c r="PBF76" s="343" t="s">
        <v>1300</v>
      </c>
      <c r="PBG76" s="343" t="s">
        <v>252</v>
      </c>
      <c r="PBH76" s="343" t="s">
        <v>1300</v>
      </c>
      <c r="PBI76" s="343" t="s">
        <v>252</v>
      </c>
      <c r="PBJ76" s="343" t="s">
        <v>1300</v>
      </c>
      <c r="PBK76" s="343" t="s">
        <v>252</v>
      </c>
      <c r="PBL76" s="343" t="s">
        <v>1300</v>
      </c>
      <c r="PBM76" s="343" t="s">
        <v>252</v>
      </c>
      <c r="PBN76" s="343" t="s">
        <v>1300</v>
      </c>
      <c r="PBO76" s="343" t="s">
        <v>252</v>
      </c>
      <c r="PBP76" s="343" t="s">
        <v>1300</v>
      </c>
      <c r="PBQ76" s="343" t="s">
        <v>252</v>
      </c>
      <c r="PBR76" s="343" t="s">
        <v>1300</v>
      </c>
      <c r="PBS76" s="343" t="s">
        <v>252</v>
      </c>
      <c r="PBT76" s="343" t="s">
        <v>1300</v>
      </c>
      <c r="PBU76" s="343" t="s">
        <v>252</v>
      </c>
      <c r="PBV76" s="343" t="s">
        <v>1300</v>
      </c>
      <c r="PBW76" s="343" t="s">
        <v>252</v>
      </c>
      <c r="PBX76" s="343" t="s">
        <v>1300</v>
      </c>
      <c r="PBY76" s="343" t="s">
        <v>252</v>
      </c>
      <c r="PBZ76" s="343" t="s">
        <v>1300</v>
      </c>
      <c r="PCA76" s="343" t="s">
        <v>252</v>
      </c>
      <c r="PCB76" s="343" t="s">
        <v>1300</v>
      </c>
      <c r="PCC76" s="343" t="s">
        <v>252</v>
      </c>
      <c r="PCD76" s="343" t="s">
        <v>1300</v>
      </c>
      <c r="PCE76" s="343" t="s">
        <v>252</v>
      </c>
      <c r="PCF76" s="343" t="s">
        <v>1300</v>
      </c>
      <c r="PCG76" s="343" t="s">
        <v>252</v>
      </c>
      <c r="PCH76" s="343" t="s">
        <v>1300</v>
      </c>
      <c r="PCI76" s="343" t="s">
        <v>252</v>
      </c>
      <c r="PCJ76" s="343" t="s">
        <v>1300</v>
      </c>
      <c r="PCK76" s="343" t="s">
        <v>252</v>
      </c>
      <c r="PCL76" s="343" t="s">
        <v>1300</v>
      </c>
      <c r="PCM76" s="343" t="s">
        <v>252</v>
      </c>
      <c r="PCN76" s="343" t="s">
        <v>1300</v>
      </c>
      <c r="PCO76" s="343" t="s">
        <v>252</v>
      </c>
      <c r="PCP76" s="343" t="s">
        <v>1300</v>
      </c>
      <c r="PCQ76" s="343" t="s">
        <v>252</v>
      </c>
      <c r="PCR76" s="343" t="s">
        <v>1300</v>
      </c>
      <c r="PCS76" s="343" t="s">
        <v>252</v>
      </c>
      <c r="PCT76" s="343" t="s">
        <v>1300</v>
      </c>
      <c r="PCU76" s="343" t="s">
        <v>252</v>
      </c>
      <c r="PCV76" s="343" t="s">
        <v>1300</v>
      </c>
      <c r="PCW76" s="343" t="s">
        <v>252</v>
      </c>
      <c r="PCX76" s="343" t="s">
        <v>1300</v>
      </c>
      <c r="PCY76" s="343" t="s">
        <v>252</v>
      </c>
      <c r="PCZ76" s="343" t="s">
        <v>1300</v>
      </c>
      <c r="PDA76" s="343" t="s">
        <v>252</v>
      </c>
      <c r="PDB76" s="343" t="s">
        <v>1300</v>
      </c>
      <c r="PDC76" s="343" t="s">
        <v>252</v>
      </c>
      <c r="PDD76" s="343" t="s">
        <v>1300</v>
      </c>
      <c r="PDE76" s="343" t="s">
        <v>252</v>
      </c>
      <c r="PDF76" s="343" t="s">
        <v>1300</v>
      </c>
      <c r="PDG76" s="343" t="s">
        <v>252</v>
      </c>
      <c r="PDH76" s="343" t="s">
        <v>1300</v>
      </c>
      <c r="PDI76" s="343" t="s">
        <v>252</v>
      </c>
      <c r="PDJ76" s="343" t="s">
        <v>1300</v>
      </c>
      <c r="PDK76" s="343" t="s">
        <v>252</v>
      </c>
      <c r="PDL76" s="343" t="s">
        <v>1300</v>
      </c>
      <c r="PDM76" s="343" t="s">
        <v>252</v>
      </c>
      <c r="PDN76" s="343" t="s">
        <v>1300</v>
      </c>
      <c r="PDO76" s="343" t="s">
        <v>252</v>
      </c>
      <c r="PDP76" s="343" t="s">
        <v>1300</v>
      </c>
      <c r="PDQ76" s="343" t="s">
        <v>252</v>
      </c>
      <c r="PDR76" s="343" t="s">
        <v>1300</v>
      </c>
      <c r="PDS76" s="343" t="s">
        <v>252</v>
      </c>
      <c r="PDT76" s="343" t="s">
        <v>1300</v>
      </c>
      <c r="PDU76" s="343" t="s">
        <v>252</v>
      </c>
      <c r="PDV76" s="343" t="s">
        <v>1300</v>
      </c>
      <c r="PDW76" s="343" t="s">
        <v>252</v>
      </c>
      <c r="PDX76" s="343" t="s">
        <v>1300</v>
      </c>
      <c r="PDY76" s="343" t="s">
        <v>252</v>
      </c>
      <c r="PDZ76" s="343" t="s">
        <v>1300</v>
      </c>
      <c r="PEA76" s="343" t="s">
        <v>252</v>
      </c>
      <c r="PEB76" s="343" t="s">
        <v>1300</v>
      </c>
      <c r="PEC76" s="343" t="s">
        <v>252</v>
      </c>
      <c r="PED76" s="343" t="s">
        <v>1300</v>
      </c>
      <c r="PEE76" s="343" t="s">
        <v>252</v>
      </c>
      <c r="PEF76" s="343" t="s">
        <v>1300</v>
      </c>
      <c r="PEG76" s="343" t="s">
        <v>252</v>
      </c>
      <c r="PEH76" s="343" t="s">
        <v>1300</v>
      </c>
      <c r="PEI76" s="343" t="s">
        <v>252</v>
      </c>
      <c r="PEJ76" s="343" t="s">
        <v>1300</v>
      </c>
      <c r="PEK76" s="343" t="s">
        <v>252</v>
      </c>
      <c r="PEL76" s="343" t="s">
        <v>1300</v>
      </c>
      <c r="PEM76" s="343" t="s">
        <v>252</v>
      </c>
      <c r="PEN76" s="343" t="s">
        <v>1300</v>
      </c>
      <c r="PEO76" s="343" t="s">
        <v>252</v>
      </c>
      <c r="PEP76" s="343" t="s">
        <v>1300</v>
      </c>
      <c r="PEQ76" s="343" t="s">
        <v>252</v>
      </c>
      <c r="PER76" s="343" t="s">
        <v>1300</v>
      </c>
      <c r="PES76" s="343" t="s">
        <v>252</v>
      </c>
      <c r="PET76" s="343" t="s">
        <v>1300</v>
      </c>
      <c r="PEU76" s="343" t="s">
        <v>252</v>
      </c>
      <c r="PEV76" s="343" t="s">
        <v>1300</v>
      </c>
      <c r="PEW76" s="343" t="s">
        <v>252</v>
      </c>
      <c r="PEX76" s="343" t="s">
        <v>1300</v>
      </c>
      <c r="PEY76" s="343" t="s">
        <v>252</v>
      </c>
      <c r="PEZ76" s="343" t="s">
        <v>1300</v>
      </c>
      <c r="PFA76" s="343" t="s">
        <v>252</v>
      </c>
      <c r="PFB76" s="343" t="s">
        <v>1300</v>
      </c>
      <c r="PFC76" s="343" t="s">
        <v>252</v>
      </c>
      <c r="PFD76" s="343" t="s">
        <v>1300</v>
      </c>
      <c r="PFE76" s="343" t="s">
        <v>252</v>
      </c>
      <c r="PFF76" s="343" t="s">
        <v>1300</v>
      </c>
      <c r="PFG76" s="343" t="s">
        <v>252</v>
      </c>
      <c r="PFH76" s="343" t="s">
        <v>1300</v>
      </c>
      <c r="PFI76" s="343" t="s">
        <v>252</v>
      </c>
      <c r="PFJ76" s="343" t="s">
        <v>1300</v>
      </c>
      <c r="PFK76" s="343" t="s">
        <v>252</v>
      </c>
      <c r="PFL76" s="343" t="s">
        <v>1300</v>
      </c>
      <c r="PFM76" s="343" t="s">
        <v>252</v>
      </c>
      <c r="PFN76" s="343" t="s">
        <v>1300</v>
      </c>
      <c r="PFO76" s="343" t="s">
        <v>252</v>
      </c>
      <c r="PFP76" s="343" t="s">
        <v>1300</v>
      </c>
      <c r="PFQ76" s="343" t="s">
        <v>252</v>
      </c>
      <c r="PFR76" s="343" t="s">
        <v>1300</v>
      </c>
      <c r="PFS76" s="343" t="s">
        <v>252</v>
      </c>
      <c r="PFT76" s="343" t="s">
        <v>1300</v>
      </c>
      <c r="PFU76" s="343" t="s">
        <v>252</v>
      </c>
      <c r="PFV76" s="343" t="s">
        <v>1300</v>
      </c>
      <c r="PFW76" s="343" t="s">
        <v>252</v>
      </c>
      <c r="PFX76" s="343" t="s">
        <v>1300</v>
      </c>
      <c r="PFY76" s="343" t="s">
        <v>252</v>
      </c>
      <c r="PFZ76" s="343" t="s">
        <v>1300</v>
      </c>
      <c r="PGA76" s="343" t="s">
        <v>252</v>
      </c>
      <c r="PGB76" s="343" t="s">
        <v>1300</v>
      </c>
      <c r="PGC76" s="343" t="s">
        <v>252</v>
      </c>
      <c r="PGD76" s="343" t="s">
        <v>1300</v>
      </c>
      <c r="PGE76" s="343" t="s">
        <v>252</v>
      </c>
      <c r="PGF76" s="343" t="s">
        <v>1300</v>
      </c>
      <c r="PGG76" s="343" t="s">
        <v>252</v>
      </c>
      <c r="PGH76" s="343" t="s">
        <v>1300</v>
      </c>
      <c r="PGI76" s="343" t="s">
        <v>252</v>
      </c>
      <c r="PGJ76" s="343" t="s">
        <v>1300</v>
      </c>
      <c r="PGK76" s="343" t="s">
        <v>252</v>
      </c>
      <c r="PGL76" s="343" t="s">
        <v>1300</v>
      </c>
      <c r="PGM76" s="343" t="s">
        <v>252</v>
      </c>
      <c r="PGN76" s="343" t="s">
        <v>1300</v>
      </c>
      <c r="PGO76" s="343" t="s">
        <v>252</v>
      </c>
      <c r="PGP76" s="343" t="s">
        <v>1300</v>
      </c>
      <c r="PGQ76" s="343" t="s">
        <v>252</v>
      </c>
      <c r="PGR76" s="343" t="s">
        <v>1300</v>
      </c>
      <c r="PGS76" s="343" t="s">
        <v>252</v>
      </c>
      <c r="PGT76" s="343" t="s">
        <v>1300</v>
      </c>
      <c r="PGU76" s="343" t="s">
        <v>252</v>
      </c>
      <c r="PGV76" s="343" t="s">
        <v>1300</v>
      </c>
      <c r="PGW76" s="343" t="s">
        <v>252</v>
      </c>
      <c r="PGX76" s="343" t="s">
        <v>1300</v>
      </c>
      <c r="PGY76" s="343" t="s">
        <v>252</v>
      </c>
      <c r="PGZ76" s="343" t="s">
        <v>1300</v>
      </c>
      <c r="PHA76" s="343" t="s">
        <v>252</v>
      </c>
      <c r="PHB76" s="343" t="s">
        <v>1300</v>
      </c>
      <c r="PHC76" s="343" t="s">
        <v>252</v>
      </c>
      <c r="PHD76" s="343" t="s">
        <v>1300</v>
      </c>
      <c r="PHE76" s="343" t="s">
        <v>252</v>
      </c>
      <c r="PHF76" s="343" t="s">
        <v>1300</v>
      </c>
      <c r="PHG76" s="343" t="s">
        <v>252</v>
      </c>
      <c r="PHH76" s="343" t="s">
        <v>1300</v>
      </c>
      <c r="PHI76" s="343" t="s">
        <v>252</v>
      </c>
      <c r="PHJ76" s="343" t="s">
        <v>1300</v>
      </c>
      <c r="PHK76" s="343" t="s">
        <v>252</v>
      </c>
      <c r="PHL76" s="343" t="s">
        <v>1300</v>
      </c>
      <c r="PHM76" s="343" t="s">
        <v>252</v>
      </c>
      <c r="PHN76" s="343" t="s">
        <v>1300</v>
      </c>
      <c r="PHO76" s="343" t="s">
        <v>252</v>
      </c>
      <c r="PHP76" s="343" t="s">
        <v>1300</v>
      </c>
      <c r="PHQ76" s="343" t="s">
        <v>252</v>
      </c>
      <c r="PHR76" s="343" t="s">
        <v>1300</v>
      </c>
      <c r="PHS76" s="343" t="s">
        <v>252</v>
      </c>
      <c r="PHT76" s="343" t="s">
        <v>1300</v>
      </c>
      <c r="PHU76" s="343" t="s">
        <v>252</v>
      </c>
      <c r="PHV76" s="343" t="s">
        <v>1300</v>
      </c>
      <c r="PHW76" s="343" t="s">
        <v>252</v>
      </c>
      <c r="PHX76" s="343" t="s">
        <v>1300</v>
      </c>
      <c r="PHY76" s="343" t="s">
        <v>252</v>
      </c>
      <c r="PHZ76" s="343" t="s">
        <v>1300</v>
      </c>
      <c r="PIA76" s="343" t="s">
        <v>252</v>
      </c>
      <c r="PIB76" s="343" t="s">
        <v>1300</v>
      </c>
      <c r="PIC76" s="343" t="s">
        <v>252</v>
      </c>
      <c r="PID76" s="343" t="s">
        <v>1300</v>
      </c>
      <c r="PIE76" s="343" t="s">
        <v>252</v>
      </c>
      <c r="PIF76" s="343" t="s">
        <v>1300</v>
      </c>
      <c r="PIG76" s="343" t="s">
        <v>252</v>
      </c>
      <c r="PIH76" s="343" t="s">
        <v>1300</v>
      </c>
      <c r="PII76" s="343" t="s">
        <v>252</v>
      </c>
      <c r="PIJ76" s="343" t="s">
        <v>1300</v>
      </c>
      <c r="PIK76" s="343" t="s">
        <v>252</v>
      </c>
      <c r="PIL76" s="343" t="s">
        <v>1300</v>
      </c>
      <c r="PIM76" s="343" t="s">
        <v>252</v>
      </c>
      <c r="PIN76" s="343" t="s">
        <v>1300</v>
      </c>
      <c r="PIO76" s="343" t="s">
        <v>252</v>
      </c>
      <c r="PIP76" s="343" t="s">
        <v>1300</v>
      </c>
      <c r="PIQ76" s="343" t="s">
        <v>252</v>
      </c>
      <c r="PIR76" s="343" t="s">
        <v>1300</v>
      </c>
      <c r="PIS76" s="343" t="s">
        <v>252</v>
      </c>
      <c r="PIT76" s="343" t="s">
        <v>1300</v>
      </c>
      <c r="PIU76" s="343" t="s">
        <v>252</v>
      </c>
      <c r="PIV76" s="343" t="s">
        <v>1300</v>
      </c>
      <c r="PIW76" s="343" t="s">
        <v>252</v>
      </c>
      <c r="PIX76" s="343" t="s">
        <v>1300</v>
      </c>
      <c r="PIY76" s="343" t="s">
        <v>252</v>
      </c>
      <c r="PIZ76" s="343" t="s">
        <v>1300</v>
      </c>
      <c r="PJA76" s="343" t="s">
        <v>252</v>
      </c>
      <c r="PJB76" s="343" t="s">
        <v>1300</v>
      </c>
      <c r="PJC76" s="343" t="s">
        <v>252</v>
      </c>
      <c r="PJD76" s="343" t="s">
        <v>1300</v>
      </c>
      <c r="PJE76" s="343" t="s">
        <v>252</v>
      </c>
      <c r="PJF76" s="343" t="s">
        <v>1300</v>
      </c>
      <c r="PJG76" s="343" t="s">
        <v>252</v>
      </c>
      <c r="PJH76" s="343" t="s">
        <v>1300</v>
      </c>
      <c r="PJI76" s="343" t="s">
        <v>252</v>
      </c>
      <c r="PJJ76" s="343" t="s">
        <v>1300</v>
      </c>
      <c r="PJK76" s="343" t="s">
        <v>252</v>
      </c>
      <c r="PJL76" s="343" t="s">
        <v>1300</v>
      </c>
      <c r="PJM76" s="343" t="s">
        <v>252</v>
      </c>
      <c r="PJN76" s="343" t="s">
        <v>1300</v>
      </c>
      <c r="PJO76" s="343" t="s">
        <v>252</v>
      </c>
      <c r="PJP76" s="343" t="s">
        <v>1300</v>
      </c>
      <c r="PJQ76" s="343" t="s">
        <v>252</v>
      </c>
      <c r="PJR76" s="343" t="s">
        <v>1300</v>
      </c>
      <c r="PJS76" s="343" t="s">
        <v>252</v>
      </c>
      <c r="PJT76" s="343" t="s">
        <v>1300</v>
      </c>
      <c r="PJU76" s="343" t="s">
        <v>252</v>
      </c>
      <c r="PJV76" s="343" t="s">
        <v>1300</v>
      </c>
      <c r="PJW76" s="343" t="s">
        <v>252</v>
      </c>
      <c r="PJX76" s="343" t="s">
        <v>1300</v>
      </c>
      <c r="PJY76" s="343" t="s">
        <v>252</v>
      </c>
      <c r="PJZ76" s="343" t="s">
        <v>1300</v>
      </c>
      <c r="PKA76" s="343" t="s">
        <v>252</v>
      </c>
      <c r="PKB76" s="343" t="s">
        <v>1300</v>
      </c>
      <c r="PKC76" s="343" t="s">
        <v>252</v>
      </c>
      <c r="PKD76" s="343" t="s">
        <v>1300</v>
      </c>
      <c r="PKE76" s="343" t="s">
        <v>252</v>
      </c>
      <c r="PKF76" s="343" t="s">
        <v>1300</v>
      </c>
      <c r="PKG76" s="343" t="s">
        <v>252</v>
      </c>
      <c r="PKH76" s="343" t="s">
        <v>1300</v>
      </c>
      <c r="PKI76" s="343" t="s">
        <v>252</v>
      </c>
      <c r="PKJ76" s="343" t="s">
        <v>1300</v>
      </c>
      <c r="PKK76" s="343" t="s">
        <v>252</v>
      </c>
      <c r="PKL76" s="343" t="s">
        <v>1300</v>
      </c>
      <c r="PKM76" s="343" t="s">
        <v>252</v>
      </c>
      <c r="PKN76" s="343" t="s">
        <v>1300</v>
      </c>
      <c r="PKO76" s="343" t="s">
        <v>252</v>
      </c>
      <c r="PKP76" s="343" t="s">
        <v>1300</v>
      </c>
      <c r="PKQ76" s="343" t="s">
        <v>252</v>
      </c>
      <c r="PKR76" s="343" t="s">
        <v>1300</v>
      </c>
      <c r="PKS76" s="343" t="s">
        <v>252</v>
      </c>
      <c r="PKT76" s="343" t="s">
        <v>1300</v>
      </c>
      <c r="PKU76" s="343" t="s">
        <v>252</v>
      </c>
      <c r="PKV76" s="343" t="s">
        <v>1300</v>
      </c>
      <c r="PKW76" s="343" t="s">
        <v>252</v>
      </c>
      <c r="PKX76" s="343" t="s">
        <v>1300</v>
      </c>
      <c r="PKY76" s="343" t="s">
        <v>252</v>
      </c>
      <c r="PKZ76" s="343" t="s">
        <v>1300</v>
      </c>
      <c r="PLA76" s="343" t="s">
        <v>252</v>
      </c>
      <c r="PLB76" s="343" t="s">
        <v>1300</v>
      </c>
      <c r="PLC76" s="343" t="s">
        <v>252</v>
      </c>
      <c r="PLD76" s="343" t="s">
        <v>1300</v>
      </c>
      <c r="PLE76" s="343" t="s">
        <v>252</v>
      </c>
      <c r="PLF76" s="343" t="s">
        <v>1300</v>
      </c>
      <c r="PLG76" s="343" t="s">
        <v>252</v>
      </c>
      <c r="PLH76" s="343" t="s">
        <v>1300</v>
      </c>
      <c r="PLI76" s="343" t="s">
        <v>252</v>
      </c>
      <c r="PLJ76" s="343" t="s">
        <v>1300</v>
      </c>
      <c r="PLK76" s="343" t="s">
        <v>252</v>
      </c>
      <c r="PLL76" s="343" t="s">
        <v>1300</v>
      </c>
      <c r="PLM76" s="343" t="s">
        <v>252</v>
      </c>
      <c r="PLN76" s="343" t="s">
        <v>1300</v>
      </c>
      <c r="PLO76" s="343" t="s">
        <v>252</v>
      </c>
      <c r="PLP76" s="343" t="s">
        <v>1300</v>
      </c>
      <c r="PLQ76" s="343" t="s">
        <v>252</v>
      </c>
      <c r="PLR76" s="343" t="s">
        <v>1300</v>
      </c>
      <c r="PLS76" s="343" t="s">
        <v>252</v>
      </c>
      <c r="PLT76" s="343" t="s">
        <v>1300</v>
      </c>
      <c r="PLU76" s="343" t="s">
        <v>252</v>
      </c>
      <c r="PLV76" s="343" t="s">
        <v>1300</v>
      </c>
      <c r="PLW76" s="343" t="s">
        <v>252</v>
      </c>
      <c r="PLX76" s="343" t="s">
        <v>1300</v>
      </c>
      <c r="PLY76" s="343" t="s">
        <v>252</v>
      </c>
      <c r="PLZ76" s="343" t="s">
        <v>1300</v>
      </c>
      <c r="PMA76" s="343" t="s">
        <v>252</v>
      </c>
      <c r="PMB76" s="343" t="s">
        <v>1300</v>
      </c>
      <c r="PMC76" s="343" t="s">
        <v>252</v>
      </c>
      <c r="PMD76" s="343" t="s">
        <v>1300</v>
      </c>
      <c r="PME76" s="343" t="s">
        <v>252</v>
      </c>
      <c r="PMF76" s="343" t="s">
        <v>1300</v>
      </c>
      <c r="PMG76" s="343" t="s">
        <v>252</v>
      </c>
      <c r="PMH76" s="343" t="s">
        <v>1300</v>
      </c>
      <c r="PMI76" s="343" t="s">
        <v>252</v>
      </c>
      <c r="PMJ76" s="343" t="s">
        <v>1300</v>
      </c>
      <c r="PMK76" s="343" t="s">
        <v>252</v>
      </c>
      <c r="PML76" s="343" t="s">
        <v>1300</v>
      </c>
      <c r="PMM76" s="343" t="s">
        <v>252</v>
      </c>
      <c r="PMN76" s="343" t="s">
        <v>1300</v>
      </c>
      <c r="PMO76" s="343" t="s">
        <v>252</v>
      </c>
      <c r="PMP76" s="343" t="s">
        <v>1300</v>
      </c>
      <c r="PMQ76" s="343" t="s">
        <v>252</v>
      </c>
      <c r="PMR76" s="343" t="s">
        <v>1300</v>
      </c>
      <c r="PMS76" s="343" t="s">
        <v>252</v>
      </c>
      <c r="PMT76" s="343" t="s">
        <v>1300</v>
      </c>
      <c r="PMU76" s="343" t="s">
        <v>252</v>
      </c>
      <c r="PMV76" s="343" t="s">
        <v>1300</v>
      </c>
      <c r="PMW76" s="343" t="s">
        <v>252</v>
      </c>
      <c r="PMX76" s="343" t="s">
        <v>1300</v>
      </c>
      <c r="PMY76" s="343" t="s">
        <v>252</v>
      </c>
      <c r="PMZ76" s="343" t="s">
        <v>1300</v>
      </c>
      <c r="PNA76" s="343" t="s">
        <v>252</v>
      </c>
      <c r="PNB76" s="343" t="s">
        <v>1300</v>
      </c>
      <c r="PNC76" s="343" t="s">
        <v>252</v>
      </c>
      <c r="PND76" s="343" t="s">
        <v>1300</v>
      </c>
      <c r="PNE76" s="343" t="s">
        <v>252</v>
      </c>
      <c r="PNF76" s="343" t="s">
        <v>1300</v>
      </c>
      <c r="PNG76" s="343" t="s">
        <v>252</v>
      </c>
      <c r="PNH76" s="343" t="s">
        <v>1300</v>
      </c>
      <c r="PNI76" s="343" t="s">
        <v>252</v>
      </c>
      <c r="PNJ76" s="343" t="s">
        <v>1300</v>
      </c>
      <c r="PNK76" s="343" t="s">
        <v>252</v>
      </c>
      <c r="PNL76" s="343" t="s">
        <v>1300</v>
      </c>
      <c r="PNM76" s="343" t="s">
        <v>252</v>
      </c>
      <c r="PNN76" s="343" t="s">
        <v>1300</v>
      </c>
      <c r="PNO76" s="343" t="s">
        <v>252</v>
      </c>
      <c r="PNP76" s="343" t="s">
        <v>1300</v>
      </c>
      <c r="PNQ76" s="343" t="s">
        <v>252</v>
      </c>
      <c r="PNR76" s="343" t="s">
        <v>1300</v>
      </c>
      <c r="PNS76" s="343" t="s">
        <v>252</v>
      </c>
      <c r="PNT76" s="343" t="s">
        <v>1300</v>
      </c>
      <c r="PNU76" s="343" t="s">
        <v>252</v>
      </c>
      <c r="PNV76" s="343" t="s">
        <v>1300</v>
      </c>
      <c r="PNW76" s="343" t="s">
        <v>252</v>
      </c>
      <c r="PNX76" s="343" t="s">
        <v>1300</v>
      </c>
      <c r="PNY76" s="343" t="s">
        <v>252</v>
      </c>
      <c r="PNZ76" s="343" t="s">
        <v>1300</v>
      </c>
      <c r="POA76" s="343" t="s">
        <v>252</v>
      </c>
      <c r="POB76" s="343" t="s">
        <v>1300</v>
      </c>
      <c r="POC76" s="343" t="s">
        <v>252</v>
      </c>
      <c r="POD76" s="343" t="s">
        <v>1300</v>
      </c>
      <c r="POE76" s="343" t="s">
        <v>252</v>
      </c>
      <c r="POF76" s="343" t="s">
        <v>1300</v>
      </c>
      <c r="POG76" s="343" t="s">
        <v>252</v>
      </c>
      <c r="POH76" s="343" t="s">
        <v>1300</v>
      </c>
      <c r="POI76" s="343" t="s">
        <v>252</v>
      </c>
      <c r="POJ76" s="343" t="s">
        <v>1300</v>
      </c>
      <c r="POK76" s="343" t="s">
        <v>252</v>
      </c>
      <c r="POL76" s="343" t="s">
        <v>1300</v>
      </c>
      <c r="POM76" s="343" t="s">
        <v>252</v>
      </c>
      <c r="PON76" s="343" t="s">
        <v>1300</v>
      </c>
      <c r="POO76" s="343" t="s">
        <v>252</v>
      </c>
      <c r="POP76" s="343" t="s">
        <v>1300</v>
      </c>
      <c r="POQ76" s="343" t="s">
        <v>252</v>
      </c>
      <c r="POR76" s="343" t="s">
        <v>1300</v>
      </c>
      <c r="POS76" s="343" t="s">
        <v>252</v>
      </c>
      <c r="POT76" s="343" t="s">
        <v>1300</v>
      </c>
      <c r="POU76" s="343" t="s">
        <v>252</v>
      </c>
      <c r="POV76" s="343" t="s">
        <v>1300</v>
      </c>
      <c r="POW76" s="343" t="s">
        <v>252</v>
      </c>
      <c r="POX76" s="343" t="s">
        <v>1300</v>
      </c>
      <c r="POY76" s="343" t="s">
        <v>252</v>
      </c>
      <c r="POZ76" s="343" t="s">
        <v>1300</v>
      </c>
      <c r="PPA76" s="343" t="s">
        <v>252</v>
      </c>
      <c r="PPB76" s="343" t="s">
        <v>1300</v>
      </c>
      <c r="PPC76" s="343" t="s">
        <v>252</v>
      </c>
      <c r="PPD76" s="343" t="s">
        <v>1300</v>
      </c>
      <c r="PPE76" s="343" t="s">
        <v>252</v>
      </c>
      <c r="PPF76" s="343" t="s">
        <v>1300</v>
      </c>
      <c r="PPG76" s="343" t="s">
        <v>252</v>
      </c>
      <c r="PPH76" s="343" t="s">
        <v>1300</v>
      </c>
      <c r="PPI76" s="343" t="s">
        <v>252</v>
      </c>
      <c r="PPJ76" s="343" t="s">
        <v>1300</v>
      </c>
      <c r="PPK76" s="343" t="s">
        <v>252</v>
      </c>
      <c r="PPL76" s="343" t="s">
        <v>1300</v>
      </c>
      <c r="PPM76" s="343" t="s">
        <v>252</v>
      </c>
      <c r="PPN76" s="343" t="s">
        <v>1300</v>
      </c>
      <c r="PPO76" s="343" t="s">
        <v>252</v>
      </c>
      <c r="PPP76" s="343" t="s">
        <v>1300</v>
      </c>
      <c r="PPQ76" s="343" t="s">
        <v>252</v>
      </c>
      <c r="PPR76" s="343" t="s">
        <v>1300</v>
      </c>
      <c r="PPS76" s="343" t="s">
        <v>252</v>
      </c>
      <c r="PPT76" s="343" t="s">
        <v>1300</v>
      </c>
      <c r="PPU76" s="343" t="s">
        <v>252</v>
      </c>
      <c r="PPV76" s="343" t="s">
        <v>1300</v>
      </c>
      <c r="PPW76" s="343" t="s">
        <v>252</v>
      </c>
      <c r="PPX76" s="343" t="s">
        <v>1300</v>
      </c>
      <c r="PPY76" s="343" t="s">
        <v>252</v>
      </c>
      <c r="PPZ76" s="343" t="s">
        <v>1300</v>
      </c>
      <c r="PQA76" s="343" t="s">
        <v>252</v>
      </c>
      <c r="PQB76" s="343" t="s">
        <v>1300</v>
      </c>
      <c r="PQC76" s="343" t="s">
        <v>252</v>
      </c>
      <c r="PQD76" s="343" t="s">
        <v>1300</v>
      </c>
      <c r="PQE76" s="343" t="s">
        <v>252</v>
      </c>
      <c r="PQF76" s="343" t="s">
        <v>1300</v>
      </c>
      <c r="PQG76" s="343" t="s">
        <v>252</v>
      </c>
      <c r="PQH76" s="343" t="s">
        <v>1300</v>
      </c>
      <c r="PQI76" s="343" t="s">
        <v>252</v>
      </c>
      <c r="PQJ76" s="343" t="s">
        <v>1300</v>
      </c>
      <c r="PQK76" s="343" t="s">
        <v>252</v>
      </c>
      <c r="PQL76" s="343" t="s">
        <v>1300</v>
      </c>
      <c r="PQM76" s="343" t="s">
        <v>252</v>
      </c>
      <c r="PQN76" s="343" t="s">
        <v>1300</v>
      </c>
      <c r="PQO76" s="343" t="s">
        <v>252</v>
      </c>
      <c r="PQP76" s="343" t="s">
        <v>1300</v>
      </c>
      <c r="PQQ76" s="343" t="s">
        <v>252</v>
      </c>
      <c r="PQR76" s="343" t="s">
        <v>1300</v>
      </c>
      <c r="PQS76" s="343" t="s">
        <v>252</v>
      </c>
      <c r="PQT76" s="343" t="s">
        <v>1300</v>
      </c>
      <c r="PQU76" s="343" t="s">
        <v>252</v>
      </c>
      <c r="PQV76" s="343" t="s">
        <v>1300</v>
      </c>
      <c r="PQW76" s="343" t="s">
        <v>252</v>
      </c>
      <c r="PQX76" s="343" t="s">
        <v>1300</v>
      </c>
      <c r="PQY76" s="343" t="s">
        <v>252</v>
      </c>
      <c r="PQZ76" s="343" t="s">
        <v>1300</v>
      </c>
      <c r="PRA76" s="343" t="s">
        <v>252</v>
      </c>
      <c r="PRB76" s="343" t="s">
        <v>1300</v>
      </c>
      <c r="PRC76" s="343" t="s">
        <v>252</v>
      </c>
      <c r="PRD76" s="343" t="s">
        <v>1300</v>
      </c>
      <c r="PRE76" s="343" t="s">
        <v>252</v>
      </c>
      <c r="PRF76" s="343" t="s">
        <v>1300</v>
      </c>
      <c r="PRG76" s="343" t="s">
        <v>252</v>
      </c>
      <c r="PRH76" s="343" t="s">
        <v>1300</v>
      </c>
      <c r="PRI76" s="343" t="s">
        <v>252</v>
      </c>
      <c r="PRJ76" s="343" t="s">
        <v>1300</v>
      </c>
      <c r="PRK76" s="343" t="s">
        <v>252</v>
      </c>
      <c r="PRL76" s="343" t="s">
        <v>1300</v>
      </c>
      <c r="PRM76" s="343" t="s">
        <v>252</v>
      </c>
      <c r="PRN76" s="343" t="s">
        <v>1300</v>
      </c>
      <c r="PRO76" s="343" t="s">
        <v>252</v>
      </c>
      <c r="PRP76" s="343" t="s">
        <v>1300</v>
      </c>
      <c r="PRQ76" s="343" t="s">
        <v>252</v>
      </c>
      <c r="PRR76" s="343" t="s">
        <v>1300</v>
      </c>
      <c r="PRS76" s="343" t="s">
        <v>252</v>
      </c>
      <c r="PRT76" s="343" t="s">
        <v>1300</v>
      </c>
      <c r="PRU76" s="343" t="s">
        <v>252</v>
      </c>
      <c r="PRV76" s="343" t="s">
        <v>1300</v>
      </c>
      <c r="PRW76" s="343" t="s">
        <v>252</v>
      </c>
      <c r="PRX76" s="343" t="s">
        <v>1300</v>
      </c>
      <c r="PRY76" s="343" t="s">
        <v>252</v>
      </c>
      <c r="PRZ76" s="343" t="s">
        <v>1300</v>
      </c>
      <c r="PSA76" s="343" t="s">
        <v>252</v>
      </c>
      <c r="PSB76" s="343" t="s">
        <v>1300</v>
      </c>
      <c r="PSC76" s="343" t="s">
        <v>252</v>
      </c>
      <c r="PSD76" s="343" t="s">
        <v>1300</v>
      </c>
      <c r="PSE76" s="343" t="s">
        <v>252</v>
      </c>
      <c r="PSF76" s="343" t="s">
        <v>1300</v>
      </c>
      <c r="PSG76" s="343" t="s">
        <v>252</v>
      </c>
      <c r="PSH76" s="343" t="s">
        <v>1300</v>
      </c>
      <c r="PSI76" s="343" t="s">
        <v>252</v>
      </c>
      <c r="PSJ76" s="343" t="s">
        <v>1300</v>
      </c>
      <c r="PSK76" s="343" t="s">
        <v>252</v>
      </c>
      <c r="PSL76" s="343" t="s">
        <v>1300</v>
      </c>
      <c r="PSM76" s="343" t="s">
        <v>252</v>
      </c>
      <c r="PSN76" s="343" t="s">
        <v>1300</v>
      </c>
      <c r="PSO76" s="343" t="s">
        <v>252</v>
      </c>
      <c r="PSP76" s="343" t="s">
        <v>1300</v>
      </c>
      <c r="PSQ76" s="343" t="s">
        <v>252</v>
      </c>
      <c r="PSR76" s="343" t="s">
        <v>1300</v>
      </c>
      <c r="PSS76" s="343" t="s">
        <v>252</v>
      </c>
      <c r="PST76" s="343" t="s">
        <v>1300</v>
      </c>
      <c r="PSU76" s="343" t="s">
        <v>252</v>
      </c>
      <c r="PSV76" s="343" t="s">
        <v>1300</v>
      </c>
      <c r="PSW76" s="343" t="s">
        <v>252</v>
      </c>
      <c r="PSX76" s="343" t="s">
        <v>1300</v>
      </c>
      <c r="PSY76" s="343" t="s">
        <v>252</v>
      </c>
      <c r="PSZ76" s="343" t="s">
        <v>1300</v>
      </c>
      <c r="PTA76" s="343" t="s">
        <v>252</v>
      </c>
      <c r="PTB76" s="343" t="s">
        <v>1300</v>
      </c>
      <c r="PTC76" s="343" t="s">
        <v>252</v>
      </c>
      <c r="PTD76" s="343" t="s">
        <v>1300</v>
      </c>
      <c r="PTE76" s="343" t="s">
        <v>252</v>
      </c>
      <c r="PTF76" s="343" t="s">
        <v>1300</v>
      </c>
      <c r="PTG76" s="343" t="s">
        <v>252</v>
      </c>
      <c r="PTH76" s="343" t="s">
        <v>1300</v>
      </c>
      <c r="PTI76" s="343" t="s">
        <v>252</v>
      </c>
      <c r="PTJ76" s="343" t="s">
        <v>1300</v>
      </c>
      <c r="PTK76" s="343" t="s">
        <v>252</v>
      </c>
      <c r="PTL76" s="343" t="s">
        <v>1300</v>
      </c>
      <c r="PTM76" s="343" t="s">
        <v>252</v>
      </c>
      <c r="PTN76" s="343" t="s">
        <v>1300</v>
      </c>
      <c r="PTO76" s="343" t="s">
        <v>252</v>
      </c>
      <c r="PTP76" s="343" t="s">
        <v>1300</v>
      </c>
      <c r="PTQ76" s="343" t="s">
        <v>252</v>
      </c>
      <c r="PTR76" s="343" t="s">
        <v>1300</v>
      </c>
      <c r="PTS76" s="343" t="s">
        <v>252</v>
      </c>
      <c r="PTT76" s="343" t="s">
        <v>1300</v>
      </c>
      <c r="PTU76" s="343" t="s">
        <v>252</v>
      </c>
      <c r="PTV76" s="343" t="s">
        <v>1300</v>
      </c>
      <c r="PTW76" s="343" t="s">
        <v>252</v>
      </c>
      <c r="PTX76" s="343" t="s">
        <v>1300</v>
      </c>
      <c r="PTY76" s="343" t="s">
        <v>252</v>
      </c>
      <c r="PTZ76" s="343" t="s">
        <v>1300</v>
      </c>
      <c r="PUA76" s="343" t="s">
        <v>252</v>
      </c>
      <c r="PUB76" s="343" t="s">
        <v>1300</v>
      </c>
      <c r="PUC76" s="343" t="s">
        <v>252</v>
      </c>
      <c r="PUD76" s="343" t="s">
        <v>1300</v>
      </c>
      <c r="PUE76" s="343" t="s">
        <v>252</v>
      </c>
      <c r="PUF76" s="343" t="s">
        <v>1300</v>
      </c>
      <c r="PUG76" s="343" t="s">
        <v>252</v>
      </c>
      <c r="PUH76" s="343" t="s">
        <v>1300</v>
      </c>
      <c r="PUI76" s="343" t="s">
        <v>252</v>
      </c>
      <c r="PUJ76" s="343" t="s">
        <v>1300</v>
      </c>
      <c r="PUK76" s="343" t="s">
        <v>252</v>
      </c>
      <c r="PUL76" s="343" t="s">
        <v>1300</v>
      </c>
      <c r="PUM76" s="343" t="s">
        <v>252</v>
      </c>
      <c r="PUN76" s="343" t="s">
        <v>1300</v>
      </c>
      <c r="PUO76" s="343" t="s">
        <v>252</v>
      </c>
      <c r="PUP76" s="343" t="s">
        <v>1300</v>
      </c>
      <c r="PUQ76" s="343" t="s">
        <v>252</v>
      </c>
      <c r="PUR76" s="343" t="s">
        <v>1300</v>
      </c>
      <c r="PUS76" s="343" t="s">
        <v>252</v>
      </c>
      <c r="PUT76" s="343" t="s">
        <v>1300</v>
      </c>
      <c r="PUU76" s="343" t="s">
        <v>252</v>
      </c>
      <c r="PUV76" s="343" t="s">
        <v>1300</v>
      </c>
      <c r="PUW76" s="343" t="s">
        <v>252</v>
      </c>
      <c r="PUX76" s="343" t="s">
        <v>1300</v>
      </c>
      <c r="PUY76" s="343" t="s">
        <v>252</v>
      </c>
      <c r="PUZ76" s="343" t="s">
        <v>1300</v>
      </c>
      <c r="PVA76" s="343" t="s">
        <v>252</v>
      </c>
      <c r="PVB76" s="343" t="s">
        <v>1300</v>
      </c>
      <c r="PVC76" s="343" t="s">
        <v>252</v>
      </c>
      <c r="PVD76" s="343" t="s">
        <v>1300</v>
      </c>
      <c r="PVE76" s="343" t="s">
        <v>252</v>
      </c>
      <c r="PVF76" s="343" t="s">
        <v>1300</v>
      </c>
      <c r="PVG76" s="343" t="s">
        <v>252</v>
      </c>
      <c r="PVH76" s="343" t="s">
        <v>1300</v>
      </c>
      <c r="PVI76" s="343" t="s">
        <v>252</v>
      </c>
      <c r="PVJ76" s="343" t="s">
        <v>1300</v>
      </c>
      <c r="PVK76" s="343" t="s">
        <v>252</v>
      </c>
      <c r="PVL76" s="343" t="s">
        <v>1300</v>
      </c>
      <c r="PVM76" s="343" t="s">
        <v>252</v>
      </c>
      <c r="PVN76" s="343" t="s">
        <v>1300</v>
      </c>
      <c r="PVO76" s="343" t="s">
        <v>252</v>
      </c>
      <c r="PVP76" s="343" t="s">
        <v>1300</v>
      </c>
      <c r="PVQ76" s="343" t="s">
        <v>252</v>
      </c>
      <c r="PVR76" s="343" t="s">
        <v>1300</v>
      </c>
      <c r="PVS76" s="343" t="s">
        <v>252</v>
      </c>
      <c r="PVT76" s="343" t="s">
        <v>1300</v>
      </c>
      <c r="PVU76" s="343" t="s">
        <v>252</v>
      </c>
      <c r="PVV76" s="343" t="s">
        <v>1300</v>
      </c>
      <c r="PVW76" s="343" t="s">
        <v>252</v>
      </c>
      <c r="PVX76" s="343" t="s">
        <v>1300</v>
      </c>
      <c r="PVY76" s="343" t="s">
        <v>252</v>
      </c>
      <c r="PVZ76" s="343" t="s">
        <v>1300</v>
      </c>
      <c r="PWA76" s="343" t="s">
        <v>252</v>
      </c>
      <c r="PWB76" s="343" t="s">
        <v>1300</v>
      </c>
      <c r="PWC76" s="343" t="s">
        <v>252</v>
      </c>
      <c r="PWD76" s="343" t="s">
        <v>1300</v>
      </c>
      <c r="PWE76" s="343" t="s">
        <v>252</v>
      </c>
      <c r="PWF76" s="343" t="s">
        <v>1300</v>
      </c>
      <c r="PWG76" s="343" t="s">
        <v>252</v>
      </c>
      <c r="PWH76" s="343" t="s">
        <v>1300</v>
      </c>
      <c r="PWI76" s="343" t="s">
        <v>252</v>
      </c>
      <c r="PWJ76" s="343" t="s">
        <v>1300</v>
      </c>
      <c r="PWK76" s="343" t="s">
        <v>252</v>
      </c>
      <c r="PWL76" s="343" t="s">
        <v>1300</v>
      </c>
      <c r="PWM76" s="343" t="s">
        <v>252</v>
      </c>
      <c r="PWN76" s="343" t="s">
        <v>1300</v>
      </c>
      <c r="PWO76" s="343" t="s">
        <v>252</v>
      </c>
      <c r="PWP76" s="343" t="s">
        <v>1300</v>
      </c>
      <c r="PWQ76" s="343" t="s">
        <v>252</v>
      </c>
      <c r="PWR76" s="343" t="s">
        <v>1300</v>
      </c>
      <c r="PWS76" s="343" t="s">
        <v>252</v>
      </c>
      <c r="PWT76" s="343" t="s">
        <v>1300</v>
      </c>
      <c r="PWU76" s="343" t="s">
        <v>252</v>
      </c>
      <c r="PWV76" s="343" t="s">
        <v>1300</v>
      </c>
      <c r="PWW76" s="343" t="s">
        <v>252</v>
      </c>
      <c r="PWX76" s="343" t="s">
        <v>1300</v>
      </c>
      <c r="PWY76" s="343" t="s">
        <v>252</v>
      </c>
      <c r="PWZ76" s="343" t="s">
        <v>1300</v>
      </c>
      <c r="PXA76" s="343" t="s">
        <v>252</v>
      </c>
      <c r="PXB76" s="343" t="s">
        <v>1300</v>
      </c>
      <c r="PXC76" s="343" t="s">
        <v>252</v>
      </c>
      <c r="PXD76" s="343" t="s">
        <v>1300</v>
      </c>
      <c r="PXE76" s="343" t="s">
        <v>252</v>
      </c>
      <c r="PXF76" s="343" t="s">
        <v>1300</v>
      </c>
      <c r="PXG76" s="343" t="s">
        <v>252</v>
      </c>
      <c r="PXH76" s="343" t="s">
        <v>1300</v>
      </c>
      <c r="PXI76" s="343" t="s">
        <v>252</v>
      </c>
      <c r="PXJ76" s="343" t="s">
        <v>1300</v>
      </c>
      <c r="PXK76" s="343" t="s">
        <v>252</v>
      </c>
      <c r="PXL76" s="343" t="s">
        <v>1300</v>
      </c>
      <c r="PXM76" s="343" t="s">
        <v>252</v>
      </c>
      <c r="PXN76" s="343" t="s">
        <v>1300</v>
      </c>
      <c r="PXO76" s="343" t="s">
        <v>252</v>
      </c>
      <c r="PXP76" s="343" t="s">
        <v>1300</v>
      </c>
      <c r="PXQ76" s="343" t="s">
        <v>252</v>
      </c>
      <c r="PXR76" s="343" t="s">
        <v>1300</v>
      </c>
      <c r="PXS76" s="343" t="s">
        <v>252</v>
      </c>
      <c r="PXT76" s="343" t="s">
        <v>1300</v>
      </c>
      <c r="PXU76" s="343" t="s">
        <v>252</v>
      </c>
      <c r="PXV76" s="343" t="s">
        <v>1300</v>
      </c>
      <c r="PXW76" s="343" t="s">
        <v>252</v>
      </c>
      <c r="PXX76" s="343" t="s">
        <v>1300</v>
      </c>
      <c r="PXY76" s="343" t="s">
        <v>252</v>
      </c>
      <c r="PXZ76" s="343" t="s">
        <v>1300</v>
      </c>
      <c r="PYA76" s="343" t="s">
        <v>252</v>
      </c>
      <c r="PYB76" s="343" t="s">
        <v>1300</v>
      </c>
      <c r="PYC76" s="343" t="s">
        <v>252</v>
      </c>
      <c r="PYD76" s="343" t="s">
        <v>1300</v>
      </c>
      <c r="PYE76" s="343" t="s">
        <v>252</v>
      </c>
      <c r="PYF76" s="343" t="s">
        <v>1300</v>
      </c>
      <c r="PYG76" s="343" t="s">
        <v>252</v>
      </c>
      <c r="PYH76" s="343" t="s">
        <v>1300</v>
      </c>
      <c r="PYI76" s="343" t="s">
        <v>252</v>
      </c>
      <c r="PYJ76" s="343" t="s">
        <v>1300</v>
      </c>
      <c r="PYK76" s="343" t="s">
        <v>252</v>
      </c>
      <c r="PYL76" s="343" t="s">
        <v>1300</v>
      </c>
      <c r="PYM76" s="343" t="s">
        <v>252</v>
      </c>
      <c r="PYN76" s="343" t="s">
        <v>1300</v>
      </c>
      <c r="PYO76" s="343" t="s">
        <v>252</v>
      </c>
      <c r="PYP76" s="343" t="s">
        <v>1300</v>
      </c>
      <c r="PYQ76" s="343" t="s">
        <v>252</v>
      </c>
      <c r="PYR76" s="343" t="s">
        <v>1300</v>
      </c>
      <c r="PYS76" s="343" t="s">
        <v>252</v>
      </c>
      <c r="PYT76" s="343" t="s">
        <v>1300</v>
      </c>
      <c r="PYU76" s="343" t="s">
        <v>252</v>
      </c>
      <c r="PYV76" s="343" t="s">
        <v>1300</v>
      </c>
      <c r="PYW76" s="343" t="s">
        <v>252</v>
      </c>
      <c r="PYX76" s="343" t="s">
        <v>1300</v>
      </c>
      <c r="PYY76" s="343" t="s">
        <v>252</v>
      </c>
      <c r="PYZ76" s="343" t="s">
        <v>1300</v>
      </c>
      <c r="PZA76" s="343" t="s">
        <v>252</v>
      </c>
      <c r="PZB76" s="343" t="s">
        <v>1300</v>
      </c>
      <c r="PZC76" s="343" t="s">
        <v>252</v>
      </c>
      <c r="PZD76" s="343" t="s">
        <v>1300</v>
      </c>
      <c r="PZE76" s="343" t="s">
        <v>252</v>
      </c>
      <c r="PZF76" s="343" t="s">
        <v>1300</v>
      </c>
      <c r="PZG76" s="343" t="s">
        <v>252</v>
      </c>
      <c r="PZH76" s="343" t="s">
        <v>1300</v>
      </c>
      <c r="PZI76" s="343" t="s">
        <v>252</v>
      </c>
      <c r="PZJ76" s="343" t="s">
        <v>1300</v>
      </c>
      <c r="PZK76" s="343" t="s">
        <v>252</v>
      </c>
      <c r="PZL76" s="343" t="s">
        <v>1300</v>
      </c>
      <c r="PZM76" s="343" t="s">
        <v>252</v>
      </c>
      <c r="PZN76" s="343" t="s">
        <v>1300</v>
      </c>
      <c r="PZO76" s="343" t="s">
        <v>252</v>
      </c>
      <c r="PZP76" s="343" t="s">
        <v>1300</v>
      </c>
      <c r="PZQ76" s="343" t="s">
        <v>252</v>
      </c>
      <c r="PZR76" s="343" t="s">
        <v>1300</v>
      </c>
      <c r="PZS76" s="343" t="s">
        <v>252</v>
      </c>
      <c r="PZT76" s="343" t="s">
        <v>1300</v>
      </c>
      <c r="PZU76" s="343" t="s">
        <v>252</v>
      </c>
      <c r="PZV76" s="343" t="s">
        <v>1300</v>
      </c>
      <c r="PZW76" s="343" t="s">
        <v>252</v>
      </c>
      <c r="PZX76" s="343" t="s">
        <v>1300</v>
      </c>
      <c r="PZY76" s="343" t="s">
        <v>252</v>
      </c>
      <c r="PZZ76" s="343" t="s">
        <v>1300</v>
      </c>
      <c r="QAA76" s="343" t="s">
        <v>252</v>
      </c>
      <c r="QAB76" s="343" t="s">
        <v>1300</v>
      </c>
      <c r="QAC76" s="343" t="s">
        <v>252</v>
      </c>
      <c r="QAD76" s="343" t="s">
        <v>1300</v>
      </c>
      <c r="QAE76" s="343" t="s">
        <v>252</v>
      </c>
      <c r="QAF76" s="343" t="s">
        <v>1300</v>
      </c>
      <c r="QAG76" s="343" t="s">
        <v>252</v>
      </c>
      <c r="QAH76" s="343" t="s">
        <v>1300</v>
      </c>
      <c r="QAI76" s="343" t="s">
        <v>252</v>
      </c>
      <c r="QAJ76" s="343" t="s">
        <v>1300</v>
      </c>
      <c r="QAK76" s="343" t="s">
        <v>252</v>
      </c>
      <c r="QAL76" s="343" t="s">
        <v>1300</v>
      </c>
      <c r="QAM76" s="343" t="s">
        <v>252</v>
      </c>
      <c r="QAN76" s="343" t="s">
        <v>1300</v>
      </c>
      <c r="QAO76" s="343" t="s">
        <v>252</v>
      </c>
      <c r="QAP76" s="343" t="s">
        <v>1300</v>
      </c>
      <c r="QAQ76" s="343" t="s">
        <v>252</v>
      </c>
      <c r="QAR76" s="343" t="s">
        <v>1300</v>
      </c>
      <c r="QAS76" s="343" t="s">
        <v>252</v>
      </c>
      <c r="QAT76" s="343" t="s">
        <v>1300</v>
      </c>
      <c r="QAU76" s="343" t="s">
        <v>252</v>
      </c>
      <c r="QAV76" s="343" t="s">
        <v>1300</v>
      </c>
      <c r="QAW76" s="343" t="s">
        <v>252</v>
      </c>
      <c r="QAX76" s="343" t="s">
        <v>1300</v>
      </c>
      <c r="QAY76" s="343" t="s">
        <v>252</v>
      </c>
      <c r="QAZ76" s="343" t="s">
        <v>1300</v>
      </c>
      <c r="QBA76" s="343" t="s">
        <v>252</v>
      </c>
      <c r="QBB76" s="343" t="s">
        <v>1300</v>
      </c>
      <c r="QBC76" s="343" t="s">
        <v>252</v>
      </c>
      <c r="QBD76" s="343" t="s">
        <v>1300</v>
      </c>
      <c r="QBE76" s="343" t="s">
        <v>252</v>
      </c>
      <c r="QBF76" s="343" t="s">
        <v>1300</v>
      </c>
      <c r="QBG76" s="343" t="s">
        <v>252</v>
      </c>
      <c r="QBH76" s="343" t="s">
        <v>1300</v>
      </c>
      <c r="QBI76" s="343" t="s">
        <v>252</v>
      </c>
      <c r="QBJ76" s="343" t="s">
        <v>1300</v>
      </c>
      <c r="QBK76" s="343" t="s">
        <v>252</v>
      </c>
      <c r="QBL76" s="343" t="s">
        <v>1300</v>
      </c>
      <c r="QBM76" s="343" t="s">
        <v>252</v>
      </c>
      <c r="QBN76" s="343" t="s">
        <v>1300</v>
      </c>
      <c r="QBO76" s="343" t="s">
        <v>252</v>
      </c>
      <c r="QBP76" s="343" t="s">
        <v>1300</v>
      </c>
      <c r="QBQ76" s="343" t="s">
        <v>252</v>
      </c>
      <c r="QBR76" s="343" t="s">
        <v>1300</v>
      </c>
      <c r="QBS76" s="343" t="s">
        <v>252</v>
      </c>
      <c r="QBT76" s="343" t="s">
        <v>1300</v>
      </c>
      <c r="QBU76" s="343" t="s">
        <v>252</v>
      </c>
      <c r="QBV76" s="343" t="s">
        <v>1300</v>
      </c>
      <c r="QBW76" s="343" t="s">
        <v>252</v>
      </c>
      <c r="QBX76" s="343" t="s">
        <v>1300</v>
      </c>
      <c r="QBY76" s="343" t="s">
        <v>252</v>
      </c>
      <c r="QBZ76" s="343" t="s">
        <v>1300</v>
      </c>
      <c r="QCA76" s="343" t="s">
        <v>252</v>
      </c>
      <c r="QCB76" s="343" t="s">
        <v>1300</v>
      </c>
      <c r="QCC76" s="343" t="s">
        <v>252</v>
      </c>
      <c r="QCD76" s="343" t="s">
        <v>1300</v>
      </c>
      <c r="QCE76" s="343" t="s">
        <v>252</v>
      </c>
      <c r="QCF76" s="343" t="s">
        <v>1300</v>
      </c>
      <c r="QCG76" s="343" t="s">
        <v>252</v>
      </c>
      <c r="QCH76" s="343" t="s">
        <v>1300</v>
      </c>
      <c r="QCI76" s="343" t="s">
        <v>252</v>
      </c>
      <c r="QCJ76" s="343" t="s">
        <v>1300</v>
      </c>
      <c r="QCK76" s="343" t="s">
        <v>252</v>
      </c>
      <c r="QCL76" s="343" t="s">
        <v>1300</v>
      </c>
      <c r="QCM76" s="343" t="s">
        <v>252</v>
      </c>
      <c r="QCN76" s="343" t="s">
        <v>1300</v>
      </c>
      <c r="QCO76" s="343" t="s">
        <v>252</v>
      </c>
      <c r="QCP76" s="343" t="s">
        <v>1300</v>
      </c>
      <c r="QCQ76" s="343" t="s">
        <v>252</v>
      </c>
      <c r="QCR76" s="343" t="s">
        <v>1300</v>
      </c>
      <c r="QCS76" s="343" t="s">
        <v>252</v>
      </c>
      <c r="QCT76" s="343" t="s">
        <v>1300</v>
      </c>
      <c r="QCU76" s="343" t="s">
        <v>252</v>
      </c>
      <c r="QCV76" s="343" t="s">
        <v>1300</v>
      </c>
      <c r="QCW76" s="343" t="s">
        <v>252</v>
      </c>
      <c r="QCX76" s="343" t="s">
        <v>1300</v>
      </c>
      <c r="QCY76" s="343" t="s">
        <v>252</v>
      </c>
      <c r="QCZ76" s="343" t="s">
        <v>1300</v>
      </c>
      <c r="QDA76" s="343" t="s">
        <v>252</v>
      </c>
      <c r="QDB76" s="343" t="s">
        <v>1300</v>
      </c>
      <c r="QDC76" s="343" t="s">
        <v>252</v>
      </c>
      <c r="QDD76" s="343" t="s">
        <v>1300</v>
      </c>
      <c r="QDE76" s="343" t="s">
        <v>252</v>
      </c>
      <c r="QDF76" s="343" t="s">
        <v>1300</v>
      </c>
      <c r="QDG76" s="343" t="s">
        <v>252</v>
      </c>
      <c r="QDH76" s="343" t="s">
        <v>1300</v>
      </c>
      <c r="QDI76" s="343" t="s">
        <v>252</v>
      </c>
      <c r="QDJ76" s="343" t="s">
        <v>1300</v>
      </c>
      <c r="QDK76" s="343" t="s">
        <v>252</v>
      </c>
      <c r="QDL76" s="343" t="s">
        <v>1300</v>
      </c>
      <c r="QDM76" s="343" t="s">
        <v>252</v>
      </c>
      <c r="QDN76" s="343" t="s">
        <v>1300</v>
      </c>
      <c r="QDO76" s="343" t="s">
        <v>252</v>
      </c>
      <c r="QDP76" s="343" t="s">
        <v>1300</v>
      </c>
      <c r="QDQ76" s="343" t="s">
        <v>252</v>
      </c>
      <c r="QDR76" s="343" t="s">
        <v>1300</v>
      </c>
      <c r="QDS76" s="343" t="s">
        <v>252</v>
      </c>
      <c r="QDT76" s="343" t="s">
        <v>1300</v>
      </c>
      <c r="QDU76" s="343" t="s">
        <v>252</v>
      </c>
      <c r="QDV76" s="343" t="s">
        <v>1300</v>
      </c>
      <c r="QDW76" s="343" t="s">
        <v>252</v>
      </c>
      <c r="QDX76" s="343" t="s">
        <v>1300</v>
      </c>
      <c r="QDY76" s="343" t="s">
        <v>252</v>
      </c>
      <c r="QDZ76" s="343" t="s">
        <v>1300</v>
      </c>
      <c r="QEA76" s="343" t="s">
        <v>252</v>
      </c>
      <c r="QEB76" s="343" t="s">
        <v>1300</v>
      </c>
      <c r="QEC76" s="343" t="s">
        <v>252</v>
      </c>
      <c r="QED76" s="343" t="s">
        <v>1300</v>
      </c>
      <c r="QEE76" s="343" t="s">
        <v>252</v>
      </c>
      <c r="QEF76" s="343" t="s">
        <v>1300</v>
      </c>
      <c r="QEG76" s="343" t="s">
        <v>252</v>
      </c>
      <c r="QEH76" s="343" t="s">
        <v>1300</v>
      </c>
      <c r="QEI76" s="343" t="s">
        <v>252</v>
      </c>
      <c r="QEJ76" s="343" t="s">
        <v>1300</v>
      </c>
      <c r="QEK76" s="343" t="s">
        <v>252</v>
      </c>
      <c r="QEL76" s="343" t="s">
        <v>1300</v>
      </c>
      <c r="QEM76" s="343" t="s">
        <v>252</v>
      </c>
      <c r="QEN76" s="343" t="s">
        <v>1300</v>
      </c>
      <c r="QEO76" s="343" t="s">
        <v>252</v>
      </c>
      <c r="QEP76" s="343" t="s">
        <v>1300</v>
      </c>
      <c r="QEQ76" s="343" t="s">
        <v>252</v>
      </c>
      <c r="QER76" s="343" t="s">
        <v>1300</v>
      </c>
      <c r="QES76" s="343" t="s">
        <v>252</v>
      </c>
      <c r="QET76" s="343" t="s">
        <v>1300</v>
      </c>
      <c r="QEU76" s="343" t="s">
        <v>252</v>
      </c>
      <c r="QEV76" s="343" t="s">
        <v>1300</v>
      </c>
      <c r="QEW76" s="343" t="s">
        <v>252</v>
      </c>
      <c r="QEX76" s="343" t="s">
        <v>1300</v>
      </c>
      <c r="QEY76" s="343" t="s">
        <v>252</v>
      </c>
      <c r="QEZ76" s="343" t="s">
        <v>1300</v>
      </c>
      <c r="QFA76" s="343" t="s">
        <v>252</v>
      </c>
      <c r="QFB76" s="343" t="s">
        <v>1300</v>
      </c>
      <c r="QFC76" s="343" t="s">
        <v>252</v>
      </c>
      <c r="QFD76" s="343" t="s">
        <v>1300</v>
      </c>
      <c r="QFE76" s="343" t="s">
        <v>252</v>
      </c>
      <c r="QFF76" s="343" t="s">
        <v>1300</v>
      </c>
      <c r="QFG76" s="343" t="s">
        <v>252</v>
      </c>
      <c r="QFH76" s="343" t="s">
        <v>1300</v>
      </c>
      <c r="QFI76" s="343" t="s">
        <v>252</v>
      </c>
      <c r="QFJ76" s="343" t="s">
        <v>1300</v>
      </c>
      <c r="QFK76" s="343" t="s">
        <v>252</v>
      </c>
      <c r="QFL76" s="343" t="s">
        <v>1300</v>
      </c>
      <c r="QFM76" s="343" t="s">
        <v>252</v>
      </c>
      <c r="QFN76" s="343" t="s">
        <v>1300</v>
      </c>
      <c r="QFO76" s="343" t="s">
        <v>252</v>
      </c>
      <c r="QFP76" s="343" t="s">
        <v>1300</v>
      </c>
      <c r="QFQ76" s="343" t="s">
        <v>252</v>
      </c>
      <c r="QFR76" s="343" t="s">
        <v>1300</v>
      </c>
      <c r="QFS76" s="343" t="s">
        <v>252</v>
      </c>
      <c r="QFT76" s="343" t="s">
        <v>1300</v>
      </c>
      <c r="QFU76" s="343" t="s">
        <v>252</v>
      </c>
      <c r="QFV76" s="343" t="s">
        <v>1300</v>
      </c>
      <c r="QFW76" s="343" t="s">
        <v>252</v>
      </c>
      <c r="QFX76" s="343" t="s">
        <v>1300</v>
      </c>
      <c r="QFY76" s="343" t="s">
        <v>252</v>
      </c>
      <c r="QFZ76" s="343" t="s">
        <v>1300</v>
      </c>
      <c r="QGA76" s="343" t="s">
        <v>252</v>
      </c>
      <c r="QGB76" s="343" t="s">
        <v>1300</v>
      </c>
      <c r="QGC76" s="343" t="s">
        <v>252</v>
      </c>
      <c r="QGD76" s="343" t="s">
        <v>1300</v>
      </c>
      <c r="QGE76" s="343" t="s">
        <v>252</v>
      </c>
      <c r="QGF76" s="343" t="s">
        <v>1300</v>
      </c>
      <c r="QGG76" s="343" t="s">
        <v>252</v>
      </c>
      <c r="QGH76" s="343" t="s">
        <v>1300</v>
      </c>
      <c r="QGI76" s="343" t="s">
        <v>252</v>
      </c>
      <c r="QGJ76" s="343" t="s">
        <v>1300</v>
      </c>
      <c r="QGK76" s="343" t="s">
        <v>252</v>
      </c>
      <c r="QGL76" s="343" t="s">
        <v>1300</v>
      </c>
      <c r="QGM76" s="343" t="s">
        <v>252</v>
      </c>
      <c r="QGN76" s="343" t="s">
        <v>1300</v>
      </c>
      <c r="QGO76" s="343" t="s">
        <v>252</v>
      </c>
      <c r="QGP76" s="343" t="s">
        <v>1300</v>
      </c>
      <c r="QGQ76" s="343" t="s">
        <v>252</v>
      </c>
      <c r="QGR76" s="343" t="s">
        <v>1300</v>
      </c>
      <c r="QGS76" s="343" t="s">
        <v>252</v>
      </c>
      <c r="QGT76" s="343" t="s">
        <v>1300</v>
      </c>
      <c r="QGU76" s="343" t="s">
        <v>252</v>
      </c>
      <c r="QGV76" s="343" t="s">
        <v>1300</v>
      </c>
      <c r="QGW76" s="343" t="s">
        <v>252</v>
      </c>
      <c r="QGX76" s="343" t="s">
        <v>1300</v>
      </c>
      <c r="QGY76" s="343" t="s">
        <v>252</v>
      </c>
      <c r="QGZ76" s="343" t="s">
        <v>1300</v>
      </c>
      <c r="QHA76" s="343" t="s">
        <v>252</v>
      </c>
      <c r="QHB76" s="343" t="s">
        <v>1300</v>
      </c>
      <c r="QHC76" s="343" t="s">
        <v>252</v>
      </c>
      <c r="QHD76" s="343" t="s">
        <v>1300</v>
      </c>
      <c r="QHE76" s="343" t="s">
        <v>252</v>
      </c>
      <c r="QHF76" s="343" t="s">
        <v>1300</v>
      </c>
      <c r="QHG76" s="343" t="s">
        <v>252</v>
      </c>
      <c r="QHH76" s="343" t="s">
        <v>1300</v>
      </c>
      <c r="QHI76" s="343" t="s">
        <v>252</v>
      </c>
      <c r="QHJ76" s="343" t="s">
        <v>1300</v>
      </c>
      <c r="QHK76" s="343" t="s">
        <v>252</v>
      </c>
      <c r="QHL76" s="343" t="s">
        <v>1300</v>
      </c>
      <c r="QHM76" s="343" t="s">
        <v>252</v>
      </c>
      <c r="QHN76" s="343" t="s">
        <v>1300</v>
      </c>
      <c r="QHO76" s="343" t="s">
        <v>252</v>
      </c>
      <c r="QHP76" s="343" t="s">
        <v>1300</v>
      </c>
      <c r="QHQ76" s="343" t="s">
        <v>252</v>
      </c>
      <c r="QHR76" s="343" t="s">
        <v>1300</v>
      </c>
      <c r="QHS76" s="343" t="s">
        <v>252</v>
      </c>
      <c r="QHT76" s="343" t="s">
        <v>1300</v>
      </c>
      <c r="QHU76" s="343" t="s">
        <v>252</v>
      </c>
      <c r="QHV76" s="343" t="s">
        <v>1300</v>
      </c>
      <c r="QHW76" s="343" t="s">
        <v>252</v>
      </c>
      <c r="QHX76" s="343" t="s">
        <v>1300</v>
      </c>
      <c r="QHY76" s="343" t="s">
        <v>252</v>
      </c>
      <c r="QHZ76" s="343" t="s">
        <v>1300</v>
      </c>
      <c r="QIA76" s="343" t="s">
        <v>252</v>
      </c>
      <c r="QIB76" s="343" t="s">
        <v>1300</v>
      </c>
      <c r="QIC76" s="343" t="s">
        <v>252</v>
      </c>
      <c r="QID76" s="343" t="s">
        <v>1300</v>
      </c>
      <c r="QIE76" s="343" t="s">
        <v>252</v>
      </c>
      <c r="QIF76" s="343" t="s">
        <v>1300</v>
      </c>
      <c r="QIG76" s="343" t="s">
        <v>252</v>
      </c>
      <c r="QIH76" s="343" t="s">
        <v>1300</v>
      </c>
      <c r="QII76" s="343" t="s">
        <v>252</v>
      </c>
      <c r="QIJ76" s="343" t="s">
        <v>1300</v>
      </c>
      <c r="QIK76" s="343" t="s">
        <v>252</v>
      </c>
      <c r="QIL76" s="343" t="s">
        <v>1300</v>
      </c>
      <c r="QIM76" s="343" t="s">
        <v>252</v>
      </c>
      <c r="QIN76" s="343" t="s">
        <v>1300</v>
      </c>
      <c r="QIO76" s="343" t="s">
        <v>252</v>
      </c>
      <c r="QIP76" s="343" t="s">
        <v>1300</v>
      </c>
      <c r="QIQ76" s="343" t="s">
        <v>252</v>
      </c>
      <c r="QIR76" s="343" t="s">
        <v>1300</v>
      </c>
      <c r="QIS76" s="343" t="s">
        <v>252</v>
      </c>
      <c r="QIT76" s="343" t="s">
        <v>1300</v>
      </c>
      <c r="QIU76" s="343" t="s">
        <v>252</v>
      </c>
      <c r="QIV76" s="343" t="s">
        <v>1300</v>
      </c>
      <c r="QIW76" s="343" t="s">
        <v>252</v>
      </c>
      <c r="QIX76" s="343" t="s">
        <v>1300</v>
      </c>
      <c r="QIY76" s="343" t="s">
        <v>252</v>
      </c>
      <c r="QIZ76" s="343" t="s">
        <v>1300</v>
      </c>
      <c r="QJA76" s="343" t="s">
        <v>252</v>
      </c>
      <c r="QJB76" s="343" t="s">
        <v>1300</v>
      </c>
      <c r="QJC76" s="343" t="s">
        <v>252</v>
      </c>
      <c r="QJD76" s="343" t="s">
        <v>1300</v>
      </c>
      <c r="QJE76" s="343" t="s">
        <v>252</v>
      </c>
      <c r="QJF76" s="343" t="s">
        <v>1300</v>
      </c>
      <c r="QJG76" s="343" t="s">
        <v>252</v>
      </c>
      <c r="QJH76" s="343" t="s">
        <v>1300</v>
      </c>
      <c r="QJI76" s="343" t="s">
        <v>252</v>
      </c>
      <c r="QJJ76" s="343" t="s">
        <v>1300</v>
      </c>
      <c r="QJK76" s="343" t="s">
        <v>252</v>
      </c>
      <c r="QJL76" s="343" t="s">
        <v>1300</v>
      </c>
      <c r="QJM76" s="343" t="s">
        <v>252</v>
      </c>
      <c r="QJN76" s="343" t="s">
        <v>1300</v>
      </c>
      <c r="QJO76" s="343" t="s">
        <v>252</v>
      </c>
      <c r="QJP76" s="343" t="s">
        <v>1300</v>
      </c>
      <c r="QJQ76" s="343" t="s">
        <v>252</v>
      </c>
      <c r="QJR76" s="343" t="s">
        <v>1300</v>
      </c>
      <c r="QJS76" s="343" t="s">
        <v>252</v>
      </c>
      <c r="QJT76" s="343" t="s">
        <v>1300</v>
      </c>
      <c r="QJU76" s="343" t="s">
        <v>252</v>
      </c>
      <c r="QJV76" s="343" t="s">
        <v>1300</v>
      </c>
      <c r="QJW76" s="343" t="s">
        <v>252</v>
      </c>
      <c r="QJX76" s="343" t="s">
        <v>1300</v>
      </c>
      <c r="QJY76" s="343" t="s">
        <v>252</v>
      </c>
      <c r="QJZ76" s="343" t="s">
        <v>1300</v>
      </c>
      <c r="QKA76" s="343" t="s">
        <v>252</v>
      </c>
      <c r="QKB76" s="343" t="s">
        <v>1300</v>
      </c>
      <c r="QKC76" s="343" t="s">
        <v>252</v>
      </c>
      <c r="QKD76" s="343" t="s">
        <v>1300</v>
      </c>
      <c r="QKE76" s="343" t="s">
        <v>252</v>
      </c>
      <c r="QKF76" s="343" t="s">
        <v>1300</v>
      </c>
      <c r="QKG76" s="343" t="s">
        <v>252</v>
      </c>
      <c r="QKH76" s="343" t="s">
        <v>1300</v>
      </c>
      <c r="QKI76" s="343" t="s">
        <v>252</v>
      </c>
      <c r="QKJ76" s="343" t="s">
        <v>1300</v>
      </c>
      <c r="QKK76" s="343" t="s">
        <v>252</v>
      </c>
      <c r="QKL76" s="343" t="s">
        <v>1300</v>
      </c>
      <c r="QKM76" s="343" t="s">
        <v>252</v>
      </c>
      <c r="QKN76" s="343" t="s">
        <v>1300</v>
      </c>
      <c r="QKO76" s="343" t="s">
        <v>252</v>
      </c>
      <c r="QKP76" s="343" t="s">
        <v>1300</v>
      </c>
      <c r="QKQ76" s="343" t="s">
        <v>252</v>
      </c>
      <c r="QKR76" s="343" t="s">
        <v>1300</v>
      </c>
      <c r="QKS76" s="343" t="s">
        <v>252</v>
      </c>
      <c r="QKT76" s="343" t="s">
        <v>1300</v>
      </c>
      <c r="QKU76" s="343" t="s">
        <v>252</v>
      </c>
      <c r="QKV76" s="343" t="s">
        <v>1300</v>
      </c>
      <c r="QKW76" s="343" t="s">
        <v>252</v>
      </c>
      <c r="QKX76" s="343" t="s">
        <v>1300</v>
      </c>
      <c r="QKY76" s="343" t="s">
        <v>252</v>
      </c>
      <c r="QKZ76" s="343" t="s">
        <v>1300</v>
      </c>
      <c r="QLA76" s="343" t="s">
        <v>252</v>
      </c>
      <c r="QLB76" s="343" t="s">
        <v>1300</v>
      </c>
      <c r="QLC76" s="343" t="s">
        <v>252</v>
      </c>
      <c r="QLD76" s="343" t="s">
        <v>1300</v>
      </c>
      <c r="QLE76" s="343" t="s">
        <v>252</v>
      </c>
      <c r="QLF76" s="343" t="s">
        <v>1300</v>
      </c>
      <c r="QLG76" s="343" t="s">
        <v>252</v>
      </c>
      <c r="QLH76" s="343" t="s">
        <v>1300</v>
      </c>
      <c r="QLI76" s="343" t="s">
        <v>252</v>
      </c>
      <c r="QLJ76" s="343" t="s">
        <v>1300</v>
      </c>
      <c r="QLK76" s="343" t="s">
        <v>252</v>
      </c>
      <c r="QLL76" s="343" t="s">
        <v>1300</v>
      </c>
      <c r="QLM76" s="343" t="s">
        <v>252</v>
      </c>
      <c r="QLN76" s="343" t="s">
        <v>1300</v>
      </c>
      <c r="QLO76" s="343" t="s">
        <v>252</v>
      </c>
      <c r="QLP76" s="343" t="s">
        <v>1300</v>
      </c>
      <c r="QLQ76" s="343" t="s">
        <v>252</v>
      </c>
      <c r="QLR76" s="343" t="s">
        <v>1300</v>
      </c>
      <c r="QLS76" s="343" t="s">
        <v>252</v>
      </c>
      <c r="QLT76" s="343" t="s">
        <v>1300</v>
      </c>
      <c r="QLU76" s="343" t="s">
        <v>252</v>
      </c>
      <c r="QLV76" s="343" t="s">
        <v>1300</v>
      </c>
      <c r="QLW76" s="343" t="s">
        <v>252</v>
      </c>
      <c r="QLX76" s="343" t="s">
        <v>1300</v>
      </c>
      <c r="QLY76" s="343" t="s">
        <v>252</v>
      </c>
      <c r="QLZ76" s="343" t="s">
        <v>1300</v>
      </c>
      <c r="QMA76" s="343" t="s">
        <v>252</v>
      </c>
      <c r="QMB76" s="343" t="s">
        <v>1300</v>
      </c>
      <c r="QMC76" s="343" t="s">
        <v>252</v>
      </c>
      <c r="QMD76" s="343" t="s">
        <v>1300</v>
      </c>
      <c r="QME76" s="343" t="s">
        <v>252</v>
      </c>
      <c r="QMF76" s="343" t="s">
        <v>1300</v>
      </c>
      <c r="QMG76" s="343" t="s">
        <v>252</v>
      </c>
      <c r="QMH76" s="343" t="s">
        <v>1300</v>
      </c>
      <c r="QMI76" s="343" t="s">
        <v>252</v>
      </c>
      <c r="QMJ76" s="343" t="s">
        <v>1300</v>
      </c>
      <c r="QMK76" s="343" t="s">
        <v>252</v>
      </c>
      <c r="QML76" s="343" t="s">
        <v>1300</v>
      </c>
      <c r="QMM76" s="343" t="s">
        <v>252</v>
      </c>
      <c r="QMN76" s="343" t="s">
        <v>1300</v>
      </c>
      <c r="QMO76" s="343" t="s">
        <v>252</v>
      </c>
      <c r="QMP76" s="343" t="s">
        <v>1300</v>
      </c>
      <c r="QMQ76" s="343" t="s">
        <v>252</v>
      </c>
      <c r="QMR76" s="343" t="s">
        <v>1300</v>
      </c>
      <c r="QMS76" s="343" t="s">
        <v>252</v>
      </c>
      <c r="QMT76" s="343" t="s">
        <v>1300</v>
      </c>
      <c r="QMU76" s="343" t="s">
        <v>252</v>
      </c>
      <c r="QMV76" s="343" t="s">
        <v>1300</v>
      </c>
      <c r="QMW76" s="343" t="s">
        <v>252</v>
      </c>
      <c r="QMX76" s="343" t="s">
        <v>1300</v>
      </c>
      <c r="QMY76" s="343" t="s">
        <v>252</v>
      </c>
      <c r="QMZ76" s="343" t="s">
        <v>1300</v>
      </c>
      <c r="QNA76" s="343" t="s">
        <v>252</v>
      </c>
      <c r="QNB76" s="343" t="s">
        <v>1300</v>
      </c>
      <c r="QNC76" s="343" t="s">
        <v>252</v>
      </c>
      <c r="QND76" s="343" t="s">
        <v>1300</v>
      </c>
      <c r="QNE76" s="343" t="s">
        <v>252</v>
      </c>
      <c r="QNF76" s="343" t="s">
        <v>1300</v>
      </c>
      <c r="QNG76" s="343" t="s">
        <v>252</v>
      </c>
      <c r="QNH76" s="343" t="s">
        <v>1300</v>
      </c>
      <c r="QNI76" s="343" t="s">
        <v>252</v>
      </c>
      <c r="QNJ76" s="343" t="s">
        <v>1300</v>
      </c>
      <c r="QNK76" s="343" t="s">
        <v>252</v>
      </c>
      <c r="QNL76" s="343" t="s">
        <v>1300</v>
      </c>
      <c r="QNM76" s="343" t="s">
        <v>252</v>
      </c>
      <c r="QNN76" s="343" t="s">
        <v>1300</v>
      </c>
      <c r="QNO76" s="343" t="s">
        <v>252</v>
      </c>
      <c r="QNP76" s="343" t="s">
        <v>1300</v>
      </c>
      <c r="QNQ76" s="343" t="s">
        <v>252</v>
      </c>
      <c r="QNR76" s="343" t="s">
        <v>1300</v>
      </c>
      <c r="QNS76" s="343" t="s">
        <v>252</v>
      </c>
      <c r="QNT76" s="343" t="s">
        <v>1300</v>
      </c>
      <c r="QNU76" s="343" t="s">
        <v>252</v>
      </c>
      <c r="QNV76" s="343" t="s">
        <v>1300</v>
      </c>
      <c r="QNW76" s="343" t="s">
        <v>252</v>
      </c>
      <c r="QNX76" s="343" t="s">
        <v>1300</v>
      </c>
      <c r="QNY76" s="343" t="s">
        <v>252</v>
      </c>
      <c r="QNZ76" s="343" t="s">
        <v>1300</v>
      </c>
      <c r="QOA76" s="343" t="s">
        <v>252</v>
      </c>
      <c r="QOB76" s="343" t="s">
        <v>1300</v>
      </c>
      <c r="QOC76" s="343" t="s">
        <v>252</v>
      </c>
      <c r="QOD76" s="343" t="s">
        <v>1300</v>
      </c>
      <c r="QOE76" s="343" t="s">
        <v>252</v>
      </c>
      <c r="QOF76" s="343" t="s">
        <v>1300</v>
      </c>
      <c r="QOG76" s="343" t="s">
        <v>252</v>
      </c>
      <c r="QOH76" s="343" t="s">
        <v>1300</v>
      </c>
      <c r="QOI76" s="343" t="s">
        <v>252</v>
      </c>
      <c r="QOJ76" s="343" t="s">
        <v>1300</v>
      </c>
      <c r="QOK76" s="343" t="s">
        <v>252</v>
      </c>
      <c r="QOL76" s="343" t="s">
        <v>1300</v>
      </c>
      <c r="QOM76" s="343" t="s">
        <v>252</v>
      </c>
      <c r="QON76" s="343" t="s">
        <v>1300</v>
      </c>
      <c r="QOO76" s="343" t="s">
        <v>252</v>
      </c>
      <c r="QOP76" s="343" t="s">
        <v>1300</v>
      </c>
      <c r="QOQ76" s="343" t="s">
        <v>252</v>
      </c>
      <c r="QOR76" s="343" t="s">
        <v>1300</v>
      </c>
      <c r="QOS76" s="343" t="s">
        <v>252</v>
      </c>
      <c r="QOT76" s="343" t="s">
        <v>1300</v>
      </c>
      <c r="QOU76" s="343" t="s">
        <v>252</v>
      </c>
      <c r="QOV76" s="343" t="s">
        <v>1300</v>
      </c>
      <c r="QOW76" s="343" t="s">
        <v>252</v>
      </c>
      <c r="QOX76" s="343" t="s">
        <v>1300</v>
      </c>
      <c r="QOY76" s="343" t="s">
        <v>252</v>
      </c>
      <c r="QOZ76" s="343" t="s">
        <v>1300</v>
      </c>
      <c r="QPA76" s="343" t="s">
        <v>252</v>
      </c>
      <c r="QPB76" s="343" t="s">
        <v>1300</v>
      </c>
      <c r="QPC76" s="343" t="s">
        <v>252</v>
      </c>
      <c r="QPD76" s="343" t="s">
        <v>1300</v>
      </c>
      <c r="QPE76" s="343" t="s">
        <v>252</v>
      </c>
      <c r="QPF76" s="343" t="s">
        <v>1300</v>
      </c>
      <c r="QPG76" s="343" t="s">
        <v>252</v>
      </c>
      <c r="QPH76" s="343" t="s">
        <v>1300</v>
      </c>
      <c r="QPI76" s="343" t="s">
        <v>252</v>
      </c>
      <c r="QPJ76" s="343" t="s">
        <v>1300</v>
      </c>
      <c r="QPK76" s="343" t="s">
        <v>252</v>
      </c>
      <c r="QPL76" s="343" t="s">
        <v>1300</v>
      </c>
      <c r="QPM76" s="343" t="s">
        <v>252</v>
      </c>
      <c r="QPN76" s="343" t="s">
        <v>1300</v>
      </c>
      <c r="QPO76" s="343" t="s">
        <v>252</v>
      </c>
      <c r="QPP76" s="343" t="s">
        <v>1300</v>
      </c>
      <c r="QPQ76" s="343" t="s">
        <v>252</v>
      </c>
      <c r="QPR76" s="343" t="s">
        <v>1300</v>
      </c>
      <c r="QPS76" s="343" t="s">
        <v>252</v>
      </c>
      <c r="QPT76" s="343" t="s">
        <v>1300</v>
      </c>
      <c r="QPU76" s="343" t="s">
        <v>252</v>
      </c>
      <c r="QPV76" s="343" t="s">
        <v>1300</v>
      </c>
      <c r="QPW76" s="343" t="s">
        <v>252</v>
      </c>
      <c r="QPX76" s="343" t="s">
        <v>1300</v>
      </c>
      <c r="QPY76" s="343" t="s">
        <v>252</v>
      </c>
      <c r="QPZ76" s="343" t="s">
        <v>1300</v>
      </c>
      <c r="QQA76" s="343" t="s">
        <v>252</v>
      </c>
      <c r="QQB76" s="343" t="s">
        <v>1300</v>
      </c>
      <c r="QQC76" s="343" t="s">
        <v>252</v>
      </c>
      <c r="QQD76" s="343" t="s">
        <v>1300</v>
      </c>
      <c r="QQE76" s="343" t="s">
        <v>252</v>
      </c>
      <c r="QQF76" s="343" t="s">
        <v>1300</v>
      </c>
      <c r="QQG76" s="343" t="s">
        <v>252</v>
      </c>
      <c r="QQH76" s="343" t="s">
        <v>1300</v>
      </c>
      <c r="QQI76" s="343" t="s">
        <v>252</v>
      </c>
      <c r="QQJ76" s="343" t="s">
        <v>1300</v>
      </c>
      <c r="QQK76" s="343" t="s">
        <v>252</v>
      </c>
      <c r="QQL76" s="343" t="s">
        <v>1300</v>
      </c>
      <c r="QQM76" s="343" t="s">
        <v>252</v>
      </c>
      <c r="QQN76" s="343" t="s">
        <v>1300</v>
      </c>
      <c r="QQO76" s="343" t="s">
        <v>252</v>
      </c>
      <c r="QQP76" s="343" t="s">
        <v>1300</v>
      </c>
      <c r="QQQ76" s="343" t="s">
        <v>252</v>
      </c>
      <c r="QQR76" s="343" t="s">
        <v>1300</v>
      </c>
      <c r="QQS76" s="343" t="s">
        <v>252</v>
      </c>
      <c r="QQT76" s="343" t="s">
        <v>1300</v>
      </c>
      <c r="QQU76" s="343" t="s">
        <v>252</v>
      </c>
      <c r="QQV76" s="343" t="s">
        <v>1300</v>
      </c>
      <c r="QQW76" s="343" t="s">
        <v>252</v>
      </c>
      <c r="QQX76" s="343" t="s">
        <v>1300</v>
      </c>
      <c r="QQY76" s="343" t="s">
        <v>252</v>
      </c>
      <c r="QQZ76" s="343" t="s">
        <v>1300</v>
      </c>
      <c r="QRA76" s="343" t="s">
        <v>252</v>
      </c>
      <c r="QRB76" s="343" t="s">
        <v>1300</v>
      </c>
      <c r="QRC76" s="343" t="s">
        <v>252</v>
      </c>
      <c r="QRD76" s="343" t="s">
        <v>1300</v>
      </c>
      <c r="QRE76" s="343" t="s">
        <v>252</v>
      </c>
      <c r="QRF76" s="343" t="s">
        <v>1300</v>
      </c>
      <c r="QRG76" s="343" t="s">
        <v>252</v>
      </c>
      <c r="QRH76" s="343" t="s">
        <v>1300</v>
      </c>
      <c r="QRI76" s="343" t="s">
        <v>252</v>
      </c>
      <c r="QRJ76" s="343" t="s">
        <v>1300</v>
      </c>
      <c r="QRK76" s="343" t="s">
        <v>252</v>
      </c>
      <c r="QRL76" s="343" t="s">
        <v>1300</v>
      </c>
      <c r="QRM76" s="343" t="s">
        <v>252</v>
      </c>
      <c r="QRN76" s="343" t="s">
        <v>1300</v>
      </c>
      <c r="QRO76" s="343" t="s">
        <v>252</v>
      </c>
      <c r="QRP76" s="343" t="s">
        <v>1300</v>
      </c>
      <c r="QRQ76" s="343" t="s">
        <v>252</v>
      </c>
      <c r="QRR76" s="343" t="s">
        <v>1300</v>
      </c>
      <c r="QRS76" s="343" t="s">
        <v>252</v>
      </c>
      <c r="QRT76" s="343" t="s">
        <v>1300</v>
      </c>
      <c r="QRU76" s="343" t="s">
        <v>252</v>
      </c>
      <c r="QRV76" s="343" t="s">
        <v>1300</v>
      </c>
      <c r="QRW76" s="343" t="s">
        <v>252</v>
      </c>
      <c r="QRX76" s="343" t="s">
        <v>1300</v>
      </c>
      <c r="QRY76" s="343" t="s">
        <v>252</v>
      </c>
      <c r="QRZ76" s="343" t="s">
        <v>1300</v>
      </c>
      <c r="QSA76" s="343" t="s">
        <v>252</v>
      </c>
      <c r="QSB76" s="343" t="s">
        <v>1300</v>
      </c>
      <c r="QSC76" s="343" t="s">
        <v>252</v>
      </c>
      <c r="QSD76" s="343" t="s">
        <v>1300</v>
      </c>
      <c r="QSE76" s="343" t="s">
        <v>252</v>
      </c>
      <c r="QSF76" s="343" t="s">
        <v>1300</v>
      </c>
      <c r="QSG76" s="343" t="s">
        <v>252</v>
      </c>
      <c r="QSH76" s="343" t="s">
        <v>1300</v>
      </c>
      <c r="QSI76" s="343" t="s">
        <v>252</v>
      </c>
      <c r="QSJ76" s="343" t="s">
        <v>1300</v>
      </c>
      <c r="QSK76" s="343" t="s">
        <v>252</v>
      </c>
      <c r="QSL76" s="343" t="s">
        <v>1300</v>
      </c>
      <c r="QSM76" s="343" t="s">
        <v>252</v>
      </c>
      <c r="QSN76" s="343" t="s">
        <v>1300</v>
      </c>
      <c r="QSO76" s="343" t="s">
        <v>252</v>
      </c>
      <c r="QSP76" s="343" t="s">
        <v>1300</v>
      </c>
      <c r="QSQ76" s="343" t="s">
        <v>252</v>
      </c>
      <c r="QSR76" s="343" t="s">
        <v>1300</v>
      </c>
      <c r="QSS76" s="343" t="s">
        <v>252</v>
      </c>
      <c r="QST76" s="343" t="s">
        <v>1300</v>
      </c>
      <c r="QSU76" s="343" t="s">
        <v>252</v>
      </c>
      <c r="QSV76" s="343" t="s">
        <v>1300</v>
      </c>
      <c r="QSW76" s="343" t="s">
        <v>252</v>
      </c>
      <c r="QSX76" s="343" t="s">
        <v>1300</v>
      </c>
      <c r="QSY76" s="343" t="s">
        <v>252</v>
      </c>
      <c r="QSZ76" s="343" t="s">
        <v>1300</v>
      </c>
      <c r="QTA76" s="343" t="s">
        <v>252</v>
      </c>
      <c r="QTB76" s="343" t="s">
        <v>1300</v>
      </c>
      <c r="QTC76" s="343" t="s">
        <v>252</v>
      </c>
      <c r="QTD76" s="343" t="s">
        <v>1300</v>
      </c>
      <c r="QTE76" s="343" t="s">
        <v>252</v>
      </c>
      <c r="QTF76" s="343" t="s">
        <v>1300</v>
      </c>
      <c r="QTG76" s="343" t="s">
        <v>252</v>
      </c>
      <c r="QTH76" s="343" t="s">
        <v>1300</v>
      </c>
      <c r="QTI76" s="343" t="s">
        <v>252</v>
      </c>
      <c r="QTJ76" s="343" t="s">
        <v>1300</v>
      </c>
      <c r="QTK76" s="343" t="s">
        <v>252</v>
      </c>
      <c r="QTL76" s="343" t="s">
        <v>1300</v>
      </c>
      <c r="QTM76" s="343" t="s">
        <v>252</v>
      </c>
      <c r="QTN76" s="343" t="s">
        <v>1300</v>
      </c>
      <c r="QTO76" s="343" t="s">
        <v>252</v>
      </c>
      <c r="QTP76" s="343" t="s">
        <v>1300</v>
      </c>
      <c r="QTQ76" s="343" t="s">
        <v>252</v>
      </c>
      <c r="QTR76" s="343" t="s">
        <v>1300</v>
      </c>
      <c r="QTS76" s="343" t="s">
        <v>252</v>
      </c>
      <c r="QTT76" s="343" t="s">
        <v>1300</v>
      </c>
      <c r="QTU76" s="343" t="s">
        <v>252</v>
      </c>
      <c r="QTV76" s="343" t="s">
        <v>1300</v>
      </c>
      <c r="QTW76" s="343" t="s">
        <v>252</v>
      </c>
      <c r="QTX76" s="343" t="s">
        <v>1300</v>
      </c>
      <c r="QTY76" s="343" t="s">
        <v>252</v>
      </c>
      <c r="QTZ76" s="343" t="s">
        <v>1300</v>
      </c>
      <c r="QUA76" s="343" t="s">
        <v>252</v>
      </c>
      <c r="QUB76" s="343" t="s">
        <v>1300</v>
      </c>
      <c r="QUC76" s="343" t="s">
        <v>252</v>
      </c>
      <c r="QUD76" s="343" t="s">
        <v>1300</v>
      </c>
      <c r="QUE76" s="343" t="s">
        <v>252</v>
      </c>
      <c r="QUF76" s="343" t="s">
        <v>1300</v>
      </c>
      <c r="QUG76" s="343" t="s">
        <v>252</v>
      </c>
      <c r="QUH76" s="343" t="s">
        <v>1300</v>
      </c>
      <c r="QUI76" s="343" t="s">
        <v>252</v>
      </c>
      <c r="QUJ76" s="343" t="s">
        <v>1300</v>
      </c>
      <c r="QUK76" s="343" t="s">
        <v>252</v>
      </c>
      <c r="QUL76" s="343" t="s">
        <v>1300</v>
      </c>
      <c r="QUM76" s="343" t="s">
        <v>252</v>
      </c>
      <c r="QUN76" s="343" t="s">
        <v>1300</v>
      </c>
      <c r="QUO76" s="343" t="s">
        <v>252</v>
      </c>
      <c r="QUP76" s="343" t="s">
        <v>1300</v>
      </c>
      <c r="QUQ76" s="343" t="s">
        <v>252</v>
      </c>
      <c r="QUR76" s="343" t="s">
        <v>1300</v>
      </c>
      <c r="QUS76" s="343" t="s">
        <v>252</v>
      </c>
      <c r="QUT76" s="343" t="s">
        <v>1300</v>
      </c>
      <c r="QUU76" s="343" t="s">
        <v>252</v>
      </c>
      <c r="QUV76" s="343" t="s">
        <v>1300</v>
      </c>
      <c r="QUW76" s="343" t="s">
        <v>252</v>
      </c>
      <c r="QUX76" s="343" t="s">
        <v>1300</v>
      </c>
      <c r="QUY76" s="343" t="s">
        <v>252</v>
      </c>
      <c r="QUZ76" s="343" t="s">
        <v>1300</v>
      </c>
      <c r="QVA76" s="343" t="s">
        <v>252</v>
      </c>
      <c r="QVB76" s="343" t="s">
        <v>1300</v>
      </c>
      <c r="QVC76" s="343" t="s">
        <v>252</v>
      </c>
      <c r="QVD76" s="343" t="s">
        <v>1300</v>
      </c>
      <c r="QVE76" s="343" t="s">
        <v>252</v>
      </c>
      <c r="QVF76" s="343" t="s">
        <v>1300</v>
      </c>
      <c r="QVG76" s="343" t="s">
        <v>252</v>
      </c>
      <c r="QVH76" s="343" t="s">
        <v>1300</v>
      </c>
      <c r="QVI76" s="343" t="s">
        <v>252</v>
      </c>
      <c r="QVJ76" s="343" t="s">
        <v>1300</v>
      </c>
      <c r="QVK76" s="343" t="s">
        <v>252</v>
      </c>
      <c r="QVL76" s="343" t="s">
        <v>1300</v>
      </c>
      <c r="QVM76" s="343" t="s">
        <v>252</v>
      </c>
      <c r="QVN76" s="343" t="s">
        <v>1300</v>
      </c>
      <c r="QVO76" s="343" t="s">
        <v>252</v>
      </c>
      <c r="QVP76" s="343" t="s">
        <v>1300</v>
      </c>
      <c r="QVQ76" s="343" t="s">
        <v>252</v>
      </c>
      <c r="QVR76" s="343" t="s">
        <v>1300</v>
      </c>
      <c r="QVS76" s="343" t="s">
        <v>252</v>
      </c>
      <c r="QVT76" s="343" t="s">
        <v>1300</v>
      </c>
      <c r="QVU76" s="343" t="s">
        <v>252</v>
      </c>
      <c r="QVV76" s="343" t="s">
        <v>1300</v>
      </c>
      <c r="QVW76" s="343" t="s">
        <v>252</v>
      </c>
      <c r="QVX76" s="343" t="s">
        <v>1300</v>
      </c>
      <c r="QVY76" s="343" t="s">
        <v>252</v>
      </c>
      <c r="QVZ76" s="343" t="s">
        <v>1300</v>
      </c>
      <c r="QWA76" s="343" t="s">
        <v>252</v>
      </c>
      <c r="QWB76" s="343" t="s">
        <v>1300</v>
      </c>
      <c r="QWC76" s="343" t="s">
        <v>252</v>
      </c>
      <c r="QWD76" s="343" t="s">
        <v>1300</v>
      </c>
      <c r="QWE76" s="343" t="s">
        <v>252</v>
      </c>
      <c r="QWF76" s="343" t="s">
        <v>1300</v>
      </c>
      <c r="QWG76" s="343" t="s">
        <v>252</v>
      </c>
      <c r="QWH76" s="343" t="s">
        <v>1300</v>
      </c>
      <c r="QWI76" s="343" t="s">
        <v>252</v>
      </c>
      <c r="QWJ76" s="343" t="s">
        <v>1300</v>
      </c>
      <c r="QWK76" s="343" t="s">
        <v>252</v>
      </c>
      <c r="QWL76" s="343" t="s">
        <v>1300</v>
      </c>
      <c r="QWM76" s="343" t="s">
        <v>252</v>
      </c>
      <c r="QWN76" s="343" t="s">
        <v>1300</v>
      </c>
      <c r="QWO76" s="343" t="s">
        <v>252</v>
      </c>
      <c r="QWP76" s="343" t="s">
        <v>1300</v>
      </c>
      <c r="QWQ76" s="343" t="s">
        <v>252</v>
      </c>
      <c r="QWR76" s="343" t="s">
        <v>1300</v>
      </c>
      <c r="QWS76" s="343" t="s">
        <v>252</v>
      </c>
      <c r="QWT76" s="343" t="s">
        <v>1300</v>
      </c>
      <c r="QWU76" s="343" t="s">
        <v>252</v>
      </c>
      <c r="QWV76" s="343" t="s">
        <v>1300</v>
      </c>
      <c r="QWW76" s="343" t="s">
        <v>252</v>
      </c>
      <c r="QWX76" s="343" t="s">
        <v>1300</v>
      </c>
      <c r="QWY76" s="343" t="s">
        <v>252</v>
      </c>
      <c r="QWZ76" s="343" t="s">
        <v>1300</v>
      </c>
      <c r="QXA76" s="343" t="s">
        <v>252</v>
      </c>
      <c r="QXB76" s="343" t="s">
        <v>1300</v>
      </c>
      <c r="QXC76" s="343" t="s">
        <v>252</v>
      </c>
      <c r="QXD76" s="343" t="s">
        <v>1300</v>
      </c>
      <c r="QXE76" s="343" t="s">
        <v>252</v>
      </c>
      <c r="QXF76" s="343" t="s">
        <v>1300</v>
      </c>
      <c r="QXG76" s="343" t="s">
        <v>252</v>
      </c>
      <c r="QXH76" s="343" t="s">
        <v>1300</v>
      </c>
      <c r="QXI76" s="343" t="s">
        <v>252</v>
      </c>
      <c r="QXJ76" s="343" t="s">
        <v>1300</v>
      </c>
      <c r="QXK76" s="343" t="s">
        <v>252</v>
      </c>
      <c r="QXL76" s="343" t="s">
        <v>1300</v>
      </c>
      <c r="QXM76" s="343" t="s">
        <v>252</v>
      </c>
      <c r="QXN76" s="343" t="s">
        <v>1300</v>
      </c>
      <c r="QXO76" s="343" t="s">
        <v>252</v>
      </c>
      <c r="QXP76" s="343" t="s">
        <v>1300</v>
      </c>
      <c r="QXQ76" s="343" t="s">
        <v>252</v>
      </c>
      <c r="QXR76" s="343" t="s">
        <v>1300</v>
      </c>
      <c r="QXS76" s="343" t="s">
        <v>252</v>
      </c>
      <c r="QXT76" s="343" t="s">
        <v>1300</v>
      </c>
      <c r="QXU76" s="343" t="s">
        <v>252</v>
      </c>
      <c r="QXV76" s="343" t="s">
        <v>1300</v>
      </c>
      <c r="QXW76" s="343" t="s">
        <v>252</v>
      </c>
      <c r="QXX76" s="343" t="s">
        <v>1300</v>
      </c>
      <c r="QXY76" s="343" t="s">
        <v>252</v>
      </c>
      <c r="QXZ76" s="343" t="s">
        <v>1300</v>
      </c>
      <c r="QYA76" s="343" t="s">
        <v>252</v>
      </c>
      <c r="QYB76" s="343" t="s">
        <v>1300</v>
      </c>
      <c r="QYC76" s="343" t="s">
        <v>252</v>
      </c>
      <c r="QYD76" s="343" t="s">
        <v>1300</v>
      </c>
      <c r="QYE76" s="343" t="s">
        <v>252</v>
      </c>
      <c r="QYF76" s="343" t="s">
        <v>1300</v>
      </c>
      <c r="QYG76" s="343" t="s">
        <v>252</v>
      </c>
      <c r="QYH76" s="343" t="s">
        <v>1300</v>
      </c>
      <c r="QYI76" s="343" t="s">
        <v>252</v>
      </c>
      <c r="QYJ76" s="343" t="s">
        <v>1300</v>
      </c>
      <c r="QYK76" s="343" t="s">
        <v>252</v>
      </c>
      <c r="QYL76" s="343" t="s">
        <v>1300</v>
      </c>
      <c r="QYM76" s="343" t="s">
        <v>252</v>
      </c>
      <c r="QYN76" s="343" t="s">
        <v>1300</v>
      </c>
      <c r="QYO76" s="343" t="s">
        <v>252</v>
      </c>
      <c r="QYP76" s="343" t="s">
        <v>1300</v>
      </c>
      <c r="QYQ76" s="343" t="s">
        <v>252</v>
      </c>
      <c r="QYR76" s="343" t="s">
        <v>1300</v>
      </c>
      <c r="QYS76" s="343" t="s">
        <v>252</v>
      </c>
      <c r="QYT76" s="343" t="s">
        <v>1300</v>
      </c>
      <c r="QYU76" s="343" t="s">
        <v>252</v>
      </c>
      <c r="QYV76" s="343" t="s">
        <v>1300</v>
      </c>
      <c r="QYW76" s="343" t="s">
        <v>252</v>
      </c>
      <c r="QYX76" s="343" t="s">
        <v>1300</v>
      </c>
      <c r="QYY76" s="343" t="s">
        <v>252</v>
      </c>
      <c r="QYZ76" s="343" t="s">
        <v>1300</v>
      </c>
      <c r="QZA76" s="343" t="s">
        <v>252</v>
      </c>
      <c r="QZB76" s="343" t="s">
        <v>1300</v>
      </c>
      <c r="QZC76" s="343" t="s">
        <v>252</v>
      </c>
      <c r="QZD76" s="343" t="s">
        <v>1300</v>
      </c>
      <c r="QZE76" s="343" t="s">
        <v>252</v>
      </c>
      <c r="QZF76" s="343" t="s">
        <v>1300</v>
      </c>
      <c r="QZG76" s="343" t="s">
        <v>252</v>
      </c>
      <c r="QZH76" s="343" t="s">
        <v>1300</v>
      </c>
      <c r="QZI76" s="343" t="s">
        <v>252</v>
      </c>
      <c r="QZJ76" s="343" t="s">
        <v>1300</v>
      </c>
      <c r="QZK76" s="343" t="s">
        <v>252</v>
      </c>
      <c r="QZL76" s="343" t="s">
        <v>1300</v>
      </c>
      <c r="QZM76" s="343" t="s">
        <v>252</v>
      </c>
      <c r="QZN76" s="343" t="s">
        <v>1300</v>
      </c>
      <c r="QZO76" s="343" t="s">
        <v>252</v>
      </c>
      <c r="QZP76" s="343" t="s">
        <v>1300</v>
      </c>
      <c r="QZQ76" s="343" t="s">
        <v>252</v>
      </c>
      <c r="QZR76" s="343" t="s">
        <v>1300</v>
      </c>
      <c r="QZS76" s="343" t="s">
        <v>252</v>
      </c>
      <c r="QZT76" s="343" t="s">
        <v>1300</v>
      </c>
      <c r="QZU76" s="343" t="s">
        <v>252</v>
      </c>
      <c r="QZV76" s="343" t="s">
        <v>1300</v>
      </c>
      <c r="QZW76" s="343" t="s">
        <v>252</v>
      </c>
      <c r="QZX76" s="343" t="s">
        <v>1300</v>
      </c>
      <c r="QZY76" s="343" t="s">
        <v>252</v>
      </c>
      <c r="QZZ76" s="343" t="s">
        <v>1300</v>
      </c>
      <c r="RAA76" s="343" t="s">
        <v>252</v>
      </c>
      <c r="RAB76" s="343" t="s">
        <v>1300</v>
      </c>
      <c r="RAC76" s="343" t="s">
        <v>252</v>
      </c>
      <c r="RAD76" s="343" t="s">
        <v>1300</v>
      </c>
      <c r="RAE76" s="343" t="s">
        <v>252</v>
      </c>
      <c r="RAF76" s="343" t="s">
        <v>1300</v>
      </c>
      <c r="RAG76" s="343" t="s">
        <v>252</v>
      </c>
      <c r="RAH76" s="343" t="s">
        <v>1300</v>
      </c>
      <c r="RAI76" s="343" t="s">
        <v>252</v>
      </c>
      <c r="RAJ76" s="343" t="s">
        <v>1300</v>
      </c>
      <c r="RAK76" s="343" t="s">
        <v>252</v>
      </c>
      <c r="RAL76" s="343" t="s">
        <v>1300</v>
      </c>
      <c r="RAM76" s="343" t="s">
        <v>252</v>
      </c>
      <c r="RAN76" s="343" t="s">
        <v>1300</v>
      </c>
      <c r="RAO76" s="343" t="s">
        <v>252</v>
      </c>
      <c r="RAP76" s="343" t="s">
        <v>1300</v>
      </c>
      <c r="RAQ76" s="343" t="s">
        <v>252</v>
      </c>
      <c r="RAR76" s="343" t="s">
        <v>1300</v>
      </c>
      <c r="RAS76" s="343" t="s">
        <v>252</v>
      </c>
      <c r="RAT76" s="343" t="s">
        <v>1300</v>
      </c>
      <c r="RAU76" s="343" t="s">
        <v>252</v>
      </c>
      <c r="RAV76" s="343" t="s">
        <v>1300</v>
      </c>
      <c r="RAW76" s="343" t="s">
        <v>252</v>
      </c>
      <c r="RAX76" s="343" t="s">
        <v>1300</v>
      </c>
      <c r="RAY76" s="343" t="s">
        <v>252</v>
      </c>
      <c r="RAZ76" s="343" t="s">
        <v>1300</v>
      </c>
      <c r="RBA76" s="343" t="s">
        <v>252</v>
      </c>
      <c r="RBB76" s="343" t="s">
        <v>1300</v>
      </c>
      <c r="RBC76" s="343" t="s">
        <v>252</v>
      </c>
      <c r="RBD76" s="343" t="s">
        <v>1300</v>
      </c>
      <c r="RBE76" s="343" t="s">
        <v>252</v>
      </c>
      <c r="RBF76" s="343" t="s">
        <v>1300</v>
      </c>
      <c r="RBG76" s="343" t="s">
        <v>252</v>
      </c>
      <c r="RBH76" s="343" t="s">
        <v>1300</v>
      </c>
      <c r="RBI76" s="343" t="s">
        <v>252</v>
      </c>
      <c r="RBJ76" s="343" t="s">
        <v>1300</v>
      </c>
      <c r="RBK76" s="343" t="s">
        <v>252</v>
      </c>
      <c r="RBL76" s="343" t="s">
        <v>1300</v>
      </c>
      <c r="RBM76" s="343" t="s">
        <v>252</v>
      </c>
      <c r="RBN76" s="343" t="s">
        <v>1300</v>
      </c>
      <c r="RBO76" s="343" t="s">
        <v>252</v>
      </c>
      <c r="RBP76" s="343" t="s">
        <v>1300</v>
      </c>
      <c r="RBQ76" s="343" t="s">
        <v>252</v>
      </c>
      <c r="RBR76" s="343" t="s">
        <v>1300</v>
      </c>
      <c r="RBS76" s="343" t="s">
        <v>252</v>
      </c>
      <c r="RBT76" s="343" t="s">
        <v>1300</v>
      </c>
      <c r="RBU76" s="343" t="s">
        <v>252</v>
      </c>
      <c r="RBV76" s="343" t="s">
        <v>1300</v>
      </c>
      <c r="RBW76" s="343" t="s">
        <v>252</v>
      </c>
      <c r="RBX76" s="343" t="s">
        <v>1300</v>
      </c>
      <c r="RBY76" s="343" t="s">
        <v>252</v>
      </c>
      <c r="RBZ76" s="343" t="s">
        <v>1300</v>
      </c>
      <c r="RCA76" s="343" t="s">
        <v>252</v>
      </c>
      <c r="RCB76" s="343" t="s">
        <v>1300</v>
      </c>
      <c r="RCC76" s="343" t="s">
        <v>252</v>
      </c>
      <c r="RCD76" s="343" t="s">
        <v>1300</v>
      </c>
      <c r="RCE76" s="343" t="s">
        <v>252</v>
      </c>
      <c r="RCF76" s="343" t="s">
        <v>1300</v>
      </c>
      <c r="RCG76" s="343" t="s">
        <v>252</v>
      </c>
      <c r="RCH76" s="343" t="s">
        <v>1300</v>
      </c>
      <c r="RCI76" s="343" t="s">
        <v>252</v>
      </c>
      <c r="RCJ76" s="343" t="s">
        <v>1300</v>
      </c>
      <c r="RCK76" s="343" t="s">
        <v>252</v>
      </c>
      <c r="RCL76" s="343" t="s">
        <v>1300</v>
      </c>
      <c r="RCM76" s="343" t="s">
        <v>252</v>
      </c>
      <c r="RCN76" s="343" t="s">
        <v>1300</v>
      </c>
      <c r="RCO76" s="343" t="s">
        <v>252</v>
      </c>
      <c r="RCP76" s="343" t="s">
        <v>1300</v>
      </c>
      <c r="RCQ76" s="343" t="s">
        <v>252</v>
      </c>
      <c r="RCR76" s="343" t="s">
        <v>1300</v>
      </c>
      <c r="RCS76" s="343" t="s">
        <v>252</v>
      </c>
      <c r="RCT76" s="343" t="s">
        <v>1300</v>
      </c>
      <c r="RCU76" s="343" t="s">
        <v>252</v>
      </c>
      <c r="RCV76" s="343" t="s">
        <v>1300</v>
      </c>
      <c r="RCW76" s="343" t="s">
        <v>252</v>
      </c>
      <c r="RCX76" s="343" t="s">
        <v>1300</v>
      </c>
      <c r="RCY76" s="343" t="s">
        <v>252</v>
      </c>
      <c r="RCZ76" s="343" t="s">
        <v>1300</v>
      </c>
      <c r="RDA76" s="343" t="s">
        <v>252</v>
      </c>
      <c r="RDB76" s="343" t="s">
        <v>1300</v>
      </c>
      <c r="RDC76" s="343" t="s">
        <v>252</v>
      </c>
      <c r="RDD76" s="343" t="s">
        <v>1300</v>
      </c>
      <c r="RDE76" s="343" t="s">
        <v>252</v>
      </c>
      <c r="RDF76" s="343" t="s">
        <v>1300</v>
      </c>
      <c r="RDG76" s="343" t="s">
        <v>252</v>
      </c>
      <c r="RDH76" s="343" t="s">
        <v>1300</v>
      </c>
      <c r="RDI76" s="343" t="s">
        <v>252</v>
      </c>
      <c r="RDJ76" s="343" t="s">
        <v>1300</v>
      </c>
      <c r="RDK76" s="343" t="s">
        <v>252</v>
      </c>
      <c r="RDL76" s="343" t="s">
        <v>1300</v>
      </c>
      <c r="RDM76" s="343" t="s">
        <v>252</v>
      </c>
      <c r="RDN76" s="343" t="s">
        <v>1300</v>
      </c>
      <c r="RDO76" s="343" t="s">
        <v>252</v>
      </c>
      <c r="RDP76" s="343" t="s">
        <v>1300</v>
      </c>
      <c r="RDQ76" s="343" t="s">
        <v>252</v>
      </c>
      <c r="RDR76" s="343" t="s">
        <v>1300</v>
      </c>
      <c r="RDS76" s="343" t="s">
        <v>252</v>
      </c>
      <c r="RDT76" s="343" t="s">
        <v>1300</v>
      </c>
      <c r="RDU76" s="343" t="s">
        <v>252</v>
      </c>
      <c r="RDV76" s="343" t="s">
        <v>1300</v>
      </c>
      <c r="RDW76" s="343" t="s">
        <v>252</v>
      </c>
      <c r="RDX76" s="343" t="s">
        <v>1300</v>
      </c>
      <c r="RDY76" s="343" t="s">
        <v>252</v>
      </c>
      <c r="RDZ76" s="343" t="s">
        <v>1300</v>
      </c>
      <c r="REA76" s="343" t="s">
        <v>252</v>
      </c>
      <c r="REB76" s="343" t="s">
        <v>1300</v>
      </c>
      <c r="REC76" s="343" t="s">
        <v>252</v>
      </c>
      <c r="RED76" s="343" t="s">
        <v>1300</v>
      </c>
      <c r="REE76" s="343" t="s">
        <v>252</v>
      </c>
      <c r="REF76" s="343" t="s">
        <v>1300</v>
      </c>
      <c r="REG76" s="343" t="s">
        <v>252</v>
      </c>
      <c r="REH76" s="343" t="s">
        <v>1300</v>
      </c>
      <c r="REI76" s="343" t="s">
        <v>252</v>
      </c>
      <c r="REJ76" s="343" t="s">
        <v>1300</v>
      </c>
      <c r="REK76" s="343" t="s">
        <v>252</v>
      </c>
      <c r="REL76" s="343" t="s">
        <v>1300</v>
      </c>
      <c r="REM76" s="343" t="s">
        <v>252</v>
      </c>
      <c r="REN76" s="343" t="s">
        <v>1300</v>
      </c>
      <c r="REO76" s="343" t="s">
        <v>252</v>
      </c>
      <c r="REP76" s="343" t="s">
        <v>1300</v>
      </c>
      <c r="REQ76" s="343" t="s">
        <v>252</v>
      </c>
      <c r="RER76" s="343" t="s">
        <v>1300</v>
      </c>
      <c r="RES76" s="343" t="s">
        <v>252</v>
      </c>
      <c r="RET76" s="343" t="s">
        <v>1300</v>
      </c>
      <c r="REU76" s="343" t="s">
        <v>252</v>
      </c>
      <c r="REV76" s="343" t="s">
        <v>1300</v>
      </c>
      <c r="REW76" s="343" t="s">
        <v>252</v>
      </c>
      <c r="REX76" s="343" t="s">
        <v>1300</v>
      </c>
      <c r="REY76" s="343" t="s">
        <v>252</v>
      </c>
      <c r="REZ76" s="343" t="s">
        <v>1300</v>
      </c>
      <c r="RFA76" s="343" t="s">
        <v>252</v>
      </c>
      <c r="RFB76" s="343" t="s">
        <v>1300</v>
      </c>
      <c r="RFC76" s="343" t="s">
        <v>252</v>
      </c>
      <c r="RFD76" s="343" t="s">
        <v>1300</v>
      </c>
      <c r="RFE76" s="343" t="s">
        <v>252</v>
      </c>
      <c r="RFF76" s="343" t="s">
        <v>1300</v>
      </c>
      <c r="RFG76" s="343" t="s">
        <v>252</v>
      </c>
      <c r="RFH76" s="343" t="s">
        <v>1300</v>
      </c>
      <c r="RFI76" s="343" t="s">
        <v>252</v>
      </c>
      <c r="RFJ76" s="343" t="s">
        <v>1300</v>
      </c>
      <c r="RFK76" s="343" t="s">
        <v>252</v>
      </c>
      <c r="RFL76" s="343" t="s">
        <v>1300</v>
      </c>
      <c r="RFM76" s="343" t="s">
        <v>252</v>
      </c>
      <c r="RFN76" s="343" t="s">
        <v>1300</v>
      </c>
      <c r="RFO76" s="343" t="s">
        <v>252</v>
      </c>
      <c r="RFP76" s="343" t="s">
        <v>1300</v>
      </c>
      <c r="RFQ76" s="343" t="s">
        <v>252</v>
      </c>
      <c r="RFR76" s="343" t="s">
        <v>1300</v>
      </c>
      <c r="RFS76" s="343" t="s">
        <v>252</v>
      </c>
      <c r="RFT76" s="343" t="s">
        <v>1300</v>
      </c>
      <c r="RFU76" s="343" t="s">
        <v>252</v>
      </c>
      <c r="RFV76" s="343" t="s">
        <v>1300</v>
      </c>
      <c r="RFW76" s="343" t="s">
        <v>252</v>
      </c>
      <c r="RFX76" s="343" t="s">
        <v>1300</v>
      </c>
      <c r="RFY76" s="343" t="s">
        <v>252</v>
      </c>
      <c r="RFZ76" s="343" t="s">
        <v>1300</v>
      </c>
      <c r="RGA76" s="343" t="s">
        <v>252</v>
      </c>
      <c r="RGB76" s="343" t="s">
        <v>1300</v>
      </c>
      <c r="RGC76" s="343" t="s">
        <v>252</v>
      </c>
      <c r="RGD76" s="343" t="s">
        <v>1300</v>
      </c>
      <c r="RGE76" s="343" t="s">
        <v>252</v>
      </c>
      <c r="RGF76" s="343" t="s">
        <v>1300</v>
      </c>
      <c r="RGG76" s="343" t="s">
        <v>252</v>
      </c>
      <c r="RGH76" s="343" t="s">
        <v>1300</v>
      </c>
      <c r="RGI76" s="343" t="s">
        <v>252</v>
      </c>
      <c r="RGJ76" s="343" t="s">
        <v>1300</v>
      </c>
      <c r="RGK76" s="343" t="s">
        <v>252</v>
      </c>
      <c r="RGL76" s="343" t="s">
        <v>1300</v>
      </c>
      <c r="RGM76" s="343" t="s">
        <v>252</v>
      </c>
      <c r="RGN76" s="343" t="s">
        <v>1300</v>
      </c>
      <c r="RGO76" s="343" t="s">
        <v>252</v>
      </c>
      <c r="RGP76" s="343" t="s">
        <v>1300</v>
      </c>
      <c r="RGQ76" s="343" t="s">
        <v>252</v>
      </c>
      <c r="RGR76" s="343" t="s">
        <v>1300</v>
      </c>
      <c r="RGS76" s="343" t="s">
        <v>252</v>
      </c>
      <c r="RGT76" s="343" t="s">
        <v>1300</v>
      </c>
      <c r="RGU76" s="343" t="s">
        <v>252</v>
      </c>
      <c r="RGV76" s="343" t="s">
        <v>1300</v>
      </c>
      <c r="RGW76" s="343" t="s">
        <v>252</v>
      </c>
      <c r="RGX76" s="343" t="s">
        <v>1300</v>
      </c>
      <c r="RGY76" s="343" t="s">
        <v>252</v>
      </c>
      <c r="RGZ76" s="343" t="s">
        <v>1300</v>
      </c>
      <c r="RHA76" s="343" t="s">
        <v>252</v>
      </c>
      <c r="RHB76" s="343" t="s">
        <v>1300</v>
      </c>
      <c r="RHC76" s="343" t="s">
        <v>252</v>
      </c>
      <c r="RHD76" s="343" t="s">
        <v>1300</v>
      </c>
      <c r="RHE76" s="343" t="s">
        <v>252</v>
      </c>
      <c r="RHF76" s="343" t="s">
        <v>1300</v>
      </c>
      <c r="RHG76" s="343" t="s">
        <v>252</v>
      </c>
      <c r="RHH76" s="343" t="s">
        <v>1300</v>
      </c>
      <c r="RHI76" s="343" t="s">
        <v>252</v>
      </c>
      <c r="RHJ76" s="343" t="s">
        <v>1300</v>
      </c>
      <c r="RHK76" s="343" t="s">
        <v>252</v>
      </c>
      <c r="RHL76" s="343" t="s">
        <v>1300</v>
      </c>
      <c r="RHM76" s="343" t="s">
        <v>252</v>
      </c>
      <c r="RHN76" s="343" t="s">
        <v>1300</v>
      </c>
      <c r="RHO76" s="343" t="s">
        <v>252</v>
      </c>
      <c r="RHP76" s="343" t="s">
        <v>1300</v>
      </c>
      <c r="RHQ76" s="343" t="s">
        <v>252</v>
      </c>
      <c r="RHR76" s="343" t="s">
        <v>1300</v>
      </c>
      <c r="RHS76" s="343" t="s">
        <v>252</v>
      </c>
      <c r="RHT76" s="343" t="s">
        <v>1300</v>
      </c>
      <c r="RHU76" s="343" t="s">
        <v>252</v>
      </c>
      <c r="RHV76" s="343" t="s">
        <v>1300</v>
      </c>
      <c r="RHW76" s="343" t="s">
        <v>252</v>
      </c>
      <c r="RHX76" s="343" t="s">
        <v>1300</v>
      </c>
      <c r="RHY76" s="343" t="s">
        <v>252</v>
      </c>
      <c r="RHZ76" s="343" t="s">
        <v>1300</v>
      </c>
      <c r="RIA76" s="343" t="s">
        <v>252</v>
      </c>
      <c r="RIB76" s="343" t="s">
        <v>1300</v>
      </c>
      <c r="RIC76" s="343" t="s">
        <v>252</v>
      </c>
      <c r="RID76" s="343" t="s">
        <v>1300</v>
      </c>
      <c r="RIE76" s="343" t="s">
        <v>252</v>
      </c>
      <c r="RIF76" s="343" t="s">
        <v>1300</v>
      </c>
      <c r="RIG76" s="343" t="s">
        <v>252</v>
      </c>
      <c r="RIH76" s="343" t="s">
        <v>1300</v>
      </c>
      <c r="RII76" s="343" t="s">
        <v>252</v>
      </c>
      <c r="RIJ76" s="343" t="s">
        <v>1300</v>
      </c>
      <c r="RIK76" s="343" t="s">
        <v>252</v>
      </c>
      <c r="RIL76" s="343" t="s">
        <v>1300</v>
      </c>
      <c r="RIM76" s="343" t="s">
        <v>252</v>
      </c>
      <c r="RIN76" s="343" t="s">
        <v>1300</v>
      </c>
      <c r="RIO76" s="343" t="s">
        <v>252</v>
      </c>
      <c r="RIP76" s="343" t="s">
        <v>1300</v>
      </c>
      <c r="RIQ76" s="343" t="s">
        <v>252</v>
      </c>
      <c r="RIR76" s="343" t="s">
        <v>1300</v>
      </c>
      <c r="RIS76" s="343" t="s">
        <v>252</v>
      </c>
      <c r="RIT76" s="343" t="s">
        <v>1300</v>
      </c>
      <c r="RIU76" s="343" t="s">
        <v>252</v>
      </c>
      <c r="RIV76" s="343" t="s">
        <v>1300</v>
      </c>
      <c r="RIW76" s="343" t="s">
        <v>252</v>
      </c>
      <c r="RIX76" s="343" t="s">
        <v>1300</v>
      </c>
      <c r="RIY76" s="343" t="s">
        <v>252</v>
      </c>
      <c r="RIZ76" s="343" t="s">
        <v>1300</v>
      </c>
      <c r="RJA76" s="343" t="s">
        <v>252</v>
      </c>
      <c r="RJB76" s="343" t="s">
        <v>1300</v>
      </c>
      <c r="RJC76" s="343" t="s">
        <v>252</v>
      </c>
      <c r="RJD76" s="343" t="s">
        <v>1300</v>
      </c>
      <c r="RJE76" s="343" t="s">
        <v>252</v>
      </c>
      <c r="RJF76" s="343" t="s">
        <v>1300</v>
      </c>
      <c r="RJG76" s="343" t="s">
        <v>252</v>
      </c>
      <c r="RJH76" s="343" t="s">
        <v>1300</v>
      </c>
      <c r="RJI76" s="343" t="s">
        <v>252</v>
      </c>
      <c r="RJJ76" s="343" t="s">
        <v>1300</v>
      </c>
      <c r="RJK76" s="343" t="s">
        <v>252</v>
      </c>
      <c r="RJL76" s="343" t="s">
        <v>1300</v>
      </c>
      <c r="RJM76" s="343" t="s">
        <v>252</v>
      </c>
      <c r="RJN76" s="343" t="s">
        <v>1300</v>
      </c>
      <c r="RJO76" s="343" t="s">
        <v>252</v>
      </c>
      <c r="RJP76" s="343" t="s">
        <v>1300</v>
      </c>
      <c r="RJQ76" s="343" t="s">
        <v>252</v>
      </c>
      <c r="RJR76" s="343" t="s">
        <v>1300</v>
      </c>
      <c r="RJS76" s="343" t="s">
        <v>252</v>
      </c>
      <c r="RJT76" s="343" t="s">
        <v>1300</v>
      </c>
      <c r="RJU76" s="343" t="s">
        <v>252</v>
      </c>
      <c r="RJV76" s="343" t="s">
        <v>1300</v>
      </c>
      <c r="RJW76" s="343" t="s">
        <v>252</v>
      </c>
      <c r="RJX76" s="343" t="s">
        <v>1300</v>
      </c>
      <c r="RJY76" s="343" t="s">
        <v>252</v>
      </c>
      <c r="RJZ76" s="343" t="s">
        <v>1300</v>
      </c>
      <c r="RKA76" s="343" t="s">
        <v>252</v>
      </c>
      <c r="RKB76" s="343" t="s">
        <v>1300</v>
      </c>
      <c r="RKC76" s="343" t="s">
        <v>252</v>
      </c>
      <c r="RKD76" s="343" t="s">
        <v>1300</v>
      </c>
      <c r="RKE76" s="343" t="s">
        <v>252</v>
      </c>
      <c r="RKF76" s="343" t="s">
        <v>1300</v>
      </c>
      <c r="RKG76" s="343" t="s">
        <v>252</v>
      </c>
      <c r="RKH76" s="343" t="s">
        <v>1300</v>
      </c>
      <c r="RKI76" s="343" t="s">
        <v>252</v>
      </c>
      <c r="RKJ76" s="343" t="s">
        <v>1300</v>
      </c>
      <c r="RKK76" s="343" t="s">
        <v>252</v>
      </c>
      <c r="RKL76" s="343" t="s">
        <v>1300</v>
      </c>
      <c r="RKM76" s="343" t="s">
        <v>252</v>
      </c>
      <c r="RKN76" s="343" t="s">
        <v>1300</v>
      </c>
      <c r="RKO76" s="343" t="s">
        <v>252</v>
      </c>
      <c r="RKP76" s="343" t="s">
        <v>1300</v>
      </c>
      <c r="RKQ76" s="343" t="s">
        <v>252</v>
      </c>
      <c r="RKR76" s="343" t="s">
        <v>1300</v>
      </c>
      <c r="RKS76" s="343" t="s">
        <v>252</v>
      </c>
      <c r="RKT76" s="343" t="s">
        <v>1300</v>
      </c>
      <c r="RKU76" s="343" t="s">
        <v>252</v>
      </c>
      <c r="RKV76" s="343" t="s">
        <v>1300</v>
      </c>
      <c r="RKW76" s="343" t="s">
        <v>252</v>
      </c>
      <c r="RKX76" s="343" t="s">
        <v>1300</v>
      </c>
      <c r="RKY76" s="343" t="s">
        <v>252</v>
      </c>
      <c r="RKZ76" s="343" t="s">
        <v>1300</v>
      </c>
      <c r="RLA76" s="343" t="s">
        <v>252</v>
      </c>
      <c r="RLB76" s="343" t="s">
        <v>1300</v>
      </c>
      <c r="RLC76" s="343" t="s">
        <v>252</v>
      </c>
      <c r="RLD76" s="343" t="s">
        <v>1300</v>
      </c>
      <c r="RLE76" s="343" t="s">
        <v>252</v>
      </c>
      <c r="RLF76" s="343" t="s">
        <v>1300</v>
      </c>
      <c r="RLG76" s="343" t="s">
        <v>252</v>
      </c>
      <c r="RLH76" s="343" t="s">
        <v>1300</v>
      </c>
      <c r="RLI76" s="343" t="s">
        <v>252</v>
      </c>
      <c r="RLJ76" s="343" t="s">
        <v>1300</v>
      </c>
      <c r="RLK76" s="343" t="s">
        <v>252</v>
      </c>
      <c r="RLL76" s="343" t="s">
        <v>1300</v>
      </c>
      <c r="RLM76" s="343" t="s">
        <v>252</v>
      </c>
      <c r="RLN76" s="343" t="s">
        <v>1300</v>
      </c>
      <c r="RLO76" s="343" t="s">
        <v>252</v>
      </c>
      <c r="RLP76" s="343" t="s">
        <v>1300</v>
      </c>
      <c r="RLQ76" s="343" t="s">
        <v>252</v>
      </c>
      <c r="RLR76" s="343" t="s">
        <v>1300</v>
      </c>
      <c r="RLS76" s="343" t="s">
        <v>252</v>
      </c>
      <c r="RLT76" s="343" t="s">
        <v>1300</v>
      </c>
      <c r="RLU76" s="343" t="s">
        <v>252</v>
      </c>
      <c r="RLV76" s="343" t="s">
        <v>1300</v>
      </c>
      <c r="RLW76" s="343" t="s">
        <v>252</v>
      </c>
      <c r="RLX76" s="343" t="s">
        <v>1300</v>
      </c>
      <c r="RLY76" s="343" t="s">
        <v>252</v>
      </c>
      <c r="RLZ76" s="343" t="s">
        <v>1300</v>
      </c>
      <c r="RMA76" s="343" t="s">
        <v>252</v>
      </c>
      <c r="RMB76" s="343" t="s">
        <v>1300</v>
      </c>
      <c r="RMC76" s="343" t="s">
        <v>252</v>
      </c>
      <c r="RMD76" s="343" t="s">
        <v>1300</v>
      </c>
      <c r="RME76" s="343" t="s">
        <v>252</v>
      </c>
      <c r="RMF76" s="343" t="s">
        <v>1300</v>
      </c>
      <c r="RMG76" s="343" t="s">
        <v>252</v>
      </c>
      <c r="RMH76" s="343" t="s">
        <v>1300</v>
      </c>
      <c r="RMI76" s="343" t="s">
        <v>252</v>
      </c>
      <c r="RMJ76" s="343" t="s">
        <v>1300</v>
      </c>
      <c r="RMK76" s="343" t="s">
        <v>252</v>
      </c>
      <c r="RML76" s="343" t="s">
        <v>1300</v>
      </c>
      <c r="RMM76" s="343" t="s">
        <v>252</v>
      </c>
      <c r="RMN76" s="343" t="s">
        <v>1300</v>
      </c>
      <c r="RMO76" s="343" t="s">
        <v>252</v>
      </c>
      <c r="RMP76" s="343" t="s">
        <v>1300</v>
      </c>
      <c r="RMQ76" s="343" t="s">
        <v>252</v>
      </c>
      <c r="RMR76" s="343" t="s">
        <v>1300</v>
      </c>
      <c r="RMS76" s="343" t="s">
        <v>252</v>
      </c>
      <c r="RMT76" s="343" t="s">
        <v>1300</v>
      </c>
      <c r="RMU76" s="343" t="s">
        <v>252</v>
      </c>
      <c r="RMV76" s="343" t="s">
        <v>1300</v>
      </c>
      <c r="RMW76" s="343" t="s">
        <v>252</v>
      </c>
      <c r="RMX76" s="343" t="s">
        <v>1300</v>
      </c>
      <c r="RMY76" s="343" t="s">
        <v>252</v>
      </c>
      <c r="RMZ76" s="343" t="s">
        <v>1300</v>
      </c>
      <c r="RNA76" s="343" t="s">
        <v>252</v>
      </c>
      <c r="RNB76" s="343" t="s">
        <v>1300</v>
      </c>
      <c r="RNC76" s="343" t="s">
        <v>252</v>
      </c>
      <c r="RND76" s="343" t="s">
        <v>1300</v>
      </c>
      <c r="RNE76" s="343" t="s">
        <v>252</v>
      </c>
      <c r="RNF76" s="343" t="s">
        <v>1300</v>
      </c>
      <c r="RNG76" s="343" t="s">
        <v>252</v>
      </c>
      <c r="RNH76" s="343" t="s">
        <v>1300</v>
      </c>
      <c r="RNI76" s="343" t="s">
        <v>252</v>
      </c>
      <c r="RNJ76" s="343" t="s">
        <v>1300</v>
      </c>
      <c r="RNK76" s="343" t="s">
        <v>252</v>
      </c>
      <c r="RNL76" s="343" t="s">
        <v>1300</v>
      </c>
      <c r="RNM76" s="343" t="s">
        <v>252</v>
      </c>
      <c r="RNN76" s="343" t="s">
        <v>1300</v>
      </c>
      <c r="RNO76" s="343" t="s">
        <v>252</v>
      </c>
      <c r="RNP76" s="343" t="s">
        <v>1300</v>
      </c>
      <c r="RNQ76" s="343" t="s">
        <v>252</v>
      </c>
      <c r="RNR76" s="343" t="s">
        <v>1300</v>
      </c>
      <c r="RNS76" s="343" t="s">
        <v>252</v>
      </c>
      <c r="RNT76" s="343" t="s">
        <v>1300</v>
      </c>
      <c r="RNU76" s="343" t="s">
        <v>252</v>
      </c>
      <c r="RNV76" s="343" t="s">
        <v>1300</v>
      </c>
      <c r="RNW76" s="343" t="s">
        <v>252</v>
      </c>
      <c r="RNX76" s="343" t="s">
        <v>1300</v>
      </c>
      <c r="RNY76" s="343" t="s">
        <v>252</v>
      </c>
      <c r="RNZ76" s="343" t="s">
        <v>1300</v>
      </c>
      <c r="ROA76" s="343" t="s">
        <v>252</v>
      </c>
      <c r="ROB76" s="343" t="s">
        <v>1300</v>
      </c>
      <c r="ROC76" s="343" t="s">
        <v>252</v>
      </c>
      <c r="ROD76" s="343" t="s">
        <v>1300</v>
      </c>
      <c r="ROE76" s="343" t="s">
        <v>252</v>
      </c>
      <c r="ROF76" s="343" t="s">
        <v>1300</v>
      </c>
      <c r="ROG76" s="343" t="s">
        <v>252</v>
      </c>
      <c r="ROH76" s="343" t="s">
        <v>1300</v>
      </c>
      <c r="ROI76" s="343" t="s">
        <v>252</v>
      </c>
      <c r="ROJ76" s="343" t="s">
        <v>1300</v>
      </c>
      <c r="ROK76" s="343" t="s">
        <v>252</v>
      </c>
      <c r="ROL76" s="343" t="s">
        <v>1300</v>
      </c>
      <c r="ROM76" s="343" t="s">
        <v>252</v>
      </c>
      <c r="RON76" s="343" t="s">
        <v>1300</v>
      </c>
      <c r="ROO76" s="343" t="s">
        <v>252</v>
      </c>
      <c r="ROP76" s="343" t="s">
        <v>1300</v>
      </c>
      <c r="ROQ76" s="343" t="s">
        <v>252</v>
      </c>
      <c r="ROR76" s="343" t="s">
        <v>1300</v>
      </c>
      <c r="ROS76" s="343" t="s">
        <v>252</v>
      </c>
      <c r="ROT76" s="343" t="s">
        <v>1300</v>
      </c>
      <c r="ROU76" s="343" t="s">
        <v>252</v>
      </c>
      <c r="ROV76" s="343" t="s">
        <v>1300</v>
      </c>
      <c r="ROW76" s="343" t="s">
        <v>252</v>
      </c>
      <c r="ROX76" s="343" t="s">
        <v>1300</v>
      </c>
      <c r="ROY76" s="343" t="s">
        <v>252</v>
      </c>
      <c r="ROZ76" s="343" t="s">
        <v>1300</v>
      </c>
      <c r="RPA76" s="343" t="s">
        <v>252</v>
      </c>
      <c r="RPB76" s="343" t="s">
        <v>1300</v>
      </c>
      <c r="RPC76" s="343" t="s">
        <v>252</v>
      </c>
      <c r="RPD76" s="343" t="s">
        <v>1300</v>
      </c>
      <c r="RPE76" s="343" t="s">
        <v>252</v>
      </c>
      <c r="RPF76" s="343" t="s">
        <v>1300</v>
      </c>
      <c r="RPG76" s="343" t="s">
        <v>252</v>
      </c>
      <c r="RPH76" s="343" t="s">
        <v>1300</v>
      </c>
      <c r="RPI76" s="343" t="s">
        <v>252</v>
      </c>
      <c r="RPJ76" s="343" t="s">
        <v>1300</v>
      </c>
      <c r="RPK76" s="343" t="s">
        <v>252</v>
      </c>
      <c r="RPL76" s="343" t="s">
        <v>1300</v>
      </c>
      <c r="RPM76" s="343" t="s">
        <v>252</v>
      </c>
      <c r="RPN76" s="343" t="s">
        <v>1300</v>
      </c>
      <c r="RPO76" s="343" t="s">
        <v>252</v>
      </c>
      <c r="RPP76" s="343" t="s">
        <v>1300</v>
      </c>
      <c r="RPQ76" s="343" t="s">
        <v>252</v>
      </c>
      <c r="RPR76" s="343" t="s">
        <v>1300</v>
      </c>
      <c r="RPS76" s="343" t="s">
        <v>252</v>
      </c>
      <c r="RPT76" s="343" t="s">
        <v>1300</v>
      </c>
      <c r="RPU76" s="343" t="s">
        <v>252</v>
      </c>
      <c r="RPV76" s="343" t="s">
        <v>1300</v>
      </c>
      <c r="RPW76" s="343" t="s">
        <v>252</v>
      </c>
      <c r="RPX76" s="343" t="s">
        <v>1300</v>
      </c>
      <c r="RPY76" s="343" t="s">
        <v>252</v>
      </c>
      <c r="RPZ76" s="343" t="s">
        <v>1300</v>
      </c>
      <c r="RQA76" s="343" t="s">
        <v>252</v>
      </c>
      <c r="RQB76" s="343" t="s">
        <v>1300</v>
      </c>
      <c r="RQC76" s="343" t="s">
        <v>252</v>
      </c>
      <c r="RQD76" s="343" t="s">
        <v>1300</v>
      </c>
      <c r="RQE76" s="343" t="s">
        <v>252</v>
      </c>
      <c r="RQF76" s="343" t="s">
        <v>1300</v>
      </c>
      <c r="RQG76" s="343" t="s">
        <v>252</v>
      </c>
      <c r="RQH76" s="343" t="s">
        <v>1300</v>
      </c>
      <c r="RQI76" s="343" t="s">
        <v>252</v>
      </c>
      <c r="RQJ76" s="343" t="s">
        <v>1300</v>
      </c>
      <c r="RQK76" s="343" t="s">
        <v>252</v>
      </c>
      <c r="RQL76" s="343" t="s">
        <v>1300</v>
      </c>
      <c r="RQM76" s="343" t="s">
        <v>252</v>
      </c>
      <c r="RQN76" s="343" t="s">
        <v>1300</v>
      </c>
      <c r="RQO76" s="343" t="s">
        <v>252</v>
      </c>
      <c r="RQP76" s="343" t="s">
        <v>1300</v>
      </c>
      <c r="RQQ76" s="343" t="s">
        <v>252</v>
      </c>
      <c r="RQR76" s="343" t="s">
        <v>1300</v>
      </c>
      <c r="RQS76" s="343" t="s">
        <v>252</v>
      </c>
      <c r="RQT76" s="343" t="s">
        <v>1300</v>
      </c>
      <c r="RQU76" s="343" t="s">
        <v>252</v>
      </c>
      <c r="RQV76" s="343" t="s">
        <v>1300</v>
      </c>
      <c r="RQW76" s="343" t="s">
        <v>252</v>
      </c>
      <c r="RQX76" s="343" t="s">
        <v>1300</v>
      </c>
      <c r="RQY76" s="343" t="s">
        <v>252</v>
      </c>
      <c r="RQZ76" s="343" t="s">
        <v>1300</v>
      </c>
      <c r="RRA76" s="343" t="s">
        <v>252</v>
      </c>
      <c r="RRB76" s="343" t="s">
        <v>1300</v>
      </c>
      <c r="RRC76" s="343" t="s">
        <v>252</v>
      </c>
      <c r="RRD76" s="343" t="s">
        <v>1300</v>
      </c>
      <c r="RRE76" s="343" t="s">
        <v>252</v>
      </c>
      <c r="RRF76" s="343" t="s">
        <v>1300</v>
      </c>
      <c r="RRG76" s="343" t="s">
        <v>252</v>
      </c>
      <c r="RRH76" s="343" t="s">
        <v>1300</v>
      </c>
      <c r="RRI76" s="343" t="s">
        <v>252</v>
      </c>
      <c r="RRJ76" s="343" t="s">
        <v>1300</v>
      </c>
      <c r="RRK76" s="343" t="s">
        <v>252</v>
      </c>
      <c r="RRL76" s="343" t="s">
        <v>1300</v>
      </c>
      <c r="RRM76" s="343" t="s">
        <v>252</v>
      </c>
      <c r="RRN76" s="343" t="s">
        <v>1300</v>
      </c>
      <c r="RRO76" s="343" t="s">
        <v>252</v>
      </c>
      <c r="RRP76" s="343" t="s">
        <v>1300</v>
      </c>
      <c r="RRQ76" s="343" t="s">
        <v>252</v>
      </c>
      <c r="RRR76" s="343" t="s">
        <v>1300</v>
      </c>
      <c r="RRS76" s="343" t="s">
        <v>252</v>
      </c>
      <c r="RRT76" s="343" t="s">
        <v>1300</v>
      </c>
      <c r="RRU76" s="343" t="s">
        <v>252</v>
      </c>
      <c r="RRV76" s="343" t="s">
        <v>1300</v>
      </c>
      <c r="RRW76" s="343" t="s">
        <v>252</v>
      </c>
      <c r="RRX76" s="343" t="s">
        <v>1300</v>
      </c>
      <c r="RRY76" s="343" t="s">
        <v>252</v>
      </c>
      <c r="RRZ76" s="343" t="s">
        <v>1300</v>
      </c>
      <c r="RSA76" s="343" t="s">
        <v>252</v>
      </c>
      <c r="RSB76" s="343" t="s">
        <v>1300</v>
      </c>
      <c r="RSC76" s="343" t="s">
        <v>252</v>
      </c>
      <c r="RSD76" s="343" t="s">
        <v>1300</v>
      </c>
      <c r="RSE76" s="343" t="s">
        <v>252</v>
      </c>
      <c r="RSF76" s="343" t="s">
        <v>1300</v>
      </c>
      <c r="RSG76" s="343" t="s">
        <v>252</v>
      </c>
      <c r="RSH76" s="343" t="s">
        <v>1300</v>
      </c>
      <c r="RSI76" s="343" t="s">
        <v>252</v>
      </c>
      <c r="RSJ76" s="343" t="s">
        <v>1300</v>
      </c>
      <c r="RSK76" s="343" t="s">
        <v>252</v>
      </c>
      <c r="RSL76" s="343" t="s">
        <v>1300</v>
      </c>
      <c r="RSM76" s="343" t="s">
        <v>252</v>
      </c>
      <c r="RSN76" s="343" t="s">
        <v>1300</v>
      </c>
      <c r="RSO76" s="343" t="s">
        <v>252</v>
      </c>
      <c r="RSP76" s="343" t="s">
        <v>1300</v>
      </c>
      <c r="RSQ76" s="343" t="s">
        <v>252</v>
      </c>
      <c r="RSR76" s="343" t="s">
        <v>1300</v>
      </c>
      <c r="RSS76" s="343" t="s">
        <v>252</v>
      </c>
      <c r="RST76" s="343" t="s">
        <v>1300</v>
      </c>
      <c r="RSU76" s="343" t="s">
        <v>252</v>
      </c>
      <c r="RSV76" s="343" t="s">
        <v>1300</v>
      </c>
      <c r="RSW76" s="343" t="s">
        <v>252</v>
      </c>
      <c r="RSX76" s="343" t="s">
        <v>1300</v>
      </c>
      <c r="RSY76" s="343" t="s">
        <v>252</v>
      </c>
      <c r="RSZ76" s="343" t="s">
        <v>1300</v>
      </c>
      <c r="RTA76" s="343" t="s">
        <v>252</v>
      </c>
      <c r="RTB76" s="343" t="s">
        <v>1300</v>
      </c>
      <c r="RTC76" s="343" t="s">
        <v>252</v>
      </c>
      <c r="RTD76" s="343" t="s">
        <v>1300</v>
      </c>
      <c r="RTE76" s="343" t="s">
        <v>252</v>
      </c>
      <c r="RTF76" s="343" t="s">
        <v>1300</v>
      </c>
      <c r="RTG76" s="343" t="s">
        <v>252</v>
      </c>
      <c r="RTH76" s="343" t="s">
        <v>1300</v>
      </c>
      <c r="RTI76" s="343" t="s">
        <v>252</v>
      </c>
      <c r="RTJ76" s="343" t="s">
        <v>1300</v>
      </c>
      <c r="RTK76" s="343" t="s">
        <v>252</v>
      </c>
      <c r="RTL76" s="343" t="s">
        <v>1300</v>
      </c>
      <c r="RTM76" s="343" t="s">
        <v>252</v>
      </c>
      <c r="RTN76" s="343" t="s">
        <v>1300</v>
      </c>
      <c r="RTO76" s="343" t="s">
        <v>252</v>
      </c>
      <c r="RTP76" s="343" t="s">
        <v>1300</v>
      </c>
      <c r="RTQ76" s="343" t="s">
        <v>252</v>
      </c>
      <c r="RTR76" s="343" t="s">
        <v>1300</v>
      </c>
      <c r="RTS76" s="343" t="s">
        <v>252</v>
      </c>
      <c r="RTT76" s="343" t="s">
        <v>1300</v>
      </c>
      <c r="RTU76" s="343" t="s">
        <v>252</v>
      </c>
      <c r="RTV76" s="343" t="s">
        <v>1300</v>
      </c>
      <c r="RTW76" s="343" t="s">
        <v>252</v>
      </c>
      <c r="RTX76" s="343" t="s">
        <v>1300</v>
      </c>
      <c r="RTY76" s="343" t="s">
        <v>252</v>
      </c>
      <c r="RTZ76" s="343" t="s">
        <v>1300</v>
      </c>
      <c r="RUA76" s="343" t="s">
        <v>252</v>
      </c>
      <c r="RUB76" s="343" t="s">
        <v>1300</v>
      </c>
      <c r="RUC76" s="343" t="s">
        <v>252</v>
      </c>
      <c r="RUD76" s="343" t="s">
        <v>1300</v>
      </c>
      <c r="RUE76" s="343" t="s">
        <v>252</v>
      </c>
      <c r="RUF76" s="343" t="s">
        <v>1300</v>
      </c>
      <c r="RUG76" s="343" t="s">
        <v>252</v>
      </c>
      <c r="RUH76" s="343" t="s">
        <v>1300</v>
      </c>
      <c r="RUI76" s="343" t="s">
        <v>252</v>
      </c>
      <c r="RUJ76" s="343" t="s">
        <v>1300</v>
      </c>
      <c r="RUK76" s="343" t="s">
        <v>252</v>
      </c>
      <c r="RUL76" s="343" t="s">
        <v>1300</v>
      </c>
      <c r="RUM76" s="343" t="s">
        <v>252</v>
      </c>
      <c r="RUN76" s="343" t="s">
        <v>1300</v>
      </c>
      <c r="RUO76" s="343" t="s">
        <v>252</v>
      </c>
      <c r="RUP76" s="343" t="s">
        <v>1300</v>
      </c>
      <c r="RUQ76" s="343" t="s">
        <v>252</v>
      </c>
      <c r="RUR76" s="343" t="s">
        <v>1300</v>
      </c>
      <c r="RUS76" s="343" t="s">
        <v>252</v>
      </c>
      <c r="RUT76" s="343" t="s">
        <v>1300</v>
      </c>
      <c r="RUU76" s="343" t="s">
        <v>252</v>
      </c>
      <c r="RUV76" s="343" t="s">
        <v>1300</v>
      </c>
      <c r="RUW76" s="343" t="s">
        <v>252</v>
      </c>
      <c r="RUX76" s="343" t="s">
        <v>1300</v>
      </c>
      <c r="RUY76" s="343" t="s">
        <v>252</v>
      </c>
      <c r="RUZ76" s="343" t="s">
        <v>1300</v>
      </c>
      <c r="RVA76" s="343" t="s">
        <v>252</v>
      </c>
      <c r="RVB76" s="343" t="s">
        <v>1300</v>
      </c>
      <c r="RVC76" s="343" t="s">
        <v>252</v>
      </c>
      <c r="RVD76" s="343" t="s">
        <v>1300</v>
      </c>
      <c r="RVE76" s="343" t="s">
        <v>252</v>
      </c>
      <c r="RVF76" s="343" t="s">
        <v>1300</v>
      </c>
      <c r="RVG76" s="343" t="s">
        <v>252</v>
      </c>
      <c r="RVH76" s="343" t="s">
        <v>1300</v>
      </c>
      <c r="RVI76" s="343" t="s">
        <v>252</v>
      </c>
      <c r="RVJ76" s="343" t="s">
        <v>1300</v>
      </c>
      <c r="RVK76" s="343" t="s">
        <v>252</v>
      </c>
      <c r="RVL76" s="343" t="s">
        <v>1300</v>
      </c>
      <c r="RVM76" s="343" t="s">
        <v>252</v>
      </c>
      <c r="RVN76" s="343" t="s">
        <v>1300</v>
      </c>
      <c r="RVO76" s="343" t="s">
        <v>252</v>
      </c>
      <c r="RVP76" s="343" t="s">
        <v>1300</v>
      </c>
      <c r="RVQ76" s="343" t="s">
        <v>252</v>
      </c>
      <c r="RVR76" s="343" t="s">
        <v>1300</v>
      </c>
      <c r="RVS76" s="343" t="s">
        <v>252</v>
      </c>
      <c r="RVT76" s="343" t="s">
        <v>1300</v>
      </c>
      <c r="RVU76" s="343" t="s">
        <v>252</v>
      </c>
      <c r="RVV76" s="343" t="s">
        <v>1300</v>
      </c>
      <c r="RVW76" s="343" t="s">
        <v>252</v>
      </c>
      <c r="RVX76" s="343" t="s">
        <v>1300</v>
      </c>
      <c r="RVY76" s="343" t="s">
        <v>252</v>
      </c>
      <c r="RVZ76" s="343" t="s">
        <v>1300</v>
      </c>
      <c r="RWA76" s="343" t="s">
        <v>252</v>
      </c>
      <c r="RWB76" s="343" t="s">
        <v>1300</v>
      </c>
      <c r="RWC76" s="343" t="s">
        <v>252</v>
      </c>
      <c r="RWD76" s="343" t="s">
        <v>1300</v>
      </c>
      <c r="RWE76" s="343" t="s">
        <v>252</v>
      </c>
      <c r="RWF76" s="343" t="s">
        <v>1300</v>
      </c>
      <c r="RWG76" s="343" t="s">
        <v>252</v>
      </c>
      <c r="RWH76" s="343" t="s">
        <v>1300</v>
      </c>
      <c r="RWI76" s="343" t="s">
        <v>252</v>
      </c>
      <c r="RWJ76" s="343" t="s">
        <v>1300</v>
      </c>
      <c r="RWK76" s="343" t="s">
        <v>252</v>
      </c>
      <c r="RWL76" s="343" t="s">
        <v>1300</v>
      </c>
      <c r="RWM76" s="343" t="s">
        <v>252</v>
      </c>
      <c r="RWN76" s="343" t="s">
        <v>1300</v>
      </c>
      <c r="RWO76" s="343" t="s">
        <v>252</v>
      </c>
      <c r="RWP76" s="343" t="s">
        <v>1300</v>
      </c>
      <c r="RWQ76" s="343" t="s">
        <v>252</v>
      </c>
      <c r="RWR76" s="343" t="s">
        <v>1300</v>
      </c>
      <c r="RWS76" s="343" t="s">
        <v>252</v>
      </c>
      <c r="RWT76" s="343" t="s">
        <v>1300</v>
      </c>
      <c r="RWU76" s="343" t="s">
        <v>252</v>
      </c>
      <c r="RWV76" s="343" t="s">
        <v>1300</v>
      </c>
      <c r="RWW76" s="343" t="s">
        <v>252</v>
      </c>
      <c r="RWX76" s="343" t="s">
        <v>1300</v>
      </c>
      <c r="RWY76" s="343" t="s">
        <v>252</v>
      </c>
      <c r="RWZ76" s="343" t="s">
        <v>1300</v>
      </c>
      <c r="RXA76" s="343" t="s">
        <v>252</v>
      </c>
      <c r="RXB76" s="343" t="s">
        <v>1300</v>
      </c>
      <c r="RXC76" s="343" t="s">
        <v>252</v>
      </c>
      <c r="RXD76" s="343" t="s">
        <v>1300</v>
      </c>
      <c r="RXE76" s="343" t="s">
        <v>252</v>
      </c>
      <c r="RXF76" s="343" t="s">
        <v>1300</v>
      </c>
      <c r="RXG76" s="343" t="s">
        <v>252</v>
      </c>
      <c r="RXH76" s="343" t="s">
        <v>1300</v>
      </c>
      <c r="RXI76" s="343" t="s">
        <v>252</v>
      </c>
      <c r="RXJ76" s="343" t="s">
        <v>1300</v>
      </c>
      <c r="RXK76" s="343" t="s">
        <v>252</v>
      </c>
      <c r="RXL76" s="343" t="s">
        <v>1300</v>
      </c>
      <c r="RXM76" s="343" t="s">
        <v>252</v>
      </c>
      <c r="RXN76" s="343" t="s">
        <v>1300</v>
      </c>
      <c r="RXO76" s="343" t="s">
        <v>252</v>
      </c>
      <c r="RXP76" s="343" t="s">
        <v>1300</v>
      </c>
      <c r="RXQ76" s="343" t="s">
        <v>252</v>
      </c>
      <c r="RXR76" s="343" t="s">
        <v>1300</v>
      </c>
      <c r="RXS76" s="343" t="s">
        <v>252</v>
      </c>
      <c r="RXT76" s="343" t="s">
        <v>1300</v>
      </c>
      <c r="RXU76" s="343" t="s">
        <v>252</v>
      </c>
      <c r="RXV76" s="343" t="s">
        <v>1300</v>
      </c>
      <c r="RXW76" s="343" t="s">
        <v>252</v>
      </c>
      <c r="RXX76" s="343" t="s">
        <v>1300</v>
      </c>
      <c r="RXY76" s="343" t="s">
        <v>252</v>
      </c>
      <c r="RXZ76" s="343" t="s">
        <v>1300</v>
      </c>
      <c r="RYA76" s="343" t="s">
        <v>252</v>
      </c>
      <c r="RYB76" s="343" t="s">
        <v>1300</v>
      </c>
      <c r="RYC76" s="343" t="s">
        <v>252</v>
      </c>
      <c r="RYD76" s="343" t="s">
        <v>1300</v>
      </c>
      <c r="RYE76" s="343" t="s">
        <v>252</v>
      </c>
      <c r="RYF76" s="343" t="s">
        <v>1300</v>
      </c>
      <c r="RYG76" s="343" t="s">
        <v>252</v>
      </c>
      <c r="RYH76" s="343" t="s">
        <v>1300</v>
      </c>
      <c r="RYI76" s="343" t="s">
        <v>252</v>
      </c>
      <c r="RYJ76" s="343" t="s">
        <v>1300</v>
      </c>
      <c r="RYK76" s="343" t="s">
        <v>252</v>
      </c>
      <c r="RYL76" s="343" t="s">
        <v>1300</v>
      </c>
      <c r="RYM76" s="343" t="s">
        <v>252</v>
      </c>
      <c r="RYN76" s="343" t="s">
        <v>1300</v>
      </c>
      <c r="RYO76" s="343" t="s">
        <v>252</v>
      </c>
      <c r="RYP76" s="343" t="s">
        <v>1300</v>
      </c>
      <c r="RYQ76" s="343" t="s">
        <v>252</v>
      </c>
      <c r="RYR76" s="343" t="s">
        <v>1300</v>
      </c>
      <c r="RYS76" s="343" t="s">
        <v>252</v>
      </c>
      <c r="RYT76" s="343" t="s">
        <v>1300</v>
      </c>
      <c r="RYU76" s="343" t="s">
        <v>252</v>
      </c>
      <c r="RYV76" s="343" t="s">
        <v>1300</v>
      </c>
      <c r="RYW76" s="343" t="s">
        <v>252</v>
      </c>
      <c r="RYX76" s="343" t="s">
        <v>1300</v>
      </c>
      <c r="RYY76" s="343" t="s">
        <v>252</v>
      </c>
      <c r="RYZ76" s="343" t="s">
        <v>1300</v>
      </c>
      <c r="RZA76" s="343" t="s">
        <v>252</v>
      </c>
      <c r="RZB76" s="343" t="s">
        <v>1300</v>
      </c>
      <c r="RZC76" s="343" t="s">
        <v>252</v>
      </c>
      <c r="RZD76" s="343" t="s">
        <v>1300</v>
      </c>
      <c r="RZE76" s="343" t="s">
        <v>252</v>
      </c>
      <c r="RZF76" s="343" t="s">
        <v>1300</v>
      </c>
      <c r="RZG76" s="343" t="s">
        <v>252</v>
      </c>
      <c r="RZH76" s="343" t="s">
        <v>1300</v>
      </c>
      <c r="RZI76" s="343" t="s">
        <v>252</v>
      </c>
      <c r="RZJ76" s="343" t="s">
        <v>1300</v>
      </c>
      <c r="RZK76" s="343" t="s">
        <v>252</v>
      </c>
      <c r="RZL76" s="343" t="s">
        <v>1300</v>
      </c>
      <c r="RZM76" s="343" t="s">
        <v>252</v>
      </c>
      <c r="RZN76" s="343" t="s">
        <v>1300</v>
      </c>
      <c r="RZO76" s="343" t="s">
        <v>252</v>
      </c>
      <c r="RZP76" s="343" t="s">
        <v>1300</v>
      </c>
      <c r="RZQ76" s="343" t="s">
        <v>252</v>
      </c>
      <c r="RZR76" s="343" t="s">
        <v>1300</v>
      </c>
      <c r="RZS76" s="343" t="s">
        <v>252</v>
      </c>
      <c r="RZT76" s="343" t="s">
        <v>1300</v>
      </c>
      <c r="RZU76" s="343" t="s">
        <v>252</v>
      </c>
      <c r="RZV76" s="343" t="s">
        <v>1300</v>
      </c>
      <c r="RZW76" s="343" t="s">
        <v>252</v>
      </c>
      <c r="RZX76" s="343" t="s">
        <v>1300</v>
      </c>
      <c r="RZY76" s="343" t="s">
        <v>252</v>
      </c>
      <c r="RZZ76" s="343" t="s">
        <v>1300</v>
      </c>
      <c r="SAA76" s="343" t="s">
        <v>252</v>
      </c>
      <c r="SAB76" s="343" t="s">
        <v>1300</v>
      </c>
      <c r="SAC76" s="343" t="s">
        <v>252</v>
      </c>
      <c r="SAD76" s="343" t="s">
        <v>1300</v>
      </c>
      <c r="SAE76" s="343" t="s">
        <v>252</v>
      </c>
      <c r="SAF76" s="343" t="s">
        <v>1300</v>
      </c>
      <c r="SAG76" s="343" t="s">
        <v>252</v>
      </c>
      <c r="SAH76" s="343" t="s">
        <v>1300</v>
      </c>
      <c r="SAI76" s="343" t="s">
        <v>252</v>
      </c>
      <c r="SAJ76" s="343" t="s">
        <v>1300</v>
      </c>
      <c r="SAK76" s="343" t="s">
        <v>252</v>
      </c>
      <c r="SAL76" s="343" t="s">
        <v>1300</v>
      </c>
      <c r="SAM76" s="343" t="s">
        <v>252</v>
      </c>
      <c r="SAN76" s="343" t="s">
        <v>1300</v>
      </c>
      <c r="SAO76" s="343" t="s">
        <v>252</v>
      </c>
      <c r="SAP76" s="343" t="s">
        <v>1300</v>
      </c>
      <c r="SAQ76" s="343" t="s">
        <v>252</v>
      </c>
      <c r="SAR76" s="343" t="s">
        <v>1300</v>
      </c>
      <c r="SAS76" s="343" t="s">
        <v>252</v>
      </c>
      <c r="SAT76" s="343" t="s">
        <v>1300</v>
      </c>
      <c r="SAU76" s="343" t="s">
        <v>252</v>
      </c>
      <c r="SAV76" s="343" t="s">
        <v>1300</v>
      </c>
      <c r="SAW76" s="343" t="s">
        <v>252</v>
      </c>
      <c r="SAX76" s="343" t="s">
        <v>1300</v>
      </c>
      <c r="SAY76" s="343" t="s">
        <v>252</v>
      </c>
      <c r="SAZ76" s="343" t="s">
        <v>1300</v>
      </c>
      <c r="SBA76" s="343" t="s">
        <v>252</v>
      </c>
      <c r="SBB76" s="343" t="s">
        <v>1300</v>
      </c>
      <c r="SBC76" s="343" t="s">
        <v>252</v>
      </c>
      <c r="SBD76" s="343" t="s">
        <v>1300</v>
      </c>
      <c r="SBE76" s="343" t="s">
        <v>252</v>
      </c>
      <c r="SBF76" s="343" t="s">
        <v>1300</v>
      </c>
      <c r="SBG76" s="343" t="s">
        <v>252</v>
      </c>
      <c r="SBH76" s="343" t="s">
        <v>1300</v>
      </c>
      <c r="SBI76" s="343" t="s">
        <v>252</v>
      </c>
      <c r="SBJ76" s="343" t="s">
        <v>1300</v>
      </c>
      <c r="SBK76" s="343" t="s">
        <v>252</v>
      </c>
      <c r="SBL76" s="343" t="s">
        <v>1300</v>
      </c>
      <c r="SBM76" s="343" t="s">
        <v>252</v>
      </c>
      <c r="SBN76" s="343" t="s">
        <v>1300</v>
      </c>
      <c r="SBO76" s="343" t="s">
        <v>252</v>
      </c>
      <c r="SBP76" s="343" t="s">
        <v>1300</v>
      </c>
      <c r="SBQ76" s="343" t="s">
        <v>252</v>
      </c>
      <c r="SBR76" s="343" t="s">
        <v>1300</v>
      </c>
      <c r="SBS76" s="343" t="s">
        <v>252</v>
      </c>
      <c r="SBT76" s="343" t="s">
        <v>1300</v>
      </c>
      <c r="SBU76" s="343" t="s">
        <v>252</v>
      </c>
      <c r="SBV76" s="343" t="s">
        <v>1300</v>
      </c>
      <c r="SBW76" s="343" t="s">
        <v>252</v>
      </c>
      <c r="SBX76" s="343" t="s">
        <v>1300</v>
      </c>
      <c r="SBY76" s="343" t="s">
        <v>252</v>
      </c>
      <c r="SBZ76" s="343" t="s">
        <v>1300</v>
      </c>
      <c r="SCA76" s="343" t="s">
        <v>252</v>
      </c>
      <c r="SCB76" s="343" t="s">
        <v>1300</v>
      </c>
      <c r="SCC76" s="343" t="s">
        <v>252</v>
      </c>
      <c r="SCD76" s="343" t="s">
        <v>1300</v>
      </c>
      <c r="SCE76" s="343" t="s">
        <v>252</v>
      </c>
      <c r="SCF76" s="343" t="s">
        <v>1300</v>
      </c>
      <c r="SCG76" s="343" t="s">
        <v>252</v>
      </c>
      <c r="SCH76" s="343" t="s">
        <v>1300</v>
      </c>
      <c r="SCI76" s="343" t="s">
        <v>252</v>
      </c>
      <c r="SCJ76" s="343" t="s">
        <v>1300</v>
      </c>
      <c r="SCK76" s="343" t="s">
        <v>252</v>
      </c>
      <c r="SCL76" s="343" t="s">
        <v>1300</v>
      </c>
      <c r="SCM76" s="343" t="s">
        <v>252</v>
      </c>
      <c r="SCN76" s="343" t="s">
        <v>1300</v>
      </c>
      <c r="SCO76" s="343" t="s">
        <v>252</v>
      </c>
      <c r="SCP76" s="343" t="s">
        <v>1300</v>
      </c>
      <c r="SCQ76" s="343" t="s">
        <v>252</v>
      </c>
      <c r="SCR76" s="343" t="s">
        <v>1300</v>
      </c>
      <c r="SCS76" s="343" t="s">
        <v>252</v>
      </c>
      <c r="SCT76" s="343" t="s">
        <v>1300</v>
      </c>
      <c r="SCU76" s="343" t="s">
        <v>252</v>
      </c>
      <c r="SCV76" s="343" t="s">
        <v>1300</v>
      </c>
      <c r="SCW76" s="343" t="s">
        <v>252</v>
      </c>
      <c r="SCX76" s="343" t="s">
        <v>1300</v>
      </c>
      <c r="SCY76" s="343" t="s">
        <v>252</v>
      </c>
      <c r="SCZ76" s="343" t="s">
        <v>1300</v>
      </c>
      <c r="SDA76" s="343" t="s">
        <v>252</v>
      </c>
      <c r="SDB76" s="343" t="s">
        <v>1300</v>
      </c>
      <c r="SDC76" s="343" t="s">
        <v>252</v>
      </c>
      <c r="SDD76" s="343" t="s">
        <v>1300</v>
      </c>
      <c r="SDE76" s="343" t="s">
        <v>252</v>
      </c>
      <c r="SDF76" s="343" t="s">
        <v>1300</v>
      </c>
      <c r="SDG76" s="343" t="s">
        <v>252</v>
      </c>
      <c r="SDH76" s="343" t="s">
        <v>1300</v>
      </c>
      <c r="SDI76" s="343" t="s">
        <v>252</v>
      </c>
      <c r="SDJ76" s="343" t="s">
        <v>1300</v>
      </c>
      <c r="SDK76" s="343" t="s">
        <v>252</v>
      </c>
      <c r="SDL76" s="343" t="s">
        <v>1300</v>
      </c>
      <c r="SDM76" s="343" t="s">
        <v>252</v>
      </c>
      <c r="SDN76" s="343" t="s">
        <v>1300</v>
      </c>
      <c r="SDO76" s="343" t="s">
        <v>252</v>
      </c>
      <c r="SDP76" s="343" t="s">
        <v>1300</v>
      </c>
      <c r="SDQ76" s="343" t="s">
        <v>252</v>
      </c>
      <c r="SDR76" s="343" t="s">
        <v>1300</v>
      </c>
      <c r="SDS76" s="343" t="s">
        <v>252</v>
      </c>
      <c r="SDT76" s="343" t="s">
        <v>1300</v>
      </c>
      <c r="SDU76" s="343" t="s">
        <v>252</v>
      </c>
      <c r="SDV76" s="343" t="s">
        <v>1300</v>
      </c>
      <c r="SDW76" s="343" t="s">
        <v>252</v>
      </c>
      <c r="SDX76" s="343" t="s">
        <v>1300</v>
      </c>
      <c r="SDY76" s="343" t="s">
        <v>252</v>
      </c>
      <c r="SDZ76" s="343" t="s">
        <v>1300</v>
      </c>
      <c r="SEA76" s="343" t="s">
        <v>252</v>
      </c>
      <c r="SEB76" s="343" t="s">
        <v>1300</v>
      </c>
      <c r="SEC76" s="343" t="s">
        <v>252</v>
      </c>
      <c r="SED76" s="343" t="s">
        <v>1300</v>
      </c>
      <c r="SEE76" s="343" t="s">
        <v>252</v>
      </c>
      <c r="SEF76" s="343" t="s">
        <v>1300</v>
      </c>
      <c r="SEG76" s="343" t="s">
        <v>252</v>
      </c>
      <c r="SEH76" s="343" t="s">
        <v>1300</v>
      </c>
      <c r="SEI76" s="343" t="s">
        <v>252</v>
      </c>
      <c r="SEJ76" s="343" t="s">
        <v>1300</v>
      </c>
      <c r="SEK76" s="343" t="s">
        <v>252</v>
      </c>
      <c r="SEL76" s="343" t="s">
        <v>1300</v>
      </c>
      <c r="SEM76" s="343" t="s">
        <v>252</v>
      </c>
      <c r="SEN76" s="343" t="s">
        <v>1300</v>
      </c>
      <c r="SEO76" s="343" t="s">
        <v>252</v>
      </c>
      <c r="SEP76" s="343" t="s">
        <v>1300</v>
      </c>
      <c r="SEQ76" s="343" t="s">
        <v>252</v>
      </c>
      <c r="SER76" s="343" t="s">
        <v>1300</v>
      </c>
      <c r="SES76" s="343" t="s">
        <v>252</v>
      </c>
      <c r="SET76" s="343" t="s">
        <v>1300</v>
      </c>
      <c r="SEU76" s="343" t="s">
        <v>252</v>
      </c>
      <c r="SEV76" s="343" t="s">
        <v>1300</v>
      </c>
      <c r="SEW76" s="343" t="s">
        <v>252</v>
      </c>
      <c r="SEX76" s="343" t="s">
        <v>1300</v>
      </c>
      <c r="SEY76" s="343" t="s">
        <v>252</v>
      </c>
      <c r="SEZ76" s="343" t="s">
        <v>1300</v>
      </c>
      <c r="SFA76" s="343" t="s">
        <v>252</v>
      </c>
      <c r="SFB76" s="343" t="s">
        <v>1300</v>
      </c>
      <c r="SFC76" s="343" t="s">
        <v>252</v>
      </c>
      <c r="SFD76" s="343" t="s">
        <v>1300</v>
      </c>
      <c r="SFE76" s="343" t="s">
        <v>252</v>
      </c>
      <c r="SFF76" s="343" t="s">
        <v>1300</v>
      </c>
      <c r="SFG76" s="343" t="s">
        <v>252</v>
      </c>
      <c r="SFH76" s="343" t="s">
        <v>1300</v>
      </c>
      <c r="SFI76" s="343" t="s">
        <v>252</v>
      </c>
      <c r="SFJ76" s="343" t="s">
        <v>1300</v>
      </c>
      <c r="SFK76" s="343" t="s">
        <v>252</v>
      </c>
      <c r="SFL76" s="343" t="s">
        <v>1300</v>
      </c>
      <c r="SFM76" s="343" t="s">
        <v>252</v>
      </c>
      <c r="SFN76" s="343" t="s">
        <v>1300</v>
      </c>
      <c r="SFO76" s="343" t="s">
        <v>252</v>
      </c>
      <c r="SFP76" s="343" t="s">
        <v>1300</v>
      </c>
      <c r="SFQ76" s="343" t="s">
        <v>252</v>
      </c>
      <c r="SFR76" s="343" t="s">
        <v>1300</v>
      </c>
      <c r="SFS76" s="343" t="s">
        <v>252</v>
      </c>
      <c r="SFT76" s="343" t="s">
        <v>1300</v>
      </c>
      <c r="SFU76" s="343" t="s">
        <v>252</v>
      </c>
      <c r="SFV76" s="343" t="s">
        <v>1300</v>
      </c>
      <c r="SFW76" s="343" t="s">
        <v>252</v>
      </c>
      <c r="SFX76" s="343" t="s">
        <v>1300</v>
      </c>
      <c r="SFY76" s="343" t="s">
        <v>252</v>
      </c>
      <c r="SFZ76" s="343" t="s">
        <v>1300</v>
      </c>
      <c r="SGA76" s="343" t="s">
        <v>252</v>
      </c>
      <c r="SGB76" s="343" t="s">
        <v>1300</v>
      </c>
      <c r="SGC76" s="343" t="s">
        <v>252</v>
      </c>
      <c r="SGD76" s="343" t="s">
        <v>1300</v>
      </c>
      <c r="SGE76" s="343" t="s">
        <v>252</v>
      </c>
      <c r="SGF76" s="343" t="s">
        <v>1300</v>
      </c>
      <c r="SGG76" s="343" t="s">
        <v>252</v>
      </c>
      <c r="SGH76" s="343" t="s">
        <v>1300</v>
      </c>
      <c r="SGI76" s="343" t="s">
        <v>252</v>
      </c>
      <c r="SGJ76" s="343" t="s">
        <v>1300</v>
      </c>
      <c r="SGK76" s="343" t="s">
        <v>252</v>
      </c>
      <c r="SGL76" s="343" t="s">
        <v>1300</v>
      </c>
      <c r="SGM76" s="343" t="s">
        <v>252</v>
      </c>
      <c r="SGN76" s="343" t="s">
        <v>1300</v>
      </c>
      <c r="SGO76" s="343" t="s">
        <v>252</v>
      </c>
      <c r="SGP76" s="343" t="s">
        <v>1300</v>
      </c>
      <c r="SGQ76" s="343" t="s">
        <v>252</v>
      </c>
      <c r="SGR76" s="343" t="s">
        <v>1300</v>
      </c>
      <c r="SGS76" s="343" t="s">
        <v>252</v>
      </c>
      <c r="SGT76" s="343" t="s">
        <v>1300</v>
      </c>
      <c r="SGU76" s="343" t="s">
        <v>252</v>
      </c>
      <c r="SGV76" s="343" t="s">
        <v>1300</v>
      </c>
      <c r="SGW76" s="343" t="s">
        <v>252</v>
      </c>
      <c r="SGX76" s="343" t="s">
        <v>1300</v>
      </c>
      <c r="SGY76" s="343" t="s">
        <v>252</v>
      </c>
      <c r="SGZ76" s="343" t="s">
        <v>1300</v>
      </c>
      <c r="SHA76" s="343" t="s">
        <v>252</v>
      </c>
      <c r="SHB76" s="343" t="s">
        <v>1300</v>
      </c>
      <c r="SHC76" s="343" t="s">
        <v>252</v>
      </c>
      <c r="SHD76" s="343" t="s">
        <v>1300</v>
      </c>
      <c r="SHE76" s="343" t="s">
        <v>252</v>
      </c>
      <c r="SHF76" s="343" t="s">
        <v>1300</v>
      </c>
      <c r="SHG76" s="343" t="s">
        <v>252</v>
      </c>
      <c r="SHH76" s="343" t="s">
        <v>1300</v>
      </c>
      <c r="SHI76" s="343" t="s">
        <v>252</v>
      </c>
      <c r="SHJ76" s="343" t="s">
        <v>1300</v>
      </c>
      <c r="SHK76" s="343" t="s">
        <v>252</v>
      </c>
      <c r="SHL76" s="343" t="s">
        <v>1300</v>
      </c>
      <c r="SHM76" s="343" t="s">
        <v>252</v>
      </c>
      <c r="SHN76" s="343" t="s">
        <v>1300</v>
      </c>
      <c r="SHO76" s="343" t="s">
        <v>252</v>
      </c>
      <c r="SHP76" s="343" t="s">
        <v>1300</v>
      </c>
      <c r="SHQ76" s="343" t="s">
        <v>252</v>
      </c>
      <c r="SHR76" s="343" t="s">
        <v>1300</v>
      </c>
      <c r="SHS76" s="343" t="s">
        <v>252</v>
      </c>
      <c r="SHT76" s="343" t="s">
        <v>1300</v>
      </c>
      <c r="SHU76" s="343" t="s">
        <v>252</v>
      </c>
      <c r="SHV76" s="343" t="s">
        <v>1300</v>
      </c>
      <c r="SHW76" s="343" t="s">
        <v>252</v>
      </c>
      <c r="SHX76" s="343" t="s">
        <v>1300</v>
      </c>
      <c r="SHY76" s="343" t="s">
        <v>252</v>
      </c>
      <c r="SHZ76" s="343" t="s">
        <v>1300</v>
      </c>
      <c r="SIA76" s="343" t="s">
        <v>252</v>
      </c>
      <c r="SIB76" s="343" t="s">
        <v>1300</v>
      </c>
      <c r="SIC76" s="343" t="s">
        <v>252</v>
      </c>
      <c r="SID76" s="343" t="s">
        <v>1300</v>
      </c>
      <c r="SIE76" s="343" t="s">
        <v>252</v>
      </c>
      <c r="SIF76" s="343" t="s">
        <v>1300</v>
      </c>
      <c r="SIG76" s="343" t="s">
        <v>252</v>
      </c>
      <c r="SIH76" s="343" t="s">
        <v>1300</v>
      </c>
      <c r="SII76" s="343" t="s">
        <v>252</v>
      </c>
      <c r="SIJ76" s="343" t="s">
        <v>1300</v>
      </c>
      <c r="SIK76" s="343" t="s">
        <v>252</v>
      </c>
      <c r="SIL76" s="343" t="s">
        <v>1300</v>
      </c>
      <c r="SIM76" s="343" t="s">
        <v>252</v>
      </c>
      <c r="SIN76" s="343" t="s">
        <v>1300</v>
      </c>
      <c r="SIO76" s="343" t="s">
        <v>252</v>
      </c>
      <c r="SIP76" s="343" t="s">
        <v>1300</v>
      </c>
      <c r="SIQ76" s="343" t="s">
        <v>252</v>
      </c>
      <c r="SIR76" s="343" t="s">
        <v>1300</v>
      </c>
      <c r="SIS76" s="343" t="s">
        <v>252</v>
      </c>
      <c r="SIT76" s="343" t="s">
        <v>1300</v>
      </c>
      <c r="SIU76" s="343" t="s">
        <v>252</v>
      </c>
      <c r="SIV76" s="343" t="s">
        <v>1300</v>
      </c>
      <c r="SIW76" s="343" t="s">
        <v>252</v>
      </c>
      <c r="SIX76" s="343" t="s">
        <v>1300</v>
      </c>
      <c r="SIY76" s="343" t="s">
        <v>252</v>
      </c>
      <c r="SIZ76" s="343" t="s">
        <v>1300</v>
      </c>
      <c r="SJA76" s="343" t="s">
        <v>252</v>
      </c>
      <c r="SJB76" s="343" t="s">
        <v>1300</v>
      </c>
      <c r="SJC76" s="343" t="s">
        <v>252</v>
      </c>
      <c r="SJD76" s="343" t="s">
        <v>1300</v>
      </c>
      <c r="SJE76" s="343" t="s">
        <v>252</v>
      </c>
      <c r="SJF76" s="343" t="s">
        <v>1300</v>
      </c>
      <c r="SJG76" s="343" t="s">
        <v>252</v>
      </c>
      <c r="SJH76" s="343" t="s">
        <v>1300</v>
      </c>
      <c r="SJI76" s="343" t="s">
        <v>252</v>
      </c>
      <c r="SJJ76" s="343" t="s">
        <v>1300</v>
      </c>
      <c r="SJK76" s="343" t="s">
        <v>252</v>
      </c>
      <c r="SJL76" s="343" t="s">
        <v>1300</v>
      </c>
      <c r="SJM76" s="343" t="s">
        <v>252</v>
      </c>
      <c r="SJN76" s="343" t="s">
        <v>1300</v>
      </c>
      <c r="SJO76" s="343" t="s">
        <v>252</v>
      </c>
      <c r="SJP76" s="343" t="s">
        <v>1300</v>
      </c>
      <c r="SJQ76" s="343" t="s">
        <v>252</v>
      </c>
      <c r="SJR76" s="343" t="s">
        <v>1300</v>
      </c>
      <c r="SJS76" s="343" t="s">
        <v>252</v>
      </c>
      <c r="SJT76" s="343" t="s">
        <v>1300</v>
      </c>
      <c r="SJU76" s="343" t="s">
        <v>252</v>
      </c>
      <c r="SJV76" s="343" t="s">
        <v>1300</v>
      </c>
      <c r="SJW76" s="343" t="s">
        <v>252</v>
      </c>
      <c r="SJX76" s="343" t="s">
        <v>1300</v>
      </c>
      <c r="SJY76" s="343" t="s">
        <v>252</v>
      </c>
      <c r="SJZ76" s="343" t="s">
        <v>1300</v>
      </c>
      <c r="SKA76" s="343" t="s">
        <v>252</v>
      </c>
      <c r="SKB76" s="343" t="s">
        <v>1300</v>
      </c>
      <c r="SKC76" s="343" t="s">
        <v>252</v>
      </c>
      <c r="SKD76" s="343" t="s">
        <v>1300</v>
      </c>
      <c r="SKE76" s="343" t="s">
        <v>252</v>
      </c>
      <c r="SKF76" s="343" t="s">
        <v>1300</v>
      </c>
      <c r="SKG76" s="343" t="s">
        <v>252</v>
      </c>
      <c r="SKH76" s="343" t="s">
        <v>1300</v>
      </c>
      <c r="SKI76" s="343" t="s">
        <v>252</v>
      </c>
      <c r="SKJ76" s="343" t="s">
        <v>1300</v>
      </c>
      <c r="SKK76" s="343" t="s">
        <v>252</v>
      </c>
      <c r="SKL76" s="343" t="s">
        <v>1300</v>
      </c>
      <c r="SKM76" s="343" t="s">
        <v>252</v>
      </c>
      <c r="SKN76" s="343" t="s">
        <v>1300</v>
      </c>
      <c r="SKO76" s="343" t="s">
        <v>252</v>
      </c>
      <c r="SKP76" s="343" t="s">
        <v>1300</v>
      </c>
      <c r="SKQ76" s="343" t="s">
        <v>252</v>
      </c>
      <c r="SKR76" s="343" t="s">
        <v>1300</v>
      </c>
      <c r="SKS76" s="343" t="s">
        <v>252</v>
      </c>
      <c r="SKT76" s="343" t="s">
        <v>1300</v>
      </c>
      <c r="SKU76" s="343" t="s">
        <v>252</v>
      </c>
      <c r="SKV76" s="343" t="s">
        <v>1300</v>
      </c>
      <c r="SKW76" s="343" t="s">
        <v>252</v>
      </c>
      <c r="SKX76" s="343" t="s">
        <v>1300</v>
      </c>
      <c r="SKY76" s="343" t="s">
        <v>252</v>
      </c>
      <c r="SKZ76" s="343" t="s">
        <v>1300</v>
      </c>
      <c r="SLA76" s="343" t="s">
        <v>252</v>
      </c>
      <c r="SLB76" s="343" t="s">
        <v>1300</v>
      </c>
      <c r="SLC76" s="343" t="s">
        <v>252</v>
      </c>
      <c r="SLD76" s="343" t="s">
        <v>1300</v>
      </c>
      <c r="SLE76" s="343" t="s">
        <v>252</v>
      </c>
      <c r="SLF76" s="343" t="s">
        <v>1300</v>
      </c>
      <c r="SLG76" s="343" t="s">
        <v>252</v>
      </c>
      <c r="SLH76" s="343" t="s">
        <v>1300</v>
      </c>
      <c r="SLI76" s="343" t="s">
        <v>252</v>
      </c>
      <c r="SLJ76" s="343" t="s">
        <v>1300</v>
      </c>
      <c r="SLK76" s="343" t="s">
        <v>252</v>
      </c>
      <c r="SLL76" s="343" t="s">
        <v>1300</v>
      </c>
      <c r="SLM76" s="343" t="s">
        <v>252</v>
      </c>
      <c r="SLN76" s="343" t="s">
        <v>1300</v>
      </c>
      <c r="SLO76" s="343" t="s">
        <v>252</v>
      </c>
      <c r="SLP76" s="343" t="s">
        <v>1300</v>
      </c>
      <c r="SLQ76" s="343" t="s">
        <v>252</v>
      </c>
      <c r="SLR76" s="343" t="s">
        <v>1300</v>
      </c>
      <c r="SLS76" s="343" t="s">
        <v>252</v>
      </c>
      <c r="SLT76" s="343" t="s">
        <v>1300</v>
      </c>
      <c r="SLU76" s="343" t="s">
        <v>252</v>
      </c>
      <c r="SLV76" s="343" t="s">
        <v>1300</v>
      </c>
      <c r="SLW76" s="343" t="s">
        <v>252</v>
      </c>
      <c r="SLX76" s="343" t="s">
        <v>1300</v>
      </c>
      <c r="SLY76" s="343" t="s">
        <v>252</v>
      </c>
      <c r="SLZ76" s="343" t="s">
        <v>1300</v>
      </c>
      <c r="SMA76" s="343" t="s">
        <v>252</v>
      </c>
      <c r="SMB76" s="343" t="s">
        <v>1300</v>
      </c>
      <c r="SMC76" s="343" t="s">
        <v>252</v>
      </c>
      <c r="SMD76" s="343" t="s">
        <v>1300</v>
      </c>
      <c r="SME76" s="343" t="s">
        <v>252</v>
      </c>
      <c r="SMF76" s="343" t="s">
        <v>1300</v>
      </c>
      <c r="SMG76" s="343" t="s">
        <v>252</v>
      </c>
      <c r="SMH76" s="343" t="s">
        <v>1300</v>
      </c>
      <c r="SMI76" s="343" t="s">
        <v>252</v>
      </c>
      <c r="SMJ76" s="343" t="s">
        <v>1300</v>
      </c>
      <c r="SMK76" s="343" t="s">
        <v>252</v>
      </c>
      <c r="SML76" s="343" t="s">
        <v>1300</v>
      </c>
      <c r="SMM76" s="343" t="s">
        <v>252</v>
      </c>
      <c r="SMN76" s="343" t="s">
        <v>1300</v>
      </c>
      <c r="SMO76" s="343" t="s">
        <v>252</v>
      </c>
      <c r="SMP76" s="343" t="s">
        <v>1300</v>
      </c>
      <c r="SMQ76" s="343" t="s">
        <v>252</v>
      </c>
      <c r="SMR76" s="343" t="s">
        <v>1300</v>
      </c>
      <c r="SMS76" s="343" t="s">
        <v>252</v>
      </c>
      <c r="SMT76" s="343" t="s">
        <v>1300</v>
      </c>
      <c r="SMU76" s="343" t="s">
        <v>252</v>
      </c>
      <c r="SMV76" s="343" t="s">
        <v>1300</v>
      </c>
      <c r="SMW76" s="343" t="s">
        <v>252</v>
      </c>
      <c r="SMX76" s="343" t="s">
        <v>1300</v>
      </c>
      <c r="SMY76" s="343" t="s">
        <v>252</v>
      </c>
      <c r="SMZ76" s="343" t="s">
        <v>1300</v>
      </c>
      <c r="SNA76" s="343" t="s">
        <v>252</v>
      </c>
      <c r="SNB76" s="343" t="s">
        <v>1300</v>
      </c>
      <c r="SNC76" s="343" t="s">
        <v>252</v>
      </c>
      <c r="SND76" s="343" t="s">
        <v>1300</v>
      </c>
      <c r="SNE76" s="343" t="s">
        <v>252</v>
      </c>
      <c r="SNF76" s="343" t="s">
        <v>1300</v>
      </c>
      <c r="SNG76" s="343" t="s">
        <v>252</v>
      </c>
      <c r="SNH76" s="343" t="s">
        <v>1300</v>
      </c>
      <c r="SNI76" s="343" t="s">
        <v>252</v>
      </c>
      <c r="SNJ76" s="343" t="s">
        <v>1300</v>
      </c>
      <c r="SNK76" s="343" t="s">
        <v>252</v>
      </c>
      <c r="SNL76" s="343" t="s">
        <v>1300</v>
      </c>
      <c r="SNM76" s="343" t="s">
        <v>252</v>
      </c>
      <c r="SNN76" s="343" t="s">
        <v>1300</v>
      </c>
      <c r="SNO76" s="343" t="s">
        <v>252</v>
      </c>
      <c r="SNP76" s="343" t="s">
        <v>1300</v>
      </c>
      <c r="SNQ76" s="343" t="s">
        <v>252</v>
      </c>
      <c r="SNR76" s="343" t="s">
        <v>1300</v>
      </c>
      <c r="SNS76" s="343" t="s">
        <v>252</v>
      </c>
      <c r="SNT76" s="343" t="s">
        <v>1300</v>
      </c>
      <c r="SNU76" s="343" t="s">
        <v>252</v>
      </c>
      <c r="SNV76" s="343" t="s">
        <v>1300</v>
      </c>
      <c r="SNW76" s="343" t="s">
        <v>252</v>
      </c>
      <c r="SNX76" s="343" t="s">
        <v>1300</v>
      </c>
      <c r="SNY76" s="343" t="s">
        <v>252</v>
      </c>
      <c r="SNZ76" s="343" t="s">
        <v>1300</v>
      </c>
      <c r="SOA76" s="343" t="s">
        <v>252</v>
      </c>
      <c r="SOB76" s="343" t="s">
        <v>1300</v>
      </c>
      <c r="SOC76" s="343" t="s">
        <v>252</v>
      </c>
      <c r="SOD76" s="343" t="s">
        <v>1300</v>
      </c>
      <c r="SOE76" s="343" t="s">
        <v>252</v>
      </c>
      <c r="SOF76" s="343" t="s">
        <v>1300</v>
      </c>
      <c r="SOG76" s="343" t="s">
        <v>252</v>
      </c>
      <c r="SOH76" s="343" t="s">
        <v>1300</v>
      </c>
      <c r="SOI76" s="343" t="s">
        <v>252</v>
      </c>
      <c r="SOJ76" s="343" t="s">
        <v>1300</v>
      </c>
      <c r="SOK76" s="343" t="s">
        <v>252</v>
      </c>
      <c r="SOL76" s="343" t="s">
        <v>1300</v>
      </c>
      <c r="SOM76" s="343" t="s">
        <v>252</v>
      </c>
      <c r="SON76" s="343" t="s">
        <v>1300</v>
      </c>
      <c r="SOO76" s="343" t="s">
        <v>252</v>
      </c>
      <c r="SOP76" s="343" t="s">
        <v>1300</v>
      </c>
      <c r="SOQ76" s="343" t="s">
        <v>252</v>
      </c>
      <c r="SOR76" s="343" t="s">
        <v>1300</v>
      </c>
      <c r="SOS76" s="343" t="s">
        <v>252</v>
      </c>
      <c r="SOT76" s="343" t="s">
        <v>1300</v>
      </c>
      <c r="SOU76" s="343" t="s">
        <v>252</v>
      </c>
      <c r="SOV76" s="343" t="s">
        <v>1300</v>
      </c>
      <c r="SOW76" s="343" t="s">
        <v>252</v>
      </c>
      <c r="SOX76" s="343" t="s">
        <v>1300</v>
      </c>
      <c r="SOY76" s="343" t="s">
        <v>252</v>
      </c>
      <c r="SOZ76" s="343" t="s">
        <v>1300</v>
      </c>
      <c r="SPA76" s="343" t="s">
        <v>252</v>
      </c>
      <c r="SPB76" s="343" t="s">
        <v>1300</v>
      </c>
      <c r="SPC76" s="343" t="s">
        <v>252</v>
      </c>
      <c r="SPD76" s="343" t="s">
        <v>1300</v>
      </c>
      <c r="SPE76" s="343" t="s">
        <v>252</v>
      </c>
      <c r="SPF76" s="343" t="s">
        <v>1300</v>
      </c>
      <c r="SPG76" s="343" t="s">
        <v>252</v>
      </c>
      <c r="SPH76" s="343" t="s">
        <v>1300</v>
      </c>
      <c r="SPI76" s="343" t="s">
        <v>252</v>
      </c>
      <c r="SPJ76" s="343" t="s">
        <v>1300</v>
      </c>
      <c r="SPK76" s="343" t="s">
        <v>252</v>
      </c>
      <c r="SPL76" s="343" t="s">
        <v>1300</v>
      </c>
      <c r="SPM76" s="343" t="s">
        <v>252</v>
      </c>
      <c r="SPN76" s="343" t="s">
        <v>1300</v>
      </c>
      <c r="SPO76" s="343" t="s">
        <v>252</v>
      </c>
      <c r="SPP76" s="343" t="s">
        <v>1300</v>
      </c>
      <c r="SPQ76" s="343" t="s">
        <v>252</v>
      </c>
      <c r="SPR76" s="343" t="s">
        <v>1300</v>
      </c>
      <c r="SPS76" s="343" t="s">
        <v>252</v>
      </c>
      <c r="SPT76" s="343" t="s">
        <v>1300</v>
      </c>
      <c r="SPU76" s="343" t="s">
        <v>252</v>
      </c>
      <c r="SPV76" s="343" t="s">
        <v>1300</v>
      </c>
      <c r="SPW76" s="343" t="s">
        <v>252</v>
      </c>
      <c r="SPX76" s="343" t="s">
        <v>1300</v>
      </c>
      <c r="SPY76" s="343" t="s">
        <v>252</v>
      </c>
      <c r="SPZ76" s="343" t="s">
        <v>1300</v>
      </c>
      <c r="SQA76" s="343" t="s">
        <v>252</v>
      </c>
      <c r="SQB76" s="343" t="s">
        <v>1300</v>
      </c>
      <c r="SQC76" s="343" t="s">
        <v>252</v>
      </c>
      <c r="SQD76" s="343" t="s">
        <v>1300</v>
      </c>
      <c r="SQE76" s="343" t="s">
        <v>252</v>
      </c>
      <c r="SQF76" s="343" t="s">
        <v>1300</v>
      </c>
      <c r="SQG76" s="343" t="s">
        <v>252</v>
      </c>
      <c r="SQH76" s="343" t="s">
        <v>1300</v>
      </c>
      <c r="SQI76" s="343" t="s">
        <v>252</v>
      </c>
      <c r="SQJ76" s="343" t="s">
        <v>1300</v>
      </c>
      <c r="SQK76" s="343" t="s">
        <v>252</v>
      </c>
      <c r="SQL76" s="343" t="s">
        <v>1300</v>
      </c>
      <c r="SQM76" s="343" t="s">
        <v>252</v>
      </c>
      <c r="SQN76" s="343" t="s">
        <v>1300</v>
      </c>
      <c r="SQO76" s="343" t="s">
        <v>252</v>
      </c>
      <c r="SQP76" s="343" t="s">
        <v>1300</v>
      </c>
      <c r="SQQ76" s="343" t="s">
        <v>252</v>
      </c>
      <c r="SQR76" s="343" t="s">
        <v>1300</v>
      </c>
      <c r="SQS76" s="343" t="s">
        <v>252</v>
      </c>
      <c r="SQT76" s="343" t="s">
        <v>1300</v>
      </c>
      <c r="SQU76" s="343" t="s">
        <v>252</v>
      </c>
      <c r="SQV76" s="343" t="s">
        <v>1300</v>
      </c>
      <c r="SQW76" s="343" t="s">
        <v>252</v>
      </c>
      <c r="SQX76" s="343" t="s">
        <v>1300</v>
      </c>
      <c r="SQY76" s="343" t="s">
        <v>252</v>
      </c>
      <c r="SQZ76" s="343" t="s">
        <v>1300</v>
      </c>
      <c r="SRA76" s="343" t="s">
        <v>252</v>
      </c>
      <c r="SRB76" s="343" t="s">
        <v>1300</v>
      </c>
      <c r="SRC76" s="343" t="s">
        <v>252</v>
      </c>
      <c r="SRD76" s="343" t="s">
        <v>1300</v>
      </c>
      <c r="SRE76" s="343" t="s">
        <v>252</v>
      </c>
      <c r="SRF76" s="343" t="s">
        <v>1300</v>
      </c>
      <c r="SRG76" s="343" t="s">
        <v>252</v>
      </c>
      <c r="SRH76" s="343" t="s">
        <v>1300</v>
      </c>
      <c r="SRI76" s="343" t="s">
        <v>252</v>
      </c>
      <c r="SRJ76" s="343" t="s">
        <v>1300</v>
      </c>
      <c r="SRK76" s="343" t="s">
        <v>252</v>
      </c>
      <c r="SRL76" s="343" t="s">
        <v>1300</v>
      </c>
      <c r="SRM76" s="343" t="s">
        <v>252</v>
      </c>
      <c r="SRN76" s="343" t="s">
        <v>1300</v>
      </c>
      <c r="SRO76" s="343" t="s">
        <v>252</v>
      </c>
      <c r="SRP76" s="343" t="s">
        <v>1300</v>
      </c>
      <c r="SRQ76" s="343" t="s">
        <v>252</v>
      </c>
      <c r="SRR76" s="343" t="s">
        <v>1300</v>
      </c>
      <c r="SRS76" s="343" t="s">
        <v>252</v>
      </c>
      <c r="SRT76" s="343" t="s">
        <v>1300</v>
      </c>
      <c r="SRU76" s="343" t="s">
        <v>252</v>
      </c>
      <c r="SRV76" s="343" t="s">
        <v>1300</v>
      </c>
      <c r="SRW76" s="343" t="s">
        <v>252</v>
      </c>
      <c r="SRX76" s="343" t="s">
        <v>1300</v>
      </c>
      <c r="SRY76" s="343" t="s">
        <v>252</v>
      </c>
      <c r="SRZ76" s="343" t="s">
        <v>1300</v>
      </c>
      <c r="SSA76" s="343" t="s">
        <v>252</v>
      </c>
      <c r="SSB76" s="343" t="s">
        <v>1300</v>
      </c>
      <c r="SSC76" s="343" t="s">
        <v>252</v>
      </c>
      <c r="SSD76" s="343" t="s">
        <v>1300</v>
      </c>
      <c r="SSE76" s="343" t="s">
        <v>252</v>
      </c>
      <c r="SSF76" s="343" t="s">
        <v>1300</v>
      </c>
      <c r="SSG76" s="343" t="s">
        <v>252</v>
      </c>
      <c r="SSH76" s="343" t="s">
        <v>1300</v>
      </c>
      <c r="SSI76" s="343" t="s">
        <v>252</v>
      </c>
      <c r="SSJ76" s="343" t="s">
        <v>1300</v>
      </c>
      <c r="SSK76" s="343" t="s">
        <v>252</v>
      </c>
      <c r="SSL76" s="343" t="s">
        <v>1300</v>
      </c>
      <c r="SSM76" s="343" t="s">
        <v>252</v>
      </c>
      <c r="SSN76" s="343" t="s">
        <v>1300</v>
      </c>
      <c r="SSO76" s="343" t="s">
        <v>252</v>
      </c>
      <c r="SSP76" s="343" t="s">
        <v>1300</v>
      </c>
      <c r="SSQ76" s="343" t="s">
        <v>252</v>
      </c>
      <c r="SSR76" s="343" t="s">
        <v>1300</v>
      </c>
      <c r="SSS76" s="343" t="s">
        <v>252</v>
      </c>
      <c r="SST76" s="343" t="s">
        <v>1300</v>
      </c>
      <c r="SSU76" s="343" t="s">
        <v>252</v>
      </c>
      <c r="SSV76" s="343" t="s">
        <v>1300</v>
      </c>
      <c r="SSW76" s="343" t="s">
        <v>252</v>
      </c>
      <c r="SSX76" s="343" t="s">
        <v>1300</v>
      </c>
      <c r="SSY76" s="343" t="s">
        <v>252</v>
      </c>
      <c r="SSZ76" s="343" t="s">
        <v>1300</v>
      </c>
      <c r="STA76" s="343" t="s">
        <v>252</v>
      </c>
      <c r="STB76" s="343" t="s">
        <v>1300</v>
      </c>
      <c r="STC76" s="343" t="s">
        <v>252</v>
      </c>
      <c r="STD76" s="343" t="s">
        <v>1300</v>
      </c>
      <c r="STE76" s="343" t="s">
        <v>252</v>
      </c>
      <c r="STF76" s="343" t="s">
        <v>1300</v>
      </c>
      <c r="STG76" s="343" t="s">
        <v>252</v>
      </c>
      <c r="STH76" s="343" t="s">
        <v>1300</v>
      </c>
      <c r="STI76" s="343" t="s">
        <v>252</v>
      </c>
      <c r="STJ76" s="343" t="s">
        <v>1300</v>
      </c>
      <c r="STK76" s="343" t="s">
        <v>252</v>
      </c>
      <c r="STL76" s="343" t="s">
        <v>1300</v>
      </c>
      <c r="STM76" s="343" t="s">
        <v>252</v>
      </c>
      <c r="STN76" s="343" t="s">
        <v>1300</v>
      </c>
      <c r="STO76" s="343" t="s">
        <v>252</v>
      </c>
      <c r="STP76" s="343" t="s">
        <v>1300</v>
      </c>
      <c r="STQ76" s="343" t="s">
        <v>252</v>
      </c>
      <c r="STR76" s="343" t="s">
        <v>1300</v>
      </c>
      <c r="STS76" s="343" t="s">
        <v>252</v>
      </c>
      <c r="STT76" s="343" t="s">
        <v>1300</v>
      </c>
      <c r="STU76" s="343" t="s">
        <v>252</v>
      </c>
      <c r="STV76" s="343" t="s">
        <v>1300</v>
      </c>
      <c r="STW76" s="343" t="s">
        <v>252</v>
      </c>
      <c r="STX76" s="343" t="s">
        <v>1300</v>
      </c>
      <c r="STY76" s="343" t="s">
        <v>252</v>
      </c>
      <c r="STZ76" s="343" t="s">
        <v>1300</v>
      </c>
      <c r="SUA76" s="343" t="s">
        <v>252</v>
      </c>
      <c r="SUB76" s="343" t="s">
        <v>1300</v>
      </c>
      <c r="SUC76" s="343" t="s">
        <v>252</v>
      </c>
      <c r="SUD76" s="343" t="s">
        <v>1300</v>
      </c>
      <c r="SUE76" s="343" t="s">
        <v>252</v>
      </c>
      <c r="SUF76" s="343" t="s">
        <v>1300</v>
      </c>
      <c r="SUG76" s="343" t="s">
        <v>252</v>
      </c>
      <c r="SUH76" s="343" t="s">
        <v>1300</v>
      </c>
      <c r="SUI76" s="343" t="s">
        <v>252</v>
      </c>
      <c r="SUJ76" s="343" t="s">
        <v>1300</v>
      </c>
      <c r="SUK76" s="343" t="s">
        <v>252</v>
      </c>
      <c r="SUL76" s="343" t="s">
        <v>1300</v>
      </c>
      <c r="SUM76" s="343" t="s">
        <v>252</v>
      </c>
      <c r="SUN76" s="343" t="s">
        <v>1300</v>
      </c>
      <c r="SUO76" s="343" t="s">
        <v>252</v>
      </c>
      <c r="SUP76" s="343" t="s">
        <v>1300</v>
      </c>
      <c r="SUQ76" s="343" t="s">
        <v>252</v>
      </c>
      <c r="SUR76" s="343" t="s">
        <v>1300</v>
      </c>
      <c r="SUS76" s="343" t="s">
        <v>252</v>
      </c>
      <c r="SUT76" s="343" t="s">
        <v>1300</v>
      </c>
      <c r="SUU76" s="343" t="s">
        <v>252</v>
      </c>
      <c r="SUV76" s="343" t="s">
        <v>1300</v>
      </c>
      <c r="SUW76" s="343" t="s">
        <v>252</v>
      </c>
      <c r="SUX76" s="343" t="s">
        <v>1300</v>
      </c>
      <c r="SUY76" s="343" t="s">
        <v>252</v>
      </c>
      <c r="SUZ76" s="343" t="s">
        <v>1300</v>
      </c>
      <c r="SVA76" s="343" t="s">
        <v>252</v>
      </c>
      <c r="SVB76" s="343" t="s">
        <v>1300</v>
      </c>
      <c r="SVC76" s="343" t="s">
        <v>252</v>
      </c>
      <c r="SVD76" s="343" t="s">
        <v>1300</v>
      </c>
      <c r="SVE76" s="343" t="s">
        <v>252</v>
      </c>
      <c r="SVF76" s="343" t="s">
        <v>1300</v>
      </c>
      <c r="SVG76" s="343" t="s">
        <v>252</v>
      </c>
      <c r="SVH76" s="343" t="s">
        <v>1300</v>
      </c>
      <c r="SVI76" s="343" t="s">
        <v>252</v>
      </c>
      <c r="SVJ76" s="343" t="s">
        <v>1300</v>
      </c>
      <c r="SVK76" s="343" t="s">
        <v>252</v>
      </c>
      <c r="SVL76" s="343" t="s">
        <v>1300</v>
      </c>
      <c r="SVM76" s="343" t="s">
        <v>252</v>
      </c>
      <c r="SVN76" s="343" t="s">
        <v>1300</v>
      </c>
      <c r="SVO76" s="343" t="s">
        <v>252</v>
      </c>
      <c r="SVP76" s="343" t="s">
        <v>1300</v>
      </c>
      <c r="SVQ76" s="343" t="s">
        <v>252</v>
      </c>
      <c r="SVR76" s="343" t="s">
        <v>1300</v>
      </c>
      <c r="SVS76" s="343" t="s">
        <v>252</v>
      </c>
      <c r="SVT76" s="343" t="s">
        <v>1300</v>
      </c>
      <c r="SVU76" s="343" t="s">
        <v>252</v>
      </c>
      <c r="SVV76" s="343" t="s">
        <v>1300</v>
      </c>
      <c r="SVW76" s="343" t="s">
        <v>252</v>
      </c>
      <c r="SVX76" s="343" t="s">
        <v>1300</v>
      </c>
      <c r="SVY76" s="343" t="s">
        <v>252</v>
      </c>
      <c r="SVZ76" s="343" t="s">
        <v>1300</v>
      </c>
      <c r="SWA76" s="343" t="s">
        <v>252</v>
      </c>
      <c r="SWB76" s="343" t="s">
        <v>1300</v>
      </c>
      <c r="SWC76" s="343" t="s">
        <v>252</v>
      </c>
      <c r="SWD76" s="343" t="s">
        <v>1300</v>
      </c>
      <c r="SWE76" s="343" t="s">
        <v>252</v>
      </c>
      <c r="SWF76" s="343" t="s">
        <v>1300</v>
      </c>
      <c r="SWG76" s="343" t="s">
        <v>252</v>
      </c>
      <c r="SWH76" s="343" t="s">
        <v>1300</v>
      </c>
      <c r="SWI76" s="343" t="s">
        <v>252</v>
      </c>
      <c r="SWJ76" s="343" t="s">
        <v>1300</v>
      </c>
      <c r="SWK76" s="343" t="s">
        <v>252</v>
      </c>
      <c r="SWL76" s="343" t="s">
        <v>1300</v>
      </c>
      <c r="SWM76" s="343" t="s">
        <v>252</v>
      </c>
      <c r="SWN76" s="343" t="s">
        <v>1300</v>
      </c>
      <c r="SWO76" s="343" t="s">
        <v>252</v>
      </c>
      <c r="SWP76" s="343" t="s">
        <v>1300</v>
      </c>
      <c r="SWQ76" s="343" t="s">
        <v>252</v>
      </c>
      <c r="SWR76" s="343" t="s">
        <v>1300</v>
      </c>
      <c r="SWS76" s="343" t="s">
        <v>252</v>
      </c>
      <c r="SWT76" s="343" t="s">
        <v>1300</v>
      </c>
      <c r="SWU76" s="343" t="s">
        <v>252</v>
      </c>
      <c r="SWV76" s="343" t="s">
        <v>1300</v>
      </c>
      <c r="SWW76" s="343" t="s">
        <v>252</v>
      </c>
      <c r="SWX76" s="343" t="s">
        <v>1300</v>
      </c>
      <c r="SWY76" s="343" t="s">
        <v>252</v>
      </c>
      <c r="SWZ76" s="343" t="s">
        <v>1300</v>
      </c>
      <c r="SXA76" s="343" t="s">
        <v>252</v>
      </c>
      <c r="SXB76" s="343" t="s">
        <v>1300</v>
      </c>
      <c r="SXC76" s="343" t="s">
        <v>252</v>
      </c>
      <c r="SXD76" s="343" t="s">
        <v>1300</v>
      </c>
      <c r="SXE76" s="343" t="s">
        <v>252</v>
      </c>
      <c r="SXF76" s="343" t="s">
        <v>1300</v>
      </c>
      <c r="SXG76" s="343" t="s">
        <v>252</v>
      </c>
      <c r="SXH76" s="343" t="s">
        <v>1300</v>
      </c>
      <c r="SXI76" s="343" t="s">
        <v>252</v>
      </c>
      <c r="SXJ76" s="343" t="s">
        <v>1300</v>
      </c>
      <c r="SXK76" s="343" t="s">
        <v>252</v>
      </c>
      <c r="SXL76" s="343" t="s">
        <v>1300</v>
      </c>
      <c r="SXM76" s="343" t="s">
        <v>252</v>
      </c>
      <c r="SXN76" s="343" t="s">
        <v>1300</v>
      </c>
      <c r="SXO76" s="343" t="s">
        <v>252</v>
      </c>
      <c r="SXP76" s="343" t="s">
        <v>1300</v>
      </c>
      <c r="SXQ76" s="343" t="s">
        <v>252</v>
      </c>
      <c r="SXR76" s="343" t="s">
        <v>1300</v>
      </c>
      <c r="SXS76" s="343" t="s">
        <v>252</v>
      </c>
      <c r="SXT76" s="343" t="s">
        <v>1300</v>
      </c>
      <c r="SXU76" s="343" t="s">
        <v>252</v>
      </c>
      <c r="SXV76" s="343" t="s">
        <v>1300</v>
      </c>
      <c r="SXW76" s="343" t="s">
        <v>252</v>
      </c>
      <c r="SXX76" s="343" t="s">
        <v>1300</v>
      </c>
      <c r="SXY76" s="343" t="s">
        <v>252</v>
      </c>
      <c r="SXZ76" s="343" t="s">
        <v>1300</v>
      </c>
      <c r="SYA76" s="343" t="s">
        <v>252</v>
      </c>
      <c r="SYB76" s="343" t="s">
        <v>1300</v>
      </c>
      <c r="SYC76" s="343" t="s">
        <v>252</v>
      </c>
      <c r="SYD76" s="343" t="s">
        <v>1300</v>
      </c>
      <c r="SYE76" s="343" t="s">
        <v>252</v>
      </c>
      <c r="SYF76" s="343" t="s">
        <v>1300</v>
      </c>
      <c r="SYG76" s="343" t="s">
        <v>252</v>
      </c>
      <c r="SYH76" s="343" t="s">
        <v>1300</v>
      </c>
      <c r="SYI76" s="343" t="s">
        <v>252</v>
      </c>
      <c r="SYJ76" s="343" t="s">
        <v>1300</v>
      </c>
      <c r="SYK76" s="343" t="s">
        <v>252</v>
      </c>
      <c r="SYL76" s="343" t="s">
        <v>1300</v>
      </c>
      <c r="SYM76" s="343" t="s">
        <v>252</v>
      </c>
      <c r="SYN76" s="343" t="s">
        <v>1300</v>
      </c>
      <c r="SYO76" s="343" t="s">
        <v>252</v>
      </c>
      <c r="SYP76" s="343" t="s">
        <v>1300</v>
      </c>
      <c r="SYQ76" s="343" t="s">
        <v>252</v>
      </c>
      <c r="SYR76" s="343" t="s">
        <v>1300</v>
      </c>
      <c r="SYS76" s="343" t="s">
        <v>252</v>
      </c>
      <c r="SYT76" s="343" t="s">
        <v>1300</v>
      </c>
      <c r="SYU76" s="343" t="s">
        <v>252</v>
      </c>
      <c r="SYV76" s="343" t="s">
        <v>1300</v>
      </c>
      <c r="SYW76" s="343" t="s">
        <v>252</v>
      </c>
      <c r="SYX76" s="343" t="s">
        <v>1300</v>
      </c>
      <c r="SYY76" s="343" t="s">
        <v>252</v>
      </c>
      <c r="SYZ76" s="343" t="s">
        <v>1300</v>
      </c>
      <c r="SZA76" s="343" t="s">
        <v>252</v>
      </c>
      <c r="SZB76" s="343" t="s">
        <v>1300</v>
      </c>
      <c r="SZC76" s="343" t="s">
        <v>252</v>
      </c>
      <c r="SZD76" s="343" t="s">
        <v>1300</v>
      </c>
      <c r="SZE76" s="343" t="s">
        <v>252</v>
      </c>
      <c r="SZF76" s="343" t="s">
        <v>1300</v>
      </c>
      <c r="SZG76" s="343" t="s">
        <v>252</v>
      </c>
      <c r="SZH76" s="343" t="s">
        <v>1300</v>
      </c>
      <c r="SZI76" s="343" t="s">
        <v>252</v>
      </c>
      <c r="SZJ76" s="343" t="s">
        <v>1300</v>
      </c>
      <c r="SZK76" s="343" t="s">
        <v>252</v>
      </c>
      <c r="SZL76" s="343" t="s">
        <v>1300</v>
      </c>
      <c r="SZM76" s="343" t="s">
        <v>252</v>
      </c>
      <c r="SZN76" s="343" t="s">
        <v>1300</v>
      </c>
      <c r="SZO76" s="343" t="s">
        <v>252</v>
      </c>
      <c r="SZP76" s="343" t="s">
        <v>1300</v>
      </c>
      <c r="SZQ76" s="343" t="s">
        <v>252</v>
      </c>
      <c r="SZR76" s="343" t="s">
        <v>1300</v>
      </c>
      <c r="SZS76" s="343" t="s">
        <v>252</v>
      </c>
      <c r="SZT76" s="343" t="s">
        <v>1300</v>
      </c>
      <c r="SZU76" s="343" t="s">
        <v>252</v>
      </c>
      <c r="SZV76" s="343" t="s">
        <v>1300</v>
      </c>
      <c r="SZW76" s="343" t="s">
        <v>252</v>
      </c>
      <c r="SZX76" s="343" t="s">
        <v>1300</v>
      </c>
      <c r="SZY76" s="343" t="s">
        <v>252</v>
      </c>
      <c r="SZZ76" s="343" t="s">
        <v>1300</v>
      </c>
      <c r="TAA76" s="343" t="s">
        <v>252</v>
      </c>
      <c r="TAB76" s="343" t="s">
        <v>1300</v>
      </c>
      <c r="TAC76" s="343" t="s">
        <v>252</v>
      </c>
      <c r="TAD76" s="343" t="s">
        <v>1300</v>
      </c>
      <c r="TAE76" s="343" t="s">
        <v>252</v>
      </c>
      <c r="TAF76" s="343" t="s">
        <v>1300</v>
      </c>
      <c r="TAG76" s="343" t="s">
        <v>252</v>
      </c>
      <c r="TAH76" s="343" t="s">
        <v>1300</v>
      </c>
      <c r="TAI76" s="343" t="s">
        <v>252</v>
      </c>
      <c r="TAJ76" s="343" t="s">
        <v>1300</v>
      </c>
      <c r="TAK76" s="343" t="s">
        <v>252</v>
      </c>
      <c r="TAL76" s="343" t="s">
        <v>1300</v>
      </c>
      <c r="TAM76" s="343" t="s">
        <v>252</v>
      </c>
      <c r="TAN76" s="343" t="s">
        <v>1300</v>
      </c>
      <c r="TAO76" s="343" t="s">
        <v>252</v>
      </c>
      <c r="TAP76" s="343" t="s">
        <v>1300</v>
      </c>
      <c r="TAQ76" s="343" t="s">
        <v>252</v>
      </c>
      <c r="TAR76" s="343" t="s">
        <v>1300</v>
      </c>
      <c r="TAS76" s="343" t="s">
        <v>252</v>
      </c>
      <c r="TAT76" s="343" t="s">
        <v>1300</v>
      </c>
      <c r="TAU76" s="343" t="s">
        <v>252</v>
      </c>
      <c r="TAV76" s="343" t="s">
        <v>1300</v>
      </c>
      <c r="TAW76" s="343" t="s">
        <v>252</v>
      </c>
      <c r="TAX76" s="343" t="s">
        <v>1300</v>
      </c>
      <c r="TAY76" s="343" t="s">
        <v>252</v>
      </c>
      <c r="TAZ76" s="343" t="s">
        <v>1300</v>
      </c>
      <c r="TBA76" s="343" t="s">
        <v>252</v>
      </c>
      <c r="TBB76" s="343" t="s">
        <v>1300</v>
      </c>
      <c r="TBC76" s="343" t="s">
        <v>252</v>
      </c>
      <c r="TBD76" s="343" t="s">
        <v>1300</v>
      </c>
      <c r="TBE76" s="343" t="s">
        <v>252</v>
      </c>
      <c r="TBF76" s="343" t="s">
        <v>1300</v>
      </c>
      <c r="TBG76" s="343" t="s">
        <v>252</v>
      </c>
      <c r="TBH76" s="343" t="s">
        <v>1300</v>
      </c>
      <c r="TBI76" s="343" t="s">
        <v>252</v>
      </c>
      <c r="TBJ76" s="343" t="s">
        <v>1300</v>
      </c>
      <c r="TBK76" s="343" t="s">
        <v>252</v>
      </c>
      <c r="TBL76" s="343" t="s">
        <v>1300</v>
      </c>
      <c r="TBM76" s="343" t="s">
        <v>252</v>
      </c>
      <c r="TBN76" s="343" t="s">
        <v>1300</v>
      </c>
      <c r="TBO76" s="343" t="s">
        <v>252</v>
      </c>
      <c r="TBP76" s="343" t="s">
        <v>1300</v>
      </c>
      <c r="TBQ76" s="343" t="s">
        <v>252</v>
      </c>
      <c r="TBR76" s="343" t="s">
        <v>1300</v>
      </c>
      <c r="TBS76" s="343" t="s">
        <v>252</v>
      </c>
      <c r="TBT76" s="343" t="s">
        <v>1300</v>
      </c>
      <c r="TBU76" s="343" t="s">
        <v>252</v>
      </c>
      <c r="TBV76" s="343" t="s">
        <v>1300</v>
      </c>
      <c r="TBW76" s="343" t="s">
        <v>252</v>
      </c>
      <c r="TBX76" s="343" t="s">
        <v>1300</v>
      </c>
      <c r="TBY76" s="343" t="s">
        <v>252</v>
      </c>
      <c r="TBZ76" s="343" t="s">
        <v>1300</v>
      </c>
      <c r="TCA76" s="343" t="s">
        <v>252</v>
      </c>
      <c r="TCB76" s="343" t="s">
        <v>1300</v>
      </c>
      <c r="TCC76" s="343" t="s">
        <v>252</v>
      </c>
      <c r="TCD76" s="343" t="s">
        <v>1300</v>
      </c>
      <c r="TCE76" s="343" t="s">
        <v>252</v>
      </c>
      <c r="TCF76" s="343" t="s">
        <v>1300</v>
      </c>
      <c r="TCG76" s="343" t="s">
        <v>252</v>
      </c>
      <c r="TCH76" s="343" t="s">
        <v>1300</v>
      </c>
      <c r="TCI76" s="343" t="s">
        <v>252</v>
      </c>
      <c r="TCJ76" s="343" t="s">
        <v>1300</v>
      </c>
      <c r="TCK76" s="343" t="s">
        <v>252</v>
      </c>
      <c r="TCL76" s="343" t="s">
        <v>1300</v>
      </c>
      <c r="TCM76" s="343" t="s">
        <v>252</v>
      </c>
      <c r="TCN76" s="343" t="s">
        <v>1300</v>
      </c>
      <c r="TCO76" s="343" t="s">
        <v>252</v>
      </c>
      <c r="TCP76" s="343" t="s">
        <v>1300</v>
      </c>
      <c r="TCQ76" s="343" t="s">
        <v>252</v>
      </c>
      <c r="TCR76" s="343" t="s">
        <v>1300</v>
      </c>
      <c r="TCS76" s="343" t="s">
        <v>252</v>
      </c>
      <c r="TCT76" s="343" t="s">
        <v>1300</v>
      </c>
      <c r="TCU76" s="343" t="s">
        <v>252</v>
      </c>
      <c r="TCV76" s="343" t="s">
        <v>1300</v>
      </c>
      <c r="TCW76" s="343" t="s">
        <v>252</v>
      </c>
      <c r="TCX76" s="343" t="s">
        <v>1300</v>
      </c>
      <c r="TCY76" s="343" t="s">
        <v>252</v>
      </c>
      <c r="TCZ76" s="343" t="s">
        <v>1300</v>
      </c>
      <c r="TDA76" s="343" t="s">
        <v>252</v>
      </c>
      <c r="TDB76" s="343" t="s">
        <v>1300</v>
      </c>
      <c r="TDC76" s="343" t="s">
        <v>252</v>
      </c>
      <c r="TDD76" s="343" t="s">
        <v>1300</v>
      </c>
      <c r="TDE76" s="343" t="s">
        <v>252</v>
      </c>
      <c r="TDF76" s="343" t="s">
        <v>1300</v>
      </c>
      <c r="TDG76" s="343" t="s">
        <v>252</v>
      </c>
      <c r="TDH76" s="343" t="s">
        <v>1300</v>
      </c>
      <c r="TDI76" s="343" t="s">
        <v>252</v>
      </c>
      <c r="TDJ76" s="343" t="s">
        <v>1300</v>
      </c>
      <c r="TDK76" s="343" t="s">
        <v>252</v>
      </c>
      <c r="TDL76" s="343" t="s">
        <v>1300</v>
      </c>
      <c r="TDM76" s="343" t="s">
        <v>252</v>
      </c>
      <c r="TDN76" s="343" t="s">
        <v>1300</v>
      </c>
      <c r="TDO76" s="343" t="s">
        <v>252</v>
      </c>
      <c r="TDP76" s="343" t="s">
        <v>1300</v>
      </c>
      <c r="TDQ76" s="343" t="s">
        <v>252</v>
      </c>
      <c r="TDR76" s="343" t="s">
        <v>1300</v>
      </c>
      <c r="TDS76" s="343" t="s">
        <v>252</v>
      </c>
      <c r="TDT76" s="343" t="s">
        <v>1300</v>
      </c>
      <c r="TDU76" s="343" t="s">
        <v>252</v>
      </c>
      <c r="TDV76" s="343" t="s">
        <v>1300</v>
      </c>
      <c r="TDW76" s="343" t="s">
        <v>252</v>
      </c>
      <c r="TDX76" s="343" t="s">
        <v>1300</v>
      </c>
      <c r="TDY76" s="343" t="s">
        <v>252</v>
      </c>
      <c r="TDZ76" s="343" t="s">
        <v>1300</v>
      </c>
      <c r="TEA76" s="343" t="s">
        <v>252</v>
      </c>
      <c r="TEB76" s="343" t="s">
        <v>1300</v>
      </c>
      <c r="TEC76" s="343" t="s">
        <v>252</v>
      </c>
      <c r="TED76" s="343" t="s">
        <v>1300</v>
      </c>
      <c r="TEE76" s="343" t="s">
        <v>252</v>
      </c>
      <c r="TEF76" s="343" t="s">
        <v>1300</v>
      </c>
      <c r="TEG76" s="343" t="s">
        <v>252</v>
      </c>
      <c r="TEH76" s="343" t="s">
        <v>1300</v>
      </c>
      <c r="TEI76" s="343" t="s">
        <v>252</v>
      </c>
      <c r="TEJ76" s="343" t="s">
        <v>1300</v>
      </c>
      <c r="TEK76" s="343" t="s">
        <v>252</v>
      </c>
      <c r="TEL76" s="343" t="s">
        <v>1300</v>
      </c>
      <c r="TEM76" s="343" t="s">
        <v>252</v>
      </c>
      <c r="TEN76" s="343" t="s">
        <v>1300</v>
      </c>
      <c r="TEO76" s="343" t="s">
        <v>252</v>
      </c>
      <c r="TEP76" s="343" t="s">
        <v>1300</v>
      </c>
      <c r="TEQ76" s="343" t="s">
        <v>252</v>
      </c>
      <c r="TER76" s="343" t="s">
        <v>1300</v>
      </c>
      <c r="TES76" s="343" t="s">
        <v>252</v>
      </c>
      <c r="TET76" s="343" t="s">
        <v>1300</v>
      </c>
      <c r="TEU76" s="343" t="s">
        <v>252</v>
      </c>
      <c r="TEV76" s="343" t="s">
        <v>1300</v>
      </c>
      <c r="TEW76" s="343" t="s">
        <v>252</v>
      </c>
      <c r="TEX76" s="343" t="s">
        <v>1300</v>
      </c>
      <c r="TEY76" s="343" t="s">
        <v>252</v>
      </c>
      <c r="TEZ76" s="343" t="s">
        <v>1300</v>
      </c>
      <c r="TFA76" s="343" t="s">
        <v>252</v>
      </c>
      <c r="TFB76" s="343" t="s">
        <v>1300</v>
      </c>
      <c r="TFC76" s="343" t="s">
        <v>252</v>
      </c>
      <c r="TFD76" s="343" t="s">
        <v>1300</v>
      </c>
      <c r="TFE76" s="343" t="s">
        <v>252</v>
      </c>
      <c r="TFF76" s="343" t="s">
        <v>1300</v>
      </c>
      <c r="TFG76" s="343" t="s">
        <v>252</v>
      </c>
      <c r="TFH76" s="343" t="s">
        <v>1300</v>
      </c>
      <c r="TFI76" s="343" t="s">
        <v>252</v>
      </c>
      <c r="TFJ76" s="343" t="s">
        <v>1300</v>
      </c>
      <c r="TFK76" s="343" t="s">
        <v>252</v>
      </c>
      <c r="TFL76" s="343" t="s">
        <v>1300</v>
      </c>
      <c r="TFM76" s="343" t="s">
        <v>252</v>
      </c>
      <c r="TFN76" s="343" t="s">
        <v>1300</v>
      </c>
      <c r="TFO76" s="343" t="s">
        <v>252</v>
      </c>
      <c r="TFP76" s="343" t="s">
        <v>1300</v>
      </c>
      <c r="TFQ76" s="343" t="s">
        <v>252</v>
      </c>
      <c r="TFR76" s="343" t="s">
        <v>1300</v>
      </c>
      <c r="TFS76" s="343" t="s">
        <v>252</v>
      </c>
      <c r="TFT76" s="343" t="s">
        <v>1300</v>
      </c>
      <c r="TFU76" s="343" t="s">
        <v>252</v>
      </c>
      <c r="TFV76" s="343" t="s">
        <v>1300</v>
      </c>
      <c r="TFW76" s="343" t="s">
        <v>252</v>
      </c>
      <c r="TFX76" s="343" t="s">
        <v>1300</v>
      </c>
      <c r="TFY76" s="343" t="s">
        <v>252</v>
      </c>
      <c r="TFZ76" s="343" t="s">
        <v>1300</v>
      </c>
      <c r="TGA76" s="343" t="s">
        <v>252</v>
      </c>
      <c r="TGB76" s="343" t="s">
        <v>1300</v>
      </c>
      <c r="TGC76" s="343" t="s">
        <v>252</v>
      </c>
      <c r="TGD76" s="343" t="s">
        <v>1300</v>
      </c>
      <c r="TGE76" s="343" t="s">
        <v>252</v>
      </c>
      <c r="TGF76" s="343" t="s">
        <v>1300</v>
      </c>
      <c r="TGG76" s="343" t="s">
        <v>252</v>
      </c>
      <c r="TGH76" s="343" t="s">
        <v>1300</v>
      </c>
      <c r="TGI76" s="343" t="s">
        <v>252</v>
      </c>
      <c r="TGJ76" s="343" t="s">
        <v>1300</v>
      </c>
      <c r="TGK76" s="343" t="s">
        <v>252</v>
      </c>
      <c r="TGL76" s="343" t="s">
        <v>1300</v>
      </c>
      <c r="TGM76" s="343" t="s">
        <v>252</v>
      </c>
      <c r="TGN76" s="343" t="s">
        <v>1300</v>
      </c>
      <c r="TGO76" s="343" t="s">
        <v>252</v>
      </c>
      <c r="TGP76" s="343" t="s">
        <v>1300</v>
      </c>
      <c r="TGQ76" s="343" t="s">
        <v>252</v>
      </c>
      <c r="TGR76" s="343" t="s">
        <v>1300</v>
      </c>
      <c r="TGS76" s="343" t="s">
        <v>252</v>
      </c>
      <c r="TGT76" s="343" t="s">
        <v>1300</v>
      </c>
      <c r="TGU76" s="343" t="s">
        <v>252</v>
      </c>
      <c r="TGV76" s="343" t="s">
        <v>1300</v>
      </c>
      <c r="TGW76" s="343" t="s">
        <v>252</v>
      </c>
      <c r="TGX76" s="343" t="s">
        <v>1300</v>
      </c>
      <c r="TGY76" s="343" t="s">
        <v>252</v>
      </c>
      <c r="TGZ76" s="343" t="s">
        <v>1300</v>
      </c>
      <c r="THA76" s="343" t="s">
        <v>252</v>
      </c>
      <c r="THB76" s="343" t="s">
        <v>1300</v>
      </c>
      <c r="THC76" s="343" t="s">
        <v>252</v>
      </c>
      <c r="THD76" s="343" t="s">
        <v>1300</v>
      </c>
      <c r="THE76" s="343" t="s">
        <v>252</v>
      </c>
      <c r="THF76" s="343" t="s">
        <v>1300</v>
      </c>
      <c r="THG76" s="343" t="s">
        <v>252</v>
      </c>
      <c r="THH76" s="343" t="s">
        <v>1300</v>
      </c>
      <c r="THI76" s="343" t="s">
        <v>252</v>
      </c>
      <c r="THJ76" s="343" t="s">
        <v>1300</v>
      </c>
      <c r="THK76" s="343" t="s">
        <v>252</v>
      </c>
      <c r="THL76" s="343" t="s">
        <v>1300</v>
      </c>
      <c r="THM76" s="343" t="s">
        <v>252</v>
      </c>
      <c r="THN76" s="343" t="s">
        <v>1300</v>
      </c>
      <c r="THO76" s="343" t="s">
        <v>252</v>
      </c>
      <c r="THP76" s="343" t="s">
        <v>1300</v>
      </c>
      <c r="THQ76" s="343" t="s">
        <v>252</v>
      </c>
      <c r="THR76" s="343" t="s">
        <v>1300</v>
      </c>
      <c r="THS76" s="343" t="s">
        <v>252</v>
      </c>
      <c r="THT76" s="343" t="s">
        <v>1300</v>
      </c>
      <c r="THU76" s="343" t="s">
        <v>252</v>
      </c>
      <c r="THV76" s="343" t="s">
        <v>1300</v>
      </c>
      <c r="THW76" s="343" t="s">
        <v>252</v>
      </c>
      <c r="THX76" s="343" t="s">
        <v>1300</v>
      </c>
      <c r="THY76" s="343" t="s">
        <v>252</v>
      </c>
      <c r="THZ76" s="343" t="s">
        <v>1300</v>
      </c>
      <c r="TIA76" s="343" t="s">
        <v>252</v>
      </c>
      <c r="TIB76" s="343" t="s">
        <v>1300</v>
      </c>
      <c r="TIC76" s="343" t="s">
        <v>252</v>
      </c>
      <c r="TID76" s="343" t="s">
        <v>1300</v>
      </c>
      <c r="TIE76" s="343" t="s">
        <v>252</v>
      </c>
      <c r="TIF76" s="343" t="s">
        <v>1300</v>
      </c>
      <c r="TIG76" s="343" t="s">
        <v>252</v>
      </c>
      <c r="TIH76" s="343" t="s">
        <v>1300</v>
      </c>
      <c r="TII76" s="343" t="s">
        <v>252</v>
      </c>
      <c r="TIJ76" s="343" t="s">
        <v>1300</v>
      </c>
      <c r="TIK76" s="343" t="s">
        <v>252</v>
      </c>
      <c r="TIL76" s="343" t="s">
        <v>1300</v>
      </c>
      <c r="TIM76" s="343" t="s">
        <v>252</v>
      </c>
      <c r="TIN76" s="343" t="s">
        <v>1300</v>
      </c>
      <c r="TIO76" s="343" t="s">
        <v>252</v>
      </c>
      <c r="TIP76" s="343" t="s">
        <v>1300</v>
      </c>
      <c r="TIQ76" s="343" t="s">
        <v>252</v>
      </c>
      <c r="TIR76" s="343" t="s">
        <v>1300</v>
      </c>
      <c r="TIS76" s="343" t="s">
        <v>252</v>
      </c>
      <c r="TIT76" s="343" t="s">
        <v>1300</v>
      </c>
      <c r="TIU76" s="343" t="s">
        <v>252</v>
      </c>
      <c r="TIV76" s="343" t="s">
        <v>1300</v>
      </c>
      <c r="TIW76" s="343" t="s">
        <v>252</v>
      </c>
      <c r="TIX76" s="343" t="s">
        <v>1300</v>
      </c>
      <c r="TIY76" s="343" t="s">
        <v>252</v>
      </c>
      <c r="TIZ76" s="343" t="s">
        <v>1300</v>
      </c>
      <c r="TJA76" s="343" t="s">
        <v>252</v>
      </c>
      <c r="TJB76" s="343" t="s">
        <v>1300</v>
      </c>
      <c r="TJC76" s="343" t="s">
        <v>252</v>
      </c>
      <c r="TJD76" s="343" t="s">
        <v>1300</v>
      </c>
      <c r="TJE76" s="343" t="s">
        <v>252</v>
      </c>
      <c r="TJF76" s="343" t="s">
        <v>1300</v>
      </c>
      <c r="TJG76" s="343" t="s">
        <v>252</v>
      </c>
      <c r="TJH76" s="343" t="s">
        <v>1300</v>
      </c>
      <c r="TJI76" s="343" t="s">
        <v>252</v>
      </c>
      <c r="TJJ76" s="343" t="s">
        <v>1300</v>
      </c>
      <c r="TJK76" s="343" t="s">
        <v>252</v>
      </c>
      <c r="TJL76" s="343" t="s">
        <v>1300</v>
      </c>
      <c r="TJM76" s="343" t="s">
        <v>252</v>
      </c>
      <c r="TJN76" s="343" t="s">
        <v>1300</v>
      </c>
      <c r="TJO76" s="343" t="s">
        <v>252</v>
      </c>
      <c r="TJP76" s="343" t="s">
        <v>1300</v>
      </c>
      <c r="TJQ76" s="343" t="s">
        <v>252</v>
      </c>
      <c r="TJR76" s="343" t="s">
        <v>1300</v>
      </c>
      <c r="TJS76" s="343" t="s">
        <v>252</v>
      </c>
      <c r="TJT76" s="343" t="s">
        <v>1300</v>
      </c>
      <c r="TJU76" s="343" t="s">
        <v>252</v>
      </c>
      <c r="TJV76" s="343" t="s">
        <v>1300</v>
      </c>
      <c r="TJW76" s="343" t="s">
        <v>252</v>
      </c>
      <c r="TJX76" s="343" t="s">
        <v>1300</v>
      </c>
      <c r="TJY76" s="343" t="s">
        <v>252</v>
      </c>
      <c r="TJZ76" s="343" t="s">
        <v>1300</v>
      </c>
      <c r="TKA76" s="343" t="s">
        <v>252</v>
      </c>
      <c r="TKB76" s="343" t="s">
        <v>1300</v>
      </c>
      <c r="TKC76" s="343" t="s">
        <v>252</v>
      </c>
      <c r="TKD76" s="343" t="s">
        <v>1300</v>
      </c>
      <c r="TKE76" s="343" t="s">
        <v>252</v>
      </c>
      <c r="TKF76" s="343" t="s">
        <v>1300</v>
      </c>
      <c r="TKG76" s="343" t="s">
        <v>252</v>
      </c>
      <c r="TKH76" s="343" t="s">
        <v>1300</v>
      </c>
      <c r="TKI76" s="343" t="s">
        <v>252</v>
      </c>
      <c r="TKJ76" s="343" t="s">
        <v>1300</v>
      </c>
      <c r="TKK76" s="343" t="s">
        <v>252</v>
      </c>
      <c r="TKL76" s="343" t="s">
        <v>1300</v>
      </c>
      <c r="TKM76" s="343" t="s">
        <v>252</v>
      </c>
      <c r="TKN76" s="343" t="s">
        <v>1300</v>
      </c>
      <c r="TKO76" s="343" t="s">
        <v>252</v>
      </c>
      <c r="TKP76" s="343" t="s">
        <v>1300</v>
      </c>
      <c r="TKQ76" s="343" t="s">
        <v>252</v>
      </c>
      <c r="TKR76" s="343" t="s">
        <v>1300</v>
      </c>
      <c r="TKS76" s="343" t="s">
        <v>252</v>
      </c>
      <c r="TKT76" s="343" t="s">
        <v>1300</v>
      </c>
      <c r="TKU76" s="343" t="s">
        <v>252</v>
      </c>
      <c r="TKV76" s="343" t="s">
        <v>1300</v>
      </c>
      <c r="TKW76" s="343" t="s">
        <v>252</v>
      </c>
      <c r="TKX76" s="343" t="s">
        <v>1300</v>
      </c>
      <c r="TKY76" s="343" t="s">
        <v>252</v>
      </c>
      <c r="TKZ76" s="343" t="s">
        <v>1300</v>
      </c>
      <c r="TLA76" s="343" t="s">
        <v>252</v>
      </c>
      <c r="TLB76" s="343" t="s">
        <v>1300</v>
      </c>
      <c r="TLC76" s="343" t="s">
        <v>252</v>
      </c>
      <c r="TLD76" s="343" t="s">
        <v>1300</v>
      </c>
      <c r="TLE76" s="343" t="s">
        <v>252</v>
      </c>
      <c r="TLF76" s="343" t="s">
        <v>1300</v>
      </c>
      <c r="TLG76" s="343" t="s">
        <v>252</v>
      </c>
      <c r="TLH76" s="343" t="s">
        <v>1300</v>
      </c>
      <c r="TLI76" s="343" t="s">
        <v>252</v>
      </c>
      <c r="TLJ76" s="343" t="s">
        <v>1300</v>
      </c>
      <c r="TLK76" s="343" t="s">
        <v>252</v>
      </c>
      <c r="TLL76" s="343" t="s">
        <v>1300</v>
      </c>
      <c r="TLM76" s="343" t="s">
        <v>252</v>
      </c>
      <c r="TLN76" s="343" t="s">
        <v>1300</v>
      </c>
      <c r="TLO76" s="343" t="s">
        <v>252</v>
      </c>
      <c r="TLP76" s="343" t="s">
        <v>1300</v>
      </c>
      <c r="TLQ76" s="343" t="s">
        <v>252</v>
      </c>
      <c r="TLR76" s="343" t="s">
        <v>1300</v>
      </c>
      <c r="TLS76" s="343" t="s">
        <v>252</v>
      </c>
      <c r="TLT76" s="343" t="s">
        <v>1300</v>
      </c>
      <c r="TLU76" s="343" t="s">
        <v>252</v>
      </c>
      <c r="TLV76" s="343" t="s">
        <v>1300</v>
      </c>
      <c r="TLW76" s="343" t="s">
        <v>252</v>
      </c>
      <c r="TLX76" s="343" t="s">
        <v>1300</v>
      </c>
      <c r="TLY76" s="343" t="s">
        <v>252</v>
      </c>
      <c r="TLZ76" s="343" t="s">
        <v>1300</v>
      </c>
      <c r="TMA76" s="343" t="s">
        <v>252</v>
      </c>
      <c r="TMB76" s="343" t="s">
        <v>1300</v>
      </c>
      <c r="TMC76" s="343" t="s">
        <v>252</v>
      </c>
      <c r="TMD76" s="343" t="s">
        <v>1300</v>
      </c>
      <c r="TME76" s="343" t="s">
        <v>252</v>
      </c>
      <c r="TMF76" s="343" t="s">
        <v>1300</v>
      </c>
      <c r="TMG76" s="343" t="s">
        <v>252</v>
      </c>
      <c r="TMH76" s="343" t="s">
        <v>1300</v>
      </c>
      <c r="TMI76" s="343" t="s">
        <v>252</v>
      </c>
      <c r="TMJ76" s="343" t="s">
        <v>1300</v>
      </c>
      <c r="TMK76" s="343" t="s">
        <v>252</v>
      </c>
      <c r="TML76" s="343" t="s">
        <v>1300</v>
      </c>
      <c r="TMM76" s="343" t="s">
        <v>252</v>
      </c>
      <c r="TMN76" s="343" t="s">
        <v>1300</v>
      </c>
      <c r="TMO76" s="343" t="s">
        <v>252</v>
      </c>
      <c r="TMP76" s="343" t="s">
        <v>1300</v>
      </c>
      <c r="TMQ76" s="343" t="s">
        <v>252</v>
      </c>
      <c r="TMR76" s="343" t="s">
        <v>1300</v>
      </c>
      <c r="TMS76" s="343" t="s">
        <v>252</v>
      </c>
      <c r="TMT76" s="343" t="s">
        <v>1300</v>
      </c>
      <c r="TMU76" s="343" t="s">
        <v>252</v>
      </c>
      <c r="TMV76" s="343" t="s">
        <v>1300</v>
      </c>
      <c r="TMW76" s="343" t="s">
        <v>252</v>
      </c>
      <c r="TMX76" s="343" t="s">
        <v>1300</v>
      </c>
      <c r="TMY76" s="343" t="s">
        <v>252</v>
      </c>
      <c r="TMZ76" s="343" t="s">
        <v>1300</v>
      </c>
      <c r="TNA76" s="343" t="s">
        <v>252</v>
      </c>
      <c r="TNB76" s="343" t="s">
        <v>1300</v>
      </c>
      <c r="TNC76" s="343" t="s">
        <v>252</v>
      </c>
      <c r="TND76" s="343" t="s">
        <v>1300</v>
      </c>
      <c r="TNE76" s="343" t="s">
        <v>252</v>
      </c>
      <c r="TNF76" s="343" t="s">
        <v>1300</v>
      </c>
      <c r="TNG76" s="343" t="s">
        <v>252</v>
      </c>
      <c r="TNH76" s="343" t="s">
        <v>1300</v>
      </c>
      <c r="TNI76" s="343" t="s">
        <v>252</v>
      </c>
      <c r="TNJ76" s="343" t="s">
        <v>1300</v>
      </c>
      <c r="TNK76" s="343" t="s">
        <v>252</v>
      </c>
      <c r="TNL76" s="343" t="s">
        <v>1300</v>
      </c>
      <c r="TNM76" s="343" t="s">
        <v>252</v>
      </c>
      <c r="TNN76" s="343" t="s">
        <v>1300</v>
      </c>
      <c r="TNO76" s="343" t="s">
        <v>252</v>
      </c>
      <c r="TNP76" s="343" t="s">
        <v>1300</v>
      </c>
      <c r="TNQ76" s="343" t="s">
        <v>252</v>
      </c>
      <c r="TNR76" s="343" t="s">
        <v>1300</v>
      </c>
      <c r="TNS76" s="343" t="s">
        <v>252</v>
      </c>
      <c r="TNT76" s="343" t="s">
        <v>1300</v>
      </c>
      <c r="TNU76" s="343" t="s">
        <v>252</v>
      </c>
      <c r="TNV76" s="343" t="s">
        <v>1300</v>
      </c>
      <c r="TNW76" s="343" t="s">
        <v>252</v>
      </c>
      <c r="TNX76" s="343" t="s">
        <v>1300</v>
      </c>
      <c r="TNY76" s="343" t="s">
        <v>252</v>
      </c>
      <c r="TNZ76" s="343" t="s">
        <v>1300</v>
      </c>
      <c r="TOA76" s="343" t="s">
        <v>252</v>
      </c>
      <c r="TOB76" s="343" t="s">
        <v>1300</v>
      </c>
      <c r="TOC76" s="343" t="s">
        <v>252</v>
      </c>
      <c r="TOD76" s="343" t="s">
        <v>1300</v>
      </c>
      <c r="TOE76" s="343" t="s">
        <v>252</v>
      </c>
      <c r="TOF76" s="343" t="s">
        <v>1300</v>
      </c>
      <c r="TOG76" s="343" t="s">
        <v>252</v>
      </c>
      <c r="TOH76" s="343" t="s">
        <v>1300</v>
      </c>
      <c r="TOI76" s="343" t="s">
        <v>252</v>
      </c>
      <c r="TOJ76" s="343" t="s">
        <v>1300</v>
      </c>
      <c r="TOK76" s="343" t="s">
        <v>252</v>
      </c>
      <c r="TOL76" s="343" t="s">
        <v>1300</v>
      </c>
      <c r="TOM76" s="343" t="s">
        <v>252</v>
      </c>
      <c r="TON76" s="343" t="s">
        <v>1300</v>
      </c>
      <c r="TOO76" s="343" t="s">
        <v>252</v>
      </c>
      <c r="TOP76" s="343" t="s">
        <v>1300</v>
      </c>
      <c r="TOQ76" s="343" t="s">
        <v>252</v>
      </c>
      <c r="TOR76" s="343" t="s">
        <v>1300</v>
      </c>
      <c r="TOS76" s="343" t="s">
        <v>252</v>
      </c>
      <c r="TOT76" s="343" t="s">
        <v>1300</v>
      </c>
      <c r="TOU76" s="343" t="s">
        <v>252</v>
      </c>
      <c r="TOV76" s="343" t="s">
        <v>1300</v>
      </c>
      <c r="TOW76" s="343" t="s">
        <v>252</v>
      </c>
      <c r="TOX76" s="343" t="s">
        <v>1300</v>
      </c>
      <c r="TOY76" s="343" t="s">
        <v>252</v>
      </c>
      <c r="TOZ76" s="343" t="s">
        <v>1300</v>
      </c>
      <c r="TPA76" s="343" t="s">
        <v>252</v>
      </c>
      <c r="TPB76" s="343" t="s">
        <v>1300</v>
      </c>
      <c r="TPC76" s="343" t="s">
        <v>252</v>
      </c>
      <c r="TPD76" s="343" t="s">
        <v>1300</v>
      </c>
      <c r="TPE76" s="343" t="s">
        <v>252</v>
      </c>
      <c r="TPF76" s="343" t="s">
        <v>1300</v>
      </c>
      <c r="TPG76" s="343" t="s">
        <v>252</v>
      </c>
      <c r="TPH76" s="343" t="s">
        <v>1300</v>
      </c>
      <c r="TPI76" s="343" t="s">
        <v>252</v>
      </c>
      <c r="TPJ76" s="343" t="s">
        <v>1300</v>
      </c>
      <c r="TPK76" s="343" t="s">
        <v>252</v>
      </c>
      <c r="TPL76" s="343" t="s">
        <v>1300</v>
      </c>
      <c r="TPM76" s="343" t="s">
        <v>252</v>
      </c>
      <c r="TPN76" s="343" t="s">
        <v>1300</v>
      </c>
      <c r="TPO76" s="343" t="s">
        <v>252</v>
      </c>
      <c r="TPP76" s="343" t="s">
        <v>1300</v>
      </c>
      <c r="TPQ76" s="343" t="s">
        <v>252</v>
      </c>
      <c r="TPR76" s="343" t="s">
        <v>1300</v>
      </c>
      <c r="TPS76" s="343" t="s">
        <v>252</v>
      </c>
      <c r="TPT76" s="343" t="s">
        <v>1300</v>
      </c>
      <c r="TPU76" s="343" t="s">
        <v>252</v>
      </c>
      <c r="TPV76" s="343" t="s">
        <v>1300</v>
      </c>
      <c r="TPW76" s="343" t="s">
        <v>252</v>
      </c>
      <c r="TPX76" s="343" t="s">
        <v>1300</v>
      </c>
      <c r="TPY76" s="343" t="s">
        <v>252</v>
      </c>
      <c r="TPZ76" s="343" t="s">
        <v>1300</v>
      </c>
      <c r="TQA76" s="343" t="s">
        <v>252</v>
      </c>
      <c r="TQB76" s="343" t="s">
        <v>1300</v>
      </c>
      <c r="TQC76" s="343" t="s">
        <v>252</v>
      </c>
      <c r="TQD76" s="343" t="s">
        <v>1300</v>
      </c>
      <c r="TQE76" s="343" t="s">
        <v>252</v>
      </c>
      <c r="TQF76" s="343" t="s">
        <v>1300</v>
      </c>
      <c r="TQG76" s="343" t="s">
        <v>252</v>
      </c>
      <c r="TQH76" s="343" t="s">
        <v>1300</v>
      </c>
      <c r="TQI76" s="343" t="s">
        <v>252</v>
      </c>
      <c r="TQJ76" s="343" t="s">
        <v>1300</v>
      </c>
      <c r="TQK76" s="343" t="s">
        <v>252</v>
      </c>
      <c r="TQL76" s="343" t="s">
        <v>1300</v>
      </c>
      <c r="TQM76" s="343" t="s">
        <v>252</v>
      </c>
      <c r="TQN76" s="343" t="s">
        <v>1300</v>
      </c>
      <c r="TQO76" s="343" t="s">
        <v>252</v>
      </c>
      <c r="TQP76" s="343" t="s">
        <v>1300</v>
      </c>
      <c r="TQQ76" s="343" t="s">
        <v>252</v>
      </c>
      <c r="TQR76" s="343" t="s">
        <v>1300</v>
      </c>
      <c r="TQS76" s="343" t="s">
        <v>252</v>
      </c>
      <c r="TQT76" s="343" t="s">
        <v>1300</v>
      </c>
      <c r="TQU76" s="343" t="s">
        <v>252</v>
      </c>
      <c r="TQV76" s="343" t="s">
        <v>1300</v>
      </c>
      <c r="TQW76" s="343" t="s">
        <v>252</v>
      </c>
      <c r="TQX76" s="343" t="s">
        <v>1300</v>
      </c>
      <c r="TQY76" s="343" t="s">
        <v>252</v>
      </c>
      <c r="TQZ76" s="343" t="s">
        <v>1300</v>
      </c>
      <c r="TRA76" s="343" t="s">
        <v>252</v>
      </c>
      <c r="TRB76" s="343" t="s">
        <v>1300</v>
      </c>
      <c r="TRC76" s="343" t="s">
        <v>252</v>
      </c>
      <c r="TRD76" s="343" t="s">
        <v>1300</v>
      </c>
      <c r="TRE76" s="343" t="s">
        <v>252</v>
      </c>
      <c r="TRF76" s="343" t="s">
        <v>1300</v>
      </c>
      <c r="TRG76" s="343" t="s">
        <v>252</v>
      </c>
      <c r="TRH76" s="343" t="s">
        <v>1300</v>
      </c>
      <c r="TRI76" s="343" t="s">
        <v>252</v>
      </c>
      <c r="TRJ76" s="343" t="s">
        <v>1300</v>
      </c>
      <c r="TRK76" s="343" t="s">
        <v>252</v>
      </c>
      <c r="TRL76" s="343" t="s">
        <v>1300</v>
      </c>
      <c r="TRM76" s="343" t="s">
        <v>252</v>
      </c>
      <c r="TRN76" s="343" t="s">
        <v>1300</v>
      </c>
      <c r="TRO76" s="343" t="s">
        <v>252</v>
      </c>
      <c r="TRP76" s="343" t="s">
        <v>1300</v>
      </c>
      <c r="TRQ76" s="343" t="s">
        <v>252</v>
      </c>
      <c r="TRR76" s="343" t="s">
        <v>1300</v>
      </c>
      <c r="TRS76" s="343" t="s">
        <v>252</v>
      </c>
      <c r="TRT76" s="343" t="s">
        <v>1300</v>
      </c>
      <c r="TRU76" s="343" t="s">
        <v>252</v>
      </c>
      <c r="TRV76" s="343" t="s">
        <v>1300</v>
      </c>
      <c r="TRW76" s="343" t="s">
        <v>252</v>
      </c>
      <c r="TRX76" s="343" t="s">
        <v>1300</v>
      </c>
      <c r="TRY76" s="343" t="s">
        <v>252</v>
      </c>
      <c r="TRZ76" s="343" t="s">
        <v>1300</v>
      </c>
      <c r="TSA76" s="343" t="s">
        <v>252</v>
      </c>
      <c r="TSB76" s="343" t="s">
        <v>1300</v>
      </c>
      <c r="TSC76" s="343" t="s">
        <v>252</v>
      </c>
      <c r="TSD76" s="343" t="s">
        <v>1300</v>
      </c>
      <c r="TSE76" s="343" t="s">
        <v>252</v>
      </c>
      <c r="TSF76" s="343" t="s">
        <v>1300</v>
      </c>
      <c r="TSG76" s="343" t="s">
        <v>252</v>
      </c>
      <c r="TSH76" s="343" t="s">
        <v>1300</v>
      </c>
      <c r="TSI76" s="343" t="s">
        <v>252</v>
      </c>
      <c r="TSJ76" s="343" t="s">
        <v>1300</v>
      </c>
      <c r="TSK76" s="343" t="s">
        <v>252</v>
      </c>
      <c r="TSL76" s="343" t="s">
        <v>1300</v>
      </c>
      <c r="TSM76" s="343" t="s">
        <v>252</v>
      </c>
      <c r="TSN76" s="343" t="s">
        <v>1300</v>
      </c>
      <c r="TSO76" s="343" t="s">
        <v>252</v>
      </c>
      <c r="TSP76" s="343" t="s">
        <v>1300</v>
      </c>
      <c r="TSQ76" s="343" t="s">
        <v>252</v>
      </c>
      <c r="TSR76" s="343" t="s">
        <v>1300</v>
      </c>
      <c r="TSS76" s="343" t="s">
        <v>252</v>
      </c>
      <c r="TST76" s="343" t="s">
        <v>1300</v>
      </c>
      <c r="TSU76" s="343" t="s">
        <v>252</v>
      </c>
      <c r="TSV76" s="343" t="s">
        <v>1300</v>
      </c>
      <c r="TSW76" s="343" t="s">
        <v>252</v>
      </c>
      <c r="TSX76" s="343" t="s">
        <v>1300</v>
      </c>
      <c r="TSY76" s="343" t="s">
        <v>252</v>
      </c>
      <c r="TSZ76" s="343" t="s">
        <v>1300</v>
      </c>
      <c r="TTA76" s="343" t="s">
        <v>252</v>
      </c>
      <c r="TTB76" s="343" t="s">
        <v>1300</v>
      </c>
      <c r="TTC76" s="343" t="s">
        <v>252</v>
      </c>
      <c r="TTD76" s="343" t="s">
        <v>1300</v>
      </c>
      <c r="TTE76" s="343" t="s">
        <v>252</v>
      </c>
      <c r="TTF76" s="343" t="s">
        <v>1300</v>
      </c>
      <c r="TTG76" s="343" t="s">
        <v>252</v>
      </c>
      <c r="TTH76" s="343" t="s">
        <v>1300</v>
      </c>
      <c r="TTI76" s="343" t="s">
        <v>252</v>
      </c>
      <c r="TTJ76" s="343" t="s">
        <v>1300</v>
      </c>
      <c r="TTK76" s="343" t="s">
        <v>252</v>
      </c>
      <c r="TTL76" s="343" t="s">
        <v>1300</v>
      </c>
      <c r="TTM76" s="343" t="s">
        <v>252</v>
      </c>
      <c r="TTN76" s="343" t="s">
        <v>1300</v>
      </c>
      <c r="TTO76" s="343" t="s">
        <v>252</v>
      </c>
      <c r="TTP76" s="343" t="s">
        <v>1300</v>
      </c>
      <c r="TTQ76" s="343" t="s">
        <v>252</v>
      </c>
      <c r="TTR76" s="343" t="s">
        <v>1300</v>
      </c>
      <c r="TTS76" s="343" t="s">
        <v>252</v>
      </c>
      <c r="TTT76" s="343" t="s">
        <v>1300</v>
      </c>
      <c r="TTU76" s="343" t="s">
        <v>252</v>
      </c>
      <c r="TTV76" s="343" t="s">
        <v>1300</v>
      </c>
      <c r="TTW76" s="343" t="s">
        <v>252</v>
      </c>
      <c r="TTX76" s="343" t="s">
        <v>1300</v>
      </c>
      <c r="TTY76" s="343" t="s">
        <v>252</v>
      </c>
      <c r="TTZ76" s="343" t="s">
        <v>1300</v>
      </c>
      <c r="TUA76" s="343" t="s">
        <v>252</v>
      </c>
      <c r="TUB76" s="343" t="s">
        <v>1300</v>
      </c>
      <c r="TUC76" s="343" t="s">
        <v>252</v>
      </c>
      <c r="TUD76" s="343" t="s">
        <v>1300</v>
      </c>
      <c r="TUE76" s="343" t="s">
        <v>252</v>
      </c>
      <c r="TUF76" s="343" t="s">
        <v>1300</v>
      </c>
      <c r="TUG76" s="343" t="s">
        <v>252</v>
      </c>
      <c r="TUH76" s="343" t="s">
        <v>1300</v>
      </c>
      <c r="TUI76" s="343" t="s">
        <v>252</v>
      </c>
      <c r="TUJ76" s="343" t="s">
        <v>1300</v>
      </c>
      <c r="TUK76" s="343" t="s">
        <v>252</v>
      </c>
      <c r="TUL76" s="343" t="s">
        <v>1300</v>
      </c>
      <c r="TUM76" s="343" t="s">
        <v>252</v>
      </c>
      <c r="TUN76" s="343" t="s">
        <v>1300</v>
      </c>
      <c r="TUO76" s="343" t="s">
        <v>252</v>
      </c>
      <c r="TUP76" s="343" t="s">
        <v>1300</v>
      </c>
      <c r="TUQ76" s="343" t="s">
        <v>252</v>
      </c>
      <c r="TUR76" s="343" t="s">
        <v>1300</v>
      </c>
      <c r="TUS76" s="343" t="s">
        <v>252</v>
      </c>
      <c r="TUT76" s="343" t="s">
        <v>1300</v>
      </c>
      <c r="TUU76" s="343" t="s">
        <v>252</v>
      </c>
      <c r="TUV76" s="343" t="s">
        <v>1300</v>
      </c>
      <c r="TUW76" s="343" t="s">
        <v>252</v>
      </c>
      <c r="TUX76" s="343" t="s">
        <v>1300</v>
      </c>
      <c r="TUY76" s="343" t="s">
        <v>252</v>
      </c>
      <c r="TUZ76" s="343" t="s">
        <v>1300</v>
      </c>
      <c r="TVA76" s="343" t="s">
        <v>252</v>
      </c>
      <c r="TVB76" s="343" t="s">
        <v>1300</v>
      </c>
      <c r="TVC76" s="343" t="s">
        <v>252</v>
      </c>
      <c r="TVD76" s="343" t="s">
        <v>1300</v>
      </c>
      <c r="TVE76" s="343" t="s">
        <v>252</v>
      </c>
      <c r="TVF76" s="343" t="s">
        <v>1300</v>
      </c>
      <c r="TVG76" s="343" t="s">
        <v>252</v>
      </c>
      <c r="TVH76" s="343" t="s">
        <v>1300</v>
      </c>
      <c r="TVI76" s="343" t="s">
        <v>252</v>
      </c>
      <c r="TVJ76" s="343" t="s">
        <v>1300</v>
      </c>
      <c r="TVK76" s="343" t="s">
        <v>252</v>
      </c>
      <c r="TVL76" s="343" t="s">
        <v>1300</v>
      </c>
      <c r="TVM76" s="343" t="s">
        <v>252</v>
      </c>
      <c r="TVN76" s="343" t="s">
        <v>1300</v>
      </c>
      <c r="TVO76" s="343" t="s">
        <v>252</v>
      </c>
      <c r="TVP76" s="343" t="s">
        <v>1300</v>
      </c>
      <c r="TVQ76" s="343" t="s">
        <v>252</v>
      </c>
      <c r="TVR76" s="343" t="s">
        <v>1300</v>
      </c>
      <c r="TVS76" s="343" t="s">
        <v>252</v>
      </c>
      <c r="TVT76" s="343" t="s">
        <v>1300</v>
      </c>
      <c r="TVU76" s="343" t="s">
        <v>252</v>
      </c>
      <c r="TVV76" s="343" t="s">
        <v>1300</v>
      </c>
      <c r="TVW76" s="343" t="s">
        <v>252</v>
      </c>
      <c r="TVX76" s="343" t="s">
        <v>1300</v>
      </c>
      <c r="TVY76" s="343" t="s">
        <v>252</v>
      </c>
      <c r="TVZ76" s="343" t="s">
        <v>1300</v>
      </c>
      <c r="TWA76" s="343" t="s">
        <v>252</v>
      </c>
      <c r="TWB76" s="343" t="s">
        <v>1300</v>
      </c>
      <c r="TWC76" s="343" t="s">
        <v>252</v>
      </c>
      <c r="TWD76" s="343" t="s">
        <v>1300</v>
      </c>
      <c r="TWE76" s="343" t="s">
        <v>252</v>
      </c>
      <c r="TWF76" s="343" t="s">
        <v>1300</v>
      </c>
      <c r="TWG76" s="343" t="s">
        <v>252</v>
      </c>
      <c r="TWH76" s="343" t="s">
        <v>1300</v>
      </c>
      <c r="TWI76" s="343" t="s">
        <v>252</v>
      </c>
      <c r="TWJ76" s="343" t="s">
        <v>1300</v>
      </c>
      <c r="TWK76" s="343" t="s">
        <v>252</v>
      </c>
      <c r="TWL76" s="343" t="s">
        <v>1300</v>
      </c>
      <c r="TWM76" s="343" t="s">
        <v>252</v>
      </c>
      <c r="TWN76" s="343" t="s">
        <v>1300</v>
      </c>
      <c r="TWO76" s="343" t="s">
        <v>252</v>
      </c>
      <c r="TWP76" s="343" t="s">
        <v>1300</v>
      </c>
      <c r="TWQ76" s="343" t="s">
        <v>252</v>
      </c>
      <c r="TWR76" s="343" t="s">
        <v>1300</v>
      </c>
      <c r="TWS76" s="343" t="s">
        <v>252</v>
      </c>
      <c r="TWT76" s="343" t="s">
        <v>1300</v>
      </c>
      <c r="TWU76" s="343" t="s">
        <v>252</v>
      </c>
      <c r="TWV76" s="343" t="s">
        <v>1300</v>
      </c>
      <c r="TWW76" s="343" t="s">
        <v>252</v>
      </c>
      <c r="TWX76" s="343" t="s">
        <v>1300</v>
      </c>
      <c r="TWY76" s="343" t="s">
        <v>252</v>
      </c>
      <c r="TWZ76" s="343" t="s">
        <v>1300</v>
      </c>
      <c r="TXA76" s="343" t="s">
        <v>252</v>
      </c>
      <c r="TXB76" s="343" t="s">
        <v>1300</v>
      </c>
      <c r="TXC76" s="343" t="s">
        <v>252</v>
      </c>
      <c r="TXD76" s="343" t="s">
        <v>1300</v>
      </c>
      <c r="TXE76" s="343" t="s">
        <v>252</v>
      </c>
      <c r="TXF76" s="343" t="s">
        <v>1300</v>
      </c>
      <c r="TXG76" s="343" t="s">
        <v>252</v>
      </c>
      <c r="TXH76" s="343" t="s">
        <v>1300</v>
      </c>
      <c r="TXI76" s="343" t="s">
        <v>252</v>
      </c>
      <c r="TXJ76" s="343" t="s">
        <v>1300</v>
      </c>
      <c r="TXK76" s="343" t="s">
        <v>252</v>
      </c>
      <c r="TXL76" s="343" t="s">
        <v>1300</v>
      </c>
      <c r="TXM76" s="343" t="s">
        <v>252</v>
      </c>
      <c r="TXN76" s="343" t="s">
        <v>1300</v>
      </c>
      <c r="TXO76" s="343" t="s">
        <v>252</v>
      </c>
      <c r="TXP76" s="343" t="s">
        <v>1300</v>
      </c>
      <c r="TXQ76" s="343" t="s">
        <v>252</v>
      </c>
      <c r="TXR76" s="343" t="s">
        <v>1300</v>
      </c>
      <c r="TXS76" s="343" t="s">
        <v>252</v>
      </c>
      <c r="TXT76" s="343" t="s">
        <v>1300</v>
      </c>
      <c r="TXU76" s="343" t="s">
        <v>252</v>
      </c>
      <c r="TXV76" s="343" t="s">
        <v>1300</v>
      </c>
      <c r="TXW76" s="343" t="s">
        <v>252</v>
      </c>
      <c r="TXX76" s="343" t="s">
        <v>1300</v>
      </c>
      <c r="TXY76" s="343" t="s">
        <v>252</v>
      </c>
      <c r="TXZ76" s="343" t="s">
        <v>1300</v>
      </c>
      <c r="TYA76" s="343" t="s">
        <v>252</v>
      </c>
      <c r="TYB76" s="343" t="s">
        <v>1300</v>
      </c>
      <c r="TYC76" s="343" t="s">
        <v>252</v>
      </c>
      <c r="TYD76" s="343" t="s">
        <v>1300</v>
      </c>
      <c r="TYE76" s="343" t="s">
        <v>252</v>
      </c>
      <c r="TYF76" s="343" t="s">
        <v>1300</v>
      </c>
      <c r="TYG76" s="343" t="s">
        <v>252</v>
      </c>
      <c r="TYH76" s="343" t="s">
        <v>1300</v>
      </c>
      <c r="TYI76" s="343" t="s">
        <v>252</v>
      </c>
      <c r="TYJ76" s="343" t="s">
        <v>1300</v>
      </c>
      <c r="TYK76" s="343" t="s">
        <v>252</v>
      </c>
      <c r="TYL76" s="343" t="s">
        <v>1300</v>
      </c>
      <c r="TYM76" s="343" t="s">
        <v>252</v>
      </c>
      <c r="TYN76" s="343" t="s">
        <v>1300</v>
      </c>
      <c r="TYO76" s="343" t="s">
        <v>252</v>
      </c>
      <c r="TYP76" s="343" t="s">
        <v>1300</v>
      </c>
      <c r="TYQ76" s="343" t="s">
        <v>252</v>
      </c>
      <c r="TYR76" s="343" t="s">
        <v>1300</v>
      </c>
      <c r="TYS76" s="343" t="s">
        <v>252</v>
      </c>
      <c r="TYT76" s="343" t="s">
        <v>1300</v>
      </c>
      <c r="TYU76" s="343" t="s">
        <v>252</v>
      </c>
      <c r="TYV76" s="343" t="s">
        <v>1300</v>
      </c>
      <c r="TYW76" s="343" t="s">
        <v>252</v>
      </c>
      <c r="TYX76" s="343" t="s">
        <v>1300</v>
      </c>
      <c r="TYY76" s="343" t="s">
        <v>252</v>
      </c>
      <c r="TYZ76" s="343" t="s">
        <v>1300</v>
      </c>
      <c r="TZA76" s="343" t="s">
        <v>252</v>
      </c>
      <c r="TZB76" s="343" t="s">
        <v>1300</v>
      </c>
      <c r="TZC76" s="343" t="s">
        <v>252</v>
      </c>
      <c r="TZD76" s="343" t="s">
        <v>1300</v>
      </c>
      <c r="TZE76" s="343" t="s">
        <v>252</v>
      </c>
      <c r="TZF76" s="343" t="s">
        <v>1300</v>
      </c>
      <c r="TZG76" s="343" t="s">
        <v>252</v>
      </c>
      <c r="TZH76" s="343" t="s">
        <v>1300</v>
      </c>
      <c r="TZI76" s="343" t="s">
        <v>252</v>
      </c>
      <c r="TZJ76" s="343" t="s">
        <v>1300</v>
      </c>
      <c r="TZK76" s="343" t="s">
        <v>252</v>
      </c>
      <c r="TZL76" s="343" t="s">
        <v>1300</v>
      </c>
      <c r="TZM76" s="343" t="s">
        <v>252</v>
      </c>
      <c r="TZN76" s="343" t="s">
        <v>1300</v>
      </c>
      <c r="TZO76" s="343" t="s">
        <v>252</v>
      </c>
      <c r="TZP76" s="343" t="s">
        <v>1300</v>
      </c>
      <c r="TZQ76" s="343" t="s">
        <v>252</v>
      </c>
      <c r="TZR76" s="343" t="s">
        <v>1300</v>
      </c>
      <c r="TZS76" s="343" t="s">
        <v>252</v>
      </c>
      <c r="TZT76" s="343" t="s">
        <v>1300</v>
      </c>
      <c r="TZU76" s="343" t="s">
        <v>252</v>
      </c>
      <c r="TZV76" s="343" t="s">
        <v>1300</v>
      </c>
      <c r="TZW76" s="343" t="s">
        <v>252</v>
      </c>
      <c r="TZX76" s="343" t="s">
        <v>1300</v>
      </c>
      <c r="TZY76" s="343" t="s">
        <v>252</v>
      </c>
      <c r="TZZ76" s="343" t="s">
        <v>1300</v>
      </c>
      <c r="UAA76" s="343" t="s">
        <v>252</v>
      </c>
      <c r="UAB76" s="343" t="s">
        <v>1300</v>
      </c>
      <c r="UAC76" s="343" t="s">
        <v>252</v>
      </c>
      <c r="UAD76" s="343" t="s">
        <v>1300</v>
      </c>
      <c r="UAE76" s="343" t="s">
        <v>252</v>
      </c>
      <c r="UAF76" s="343" t="s">
        <v>1300</v>
      </c>
      <c r="UAG76" s="343" t="s">
        <v>252</v>
      </c>
      <c r="UAH76" s="343" t="s">
        <v>1300</v>
      </c>
      <c r="UAI76" s="343" t="s">
        <v>252</v>
      </c>
      <c r="UAJ76" s="343" t="s">
        <v>1300</v>
      </c>
      <c r="UAK76" s="343" t="s">
        <v>252</v>
      </c>
      <c r="UAL76" s="343" t="s">
        <v>1300</v>
      </c>
      <c r="UAM76" s="343" t="s">
        <v>252</v>
      </c>
      <c r="UAN76" s="343" t="s">
        <v>1300</v>
      </c>
      <c r="UAO76" s="343" t="s">
        <v>252</v>
      </c>
      <c r="UAP76" s="343" t="s">
        <v>1300</v>
      </c>
      <c r="UAQ76" s="343" t="s">
        <v>252</v>
      </c>
      <c r="UAR76" s="343" t="s">
        <v>1300</v>
      </c>
      <c r="UAS76" s="343" t="s">
        <v>252</v>
      </c>
      <c r="UAT76" s="343" t="s">
        <v>1300</v>
      </c>
      <c r="UAU76" s="343" t="s">
        <v>252</v>
      </c>
      <c r="UAV76" s="343" t="s">
        <v>1300</v>
      </c>
      <c r="UAW76" s="343" t="s">
        <v>252</v>
      </c>
      <c r="UAX76" s="343" t="s">
        <v>1300</v>
      </c>
      <c r="UAY76" s="343" t="s">
        <v>252</v>
      </c>
      <c r="UAZ76" s="343" t="s">
        <v>1300</v>
      </c>
      <c r="UBA76" s="343" t="s">
        <v>252</v>
      </c>
      <c r="UBB76" s="343" t="s">
        <v>1300</v>
      </c>
      <c r="UBC76" s="343" t="s">
        <v>252</v>
      </c>
      <c r="UBD76" s="343" t="s">
        <v>1300</v>
      </c>
      <c r="UBE76" s="343" t="s">
        <v>252</v>
      </c>
      <c r="UBF76" s="343" t="s">
        <v>1300</v>
      </c>
      <c r="UBG76" s="343" t="s">
        <v>252</v>
      </c>
      <c r="UBH76" s="343" t="s">
        <v>1300</v>
      </c>
      <c r="UBI76" s="343" t="s">
        <v>252</v>
      </c>
      <c r="UBJ76" s="343" t="s">
        <v>1300</v>
      </c>
      <c r="UBK76" s="343" t="s">
        <v>252</v>
      </c>
      <c r="UBL76" s="343" t="s">
        <v>1300</v>
      </c>
      <c r="UBM76" s="343" t="s">
        <v>252</v>
      </c>
      <c r="UBN76" s="343" t="s">
        <v>1300</v>
      </c>
      <c r="UBO76" s="343" t="s">
        <v>252</v>
      </c>
      <c r="UBP76" s="343" t="s">
        <v>1300</v>
      </c>
      <c r="UBQ76" s="343" t="s">
        <v>252</v>
      </c>
      <c r="UBR76" s="343" t="s">
        <v>1300</v>
      </c>
      <c r="UBS76" s="343" t="s">
        <v>252</v>
      </c>
      <c r="UBT76" s="343" t="s">
        <v>1300</v>
      </c>
      <c r="UBU76" s="343" t="s">
        <v>252</v>
      </c>
      <c r="UBV76" s="343" t="s">
        <v>1300</v>
      </c>
      <c r="UBW76" s="343" t="s">
        <v>252</v>
      </c>
      <c r="UBX76" s="343" t="s">
        <v>1300</v>
      </c>
      <c r="UBY76" s="343" t="s">
        <v>252</v>
      </c>
      <c r="UBZ76" s="343" t="s">
        <v>1300</v>
      </c>
      <c r="UCA76" s="343" t="s">
        <v>252</v>
      </c>
      <c r="UCB76" s="343" t="s">
        <v>1300</v>
      </c>
      <c r="UCC76" s="343" t="s">
        <v>252</v>
      </c>
      <c r="UCD76" s="343" t="s">
        <v>1300</v>
      </c>
      <c r="UCE76" s="343" t="s">
        <v>252</v>
      </c>
      <c r="UCF76" s="343" t="s">
        <v>1300</v>
      </c>
      <c r="UCG76" s="343" t="s">
        <v>252</v>
      </c>
      <c r="UCH76" s="343" t="s">
        <v>1300</v>
      </c>
      <c r="UCI76" s="343" t="s">
        <v>252</v>
      </c>
      <c r="UCJ76" s="343" t="s">
        <v>1300</v>
      </c>
      <c r="UCK76" s="343" t="s">
        <v>252</v>
      </c>
      <c r="UCL76" s="343" t="s">
        <v>1300</v>
      </c>
      <c r="UCM76" s="343" t="s">
        <v>252</v>
      </c>
      <c r="UCN76" s="343" t="s">
        <v>1300</v>
      </c>
      <c r="UCO76" s="343" t="s">
        <v>252</v>
      </c>
      <c r="UCP76" s="343" t="s">
        <v>1300</v>
      </c>
      <c r="UCQ76" s="343" t="s">
        <v>252</v>
      </c>
      <c r="UCR76" s="343" t="s">
        <v>1300</v>
      </c>
      <c r="UCS76" s="343" t="s">
        <v>252</v>
      </c>
      <c r="UCT76" s="343" t="s">
        <v>1300</v>
      </c>
      <c r="UCU76" s="343" t="s">
        <v>252</v>
      </c>
      <c r="UCV76" s="343" t="s">
        <v>1300</v>
      </c>
      <c r="UCW76" s="343" t="s">
        <v>252</v>
      </c>
      <c r="UCX76" s="343" t="s">
        <v>1300</v>
      </c>
      <c r="UCY76" s="343" t="s">
        <v>252</v>
      </c>
      <c r="UCZ76" s="343" t="s">
        <v>1300</v>
      </c>
      <c r="UDA76" s="343" t="s">
        <v>252</v>
      </c>
      <c r="UDB76" s="343" t="s">
        <v>1300</v>
      </c>
      <c r="UDC76" s="343" t="s">
        <v>252</v>
      </c>
      <c r="UDD76" s="343" t="s">
        <v>1300</v>
      </c>
      <c r="UDE76" s="343" t="s">
        <v>252</v>
      </c>
      <c r="UDF76" s="343" t="s">
        <v>1300</v>
      </c>
      <c r="UDG76" s="343" t="s">
        <v>252</v>
      </c>
      <c r="UDH76" s="343" t="s">
        <v>1300</v>
      </c>
      <c r="UDI76" s="343" t="s">
        <v>252</v>
      </c>
      <c r="UDJ76" s="343" t="s">
        <v>1300</v>
      </c>
      <c r="UDK76" s="343" t="s">
        <v>252</v>
      </c>
      <c r="UDL76" s="343" t="s">
        <v>1300</v>
      </c>
      <c r="UDM76" s="343" t="s">
        <v>252</v>
      </c>
      <c r="UDN76" s="343" t="s">
        <v>1300</v>
      </c>
      <c r="UDO76" s="343" t="s">
        <v>252</v>
      </c>
      <c r="UDP76" s="343" t="s">
        <v>1300</v>
      </c>
      <c r="UDQ76" s="343" t="s">
        <v>252</v>
      </c>
      <c r="UDR76" s="343" t="s">
        <v>1300</v>
      </c>
      <c r="UDS76" s="343" t="s">
        <v>252</v>
      </c>
      <c r="UDT76" s="343" t="s">
        <v>1300</v>
      </c>
      <c r="UDU76" s="343" t="s">
        <v>252</v>
      </c>
      <c r="UDV76" s="343" t="s">
        <v>1300</v>
      </c>
      <c r="UDW76" s="343" t="s">
        <v>252</v>
      </c>
      <c r="UDX76" s="343" t="s">
        <v>1300</v>
      </c>
      <c r="UDY76" s="343" t="s">
        <v>252</v>
      </c>
      <c r="UDZ76" s="343" t="s">
        <v>1300</v>
      </c>
      <c r="UEA76" s="343" t="s">
        <v>252</v>
      </c>
      <c r="UEB76" s="343" t="s">
        <v>1300</v>
      </c>
      <c r="UEC76" s="343" t="s">
        <v>252</v>
      </c>
      <c r="UED76" s="343" t="s">
        <v>1300</v>
      </c>
      <c r="UEE76" s="343" t="s">
        <v>252</v>
      </c>
      <c r="UEF76" s="343" t="s">
        <v>1300</v>
      </c>
      <c r="UEG76" s="343" t="s">
        <v>252</v>
      </c>
      <c r="UEH76" s="343" t="s">
        <v>1300</v>
      </c>
      <c r="UEI76" s="343" t="s">
        <v>252</v>
      </c>
      <c r="UEJ76" s="343" t="s">
        <v>1300</v>
      </c>
      <c r="UEK76" s="343" t="s">
        <v>252</v>
      </c>
      <c r="UEL76" s="343" t="s">
        <v>1300</v>
      </c>
      <c r="UEM76" s="343" t="s">
        <v>252</v>
      </c>
      <c r="UEN76" s="343" t="s">
        <v>1300</v>
      </c>
      <c r="UEO76" s="343" t="s">
        <v>252</v>
      </c>
      <c r="UEP76" s="343" t="s">
        <v>1300</v>
      </c>
      <c r="UEQ76" s="343" t="s">
        <v>252</v>
      </c>
      <c r="UER76" s="343" t="s">
        <v>1300</v>
      </c>
      <c r="UES76" s="343" t="s">
        <v>252</v>
      </c>
      <c r="UET76" s="343" t="s">
        <v>1300</v>
      </c>
      <c r="UEU76" s="343" t="s">
        <v>252</v>
      </c>
      <c r="UEV76" s="343" t="s">
        <v>1300</v>
      </c>
      <c r="UEW76" s="343" t="s">
        <v>252</v>
      </c>
      <c r="UEX76" s="343" t="s">
        <v>1300</v>
      </c>
      <c r="UEY76" s="343" t="s">
        <v>252</v>
      </c>
      <c r="UEZ76" s="343" t="s">
        <v>1300</v>
      </c>
      <c r="UFA76" s="343" t="s">
        <v>252</v>
      </c>
      <c r="UFB76" s="343" t="s">
        <v>1300</v>
      </c>
      <c r="UFC76" s="343" t="s">
        <v>252</v>
      </c>
      <c r="UFD76" s="343" t="s">
        <v>1300</v>
      </c>
      <c r="UFE76" s="343" t="s">
        <v>252</v>
      </c>
      <c r="UFF76" s="343" t="s">
        <v>1300</v>
      </c>
      <c r="UFG76" s="343" t="s">
        <v>252</v>
      </c>
      <c r="UFH76" s="343" t="s">
        <v>1300</v>
      </c>
      <c r="UFI76" s="343" t="s">
        <v>252</v>
      </c>
      <c r="UFJ76" s="343" t="s">
        <v>1300</v>
      </c>
      <c r="UFK76" s="343" t="s">
        <v>252</v>
      </c>
      <c r="UFL76" s="343" t="s">
        <v>1300</v>
      </c>
      <c r="UFM76" s="343" t="s">
        <v>252</v>
      </c>
      <c r="UFN76" s="343" t="s">
        <v>1300</v>
      </c>
      <c r="UFO76" s="343" t="s">
        <v>252</v>
      </c>
      <c r="UFP76" s="343" t="s">
        <v>1300</v>
      </c>
      <c r="UFQ76" s="343" t="s">
        <v>252</v>
      </c>
      <c r="UFR76" s="343" t="s">
        <v>1300</v>
      </c>
      <c r="UFS76" s="343" t="s">
        <v>252</v>
      </c>
      <c r="UFT76" s="343" t="s">
        <v>1300</v>
      </c>
      <c r="UFU76" s="343" t="s">
        <v>252</v>
      </c>
      <c r="UFV76" s="343" t="s">
        <v>1300</v>
      </c>
      <c r="UFW76" s="343" t="s">
        <v>252</v>
      </c>
      <c r="UFX76" s="343" t="s">
        <v>1300</v>
      </c>
      <c r="UFY76" s="343" t="s">
        <v>252</v>
      </c>
      <c r="UFZ76" s="343" t="s">
        <v>1300</v>
      </c>
      <c r="UGA76" s="343" t="s">
        <v>252</v>
      </c>
      <c r="UGB76" s="343" t="s">
        <v>1300</v>
      </c>
      <c r="UGC76" s="343" t="s">
        <v>252</v>
      </c>
      <c r="UGD76" s="343" t="s">
        <v>1300</v>
      </c>
      <c r="UGE76" s="343" t="s">
        <v>252</v>
      </c>
      <c r="UGF76" s="343" t="s">
        <v>1300</v>
      </c>
      <c r="UGG76" s="343" t="s">
        <v>252</v>
      </c>
      <c r="UGH76" s="343" t="s">
        <v>1300</v>
      </c>
      <c r="UGI76" s="343" t="s">
        <v>252</v>
      </c>
      <c r="UGJ76" s="343" t="s">
        <v>1300</v>
      </c>
      <c r="UGK76" s="343" t="s">
        <v>252</v>
      </c>
      <c r="UGL76" s="343" t="s">
        <v>1300</v>
      </c>
      <c r="UGM76" s="343" t="s">
        <v>252</v>
      </c>
      <c r="UGN76" s="343" t="s">
        <v>1300</v>
      </c>
      <c r="UGO76" s="343" t="s">
        <v>252</v>
      </c>
      <c r="UGP76" s="343" t="s">
        <v>1300</v>
      </c>
      <c r="UGQ76" s="343" t="s">
        <v>252</v>
      </c>
      <c r="UGR76" s="343" t="s">
        <v>1300</v>
      </c>
      <c r="UGS76" s="343" t="s">
        <v>252</v>
      </c>
      <c r="UGT76" s="343" t="s">
        <v>1300</v>
      </c>
      <c r="UGU76" s="343" t="s">
        <v>252</v>
      </c>
      <c r="UGV76" s="343" t="s">
        <v>1300</v>
      </c>
      <c r="UGW76" s="343" t="s">
        <v>252</v>
      </c>
      <c r="UGX76" s="343" t="s">
        <v>1300</v>
      </c>
      <c r="UGY76" s="343" t="s">
        <v>252</v>
      </c>
      <c r="UGZ76" s="343" t="s">
        <v>1300</v>
      </c>
      <c r="UHA76" s="343" t="s">
        <v>252</v>
      </c>
      <c r="UHB76" s="343" t="s">
        <v>1300</v>
      </c>
      <c r="UHC76" s="343" t="s">
        <v>252</v>
      </c>
      <c r="UHD76" s="343" t="s">
        <v>1300</v>
      </c>
      <c r="UHE76" s="343" t="s">
        <v>252</v>
      </c>
      <c r="UHF76" s="343" t="s">
        <v>1300</v>
      </c>
      <c r="UHG76" s="343" t="s">
        <v>252</v>
      </c>
      <c r="UHH76" s="343" t="s">
        <v>1300</v>
      </c>
      <c r="UHI76" s="343" t="s">
        <v>252</v>
      </c>
      <c r="UHJ76" s="343" t="s">
        <v>1300</v>
      </c>
      <c r="UHK76" s="343" t="s">
        <v>252</v>
      </c>
      <c r="UHL76" s="343" t="s">
        <v>1300</v>
      </c>
      <c r="UHM76" s="343" t="s">
        <v>252</v>
      </c>
      <c r="UHN76" s="343" t="s">
        <v>1300</v>
      </c>
      <c r="UHO76" s="343" t="s">
        <v>252</v>
      </c>
      <c r="UHP76" s="343" t="s">
        <v>1300</v>
      </c>
      <c r="UHQ76" s="343" t="s">
        <v>252</v>
      </c>
      <c r="UHR76" s="343" t="s">
        <v>1300</v>
      </c>
      <c r="UHS76" s="343" t="s">
        <v>252</v>
      </c>
      <c r="UHT76" s="343" t="s">
        <v>1300</v>
      </c>
      <c r="UHU76" s="343" t="s">
        <v>252</v>
      </c>
      <c r="UHV76" s="343" t="s">
        <v>1300</v>
      </c>
      <c r="UHW76" s="343" t="s">
        <v>252</v>
      </c>
      <c r="UHX76" s="343" t="s">
        <v>1300</v>
      </c>
      <c r="UHY76" s="343" t="s">
        <v>252</v>
      </c>
      <c r="UHZ76" s="343" t="s">
        <v>1300</v>
      </c>
      <c r="UIA76" s="343" t="s">
        <v>252</v>
      </c>
      <c r="UIB76" s="343" t="s">
        <v>1300</v>
      </c>
      <c r="UIC76" s="343" t="s">
        <v>252</v>
      </c>
      <c r="UID76" s="343" t="s">
        <v>1300</v>
      </c>
      <c r="UIE76" s="343" t="s">
        <v>252</v>
      </c>
      <c r="UIF76" s="343" t="s">
        <v>1300</v>
      </c>
      <c r="UIG76" s="343" t="s">
        <v>252</v>
      </c>
      <c r="UIH76" s="343" t="s">
        <v>1300</v>
      </c>
      <c r="UII76" s="343" t="s">
        <v>252</v>
      </c>
      <c r="UIJ76" s="343" t="s">
        <v>1300</v>
      </c>
      <c r="UIK76" s="343" t="s">
        <v>252</v>
      </c>
      <c r="UIL76" s="343" t="s">
        <v>1300</v>
      </c>
      <c r="UIM76" s="343" t="s">
        <v>252</v>
      </c>
      <c r="UIN76" s="343" t="s">
        <v>1300</v>
      </c>
      <c r="UIO76" s="343" t="s">
        <v>252</v>
      </c>
      <c r="UIP76" s="343" t="s">
        <v>1300</v>
      </c>
      <c r="UIQ76" s="343" t="s">
        <v>252</v>
      </c>
      <c r="UIR76" s="343" t="s">
        <v>1300</v>
      </c>
      <c r="UIS76" s="343" t="s">
        <v>252</v>
      </c>
      <c r="UIT76" s="343" t="s">
        <v>1300</v>
      </c>
      <c r="UIU76" s="343" t="s">
        <v>252</v>
      </c>
      <c r="UIV76" s="343" t="s">
        <v>1300</v>
      </c>
      <c r="UIW76" s="343" t="s">
        <v>252</v>
      </c>
      <c r="UIX76" s="343" t="s">
        <v>1300</v>
      </c>
      <c r="UIY76" s="343" t="s">
        <v>252</v>
      </c>
      <c r="UIZ76" s="343" t="s">
        <v>1300</v>
      </c>
      <c r="UJA76" s="343" t="s">
        <v>252</v>
      </c>
      <c r="UJB76" s="343" t="s">
        <v>1300</v>
      </c>
      <c r="UJC76" s="343" t="s">
        <v>252</v>
      </c>
      <c r="UJD76" s="343" t="s">
        <v>1300</v>
      </c>
      <c r="UJE76" s="343" t="s">
        <v>252</v>
      </c>
      <c r="UJF76" s="343" t="s">
        <v>1300</v>
      </c>
      <c r="UJG76" s="343" t="s">
        <v>252</v>
      </c>
      <c r="UJH76" s="343" t="s">
        <v>1300</v>
      </c>
      <c r="UJI76" s="343" t="s">
        <v>252</v>
      </c>
      <c r="UJJ76" s="343" t="s">
        <v>1300</v>
      </c>
      <c r="UJK76" s="343" t="s">
        <v>252</v>
      </c>
      <c r="UJL76" s="343" t="s">
        <v>1300</v>
      </c>
      <c r="UJM76" s="343" t="s">
        <v>252</v>
      </c>
      <c r="UJN76" s="343" t="s">
        <v>1300</v>
      </c>
      <c r="UJO76" s="343" t="s">
        <v>252</v>
      </c>
      <c r="UJP76" s="343" t="s">
        <v>1300</v>
      </c>
      <c r="UJQ76" s="343" t="s">
        <v>252</v>
      </c>
      <c r="UJR76" s="343" t="s">
        <v>1300</v>
      </c>
      <c r="UJS76" s="343" t="s">
        <v>252</v>
      </c>
      <c r="UJT76" s="343" t="s">
        <v>1300</v>
      </c>
      <c r="UJU76" s="343" t="s">
        <v>252</v>
      </c>
      <c r="UJV76" s="343" t="s">
        <v>1300</v>
      </c>
      <c r="UJW76" s="343" t="s">
        <v>252</v>
      </c>
      <c r="UJX76" s="343" t="s">
        <v>1300</v>
      </c>
      <c r="UJY76" s="343" t="s">
        <v>252</v>
      </c>
      <c r="UJZ76" s="343" t="s">
        <v>1300</v>
      </c>
      <c r="UKA76" s="343" t="s">
        <v>252</v>
      </c>
      <c r="UKB76" s="343" t="s">
        <v>1300</v>
      </c>
      <c r="UKC76" s="343" t="s">
        <v>252</v>
      </c>
      <c r="UKD76" s="343" t="s">
        <v>1300</v>
      </c>
      <c r="UKE76" s="343" t="s">
        <v>252</v>
      </c>
      <c r="UKF76" s="343" t="s">
        <v>1300</v>
      </c>
      <c r="UKG76" s="343" t="s">
        <v>252</v>
      </c>
      <c r="UKH76" s="343" t="s">
        <v>1300</v>
      </c>
      <c r="UKI76" s="343" t="s">
        <v>252</v>
      </c>
      <c r="UKJ76" s="343" t="s">
        <v>1300</v>
      </c>
      <c r="UKK76" s="343" t="s">
        <v>252</v>
      </c>
      <c r="UKL76" s="343" t="s">
        <v>1300</v>
      </c>
      <c r="UKM76" s="343" t="s">
        <v>252</v>
      </c>
      <c r="UKN76" s="343" t="s">
        <v>1300</v>
      </c>
      <c r="UKO76" s="343" t="s">
        <v>252</v>
      </c>
      <c r="UKP76" s="343" t="s">
        <v>1300</v>
      </c>
      <c r="UKQ76" s="343" t="s">
        <v>252</v>
      </c>
      <c r="UKR76" s="343" t="s">
        <v>1300</v>
      </c>
      <c r="UKS76" s="343" t="s">
        <v>252</v>
      </c>
      <c r="UKT76" s="343" t="s">
        <v>1300</v>
      </c>
      <c r="UKU76" s="343" t="s">
        <v>252</v>
      </c>
      <c r="UKV76" s="343" t="s">
        <v>1300</v>
      </c>
      <c r="UKW76" s="343" t="s">
        <v>252</v>
      </c>
      <c r="UKX76" s="343" t="s">
        <v>1300</v>
      </c>
      <c r="UKY76" s="343" t="s">
        <v>252</v>
      </c>
      <c r="UKZ76" s="343" t="s">
        <v>1300</v>
      </c>
      <c r="ULA76" s="343" t="s">
        <v>252</v>
      </c>
      <c r="ULB76" s="343" t="s">
        <v>1300</v>
      </c>
      <c r="ULC76" s="343" t="s">
        <v>252</v>
      </c>
      <c r="ULD76" s="343" t="s">
        <v>1300</v>
      </c>
      <c r="ULE76" s="343" t="s">
        <v>252</v>
      </c>
      <c r="ULF76" s="343" t="s">
        <v>1300</v>
      </c>
      <c r="ULG76" s="343" t="s">
        <v>252</v>
      </c>
      <c r="ULH76" s="343" t="s">
        <v>1300</v>
      </c>
      <c r="ULI76" s="343" t="s">
        <v>252</v>
      </c>
      <c r="ULJ76" s="343" t="s">
        <v>1300</v>
      </c>
      <c r="ULK76" s="343" t="s">
        <v>252</v>
      </c>
      <c r="ULL76" s="343" t="s">
        <v>1300</v>
      </c>
      <c r="ULM76" s="343" t="s">
        <v>252</v>
      </c>
      <c r="ULN76" s="343" t="s">
        <v>1300</v>
      </c>
      <c r="ULO76" s="343" t="s">
        <v>252</v>
      </c>
      <c r="ULP76" s="343" t="s">
        <v>1300</v>
      </c>
      <c r="ULQ76" s="343" t="s">
        <v>252</v>
      </c>
      <c r="ULR76" s="343" t="s">
        <v>1300</v>
      </c>
      <c r="ULS76" s="343" t="s">
        <v>252</v>
      </c>
      <c r="ULT76" s="343" t="s">
        <v>1300</v>
      </c>
      <c r="ULU76" s="343" t="s">
        <v>252</v>
      </c>
      <c r="ULV76" s="343" t="s">
        <v>1300</v>
      </c>
      <c r="ULW76" s="343" t="s">
        <v>252</v>
      </c>
      <c r="ULX76" s="343" t="s">
        <v>1300</v>
      </c>
      <c r="ULY76" s="343" t="s">
        <v>252</v>
      </c>
      <c r="ULZ76" s="343" t="s">
        <v>1300</v>
      </c>
      <c r="UMA76" s="343" t="s">
        <v>252</v>
      </c>
      <c r="UMB76" s="343" t="s">
        <v>1300</v>
      </c>
      <c r="UMC76" s="343" t="s">
        <v>252</v>
      </c>
      <c r="UMD76" s="343" t="s">
        <v>1300</v>
      </c>
      <c r="UME76" s="343" t="s">
        <v>252</v>
      </c>
      <c r="UMF76" s="343" t="s">
        <v>1300</v>
      </c>
      <c r="UMG76" s="343" t="s">
        <v>252</v>
      </c>
      <c r="UMH76" s="343" t="s">
        <v>1300</v>
      </c>
      <c r="UMI76" s="343" t="s">
        <v>252</v>
      </c>
      <c r="UMJ76" s="343" t="s">
        <v>1300</v>
      </c>
      <c r="UMK76" s="343" t="s">
        <v>252</v>
      </c>
      <c r="UML76" s="343" t="s">
        <v>1300</v>
      </c>
      <c r="UMM76" s="343" t="s">
        <v>252</v>
      </c>
      <c r="UMN76" s="343" t="s">
        <v>1300</v>
      </c>
      <c r="UMO76" s="343" t="s">
        <v>252</v>
      </c>
      <c r="UMP76" s="343" t="s">
        <v>1300</v>
      </c>
      <c r="UMQ76" s="343" t="s">
        <v>252</v>
      </c>
      <c r="UMR76" s="343" t="s">
        <v>1300</v>
      </c>
      <c r="UMS76" s="343" t="s">
        <v>252</v>
      </c>
      <c r="UMT76" s="343" t="s">
        <v>1300</v>
      </c>
      <c r="UMU76" s="343" t="s">
        <v>252</v>
      </c>
      <c r="UMV76" s="343" t="s">
        <v>1300</v>
      </c>
      <c r="UMW76" s="343" t="s">
        <v>252</v>
      </c>
      <c r="UMX76" s="343" t="s">
        <v>1300</v>
      </c>
      <c r="UMY76" s="343" t="s">
        <v>252</v>
      </c>
      <c r="UMZ76" s="343" t="s">
        <v>1300</v>
      </c>
      <c r="UNA76" s="343" t="s">
        <v>252</v>
      </c>
      <c r="UNB76" s="343" t="s">
        <v>1300</v>
      </c>
      <c r="UNC76" s="343" t="s">
        <v>252</v>
      </c>
      <c r="UND76" s="343" t="s">
        <v>1300</v>
      </c>
      <c r="UNE76" s="343" t="s">
        <v>252</v>
      </c>
      <c r="UNF76" s="343" t="s">
        <v>1300</v>
      </c>
      <c r="UNG76" s="343" t="s">
        <v>252</v>
      </c>
      <c r="UNH76" s="343" t="s">
        <v>1300</v>
      </c>
      <c r="UNI76" s="343" t="s">
        <v>252</v>
      </c>
      <c r="UNJ76" s="343" t="s">
        <v>1300</v>
      </c>
      <c r="UNK76" s="343" t="s">
        <v>252</v>
      </c>
      <c r="UNL76" s="343" t="s">
        <v>1300</v>
      </c>
      <c r="UNM76" s="343" t="s">
        <v>252</v>
      </c>
      <c r="UNN76" s="343" t="s">
        <v>1300</v>
      </c>
      <c r="UNO76" s="343" t="s">
        <v>252</v>
      </c>
      <c r="UNP76" s="343" t="s">
        <v>1300</v>
      </c>
      <c r="UNQ76" s="343" t="s">
        <v>252</v>
      </c>
      <c r="UNR76" s="343" t="s">
        <v>1300</v>
      </c>
      <c r="UNS76" s="343" t="s">
        <v>252</v>
      </c>
      <c r="UNT76" s="343" t="s">
        <v>1300</v>
      </c>
      <c r="UNU76" s="343" t="s">
        <v>252</v>
      </c>
      <c r="UNV76" s="343" t="s">
        <v>1300</v>
      </c>
      <c r="UNW76" s="343" t="s">
        <v>252</v>
      </c>
      <c r="UNX76" s="343" t="s">
        <v>1300</v>
      </c>
      <c r="UNY76" s="343" t="s">
        <v>252</v>
      </c>
      <c r="UNZ76" s="343" t="s">
        <v>1300</v>
      </c>
      <c r="UOA76" s="343" t="s">
        <v>252</v>
      </c>
      <c r="UOB76" s="343" t="s">
        <v>1300</v>
      </c>
      <c r="UOC76" s="343" t="s">
        <v>252</v>
      </c>
      <c r="UOD76" s="343" t="s">
        <v>1300</v>
      </c>
      <c r="UOE76" s="343" t="s">
        <v>252</v>
      </c>
      <c r="UOF76" s="343" t="s">
        <v>1300</v>
      </c>
      <c r="UOG76" s="343" t="s">
        <v>252</v>
      </c>
      <c r="UOH76" s="343" t="s">
        <v>1300</v>
      </c>
      <c r="UOI76" s="343" t="s">
        <v>252</v>
      </c>
      <c r="UOJ76" s="343" t="s">
        <v>1300</v>
      </c>
      <c r="UOK76" s="343" t="s">
        <v>252</v>
      </c>
      <c r="UOL76" s="343" t="s">
        <v>1300</v>
      </c>
      <c r="UOM76" s="343" t="s">
        <v>252</v>
      </c>
      <c r="UON76" s="343" t="s">
        <v>1300</v>
      </c>
      <c r="UOO76" s="343" t="s">
        <v>252</v>
      </c>
      <c r="UOP76" s="343" t="s">
        <v>1300</v>
      </c>
      <c r="UOQ76" s="343" t="s">
        <v>252</v>
      </c>
      <c r="UOR76" s="343" t="s">
        <v>1300</v>
      </c>
      <c r="UOS76" s="343" t="s">
        <v>252</v>
      </c>
      <c r="UOT76" s="343" t="s">
        <v>1300</v>
      </c>
      <c r="UOU76" s="343" t="s">
        <v>252</v>
      </c>
      <c r="UOV76" s="343" t="s">
        <v>1300</v>
      </c>
      <c r="UOW76" s="343" t="s">
        <v>252</v>
      </c>
      <c r="UOX76" s="343" t="s">
        <v>1300</v>
      </c>
      <c r="UOY76" s="343" t="s">
        <v>252</v>
      </c>
      <c r="UOZ76" s="343" t="s">
        <v>1300</v>
      </c>
      <c r="UPA76" s="343" t="s">
        <v>252</v>
      </c>
      <c r="UPB76" s="343" t="s">
        <v>1300</v>
      </c>
      <c r="UPC76" s="343" t="s">
        <v>252</v>
      </c>
      <c r="UPD76" s="343" t="s">
        <v>1300</v>
      </c>
      <c r="UPE76" s="343" t="s">
        <v>252</v>
      </c>
      <c r="UPF76" s="343" t="s">
        <v>1300</v>
      </c>
      <c r="UPG76" s="343" t="s">
        <v>252</v>
      </c>
      <c r="UPH76" s="343" t="s">
        <v>1300</v>
      </c>
      <c r="UPI76" s="343" t="s">
        <v>252</v>
      </c>
      <c r="UPJ76" s="343" t="s">
        <v>1300</v>
      </c>
      <c r="UPK76" s="343" t="s">
        <v>252</v>
      </c>
      <c r="UPL76" s="343" t="s">
        <v>1300</v>
      </c>
      <c r="UPM76" s="343" t="s">
        <v>252</v>
      </c>
      <c r="UPN76" s="343" t="s">
        <v>1300</v>
      </c>
      <c r="UPO76" s="343" t="s">
        <v>252</v>
      </c>
      <c r="UPP76" s="343" t="s">
        <v>1300</v>
      </c>
      <c r="UPQ76" s="343" t="s">
        <v>252</v>
      </c>
      <c r="UPR76" s="343" t="s">
        <v>1300</v>
      </c>
      <c r="UPS76" s="343" t="s">
        <v>252</v>
      </c>
      <c r="UPT76" s="343" t="s">
        <v>1300</v>
      </c>
      <c r="UPU76" s="343" t="s">
        <v>252</v>
      </c>
      <c r="UPV76" s="343" t="s">
        <v>1300</v>
      </c>
      <c r="UPW76" s="343" t="s">
        <v>252</v>
      </c>
      <c r="UPX76" s="343" t="s">
        <v>1300</v>
      </c>
      <c r="UPY76" s="343" t="s">
        <v>252</v>
      </c>
      <c r="UPZ76" s="343" t="s">
        <v>1300</v>
      </c>
      <c r="UQA76" s="343" t="s">
        <v>252</v>
      </c>
      <c r="UQB76" s="343" t="s">
        <v>1300</v>
      </c>
      <c r="UQC76" s="343" t="s">
        <v>252</v>
      </c>
      <c r="UQD76" s="343" t="s">
        <v>1300</v>
      </c>
      <c r="UQE76" s="343" t="s">
        <v>252</v>
      </c>
      <c r="UQF76" s="343" t="s">
        <v>1300</v>
      </c>
      <c r="UQG76" s="343" t="s">
        <v>252</v>
      </c>
      <c r="UQH76" s="343" t="s">
        <v>1300</v>
      </c>
      <c r="UQI76" s="343" t="s">
        <v>252</v>
      </c>
      <c r="UQJ76" s="343" t="s">
        <v>1300</v>
      </c>
      <c r="UQK76" s="343" t="s">
        <v>252</v>
      </c>
      <c r="UQL76" s="343" t="s">
        <v>1300</v>
      </c>
      <c r="UQM76" s="343" t="s">
        <v>252</v>
      </c>
      <c r="UQN76" s="343" t="s">
        <v>1300</v>
      </c>
      <c r="UQO76" s="343" t="s">
        <v>252</v>
      </c>
      <c r="UQP76" s="343" t="s">
        <v>1300</v>
      </c>
      <c r="UQQ76" s="343" t="s">
        <v>252</v>
      </c>
      <c r="UQR76" s="343" t="s">
        <v>1300</v>
      </c>
      <c r="UQS76" s="343" t="s">
        <v>252</v>
      </c>
      <c r="UQT76" s="343" t="s">
        <v>1300</v>
      </c>
      <c r="UQU76" s="343" t="s">
        <v>252</v>
      </c>
      <c r="UQV76" s="343" t="s">
        <v>1300</v>
      </c>
      <c r="UQW76" s="343" t="s">
        <v>252</v>
      </c>
      <c r="UQX76" s="343" t="s">
        <v>1300</v>
      </c>
      <c r="UQY76" s="343" t="s">
        <v>252</v>
      </c>
      <c r="UQZ76" s="343" t="s">
        <v>1300</v>
      </c>
      <c r="URA76" s="343" t="s">
        <v>252</v>
      </c>
      <c r="URB76" s="343" t="s">
        <v>1300</v>
      </c>
      <c r="URC76" s="343" t="s">
        <v>252</v>
      </c>
      <c r="URD76" s="343" t="s">
        <v>1300</v>
      </c>
      <c r="URE76" s="343" t="s">
        <v>252</v>
      </c>
      <c r="URF76" s="343" t="s">
        <v>1300</v>
      </c>
      <c r="URG76" s="343" t="s">
        <v>252</v>
      </c>
      <c r="URH76" s="343" t="s">
        <v>1300</v>
      </c>
      <c r="URI76" s="343" t="s">
        <v>252</v>
      </c>
      <c r="URJ76" s="343" t="s">
        <v>1300</v>
      </c>
      <c r="URK76" s="343" t="s">
        <v>252</v>
      </c>
      <c r="URL76" s="343" t="s">
        <v>1300</v>
      </c>
      <c r="URM76" s="343" t="s">
        <v>252</v>
      </c>
      <c r="URN76" s="343" t="s">
        <v>1300</v>
      </c>
      <c r="URO76" s="343" t="s">
        <v>252</v>
      </c>
      <c r="URP76" s="343" t="s">
        <v>1300</v>
      </c>
      <c r="URQ76" s="343" t="s">
        <v>252</v>
      </c>
      <c r="URR76" s="343" t="s">
        <v>1300</v>
      </c>
      <c r="URS76" s="343" t="s">
        <v>252</v>
      </c>
      <c r="URT76" s="343" t="s">
        <v>1300</v>
      </c>
      <c r="URU76" s="343" t="s">
        <v>252</v>
      </c>
      <c r="URV76" s="343" t="s">
        <v>1300</v>
      </c>
      <c r="URW76" s="343" t="s">
        <v>252</v>
      </c>
      <c r="URX76" s="343" t="s">
        <v>1300</v>
      </c>
      <c r="URY76" s="343" t="s">
        <v>252</v>
      </c>
      <c r="URZ76" s="343" t="s">
        <v>1300</v>
      </c>
      <c r="USA76" s="343" t="s">
        <v>252</v>
      </c>
      <c r="USB76" s="343" t="s">
        <v>1300</v>
      </c>
      <c r="USC76" s="343" t="s">
        <v>252</v>
      </c>
      <c r="USD76" s="343" t="s">
        <v>1300</v>
      </c>
      <c r="USE76" s="343" t="s">
        <v>252</v>
      </c>
      <c r="USF76" s="343" t="s">
        <v>1300</v>
      </c>
      <c r="USG76" s="343" t="s">
        <v>252</v>
      </c>
      <c r="USH76" s="343" t="s">
        <v>1300</v>
      </c>
      <c r="USI76" s="343" t="s">
        <v>252</v>
      </c>
      <c r="USJ76" s="343" t="s">
        <v>1300</v>
      </c>
      <c r="USK76" s="343" t="s">
        <v>252</v>
      </c>
      <c r="USL76" s="343" t="s">
        <v>1300</v>
      </c>
      <c r="USM76" s="343" t="s">
        <v>252</v>
      </c>
      <c r="USN76" s="343" t="s">
        <v>1300</v>
      </c>
      <c r="USO76" s="343" t="s">
        <v>252</v>
      </c>
      <c r="USP76" s="343" t="s">
        <v>1300</v>
      </c>
      <c r="USQ76" s="343" t="s">
        <v>252</v>
      </c>
      <c r="USR76" s="343" t="s">
        <v>1300</v>
      </c>
      <c r="USS76" s="343" t="s">
        <v>252</v>
      </c>
      <c r="UST76" s="343" t="s">
        <v>1300</v>
      </c>
      <c r="USU76" s="343" t="s">
        <v>252</v>
      </c>
      <c r="USV76" s="343" t="s">
        <v>1300</v>
      </c>
      <c r="USW76" s="343" t="s">
        <v>252</v>
      </c>
      <c r="USX76" s="343" t="s">
        <v>1300</v>
      </c>
      <c r="USY76" s="343" t="s">
        <v>252</v>
      </c>
      <c r="USZ76" s="343" t="s">
        <v>1300</v>
      </c>
      <c r="UTA76" s="343" t="s">
        <v>252</v>
      </c>
      <c r="UTB76" s="343" t="s">
        <v>1300</v>
      </c>
      <c r="UTC76" s="343" t="s">
        <v>252</v>
      </c>
      <c r="UTD76" s="343" t="s">
        <v>1300</v>
      </c>
      <c r="UTE76" s="343" t="s">
        <v>252</v>
      </c>
      <c r="UTF76" s="343" t="s">
        <v>1300</v>
      </c>
      <c r="UTG76" s="343" t="s">
        <v>252</v>
      </c>
      <c r="UTH76" s="343" t="s">
        <v>1300</v>
      </c>
      <c r="UTI76" s="343" t="s">
        <v>252</v>
      </c>
      <c r="UTJ76" s="343" t="s">
        <v>1300</v>
      </c>
      <c r="UTK76" s="343" t="s">
        <v>252</v>
      </c>
      <c r="UTL76" s="343" t="s">
        <v>1300</v>
      </c>
      <c r="UTM76" s="343" t="s">
        <v>252</v>
      </c>
      <c r="UTN76" s="343" t="s">
        <v>1300</v>
      </c>
      <c r="UTO76" s="343" t="s">
        <v>252</v>
      </c>
      <c r="UTP76" s="343" t="s">
        <v>1300</v>
      </c>
      <c r="UTQ76" s="343" t="s">
        <v>252</v>
      </c>
      <c r="UTR76" s="343" t="s">
        <v>1300</v>
      </c>
      <c r="UTS76" s="343" t="s">
        <v>252</v>
      </c>
      <c r="UTT76" s="343" t="s">
        <v>1300</v>
      </c>
      <c r="UTU76" s="343" t="s">
        <v>252</v>
      </c>
      <c r="UTV76" s="343" t="s">
        <v>1300</v>
      </c>
      <c r="UTW76" s="343" t="s">
        <v>252</v>
      </c>
      <c r="UTX76" s="343" t="s">
        <v>1300</v>
      </c>
      <c r="UTY76" s="343" t="s">
        <v>252</v>
      </c>
      <c r="UTZ76" s="343" t="s">
        <v>1300</v>
      </c>
      <c r="UUA76" s="343" t="s">
        <v>252</v>
      </c>
      <c r="UUB76" s="343" t="s">
        <v>1300</v>
      </c>
      <c r="UUC76" s="343" t="s">
        <v>252</v>
      </c>
      <c r="UUD76" s="343" t="s">
        <v>1300</v>
      </c>
      <c r="UUE76" s="343" t="s">
        <v>252</v>
      </c>
      <c r="UUF76" s="343" t="s">
        <v>1300</v>
      </c>
      <c r="UUG76" s="343" t="s">
        <v>252</v>
      </c>
      <c r="UUH76" s="343" t="s">
        <v>1300</v>
      </c>
      <c r="UUI76" s="343" t="s">
        <v>252</v>
      </c>
      <c r="UUJ76" s="343" t="s">
        <v>1300</v>
      </c>
      <c r="UUK76" s="343" t="s">
        <v>252</v>
      </c>
      <c r="UUL76" s="343" t="s">
        <v>1300</v>
      </c>
      <c r="UUM76" s="343" t="s">
        <v>252</v>
      </c>
      <c r="UUN76" s="343" t="s">
        <v>1300</v>
      </c>
      <c r="UUO76" s="343" t="s">
        <v>252</v>
      </c>
      <c r="UUP76" s="343" t="s">
        <v>1300</v>
      </c>
      <c r="UUQ76" s="343" t="s">
        <v>252</v>
      </c>
      <c r="UUR76" s="343" t="s">
        <v>1300</v>
      </c>
      <c r="UUS76" s="343" t="s">
        <v>252</v>
      </c>
      <c r="UUT76" s="343" t="s">
        <v>1300</v>
      </c>
      <c r="UUU76" s="343" t="s">
        <v>252</v>
      </c>
      <c r="UUV76" s="343" t="s">
        <v>1300</v>
      </c>
      <c r="UUW76" s="343" t="s">
        <v>252</v>
      </c>
      <c r="UUX76" s="343" t="s">
        <v>1300</v>
      </c>
      <c r="UUY76" s="343" t="s">
        <v>252</v>
      </c>
      <c r="UUZ76" s="343" t="s">
        <v>1300</v>
      </c>
      <c r="UVA76" s="343" t="s">
        <v>252</v>
      </c>
      <c r="UVB76" s="343" t="s">
        <v>1300</v>
      </c>
      <c r="UVC76" s="343" t="s">
        <v>252</v>
      </c>
      <c r="UVD76" s="343" t="s">
        <v>1300</v>
      </c>
      <c r="UVE76" s="343" t="s">
        <v>252</v>
      </c>
      <c r="UVF76" s="343" t="s">
        <v>1300</v>
      </c>
      <c r="UVG76" s="343" t="s">
        <v>252</v>
      </c>
      <c r="UVH76" s="343" t="s">
        <v>1300</v>
      </c>
      <c r="UVI76" s="343" t="s">
        <v>252</v>
      </c>
      <c r="UVJ76" s="343" t="s">
        <v>1300</v>
      </c>
      <c r="UVK76" s="343" t="s">
        <v>252</v>
      </c>
      <c r="UVL76" s="343" t="s">
        <v>1300</v>
      </c>
      <c r="UVM76" s="343" t="s">
        <v>252</v>
      </c>
      <c r="UVN76" s="343" t="s">
        <v>1300</v>
      </c>
      <c r="UVO76" s="343" t="s">
        <v>252</v>
      </c>
      <c r="UVP76" s="343" t="s">
        <v>1300</v>
      </c>
      <c r="UVQ76" s="343" t="s">
        <v>252</v>
      </c>
      <c r="UVR76" s="343" t="s">
        <v>1300</v>
      </c>
      <c r="UVS76" s="343" t="s">
        <v>252</v>
      </c>
      <c r="UVT76" s="343" t="s">
        <v>1300</v>
      </c>
      <c r="UVU76" s="343" t="s">
        <v>252</v>
      </c>
      <c r="UVV76" s="343" t="s">
        <v>1300</v>
      </c>
      <c r="UVW76" s="343" t="s">
        <v>252</v>
      </c>
      <c r="UVX76" s="343" t="s">
        <v>1300</v>
      </c>
      <c r="UVY76" s="343" t="s">
        <v>252</v>
      </c>
      <c r="UVZ76" s="343" t="s">
        <v>1300</v>
      </c>
      <c r="UWA76" s="343" t="s">
        <v>252</v>
      </c>
      <c r="UWB76" s="343" t="s">
        <v>1300</v>
      </c>
      <c r="UWC76" s="343" t="s">
        <v>252</v>
      </c>
      <c r="UWD76" s="343" t="s">
        <v>1300</v>
      </c>
      <c r="UWE76" s="343" t="s">
        <v>252</v>
      </c>
      <c r="UWF76" s="343" t="s">
        <v>1300</v>
      </c>
      <c r="UWG76" s="343" t="s">
        <v>252</v>
      </c>
      <c r="UWH76" s="343" t="s">
        <v>1300</v>
      </c>
      <c r="UWI76" s="343" t="s">
        <v>252</v>
      </c>
      <c r="UWJ76" s="343" t="s">
        <v>1300</v>
      </c>
      <c r="UWK76" s="343" t="s">
        <v>252</v>
      </c>
      <c r="UWL76" s="343" t="s">
        <v>1300</v>
      </c>
      <c r="UWM76" s="343" t="s">
        <v>252</v>
      </c>
      <c r="UWN76" s="343" t="s">
        <v>1300</v>
      </c>
      <c r="UWO76" s="343" t="s">
        <v>252</v>
      </c>
      <c r="UWP76" s="343" t="s">
        <v>1300</v>
      </c>
      <c r="UWQ76" s="343" t="s">
        <v>252</v>
      </c>
      <c r="UWR76" s="343" t="s">
        <v>1300</v>
      </c>
      <c r="UWS76" s="343" t="s">
        <v>252</v>
      </c>
      <c r="UWT76" s="343" t="s">
        <v>1300</v>
      </c>
      <c r="UWU76" s="343" t="s">
        <v>252</v>
      </c>
      <c r="UWV76" s="343" t="s">
        <v>1300</v>
      </c>
      <c r="UWW76" s="343" t="s">
        <v>252</v>
      </c>
      <c r="UWX76" s="343" t="s">
        <v>1300</v>
      </c>
      <c r="UWY76" s="343" t="s">
        <v>252</v>
      </c>
      <c r="UWZ76" s="343" t="s">
        <v>1300</v>
      </c>
      <c r="UXA76" s="343" t="s">
        <v>252</v>
      </c>
      <c r="UXB76" s="343" t="s">
        <v>1300</v>
      </c>
      <c r="UXC76" s="343" t="s">
        <v>252</v>
      </c>
      <c r="UXD76" s="343" t="s">
        <v>1300</v>
      </c>
      <c r="UXE76" s="343" t="s">
        <v>252</v>
      </c>
      <c r="UXF76" s="343" t="s">
        <v>1300</v>
      </c>
      <c r="UXG76" s="343" t="s">
        <v>252</v>
      </c>
      <c r="UXH76" s="343" t="s">
        <v>1300</v>
      </c>
      <c r="UXI76" s="343" t="s">
        <v>252</v>
      </c>
      <c r="UXJ76" s="343" t="s">
        <v>1300</v>
      </c>
      <c r="UXK76" s="343" t="s">
        <v>252</v>
      </c>
      <c r="UXL76" s="343" t="s">
        <v>1300</v>
      </c>
      <c r="UXM76" s="343" t="s">
        <v>252</v>
      </c>
      <c r="UXN76" s="343" t="s">
        <v>1300</v>
      </c>
      <c r="UXO76" s="343" t="s">
        <v>252</v>
      </c>
      <c r="UXP76" s="343" t="s">
        <v>1300</v>
      </c>
      <c r="UXQ76" s="343" t="s">
        <v>252</v>
      </c>
      <c r="UXR76" s="343" t="s">
        <v>1300</v>
      </c>
      <c r="UXS76" s="343" t="s">
        <v>252</v>
      </c>
      <c r="UXT76" s="343" t="s">
        <v>1300</v>
      </c>
      <c r="UXU76" s="343" t="s">
        <v>252</v>
      </c>
      <c r="UXV76" s="343" t="s">
        <v>1300</v>
      </c>
      <c r="UXW76" s="343" t="s">
        <v>252</v>
      </c>
      <c r="UXX76" s="343" t="s">
        <v>1300</v>
      </c>
      <c r="UXY76" s="343" t="s">
        <v>252</v>
      </c>
      <c r="UXZ76" s="343" t="s">
        <v>1300</v>
      </c>
      <c r="UYA76" s="343" t="s">
        <v>252</v>
      </c>
      <c r="UYB76" s="343" t="s">
        <v>1300</v>
      </c>
      <c r="UYC76" s="343" t="s">
        <v>252</v>
      </c>
      <c r="UYD76" s="343" t="s">
        <v>1300</v>
      </c>
      <c r="UYE76" s="343" t="s">
        <v>252</v>
      </c>
      <c r="UYF76" s="343" t="s">
        <v>1300</v>
      </c>
      <c r="UYG76" s="343" t="s">
        <v>252</v>
      </c>
      <c r="UYH76" s="343" t="s">
        <v>1300</v>
      </c>
      <c r="UYI76" s="343" t="s">
        <v>252</v>
      </c>
      <c r="UYJ76" s="343" t="s">
        <v>1300</v>
      </c>
      <c r="UYK76" s="343" t="s">
        <v>252</v>
      </c>
      <c r="UYL76" s="343" t="s">
        <v>1300</v>
      </c>
      <c r="UYM76" s="343" t="s">
        <v>252</v>
      </c>
      <c r="UYN76" s="343" t="s">
        <v>1300</v>
      </c>
      <c r="UYO76" s="343" t="s">
        <v>252</v>
      </c>
      <c r="UYP76" s="343" t="s">
        <v>1300</v>
      </c>
      <c r="UYQ76" s="343" t="s">
        <v>252</v>
      </c>
      <c r="UYR76" s="343" t="s">
        <v>1300</v>
      </c>
      <c r="UYS76" s="343" t="s">
        <v>252</v>
      </c>
      <c r="UYT76" s="343" t="s">
        <v>1300</v>
      </c>
      <c r="UYU76" s="343" t="s">
        <v>252</v>
      </c>
      <c r="UYV76" s="343" t="s">
        <v>1300</v>
      </c>
      <c r="UYW76" s="343" t="s">
        <v>252</v>
      </c>
      <c r="UYX76" s="343" t="s">
        <v>1300</v>
      </c>
      <c r="UYY76" s="343" t="s">
        <v>252</v>
      </c>
      <c r="UYZ76" s="343" t="s">
        <v>1300</v>
      </c>
      <c r="UZA76" s="343" t="s">
        <v>252</v>
      </c>
      <c r="UZB76" s="343" t="s">
        <v>1300</v>
      </c>
      <c r="UZC76" s="343" t="s">
        <v>252</v>
      </c>
      <c r="UZD76" s="343" t="s">
        <v>1300</v>
      </c>
      <c r="UZE76" s="343" t="s">
        <v>252</v>
      </c>
      <c r="UZF76" s="343" t="s">
        <v>1300</v>
      </c>
      <c r="UZG76" s="343" t="s">
        <v>252</v>
      </c>
      <c r="UZH76" s="343" t="s">
        <v>1300</v>
      </c>
      <c r="UZI76" s="343" t="s">
        <v>252</v>
      </c>
      <c r="UZJ76" s="343" t="s">
        <v>1300</v>
      </c>
      <c r="UZK76" s="343" t="s">
        <v>252</v>
      </c>
      <c r="UZL76" s="343" t="s">
        <v>1300</v>
      </c>
      <c r="UZM76" s="343" t="s">
        <v>252</v>
      </c>
      <c r="UZN76" s="343" t="s">
        <v>1300</v>
      </c>
      <c r="UZO76" s="343" t="s">
        <v>252</v>
      </c>
      <c r="UZP76" s="343" t="s">
        <v>1300</v>
      </c>
      <c r="UZQ76" s="343" t="s">
        <v>252</v>
      </c>
      <c r="UZR76" s="343" t="s">
        <v>1300</v>
      </c>
      <c r="UZS76" s="343" t="s">
        <v>252</v>
      </c>
      <c r="UZT76" s="343" t="s">
        <v>1300</v>
      </c>
      <c r="UZU76" s="343" t="s">
        <v>252</v>
      </c>
      <c r="UZV76" s="343" t="s">
        <v>1300</v>
      </c>
      <c r="UZW76" s="343" t="s">
        <v>252</v>
      </c>
      <c r="UZX76" s="343" t="s">
        <v>1300</v>
      </c>
      <c r="UZY76" s="343" t="s">
        <v>252</v>
      </c>
      <c r="UZZ76" s="343" t="s">
        <v>1300</v>
      </c>
      <c r="VAA76" s="343" t="s">
        <v>252</v>
      </c>
      <c r="VAB76" s="343" t="s">
        <v>1300</v>
      </c>
      <c r="VAC76" s="343" t="s">
        <v>252</v>
      </c>
      <c r="VAD76" s="343" t="s">
        <v>1300</v>
      </c>
      <c r="VAE76" s="343" t="s">
        <v>252</v>
      </c>
      <c r="VAF76" s="343" t="s">
        <v>1300</v>
      </c>
      <c r="VAG76" s="343" t="s">
        <v>252</v>
      </c>
      <c r="VAH76" s="343" t="s">
        <v>1300</v>
      </c>
      <c r="VAI76" s="343" t="s">
        <v>252</v>
      </c>
      <c r="VAJ76" s="343" t="s">
        <v>1300</v>
      </c>
      <c r="VAK76" s="343" t="s">
        <v>252</v>
      </c>
      <c r="VAL76" s="343" t="s">
        <v>1300</v>
      </c>
      <c r="VAM76" s="343" t="s">
        <v>252</v>
      </c>
      <c r="VAN76" s="343" t="s">
        <v>1300</v>
      </c>
      <c r="VAO76" s="343" t="s">
        <v>252</v>
      </c>
      <c r="VAP76" s="343" t="s">
        <v>1300</v>
      </c>
      <c r="VAQ76" s="343" t="s">
        <v>252</v>
      </c>
      <c r="VAR76" s="343" t="s">
        <v>1300</v>
      </c>
      <c r="VAS76" s="343" t="s">
        <v>252</v>
      </c>
      <c r="VAT76" s="343" t="s">
        <v>1300</v>
      </c>
      <c r="VAU76" s="343" t="s">
        <v>252</v>
      </c>
      <c r="VAV76" s="343" t="s">
        <v>1300</v>
      </c>
      <c r="VAW76" s="343" t="s">
        <v>252</v>
      </c>
      <c r="VAX76" s="343" t="s">
        <v>1300</v>
      </c>
      <c r="VAY76" s="343" t="s">
        <v>252</v>
      </c>
      <c r="VAZ76" s="343" t="s">
        <v>1300</v>
      </c>
      <c r="VBA76" s="343" t="s">
        <v>252</v>
      </c>
      <c r="VBB76" s="343" t="s">
        <v>1300</v>
      </c>
      <c r="VBC76" s="343" t="s">
        <v>252</v>
      </c>
      <c r="VBD76" s="343" t="s">
        <v>1300</v>
      </c>
      <c r="VBE76" s="343" t="s">
        <v>252</v>
      </c>
      <c r="VBF76" s="343" t="s">
        <v>1300</v>
      </c>
      <c r="VBG76" s="343" t="s">
        <v>252</v>
      </c>
      <c r="VBH76" s="343" t="s">
        <v>1300</v>
      </c>
      <c r="VBI76" s="343" t="s">
        <v>252</v>
      </c>
      <c r="VBJ76" s="343" t="s">
        <v>1300</v>
      </c>
      <c r="VBK76" s="343" t="s">
        <v>252</v>
      </c>
      <c r="VBL76" s="343" t="s">
        <v>1300</v>
      </c>
      <c r="VBM76" s="343" t="s">
        <v>252</v>
      </c>
      <c r="VBN76" s="343" t="s">
        <v>1300</v>
      </c>
      <c r="VBO76" s="343" t="s">
        <v>252</v>
      </c>
      <c r="VBP76" s="343" t="s">
        <v>1300</v>
      </c>
      <c r="VBQ76" s="343" t="s">
        <v>252</v>
      </c>
      <c r="VBR76" s="343" t="s">
        <v>1300</v>
      </c>
      <c r="VBS76" s="343" t="s">
        <v>252</v>
      </c>
      <c r="VBT76" s="343" t="s">
        <v>1300</v>
      </c>
      <c r="VBU76" s="343" t="s">
        <v>252</v>
      </c>
      <c r="VBV76" s="343" t="s">
        <v>1300</v>
      </c>
      <c r="VBW76" s="343" t="s">
        <v>252</v>
      </c>
      <c r="VBX76" s="343" t="s">
        <v>1300</v>
      </c>
      <c r="VBY76" s="343" t="s">
        <v>252</v>
      </c>
      <c r="VBZ76" s="343" t="s">
        <v>1300</v>
      </c>
      <c r="VCA76" s="343" t="s">
        <v>252</v>
      </c>
      <c r="VCB76" s="343" t="s">
        <v>1300</v>
      </c>
      <c r="VCC76" s="343" t="s">
        <v>252</v>
      </c>
      <c r="VCD76" s="343" t="s">
        <v>1300</v>
      </c>
      <c r="VCE76" s="343" t="s">
        <v>252</v>
      </c>
      <c r="VCF76" s="343" t="s">
        <v>1300</v>
      </c>
      <c r="VCG76" s="343" t="s">
        <v>252</v>
      </c>
      <c r="VCH76" s="343" t="s">
        <v>1300</v>
      </c>
      <c r="VCI76" s="343" t="s">
        <v>252</v>
      </c>
      <c r="VCJ76" s="343" t="s">
        <v>1300</v>
      </c>
      <c r="VCK76" s="343" t="s">
        <v>252</v>
      </c>
      <c r="VCL76" s="343" t="s">
        <v>1300</v>
      </c>
      <c r="VCM76" s="343" t="s">
        <v>252</v>
      </c>
      <c r="VCN76" s="343" t="s">
        <v>1300</v>
      </c>
      <c r="VCO76" s="343" t="s">
        <v>252</v>
      </c>
      <c r="VCP76" s="343" t="s">
        <v>1300</v>
      </c>
      <c r="VCQ76" s="343" t="s">
        <v>252</v>
      </c>
      <c r="VCR76" s="343" t="s">
        <v>1300</v>
      </c>
      <c r="VCS76" s="343" t="s">
        <v>252</v>
      </c>
      <c r="VCT76" s="343" t="s">
        <v>1300</v>
      </c>
      <c r="VCU76" s="343" t="s">
        <v>252</v>
      </c>
      <c r="VCV76" s="343" t="s">
        <v>1300</v>
      </c>
      <c r="VCW76" s="343" t="s">
        <v>252</v>
      </c>
      <c r="VCX76" s="343" t="s">
        <v>1300</v>
      </c>
      <c r="VCY76" s="343" t="s">
        <v>252</v>
      </c>
      <c r="VCZ76" s="343" t="s">
        <v>1300</v>
      </c>
      <c r="VDA76" s="343" t="s">
        <v>252</v>
      </c>
      <c r="VDB76" s="343" t="s">
        <v>1300</v>
      </c>
      <c r="VDC76" s="343" t="s">
        <v>252</v>
      </c>
      <c r="VDD76" s="343" t="s">
        <v>1300</v>
      </c>
      <c r="VDE76" s="343" t="s">
        <v>252</v>
      </c>
      <c r="VDF76" s="343" t="s">
        <v>1300</v>
      </c>
      <c r="VDG76" s="343" t="s">
        <v>252</v>
      </c>
      <c r="VDH76" s="343" t="s">
        <v>1300</v>
      </c>
      <c r="VDI76" s="343" t="s">
        <v>252</v>
      </c>
      <c r="VDJ76" s="343" t="s">
        <v>1300</v>
      </c>
      <c r="VDK76" s="343" t="s">
        <v>252</v>
      </c>
      <c r="VDL76" s="343" t="s">
        <v>1300</v>
      </c>
      <c r="VDM76" s="343" t="s">
        <v>252</v>
      </c>
      <c r="VDN76" s="343" t="s">
        <v>1300</v>
      </c>
      <c r="VDO76" s="343" t="s">
        <v>252</v>
      </c>
      <c r="VDP76" s="343" t="s">
        <v>1300</v>
      </c>
      <c r="VDQ76" s="343" t="s">
        <v>252</v>
      </c>
      <c r="VDR76" s="343" t="s">
        <v>1300</v>
      </c>
      <c r="VDS76" s="343" t="s">
        <v>252</v>
      </c>
      <c r="VDT76" s="343" t="s">
        <v>1300</v>
      </c>
      <c r="VDU76" s="343" t="s">
        <v>252</v>
      </c>
      <c r="VDV76" s="343" t="s">
        <v>1300</v>
      </c>
      <c r="VDW76" s="343" t="s">
        <v>252</v>
      </c>
      <c r="VDX76" s="343" t="s">
        <v>1300</v>
      </c>
      <c r="VDY76" s="343" t="s">
        <v>252</v>
      </c>
      <c r="VDZ76" s="343" t="s">
        <v>1300</v>
      </c>
      <c r="VEA76" s="343" t="s">
        <v>252</v>
      </c>
      <c r="VEB76" s="343" t="s">
        <v>1300</v>
      </c>
      <c r="VEC76" s="343" t="s">
        <v>252</v>
      </c>
      <c r="VED76" s="343" t="s">
        <v>1300</v>
      </c>
      <c r="VEE76" s="343" t="s">
        <v>252</v>
      </c>
      <c r="VEF76" s="343" t="s">
        <v>1300</v>
      </c>
      <c r="VEG76" s="343" t="s">
        <v>252</v>
      </c>
      <c r="VEH76" s="343" t="s">
        <v>1300</v>
      </c>
      <c r="VEI76" s="343" t="s">
        <v>252</v>
      </c>
      <c r="VEJ76" s="343" t="s">
        <v>1300</v>
      </c>
      <c r="VEK76" s="343" t="s">
        <v>252</v>
      </c>
      <c r="VEL76" s="343" t="s">
        <v>1300</v>
      </c>
      <c r="VEM76" s="343" t="s">
        <v>252</v>
      </c>
      <c r="VEN76" s="343" t="s">
        <v>1300</v>
      </c>
      <c r="VEO76" s="343" t="s">
        <v>252</v>
      </c>
      <c r="VEP76" s="343" t="s">
        <v>1300</v>
      </c>
      <c r="VEQ76" s="343" t="s">
        <v>252</v>
      </c>
      <c r="VER76" s="343" t="s">
        <v>1300</v>
      </c>
      <c r="VES76" s="343" t="s">
        <v>252</v>
      </c>
      <c r="VET76" s="343" t="s">
        <v>1300</v>
      </c>
      <c r="VEU76" s="343" t="s">
        <v>252</v>
      </c>
      <c r="VEV76" s="343" t="s">
        <v>1300</v>
      </c>
      <c r="VEW76" s="343" t="s">
        <v>252</v>
      </c>
      <c r="VEX76" s="343" t="s">
        <v>1300</v>
      </c>
      <c r="VEY76" s="343" t="s">
        <v>252</v>
      </c>
      <c r="VEZ76" s="343" t="s">
        <v>1300</v>
      </c>
      <c r="VFA76" s="343" t="s">
        <v>252</v>
      </c>
      <c r="VFB76" s="343" t="s">
        <v>1300</v>
      </c>
      <c r="VFC76" s="343" t="s">
        <v>252</v>
      </c>
      <c r="VFD76" s="343" t="s">
        <v>1300</v>
      </c>
      <c r="VFE76" s="343" t="s">
        <v>252</v>
      </c>
      <c r="VFF76" s="343" t="s">
        <v>1300</v>
      </c>
      <c r="VFG76" s="343" t="s">
        <v>252</v>
      </c>
      <c r="VFH76" s="343" t="s">
        <v>1300</v>
      </c>
      <c r="VFI76" s="343" t="s">
        <v>252</v>
      </c>
      <c r="VFJ76" s="343" t="s">
        <v>1300</v>
      </c>
      <c r="VFK76" s="343" t="s">
        <v>252</v>
      </c>
      <c r="VFL76" s="343" t="s">
        <v>1300</v>
      </c>
      <c r="VFM76" s="343" t="s">
        <v>252</v>
      </c>
      <c r="VFN76" s="343" t="s">
        <v>1300</v>
      </c>
      <c r="VFO76" s="343" t="s">
        <v>252</v>
      </c>
      <c r="VFP76" s="343" t="s">
        <v>1300</v>
      </c>
      <c r="VFQ76" s="343" t="s">
        <v>252</v>
      </c>
      <c r="VFR76" s="343" t="s">
        <v>1300</v>
      </c>
      <c r="VFS76" s="343" t="s">
        <v>252</v>
      </c>
      <c r="VFT76" s="343" t="s">
        <v>1300</v>
      </c>
      <c r="VFU76" s="343" t="s">
        <v>252</v>
      </c>
      <c r="VFV76" s="343" t="s">
        <v>1300</v>
      </c>
      <c r="VFW76" s="343" t="s">
        <v>252</v>
      </c>
      <c r="VFX76" s="343" t="s">
        <v>1300</v>
      </c>
      <c r="VFY76" s="343" t="s">
        <v>252</v>
      </c>
      <c r="VFZ76" s="343" t="s">
        <v>1300</v>
      </c>
      <c r="VGA76" s="343" t="s">
        <v>252</v>
      </c>
      <c r="VGB76" s="343" t="s">
        <v>1300</v>
      </c>
      <c r="VGC76" s="343" t="s">
        <v>252</v>
      </c>
      <c r="VGD76" s="343" t="s">
        <v>1300</v>
      </c>
      <c r="VGE76" s="343" t="s">
        <v>252</v>
      </c>
      <c r="VGF76" s="343" t="s">
        <v>1300</v>
      </c>
      <c r="VGG76" s="343" t="s">
        <v>252</v>
      </c>
      <c r="VGH76" s="343" t="s">
        <v>1300</v>
      </c>
      <c r="VGI76" s="343" t="s">
        <v>252</v>
      </c>
      <c r="VGJ76" s="343" t="s">
        <v>1300</v>
      </c>
      <c r="VGK76" s="343" t="s">
        <v>252</v>
      </c>
      <c r="VGL76" s="343" t="s">
        <v>1300</v>
      </c>
      <c r="VGM76" s="343" t="s">
        <v>252</v>
      </c>
      <c r="VGN76" s="343" t="s">
        <v>1300</v>
      </c>
      <c r="VGO76" s="343" t="s">
        <v>252</v>
      </c>
      <c r="VGP76" s="343" t="s">
        <v>1300</v>
      </c>
      <c r="VGQ76" s="343" t="s">
        <v>252</v>
      </c>
      <c r="VGR76" s="343" t="s">
        <v>1300</v>
      </c>
      <c r="VGS76" s="343" t="s">
        <v>252</v>
      </c>
      <c r="VGT76" s="343" t="s">
        <v>1300</v>
      </c>
      <c r="VGU76" s="343" t="s">
        <v>252</v>
      </c>
      <c r="VGV76" s="343" t="s">
        <v>1300</v>
      </c>
      <c r="VGW76" s="343" t="s">
        <v>252</v>
      </c>
      <c r="VGX76" s="343" t="s">
        <v>1300</v>
      </c>
      <c r="VGY76" s="343" t="s">
        <v>252</v>
      </c>
      <c r="VGZ76" s="343" t="s">
        <v>1300</v>
      </c>
      <c r="VHA76" s="343" t="s">
        <v>252</v>
      </c>
      <c r="VHB76" s="343" t="s">
        <v>1300</v>
      </c>
      <c r="VHC76" s="343" t="s">
        <v>252</v>
      </c>
      <c r="VHD76" s="343" t="s">
        <v>1300</v>
      </c>
      <c r="VHE76" s="343" t="s">
        <v>252</v>
      </c>
      <c r="VHF76" s="343" t="s">
        <v>1300</v>
      </c>
      <c r="VHG76" s="343" t="s">
        <v>252</v>
      </c>
      <c r="VHH76" s="343" t="s">
        <v>1300</v>
      </c>
      <c r="VHI76" s="343" t="s">
        <v>252</v>
      </c>
      <c r="VHJ76" s="343" t="s">
        <v>1300</v>
      </c>
      <c r="VHK76" s="343" t="s">
        <v>252</v>
      </c>
      <c r="VHL76" s="343" t="s">
        <v>1300</v>
      </c>
      <c r="VHM76" s="343" t="s">
        <v>252</v>
      </c>
      <c r="VHN76" s="343" t="s">
        <v>1300</v>
      </c>
      <c r="VHO76" s="343" t="s">
        <v>252</v>
      </c>
      <c r="VHP76" s="343" t="s">
        <v>1300</v>
      </c>
      <c r="VHQ76" s="343" t="s">
        <v>252</v>
      </c>
      <c r="VHR76" s="343" t="s">
        <v>1300</v>
      </c>
      <c r="VHS76" s="343" t="s">
        <v>252</v>
      </c>
      <c r="VHT76" s="343" t="s">
        <v>1300</v>
      </c>
      <c r="VHU76" s="343" t="s">
        <v>252</v>
      </c>
      <c r="VHV76" s="343" t="s">
        <v>1300</v>
      </c>
      <c r="VHW76" s="343" t="s">
        <v>252</v>
      </c>
      <c r="VHX76" s="343" t="s">
        <v>1300</v>
      </c>
      <c r="VHY76" s="343" t="s">
        <v>252</v>
      </c>
      <c r="VHZ76" s="343" t="s">
        <v>1300</v>
      </c>
      <c r="VIA76" s="343" t="s">
        <v>252</v>
      </c>
      <c r="VIB76" s="343" t="s">
        <v>1300</v>
      </c>
      <c r="VIC76" s="343" t="s">
        <v>252</v>
      </c>
      <c r="VID76" s="343" t="s">
        <v>1300</v>
      </c>
      <c r="VIE76" s="343" t="s">
        <v>252</v>
      </c>
      <c r="VIF76" s="343" t="s">
        <v>1300</v>
      </c>
      <c r="VIG76" s="343" t="s">
        <v>252</v>
      </c>
      <c r="VIH76" s="343" t="s">
        <v>1300</v>
      </c>
      <c r="VII76" s="343" t="s">
        <v>252</v>
      </c>
      <c r="VIJ76" s="343" t="s">
        <v>1300</v>
      </c>
      <c r="VIK76" s="343" t="s">
        <v>252</v>
      </c>
      <c r="VIL76" s="343" t="s">
        <v>1300</v>
      </c>
      <c r="VIM76" s="343" t="s">
        <v>252</v>
      </c>
      <c r="VIN76" s="343" t="s">
        <v>1300</v>
      </c>
      <c r="VIO76" s="343" t="s">
        <v>252</v>
      </c>
      <c r="VIP76" s="343" t="s">
        <v>1300</v>
      </c>
      <c r="VIQ76" s="343" t="s">
        <v>252</v>
      </c>
      <c r="VIR76" s="343" t="s">
        <v>1300</v>
      </c>
      <c r="VIS76" s="343" t="s">
        <v>252</v>
      </c>
      <c r="VIT76" s="343" t="s">
        <v>1300</v>
      </c>
      <c r="VIU76" s="343" t="s">
        <v>252</v>
      </c>
      <c r="VIV76" s="343" t="s">
        <v>1300</v>
      </c>
      <c r="VIW76" s="343" t="s">
        <v>252</v>
      </c>
      <c r="VIX76" s="343" t="s">
        <v>1300</v>
      </c>
      <c r="VIY76" s="343" t="s">
        <v>252</v>
      </c>
      <c r="VIZ76" s="343" t="s">
        <v>1300</v>
      </c>
      <c r="VJA76" s="343" t="s">
        <v>252</v>
      </c>
      <c r="VJB76" s="343" t="s">
        <v>1300</v>
      </c>
      <c r="VJC76" s="343" t="s">
        <v>252</v>
      </c>
      <c r="VJD76" s="343" t="s">
        <v>1300</v>
      </c>
      <c r="VJE76" s="343" t="s">
        <v>252</v>
      </c>
      <c r="VJF76" s="343" t="s">
        <v>1300</v>
      </c>
      <c r="VJG76" s="343" t="s">
        <v>252</v>
      </c>
      <c r="VJH76" s="343" t="s">
        <v>1300</v>
      </c>
      <c r="VJI76" s="343" t="s">
        <v>252</v>
      </c>
      <c r="VJJ76" s="343" t="s">
        <v>1300</v>
      </c>
      <c r="VJK76" s="343" t="s">
        <v>252</v>
      </c>
      <c r="VJL76" s="343" t="s">
        <v>1300</v>
      </c>
      <c r="VJM76" s="343" t="s">
        <v>252</v>
      </c>
      <c r="VJN76" s="343" t="s">
        <v>1300</v>
      </c>
      <c r="VJO76" s="343" t="s">
        <v>252</v>
      </c>
      <c r="VJP76" s="343" t="s">
        <v>1300</v>
      </c>
      <c r="VJQ76" s="343" t="s">
        <v>252</v>
      </c>
      <c r="VJR76" s="343" t="s">
        <v>1300</v>
      </c>
      <c r="VJS76" s="343" t="s">
        <v>252</v>
      </c>
      <c r="VJT76" s="343" t="s">
        <v>1300</v>
      </c>
      <c r="VJU76" s="343" t="s">
        <v>252</v>
      </c>
      <c r="VJV76" s="343" t="s">
        <v>1300</v>
      </c>
      <c r="VJW76" s="343" t="s">
        <v>252</v>
      </c>
      <c r="VJX76" s="343" t="s">
        <v>1300</v>
      </c>
      <c r="VJY76" s="343" t="s">
        <v>252</v>
      </c>
      <c r="VJZ76" s="343" t="s">
        <v>1300</v>
      </c>
      <c r="VKA76" s="343" t="s">
        <v>252</v>
      </c>
      <c r="VKB76" s="343" t="s">
        <v>1300</v>
      </c>
      <c r="VKC76" s="343" t="s">
        <v>252</v>
      </c>
      <c r="VKD76" s="343" t="s">
        <v>1300</v>
      </c>
      <c r="VKE76" s="343" t="s">
        <v>252</v>
      </c>
      <c r="VKF76" s="343" t="s">
        <v>1300</v>
      </c>
      <c r="VKG76" s="343" t="s">
        <v>252</v>
      </c>
      <c r="VKH76" s="343" t="s">
        <v>1300</v>
      </c>
      <c r="VKI76" s="343" t="s">
        <v>252</v>
      </c>
      <c r="VKJ76" s="343" t="s">
        <v>1300</v>
      </c>
      <c r="VKK76" s="343" t="s">
        <v>252</v>
      </c>
      <c r="VKL76" s="343" t="s">
        <v>1300</v>
      </c>
      <c r="VKM76" s="343" t="s">
        <v>252</v>
      </c>
      <c r="VKN76" s="343" t="s">
        <v>1300</v>
      </c>
      <c r="VKO76" s="343" t="s">
        <v>252</v>
      </c>
      <c r="VKP76" s="343" t="s">
        <v>1300</v>
      </c>
      <c r="VKQ76" s="343" t="s">
        <v>252</v>
      </c>
      <c r="VKR76" s="343" t="s">
        <v>1300</v>
      </c>
      <c r="VKS76" s="343" t="s">
        <v>252</v>
      </c>
      <c r="VKT76" s="343" t="s">
        <v>1300</v>
      </c>
      <c r="VKU76" s="343" t="s">
        <v>252</v>
      </c>
      <c r="VKV76" s="343" t="s">
        <v>1300</v>
      </c>
      <c r="VKW76" s="343" t="s">
        <v>252</v>
      </c>
      <c r="VKX76" s="343" t="s">
        <v>1300</v>
      </c>
      <c r="VKY76" s="343" t="s">
        <v>252</v>
      </c>
      <c r="VKZ76" s="343" t="s">
        <v>1300</v>
      </c>
      <c r="VLA76" s="343" t="s">
        <v>252</v>
      </c>
      <c r="VLB76" s="343" t="s">
        <v>1300</v>
      </c>
      <c r="VLC76" s="343" t="s">
        <v>252</v>
      </c>
      <c r="VLD76" s="343" t="s">
        <v>1300</v>
      </c>
      <c r="VLE76" s="343" t="s">
        <v>252</v>
      </c>
      <c r="VLF76" s="343" t="s">
        <v>1300</v>
      </c>
      <c r="VLG76" s="343" t="s">
        <v>252</v>
      </c>
      <c r="VLH76" s="343" t="s">
        <v>1300</v>
      </c>
      <c r="VLI76" s="343" t="s">
        <v>252</v>
      </c>
      <c r="VLJ76" s="343" t="s">
        <v>1300</v>
      </c>
      <c r="VLK76" s="343" t="s">
        <v>252</v>
      </c>
      <c r="VLL76" s="343" t="s">
        <v>1300</v>
      </c>
      <c r="VLM76" s="343" t="s">
        <v>252</v>
      </c>
      <c r="VLN76" s="343" t="s">
        <v>1300</v>
      </c>
      <c r="VLO76" s="343" t="s">
        <v>252</v>
      </c>
      <c r="VLP76" s="343" t="s">
        <v>1300</v>
      </c>
      <c r="VLQ76" s="343" t="s">
        <v>252</v>
      </c>
      <c r="VLR76" s="343" t="s">
        <v>1300</v>
      </c>
      <c r="VLS76" s="343" t="s">
        <v>252</v>
      </c>
      <c r="VLT76" s="343" t="s">
        <v>1300</v>
      </c>
      <c r="VLU76" s="343" t="s">
        <v>252</v>
      </c>
      <c r="VLV76" s="343" t="s">
        <v>1300</v>
      </c>
      <c r="VLW76" s="343" t="s">
        <v>252</v>
      </c>
      <c r="VLX76" s="343" t="s">
        <v>1300</v>
      </c>
      <c r="VLY76" s="343" t="s">
        <v>252</v>
      </c>
      <c r="VLZ76" s="343" t="s">
        <v>1300</v>
      </c>
      <c r="VMA76" s="343" t="s">
        <v>252</v>
      </c>
      <c r="VMB76" s="343" t="s">
        <v>1300</v>
      </c>
      <c r="VMC76" s="343" t="s">
        <v>252</v>
      </c>
      <c r="VMD76" s="343" t="s">
        <v>1300</v>
      </c>
      <c r="VME76" s="343" t="s">
        <v>252</v>
      </c>
      <c r="VMF76" s="343" t="s">
        <v>1300</v>
      </c>
      <c r="VMG76" s="343" t="s">
        <v>252</v>
      </c>
      <c r="VMH76" s="343" t="s">
        <v>1300</v>
      </c>
      <c r="VMI76" s="343" t="s">
        <v>252</v>
      </c>
      <c r="VMJ76" s="343" t="s">
        <v>1300</v>
      </c>
      <c r="VMK76" s="343" t="s">
        <v>252</v>
      </c>
      <c r="VML76" s="343" t="s">
        <v>1300</v>
      </c>
      <c r="VMM76" s="343" t="s">
        <v>252</v>
      </c>
      <c r="VMN76" s="343" t="s">
        <v>1300</v>
      </c>
      <c r="VMO76" s="343" t="s">
        <v>252</v>
      </c>
      <c r="VMP76" s="343" t="s">
        <v>1300</v>
      </c>
      <c r="VMQ76" s="343" t="s">
        <v>252</v>
      </c>
      <c r="VMR76" s="343" t="s">
        <v>1300</v>
      </c>
      <c r="VMS76" s="343" t="s">
        <v>252</v>
      </c>
      <c r="VMT76" s="343" t="s">
        <v>1300</v>
      </c>
      <c r="VMU76" s="343" t="s">
        <v>252</v>
      </c>
      <c r="VMV76" s="343" t="s">
        <v>1300</v>
      </c>
      <c r="VMW76" s="343" t="s">
        <v>252</v>
      </c>
      <c r="VMX76" s="343" t="s">
        <v>1300</v>
      </c>
      <c r="VMY76" s="343" t="s">
        <v>252</v>
      </c>
      <c r="VMZ76" s="343" t="s">
        <v>1300</v>
      </c>
      <c r="VNA76" s="343" t="s">
        <v>252</v>
      </c>
      <c r="VNB76" s="343" t="s">
        <v>1300</v>
      </c>
      <c r="VNC76" s="343" t="s">
        <v>252</v>
      </c>
      <c r="VND76" s="343" t="s">
        <v>1300</v>
      </c>
      <c r="VNE76" s="343" t="s">
        <v>252</v>
      </c>
      <c r="VNF76" s="343" t="s">
        <v>1300</v>
      </c>
      <c r="VNG76" s="343" t="s">
        <v>252</v>
      </c>
      <c r="VNH76" s="343" t="s">
        <v>1300</v>
      </c>
      <c r="VNI76" s="343" t="s">
        <v>252</v>
      </c>
      <c r="VNJ76" s="343" t="s">
        <v>1300</v>
      </c>
      <c r="VNK76" s="343" t="s">
        <v>252</v>
      </c>
      <c r="VNL76" s="343" t="s">
        <v>1300</v>
      </c>
      <c r="VNM76" s="343" t="s">
        <v>252</v>
      </c>
      <c r="VNN76" s="343" t="s">
        <v>1300</v>
      </c>
      <c r="VNO76" s="343" t="s">
        <v>252</v>
      </c>
      <c r="VNP76" s="343" t="s">
        <v>1300</v>
      </c>
      <c r="VNQ76" s="343" t="s">
        <v>252</v>
      </c>
      <c r="VNR76" s="343" t="s">
        <v>1300</v>
      </c>
      <c r="VNS76" s="343" t="s">
        <v>252</v>
      </c>
      <c r="VNT76" s="343" t="s">
        <v>1300</v>
      </c>
      <c r="VNU76" s="343" t="s">
        <v>252</v>
      </c>
      <c r="VNV76" s="343" t="s">
        <v>1300</v>
      </c>
      <c r="VNW76" s="343" t="s">
        <v>252</v>
      </c>
      <c r="VNX76" s="343" t="s">
        <v>1300</v>
      </c>
      <c r="VNY76" s="343" t="s">
        <v>252</v>
      </c>
      <c r="VNZ76" s="343" t="s">
        <v>1300</v>
      </c>
      <c r="VOA76" s="343" t="s">
        <v>252</v>
      </c>
      <c r="VOB76" s="343" t="s">
        <v>1300</v>
      </c>
      <c r="VOC76" s="343" t="s">
        <v>252</v>
      </c>
      <c r="VOD76" s="343" t="s">
        <v>1300</v>
      </c>
      <c r="VOE76" s="343" t="s">
        <v>252</v>
      </c>
      <c r="VOF76" s="343" t="s">
        <v>1300</v>
      </c>
      <c r="VOG76" s="343" t="s">
        <v>252</v>
      </c>
      <c r="VOH76" s="343" t="s">
        <v>1300</v>
      </c>
      <c r="VOI76" s="343" t="s">
        <v>252</v>
      </c>
      <c r="VOJ76" s="343" t="s">
        <v>1300</v>
      </c>
      <c r="VOK76" s="343" t="s">
        <v>252</v>
      </c>
      <c r="VOL76" s="343" t="s">
        <v>1300</v>
      </c>
      <c r="VOM76" s="343" t="s">
        <v>252</v>
      </c>
      <c r="VON76" s="343" t="s">
        <v>1300</v>
      </c>
      <c r="VOO76" s="343" t="s">
        <v>252</v>
      </c>
      <c r="VOP76" s="343" t="s">
        <v>1300</v>
      </c>
      <c r="VOQ76" s="343" t="s">
        <v>252</v>
      </c>
      <c r="VOR76" s="343" t="s">
        <v>1300</v>
      </c>
      <c r="VOS76" s="343" t="s">
        <v>252</v>
      </c>
      <c r="VOT76" s="343" t="s">
        <v>1300</v>
      </c>
      <c r="VOU76" s="343" t="s">
        <v>252</v>
      </c>
      <c r="VOV76" s="343" t="s">
        <v>1300</v>
      </c>
      <c r="VOW76" s="343" t="s">
        <v>252</v>
      </c>
      <c r="VOX76" s="343" t="s">
        <v>1300</v>
      </c>
      <c r="VOY76" s="343" t="s">
        <v>252</v>
      </c>
      <c r="VOZ76" s="343" t="s">
        <v>1300</v>
      </c>
      <c r="VPA76" s="343" t="s">
        <v>252</v>
      </c>
      <c r="VPB76" s="343" t="s">
        <v>1300</v>
      </c>
      <c r="VPC76" s="343" t="s">
        <v>252</v>
      </c>
      <c r="VPD76" s="343" t="s">
        <v>1300</v>
      </c>
      <c r="VPE76" s="343" t="s">
        <v>252</v>
      </c>
      <c r="VPF76" s="343" t="s">
        <v>1300</v>
      </c>
      <c r="VPG76" s="343" t="s">
        <v>252</v>
      </c>
      <c r="VPH76" s="343" t="s">
        <v>1300</v>
      </c>
      <c r="VPI76" s="343" t="s">
        <v>252</v>
      </c>
      <c r="VPJ76" s="343" t="s">
        <v>1300</v>
      </c>
      <c r="VPK76" s="343" t="s">
        <v>252</v>
      </c>
      <c r="VPL76" s="343" t="s">
        <v>1300</v>
      </c>
      <c r="VPM76" s="343" t="s">
        <v>252</v>
      </c>
      <c r="VPN76" s="343" t="s">
        <v>1300</v>
      </c>
      <c r="VPO76" s="343" t="s">
        <v>252</v>
      </c>
      <c r="VPP76" s="343" t="s">
        <v>1300</v>
      </c>
      <c r="VPQ76" s="343" t="s">
        <v>252</v>
      </c>
      <c r="VPR76" s="343" t="s">
        <v>1300</v>
      </c>
      <c r="VPS76" s="343" t="s">
        <v>252</v>
      </c>
      <c r="VPT76" s="343" t="s">
        <v>1300</v>
      </c>
      <c r="VPU76" s="343" t="s">
        <v>252</v>
      </c>
      <c r="VPV76" s="343" t="s">
        <v>1300</v>
      </c>
      <c r="VPW76" s="343" t="s">
        <v>252</v>
      </c>
      <c r="VPX76" s="343" t="s">
        <v>1300</v>
      </c>
      <c r="VPY76" s="343" t="s">
        <v>252</v>
      </c>
      <c r="VPZ76" s="343" t="s">
        <v>1300</v>
      </c>
      <c r="VQA76" s="343" t="s">
        <v>252</v>
      </c>
      <c r="VQB76" s="343" t="s">
        <v>1300</v>
      </c>
      <c r="VQC76" s="343" t="s">
        <v>252</v>
      </c>
      <c r="VQD76" s="343" t="s">
        <v>1300</v>
      </c>
      <c r="VQE76" s="343" t="s">
        <v>252</v>
      </c>
      <c r="VQF76" s="343" t="s">
        <v>1300</v>
      </c>
      <c r="VQG76" s="343" t="s">
        <v>252</v>
      </c>
      <c r="VQH76" s="343" t="s">
        <v>1300</v>
      </c>
      <c r="VQI76" s="343" t="s">
        <v>252</v>
      </c>
      <c r="VQJ76" s="343" t="s">
        <v>1300</v>
      </c>
      <c r="VQK76" s="343" t="s">
        <v>252</v>
      </c>
      <c r="VQL76" s="343" t="s">
        <v>1300</v>
      </c>
      <c r="VQM76" s="343" t="s">
        <v>252</v>
      </c>
      <c r="VQN76" s="343" t="s">
        <v>1300</v>
      </c>
      <c r="VQO76" s="343" t="s">
        <v>252</v>
      </c>
      <c r="VQP76" s="343" t="s">
        <v>1300</v>
      </c>
      <c r="VQQ76" s="343" t="s">
        <v>252</v>
      </c>
      <c r="VQR76" s="343" t="s">
        <v>1300</v>
      </c>
      <c r="VQS76" s="343" t="s">
        <v>252</v>
      </c>
      <c r="VQT76" s="343" t="s">
        <v>1300</v>
      </c>
      <c r="VQU76" s="343" t="s">
        <v>252</v>
      </c>
      <c r="VQV76" s="343" t="s">
        <v>1300</v>
      </c>
      <c r="VQW76" s="343" t="s">
        <v>252</v>
      </c>
      <c r="VQX76" s="343" t="s">
        <v>1300</v>
      </c>
      <c r="VQY76" s="343" t="s">
        <v>252</v>
      </c>
      <c r="VQZ76" s="343" t="s">
        <v>1300</v>
      </c>
      <c r="VRA76" s="343" t="s">
        <v>252</v>
      </c>
      <c r="VRB76" s="343" t="s">
        <v>1300</v>
      </c>
      <c r="VRC76" s="343" t="s">
        <v>252</v>
      </c>
      <c r="VRD76" s="343" t="s">
        <v>1300</v>
      </c>
      <c r="VRE76" s="343" t="s">
        <v>252</v>
      </c>
      <c r="VRF76" s="343" t="s">
        <v>1300</v>
      </c>
      <c r="VRG76" s="343" t="s">
        <v>252</v>
      </c>
      <c r="VRH76" s="343" t="s">
        <v>1300</v>
      </c>
      <c r="VRI76" s="343" t="s">
        <v>252</v>
      </c>
      <c r="VRJ76" s="343" t="s">
        <v>1300</v>
      </c>
      <c r="VRK76" s="343" t="s">
        <v>252</v>
      </c>
      <c r="VRL76" s="343" t="s">
        <v>1300</v>
      </c>
      <c r="VRM76" s="343" t="s">
        <v>252</v>
      </c>
      <c r="VRN76" s="343" t="s">
        <v>1300</v>
      </c>
      <c r="VRO76" s="343" t="s">
        <v>252</v>
      </c>
      <c r="VRP76" s="343" t="s">
        <v>1300</v>
      </c>
      <c r="VRQ76" s="343" t="s">
        <v>252</v>
      </c>
      <c r="VRR76" s="343" t="s">
        <v>1300</v>
      </c>
      <c r="VRS76" s="343" t="s">
        <v>252</v>
      </c>
      <c r="VRT76" s="343" t="s">
        <v>1300</v>
      </c>
      <c r="VRU76" s="343" t="s">
        <v>252</v>
      </c>
      <c r="VRV76" s="343" t="s">
        <v>1300</v>
      </c>
      <c r="VRW76" s="343" t="s">
        <v>252</v>
      </c>
      <c r="VRX76" s="343" t="s">
        <v>1300</v>
      </c>
      <c r="VRY76" s="343" t="s">
        <v>252</v>
      </c>
      <c r="VRZ76" s="343" t="s">
        <v>1300</v>
      </c>
      <c r="VSA76" s="343" t="s">
        <v>252</v>
      </c>
      <c r="VSB76" s="343" t="s">
        <v>1300</v>
      </c>
      <c r="VSC76" s="343" t="s">
        <v>252</v>
      </c>
      <c r="VSD76" s="343" t="s">
        <v>1300</v>
      </c>
      <c r="VSE76" s="343" t="s">
        <v>252</v>
      </c>
      <c r="VSF76" s="343" t="s">
        <v>1300</v>
      </c>
      <c r="VSG76" s="343" t="s">
        <v>252</v>
      </c>
      <c r="VSH76" s="343" t="s">
        <v>1300</v>
      </c>
      <c r="VSI76" s="343" t="s">
        <v>252</v>
      </c>
      <c r="VSJ76" s="343" t="s">
        <v>1300</v>
      </c>
      <c r="VSK76" s="343" t="s">
        <v>252</v>
      </c>
      <c r="VSL76" s="343" t="s">
        <v>1300</v>
      </c>
      <c r="VSM76" s="343" t="s">
        <v>252</v>
      </c>
      <c r="VSN76" s="343" t="s">
        <v>1300</v>
      </c>
      <c r="VSO76" s="343" t="s">
        <v>252</v>
      </c>
      <c r="VSP76" s="343" t="s">
        <v>1300</v>
      </c>
      <c r="VSQ76" s="343" t="s">
        <v>252</v>
      </c>
      <c r="VSR76" s="343" t="s">
        <v>1300</v>
      </c>
      <c r="VSS76" s="343" t="s">
        <v>252</v>
      </c>
      <c r="VST76" s="343" t="s">
        <v>1300</v>
      </c>
      <c r="VSU76" s="343" t="s">
        <v>252</v>
      </c>
      <c r="VSV76" s="343" t="s">
        <v>1300</v>
      </c>
      <c r="VSW76" s="343" t="s">
        <v>252</v>
      </c>
      <c r="VSX76" s="343" t="s">
        <v>1300</v>
      </c>
      <c r="VSY76" s="343" t="s">
        <v>252</v>
      </c>
      <c r="VSZ76" s="343" t="s">
        <v>1300</v>
      </c>
      <c r="VTA76" s="343" t="s">
        <v>252</v>
      </c>
      <c r="VTB76" s="343" t="s">
        <v>1300</v>
      </c>
      <c r="VTC76" s="343" t="s">
        <v>252</v>
      </c>
      <c r="VTD76" s="343" t="s">
        <v>1300</v>
      </c>
      <c r="VTE76" s="343" t="s">
        <v>252</v>
      </c>
      <c r="VTF76" s="343" t="s">
        <v>1300</v>
      </c>
      <c r="VTG76" s="343" t="s">
        <v>252</v>
      </c>
      <c r="VTH76" s="343" t="s">
        <v>1300</v>
      </c>
      <c r="VTI76" s="343" t="s">
        <v>252</v>
      </c>
      <c r="VTJ76" s="343" t="s">
        <v>1300</v>
      </c>
      <c r="VTK76" s="343" t="s">
        <v>252</v>
      </c>
      <c r="VTL76" s="343" t="s">
        <v>1300</v>
      </c>
      <c r="VTM76" s="343" t="s">
        <v>252</v>
      </c>
      <c r="VTN76" s="343" t="s">
        <v>1300</v>
      </c>
      <c r="VTO76" s="343" t="s">
        <v>252</v>
      </c>
      <c r="VTP76" s="343" t="s">
        <v>1300</v>
      </c>
      <c r="VTQ76" s="343" t="s">
        <v>252</v>
      </c>
      <c r="VTR76" s="343" t="s">
        <v>1300</v>
      </c>
      <c r="VTS76" s="343" t="s">
        <v>252</v>
      </c>
      <c r="VTT76" s="343" t="s">
        <v>1300</v>
      </c>
      <c r="VTU76" s="343" t="s">
        <v>252</v>
      </c>
      <c r="VTV76" s="343" t="s">
        <v>1300</v>
      </c>
      <c r="VTW76" s="343" t="s">
        <v>252</v>
      </c>
      <c r="VTX76" s="343" t="s">
        <v>1300</v>
      </c>
      <c r="VTY76" s="343" t="s">
        <v>252</v>
      </c>
      <c r="VTZ76" s="343" t="s">
        <v>1300</v>
      </c>
      <c r="VUA76" s="343" t="s">
        <v>252</v>
      </c>
      <c r="VUB76" s="343" t="s">
        <v>1300</v>
      </c>
      <c r="VUC76" s="343" t="s">
        <v>252</v>
      </c>
      <c r="VUD76" s="343" t="s">
        <v>1300</v>
      </c>
      <c r="VUE76" s="343" t="s">
        <v>252</v>
      </c>
      <c r="VUF76" s="343" t="s">
        <v>1300</v>
      </c>
      <c r="VUG76" s="343" t="s">
        <v>252</v>
      </c>
      <c r="VUH76" s="343" t="s">
        <v>1300</v>
      </c>
      <c r="VUI76" s="343" t="s">
        <v>252</v>
      </c>
      <c r="VUJ76" s="343" t="s">
        <v>1300</v>
      </c>
      <c r="VUK76" s="343" t="s">
        <v>252</v>
      </c>
      <c r="VUL76" s="343" t="s">
        <v>1300</v>
      </c>
      <c r="VUM76" s="343" t="s">
        <v>252</v>
      </c>
      <c r="VUN76" s="343" t="s">
        <v>1300</v>
      </c>
      <c r="VUO76" s="343" t="s">
        <v>252</v>
      </c>
      <c r="VUP76" s="343" t="s">
        <v>1300</v>
      </c>
      <c r="VUQ76" s="343" t="s">
        <v>252</v>
      </c>
      <c r="VUR76" s="343" t="s">
        <v>1300</v>
      </c>
      <c r="VUS76" s="343" t="s">
        <v>252</v>
      </c>
      <c r="VUT76" s="343" t="s">
        <v>1300</v>
      </c>
      <c r="VUU76" s="343" t="s">
        <v>252</v>
      </c>
      <c r="VUV76" s="343" t="s">
        <v>1300</v>
      </c>
      <c r="VUW76" s="343" t="s">
        <v>252</v>
      </c>
      <c r="VUX76" s="343" t="s">
        <v>1300</v>
      </c>
      <c r="VUY76" s="343" t="s">
        <v>252</v>
      </c>
      <c r="VUZ76" s="343" t="s">
        <v>1300</v>
      </c>
      <c r="VVA76" s="343" t="s">
        <v>252</v>
      </c>
      <c r="VVB76" s="343" t="s">
        <v>1300</v>
      </c>
      <c r="VVC76" s="343" t="s">
        <v>252</v>
      </c>
      <c r="VVD76" s="343" t="s">
        <v>1300</v>
      </c>
      <c r="VVE76" s="343" t="s">
        <v>252</v>
      </c>
      <c r="VVF76" s="343" t="s">
        <v>1300</v>
      </c>
      <c r="VVG76" s="343" t="s">
        <v>252</v>
      </c>
      <c r="VVH76" s="343" t="s">
        <v>1300</v>
      </c>
      <c r="VVI76" s="343" t="s">
        <v>252</v>
      </c>
      <c r="VVJ76" s="343" t="s">
        <v>1300</v>
      </c>
      <c r="VVK76" s="343" t="s">
        <v>252</v>
      </c>
      <c r="VVL76" s="343" t="s">
        <v>1300</v>
      </c>
      <c r="VVM76" s="343" t="s">
        <v>252</v>
      </c>
      <c r="VVN76" s="343" t="s">
        <v>1300</v>
      </c>
      <c r="VVO76" s="343" t="s">
        <v>252</v>
      </c>
      <c r="VVP76" s="343" t="s">
        <v>1300</v>
      </c>
      <c r="VVQ76" s="343" t="s">
        <v>252</v>
      </c>
      <c r="VVR76" s="343" t="s">
        <v>1300</v>
      </c>
      <c r="VVS76" s="343" t="s">
        <v>252</v>
      </c>
      <c r="VVT76" s="343" t="s">
        <v>1300</v>
      </c>
      <c r="VVU76" s="343" t="s">
        <v>252</v>
      </c>
      <c r="VVV76" s="343" t="s">
        <v>1300</v>
      </c>
      <c r="VVW76" s="343" t="s">
        <v>252</v>
      </c>
      <c r="VVX76" s="343" t="s">
        <v>1300</v>
      </c>
      <c r="VVY76" s="343" t="s">
        <v>252</v>
      </c>
      <c r="VVZ76" s="343" t="s">
        <v>1300</v>
      </c>
      <c r="VWA76" s="343" t="s">
        <v>252</v>
      </c>
      <c r="VWB76" s="343" t="s">
        <v>1300</v>
      </c>
      <c r="VWC76" s="343" t="s">
        <v>252</v>
      </c>
      <c r="VWD76" s="343" t="s">
        <v>1300</v>
      </c>
      <c r="VWE76" s="343" t="s">
        <v>252</v>
      </c>
      <c r="VWF76" s="343" t="s">
        <v>1300</v>
      </c>
      <c r="VWG76" s="343" t="s">
        <v>252</v>
      </c>
      <c r="VWH76" s="343" t="s">
        <v>1300</v>
      </c>
      <c r="VWI76" s="343" t="s">
        <v>252</v>
      </c>
      <c r="VWJ76" s="343" t="s">
        <v>1300</v>
      </c>
      <c r="VWK76" s="343" t="s">
        <v>252</v>
      </c>
      <c r="VWL76" s="343" t="s">
        <v>1300</v>
      </c>
      <c r="VWM76" s="343" t="s">
        <v>252</v>
      </c>
      <c r="VWN76" s="343" t="s">
        <v>1300</v>
      </c>
      <c r="VWO76" s="343" t="s">
        <v>252</v>
      </c>
      <c r="VWP76" s="343" t="s">
        <v>1300</v>
      </c>
      <c r="VWQ76" s="343" t="s">
        <v>252</v>
      </c>
      <c r="VWR76" s="343" t="s">
        <v>1300</v>
      </c>
      <c r="VWS76" s="343" t="s">
        <v>252</v>
      </c>
      <c r="VWT76" s="343" t="s">
        <v>1300</v>
      </c>
      <c r="VWU76" s="343" t="s">
        <v>252</v>
      </c>
      <c r="VWV76" s="343" t="s">
        <v>1300</v>
      </c>
      <c r="VWW76" s="343" t="s">
        <v>252</v>
      </c>
      <c r="VWX76" s="343" t="s">
        <v>1300</v>
      </c>
      <c r="VWY76" s="343" t="s">
        <v>252</v>
      </c>
      <c r="VWZ76" s="343" t="s">
        <v>1300</v>
      </c>
      <c r="VXA76" s="343" t="s">
        <v>252</v>
      </c>
      <c r="VXB76" s="343" t="s">
        <v>1300</v>
      </c>
      <c r="VXC76" s="343" t="s">
        <v>252</v>
      </c>
      <c r="VXD76" s="343" t="s">
        <v>1300</v>
      </c>
      <c r="VXE76" s="343" t="s">
        <v>252</v>
      </c>
      <c r="VXF76" s="343" t="s">
        <v>1300</v>
      </c>
      <c r="VXG76" s="343" t="s">
        <v>252</v>
      </c>
      <c r="VXH76" s="343" t="s">
        <v>1300</v>
      </c>
      <c r="VXI76" s="343" t="s">
        <v>252</v>
      </c>
      <c r="VXJ76" s="343" t="s">
        <v>1300</v>
      </c>
      <c r="VXK76" s="343" t="s">
        <v>252</v>
      </c>
      <c r="VXL76" s="343" t="s">
        <v>1300</v>
      </c>
      <c r="VXM76" s="343" t="s">
        <v>252</v>
      </c>
      <c r="VXN76" s="343" t="s">
        <v>1300</v>
      </c>
      <c r="VXO76" s="343" t="s">
        <v>252</v>
      </c>
      <c r="VXP76" s="343" t="s">
        <v>1300</v>
      </c>
      <c r="VXQ76" s="343" t="s">
        <v>252</v>
      </c>
      <c r="VXR76" s="343" t="s">
        <v>1300</v>
      </c>
      <c r="VXS76" s="343" t="s">
        <v>252</v>
      </c>
      <c r="VXT76" s="343" t="s">
        <v>1300</v>
      </c>
      <c r="VXU76" s="343" t="s">
        <v>252</v>
      </c>
      <c r="VXV76" s="343" t="s">
        <v>1300</v>
      </c>
      <c r="VXW76" s="343" t="s">
        <v>252</v>
      </c>
      <c r="VXX76" s="343" t="s">
        <v>1300</v>
      </c>
      <c r="VXY76" s="343" t="s">
        <v>252</v>
      </c>
      <c r="VXZ76" s="343" t="s">
        <v>1300</v>
      </c>
      <c r="VYA76" s="343" t="s">
        <v>252</v>
      </c>
      <c r="VYB76" s="343" t="s">
        <v>1300</v>
      </c>
      <c r="VYC76" s="343" t="s">
        <v>252</v>
      </c>
      <c r="VYD76" s="343" t="s">
        <v>1300</v>
      </c>
      <c r="VYE76" s="343" t="s">
        <v>252</v>
      </c>
      <c r="VYF76" s="343" t="s">
        <v>1300</v>
      </c>
      <c r="VYG76" s="343" t="s">
        <v>252</v>
      </c>
      <c r="VYH76" s="343" t="s">
        <v>1300</v>
      </c>
      <c r="VYI76" s="343" t="s">
        <v>252</v>
      </c>
      <c r="VYJ76" s="343" t="s">
        <v>1300</v>
      </c>
      <c r="VYK76" s="343" t="s">
        <v>252</v>
      </c>
      <c r="VYL76" s="343" t="s">
        <v>1300</v>
      </c>
      <c r="VYM76" s="343" t="s">
        <v>252</v>
      </c>
      <c r="VYN76" s="343" t="s">
        <v>1300</v>
      </c>
      <c r="VYO76" s="343" t="s">
        <v>252</v>
      </c>
      <c r="VYP76" s="343" t="s">
        <v>1300</v>
      </c>
      <c r="VYQ76" s="343" t="s">
        <v>252</v>
      </c>
      <c r="VYR76" s="343" t="s">
        <v>1300</v>
      </c>
      <c r="VYS76" s="343" t="s">
        <v>252</v>
      </c>
      <c r="VYT76" s="343" t="s">
        <v>1300</v>
      </c>
      <c r="VYU76" s="343" t="s">
        <v>252</v>
      </c>
      <c r="VYV76" s="343" t="s">
        <v>1300</v>
      </c>
      <c r="VYW76" s="343" t="s">
        <v>252</v>
      </c>
      <c r="VYX76" s="343" t="s">
        <v>1300</v>
      </c>
      <c r="VYY76" s="343" t="s">
        <v>252</v>
      </c>
      <c r="VYZ76" s="343" t="s">
        <v>1300</v>
      </c>
      <c r="VZA76" s="343" t="s">
        <v>252</v>
      </c>
      <c r="VZB76" s="343" t="s">
        <v>1300</v>
      </c>
      <c r="VZC76" s="343" t="s">
        <v>252</v>
      </c>
      <c r="VZD76" s="343" t="s">
        <v>1300</v>
      </c>
      <c r="VZE76" s="343" t="s">
        <v>252</v>
      </c>
      <c r="VZF76" s="343" t="s">
        <v>1300</v>
      </c>
      <c r="VZG76" s="343" t="s">
        <v>252</v>
      </c>
      <c r="VZH76" s="343" t="s">
        <v>1300</v>
      </c>
      <c r="VZI76" s="343" t="s">
        <v>252</v>
      </c>
      <c r="VZJ76" s="343" t="s">
        <v>1300</v>
      </c>
      <c r="VZK76" s="343" t="s">
        <v>252</v>
      </c>
      <c r="VZL76" s="343" t="s">
        <v>1300</v>
      </c>
      <c r="VZM76" s="343" t="s">
        <v>252</v>
      </c>
      <c r="VZN76" s="343" t="s">
        <v>1300</v>
      </c>
      <c r="VZO76" s="343" t="s">
        <v>252</v>
      </c>
      <c r="VZP76" s="343" t="s">
        <v>1300</v>
      </c>
      <c r="VZQ76" s="343" t="s">
        <v>252</v>
      </c>
      <c r="VZR76" s="343" t="s">
        <v>1300</v>
      </c>
      <c r="VZS76" s="343" t="s">
        <v>252</v>
      </c>
      <c r="VZT76" s="343" t="s">
        <v>1300</v>
      </c>
      <c r="VZU76" s="343" t="s">
        <v>252</v>
      </c>
      <c r="VZV76" s="343" t="s">
        <v>1300</v>
      </c>
      <c r="VZW76" s="343" t="s">
        <v>252</v>
      </c>
      <c r="VZX76" s="343" t="s">
        <v>1300</v>
      </c>
      <c r="VZY76" s="343" t="s">
        <v>252</v>
      </c>
      <c r="VZZ76" s="343" t="s">
        <v>1300</v>
      </c>
      <c r="WAA76" s="343" t="s">
        <v>252</v>
      </c>
      <c r="WAB76" s="343" t="s">
        <v>1300</v>
      </c>
      <c r="WAC76" s="343" t="s">
        <v>252</v>
      </c>
      <c r="WAD76" s="343" t="s">
        <v>1300</v>
      </c>
      <c r="WAE76" s="343" t="s">
        <v>252</v>
      </c>
      <c r="WAF76" s="343" t="s">
        <v>1300</v>
      </c>
      <c r="WAG76" s="343" t="s">
        <v>252</v>
      </c>
      <c r="WAH76" s="343" t="s">
        <v>1300</v>
      </c>
      <c r="WAI76" s="343" t="s">
        <v>252</v>
      </c>
      <c r="WAJ76" s="343" t="s">
        <v>1300</v>
      </c>
      <c r="WAK76" s="343" t="s">
        <v>252</v>
      </c>
      <c r="WAL76" s="343" t="s">
        <v>1300</v>
      </c>
      <c r="WAM76" s="343" t="s">
        <v>252</v>
      </c>
      <c r="WAN76" s="343" t="s">
        <v>1300</v>
      </c>
      <c r="WAO76" s="343" t="s">
        <v>252</v>
      </c>
      <c r="WAP76" s="343" t="s">
        <v>1300</v>
      </c>
      <c r="WAQ76" s="343" t="s">
        <v>252</v>
      </c>
      <c r="WAR76" s="343" t="s">
        <v>1300</v>
      </c>
      <c r="WAS76" s="343" t="s">
        <v>252</v>
      </c>
      <c r="WAT76" s="343" t="s">
        <v>1300</v>
      </c>
      <c r="WAU76" s="343" t="s">
        <v>252</v>
      </c>
      <c r="WAV76" s="343" t="s">
        <v>1300</v>
      </c>
      <c r="WAW76" s="343" t="s">
        <v>252</v>
      </c>
      <c r="WAX76" s="343" t="s">
        <v>1300</v>
      </c>
      <c r="WAY76" s="343" t="s">
        <v>252</v>
      </c>
      <c r="WAZ76" s="343" t="s">
        <v>1300</v>
      </c>
      <c r="WBA76" s="343" t="s">
        <v>252</v>
      </c>
      <c r="WBB76" s="343" t="s">
        <v>1300</v>
      </c>
      <c r="WBC76" s="343" t="s">
        <v>252</v>
      </c>
      <c r="WBD76" s="343" t="s">
        <v>1300</v>
      </c>
      <c r="WBE76" s="343" t="s">
        <v>252</v>
      </c>
      <c r="WBF76" s="343" t="s">
        <v>1300</v>
      </c>
      <c r="WBG76" s="343" t="s">
        <v>252</v>
      </c>
      <c r="WBH76" s="343" t="s">
        <v>1300</v>
      </c>
      <c r="WBI76" s="343" t="s">
        <v>252</v>
      </c>
      <c r="WBJ76" s="343" t="s">
        <v>1300</v>
      </c>
      <c r="WBK76" s="343" t="s">
        <v>252</v>
      </c>
      <c r="WBL76" s="343" t="s">
        <v>1300</v>
      </c>
      <c r="WBM76" s="343" t="s">
        <v>252</v>
      </c>
      <c r="WBN76" s="343" t="s">
        <v>1300</v>
      </c>
      <c r="WBO76" s="343" t="s">
        <v>252</v>
      </c>
      <c r="WBP76" s="343" t="s">
        <v>1300</v>
      </c>
      <c r="WBQ76" s="343" t="s">
        <v>252</v>
      </c>
      <c r="WBR76" s="343" t="s">
        <v>1300</v>
      </c>
      <c r="WBS76" s="343" t="s">
        <v>252</v>
      </c>
      <c r="WBT76" s="343" t="s">
        <v>1300</v>
      </c>
      <c r="WBU76" s="343" t="s">
        <v>252</v>
      </c>
      <c r="WBV76" s="343" t="s">
        <v>1300</v>
      </c>
      <c r="WBW76" s="343" t="s">
        <v>252</v>
      </c>
      <c r="WBX76" s="343" t="s">
        <v>1300</v>
      </c>
      <c r="WBY76" s="343" t="s">
        <v>252</v>
      </c>
      <c r="WBZ76" s="343" t="s">
        <v>1300</v>
      </c>
      <c r="WCA76" s="343" t="s">
        <v>252</v>
      </c>
      <c r="WCB76" s="343" t="s">
        <v>1300</v>
      </c>
      <c r="WCC76" s="343" t="s">
        <v>252</v>
      </c>
      <c r="WCD76" s="343" t="s">
        <v>1300</v>
      </c>
      <c r="WCE76" s="343" t="s">
        <v>252</v>
      </c>
      <c r="WCF76" s="343" t="s">
        <v>1300</v>
      </c>
      <c r="WCG76" s="343" t="s">
        <v>252</v>
      </c>
      <c r="WCH76" s="343" t="s">
        <v>1300</v>
      </c>
      <c r="WCI76" s="343" t="s">
        <v>252</v>
      </c>
      <c r="WCJ76" s="343" t="s">
        <v>1300</v>
      </c>
      <c r="WCK76" s="343" t="s">
        <v>252</v>
      </c>
      <c r="WCL76" s="343" t="s">
        <v>1300</v>
      </c>
      <c r="WCM76" s="343" t="s">
        <v>252</v>
      </c>
      <c r="WCN76" s="343" t="s">
        <v>1300</v>
      </c>
      <c r="WCO76" s="343" t="s">
        <v>252</v>
      </c>
      <c r="WCP76" s="343" t="s">
        <v>1300</v>
      </c>
      <c r="WCQ76" s="343" t="s">
        <v>252</v>
      </c>
      <c r="WCR76" s="343" t="s">
        <v>1300</v>
      </c>
      <c r="WCS76" s="343" t="s">
        <v>252</v>
      </c>
      <c r="WCT76" s="343" t="s">
        <v>1300</v>
      </c>
      <c r="WCU76" s="343" t="s">
        <v>252</v>
      </c>
      <c r="WCV76" s="343" t="s">
        <v>1300</v>
      </c>
      <c r="WCW76" s="343" t="s">
        <v>252</v>
      </c>
      <c r="WCX76" s="343" t="s">
        <v>1300</v>
      </c>
      <c r="WCY76" s="343" t="s">
        <v>252</v>
      </c>
      <c r="WCZ76" s="343" t="s">
        <v>1300</v>
      </c>
      <c r="WDA76" s="343" t="s">
        <v>252</v>
      </c>
      <c r="WDB76" s="343" t="s">
        <v>1300</v>
      </c>
      <c r="WDC76" s="343" t="s">
        <v>252</v>
      </c>
      <c r="WDD76" s="343" t="s">
        <v>1300</v>
      </c>
      <c r="WDE76" s="343" t="s">
        <v>252</v>
      </c>
      <c r="WDF76" s="343" t="s">
        <v>1300</v>
      </c>
      <c r="WDG76" s="343" t="s">
        <v>252</v>
      </c>
      <c r="WDH76" s="343" t="s">
        <v>1300</v>
      </c>
      <c r="WDI76" s="343" t="s">
        <v>252</v>
      </c>
      <c r="WDJ76" s="343" t="s">
        <v>1300</v>
      </c>
      <c r="WDK76" s="343" t="s">
        <v>252</v>
      </c>
      <c r="WDL76" s="343" t="s">
        <v>1300</v>
      </c>
      <c r="WDM76" s="343" t="s">
        <v>252</v>
      </c>
      <c r="WDN76" s="343" t="s">
        <v>1300</v>
      </c>
      <c r="WDO76" s="343" t="s">
        <v>252</v>
      </c>
      <c r="WDP76" s="343" t="s">
        <v>1300</v>
      </c>
      <c r="WDQ76" s="343" t="s">
        <v>252</v>
      </c>
      <c r="WDR76" s="343" t="s">
        <v>1300</v>
      </c>
      <c r="WDS76" s="343" t="s">
        <v>252</v>
      </c>
      <c r="WDT76" s="343" t="s">
        <v>1300</v>
      </c>
      <c r="WDU76" s="343" t="s">
        <v>252</v>
      </c>
      <c r="WDV76" s="343" t="s">
        <v>1300</v>
      </c>
      <c r="WDW76" s="343" t="s">
        <v>252</v>
      </c>
      <c r="WDX76" s="343" t="s">
        <v>1300</v>
      </c>
      <c r="WDY76" s="343" t="s">
        <v>252</v>
      </c>
      <c r="WDZ76" s="343" t="s">
        <v>1300</v>
      </c>
      <c r="WEA76" s="343" t="s">
        <v>252</v>
      </c>
      <c r="WEB76" s="343" t="s">
        <v>1300</v>
      </c>
      <c r="WEC76" s="343" t="s">
        <v>252</v>
      </c>
      <c r="WED76" s="343" t="s">
        <v>1300</v>
      </c>
      <c r="WEE76" s="343" t="s">
        <v>252</v>
      </c>
      <c r="WEF76" s="343" t="s">
        <v>1300</v>
      </c>
      <c r="WEG76" s="343" t="s">
        <v>252</v>
      </c>
      <c r="WEH76" s="343" t="s">
        <v>1300</v>
      </c>
      <c r="WEI76" s="343" t="s">
        <v>252</v>
      </c>
      <c r="WEJ76" s="343" t="s">
        <v>1300</v>
      </c>
      <c r="WEK76" s="343" t="s">
        <v>252</v>
      </c>
      <c r="WEL76" s="343" t="s">
        <v>1300</v>
      </c>
      <c r="WEM76" s="343" t="s">
        <v>252</v>
      </c>
      <c r="WEN76" s="343" t="s">
        <v>1300</v>
      </c>
      <c r="WEO76" s="343" t="s">
        <v>252</v>
      </c>
      <c r="WEP76" s="343" t="s">
        <v>1300</v>
      </c>
      <c r="WEQ76" s="343" t="s">
        <v>252</v>
      </c>
      <c r="WER76" s="343" t="s">
        <v>1300</v>
      </c>
      <c r="WES76" s="343" t="s">
        <v>252</v>
      </c>
      <c r="WET76" s="343" t="s">
        <v>1300</v>
      </c>
      <c r="WEU76" s="343" t="s">
        <v>252</v>
      </c>
      <c r="WEV76" s="343" t="s">
        <v>1300</v>
      </c>
      <c r="WEW76" s="343" t="s">
        <v>252</v>
      </c>
      <c r="WEX76" s="343" t="s">
        <v>1300</v>
      </c>
      <c r="WEY76" s="343" t="s">
        <v>252</v>
      </c>
      <c r="WEZ76" s="343" t="s">
        <v>1300</v>
      </c>
      <c r="WFA76" s="343" t="s">
        <v>252</v>
      </c>
      <c r="WFB76" s="343" t="s">
        <v>1300</v>
      </c>
      <c r="WFC76" s="343" t="s">
        <v>252</v>
      </c>
      <c r="WFD76" s="343" t="s">
        <v>1300</v>
      </c>
      <c r="WFE76" s="343" t="s">
        <v>252</v>
      </c>
      <c r="WFF76" s="343" t="s">
        <v>1300</v>
      </c>
      <c r="WFG76" s="343" t="s">
        <v>252</v>
      </c>
      <c r="WFH76" s="343" t="s">
        <v>1300</v>
      </c>
      <c r="WFI76" s="343" t="s">
        <v>252</v>
      </c>
      <c r="WFJ76" s="343" t="s">
        <v>1300</v>
      </c>
      <c r="WFK76" s="343" t="s">
        <v>252</v>
      </c>
      <c r="WFL76" s="343" t="s">
        <v>1300</v>
      </c>
      <c r="WFM76" s="343" t="s">
        <v>252</v>
      </c>
      <c r="WFN76" s="343" t="s">
        <v>1300</v>
      </c>
      <c r="WFO76" s="343" t="s">
        <v>252</v>
      </c>
      <c r="WFP76" s="343" t="s">
        <v>1300</v>
      </c>
      <c r="WFQ76" s="343" t="s">
        <v>252</v>
      </c>
      <c r="WFR76" s="343" t="s">
        <v>1300</v>
      </c>
      <c r="WFS76" s="343" t="s">
        <v>252</v>
      </c>
      <c r="WFT76" s="343" t="s">
        <v>1300</v>
      </c>
      <c r="WFU76" s="343" t="s">
        <v>252</v>
      </c>
      <c r="WFV76" s="343" t="s">
        <v>1300</v>
      </c>
      <c r="WFW76" s="343" t="s">
        <v>252</v>
      </c>
      <c r="WFX76" s="343" t="s">
        <v>1300</v>
      </c>
      <c r="WFY76" s="343" t="s">
        <v>252</v>
      </c>
      <c r="WFZ76" s="343" t="s">
        <v>1300</v>
      </c>
      <c r="WGA76" s="343" t="s">
        <v>252</v>
      </c>
      <c r="WGB76" s="343" t="s">
        <v>1300</v>
      </c>
      <c r="WGC76" s="343" t="s">
        <v>252</v>
      </c>
      <c r="WGD76" s="343" t="s">
        <v>1300</v>
      </c>
      <c r="WGE76" s="343" t="s">
        <v>252</v>
      </c>
      <c r="WGF76" s="343" t="s">
        <v>1300</v>
      </c>
      <c r="WGG76" s="343" t="s">
        <v>252</v>
      </c>
      <c r="WGH76" s="343" t="s">
        <v>1300</v>
      </c>
      <c r="WGI76" s="343" t="s">
        <v>252</v>
      </c>
      <c r="WGJ76" s="343" t="s">
        <v>1300</v>
      </c>
      <c r="WGK76" s="343" t="s">
        <v>252</v>
      </c>
      <c r="WGL76" s="343" t="s">
        <v>1300</v>
      </c>
      <c r="WGM76" s="343" t="s">
        <v>252</v>
      </c>
      <c r="WGN76" s="343" t="s">
        <v>1300</v>
      </c>
      <c r="WGO76" s="343" t="s">
        <v>252</v>
      </c>
      <c r="WGP76" s="343" t="s">
        <v>1300</v>
      </c>
      <c r="WGQ76" s="343" t="s">
        <v>252</v>
      </c>
      <c r="WGR76" s="343" t="s">
        <v>1300</v>
      </c>
      <c r="WGS76" s="343" t="s">
        <v>252</v>
      </c>
      <c r="WGT76" s="343" t="s">
        <v>1300</v>
      </c>
      <c r="WGU76" s="343" t="s">
        <v>252</v>
      </c>
      <c r="WGV76" s="343" t="s">
        <v>1300</v>
      </c>
      <c r="WGW76" s="343" t="s">
        <v>252</v>
      </c>
      <c r="WGX76" s="343" t="s">
        <v>1300</v>
      </c>
      <c r="WGY76" s="343" t="s">
        <v>252</v>
      </c>
      <c r="WGZ76" s="343" t="s">
        <v>1300</v>
      </c>
      <c r="WHA76" s="343" t="s">
        <v>252</v>
      </c>
      <c r="WHB76" s="343" t="s">
        <v>1300</v>
      </c>
      <c r="WHC76" s="343" t="s">
        <v>252</v>
      </c>
      <c r="WHD76" s="343" t="s">
        <v>1300</v>
      </c>
      <c r="WHE76" s="343" t="s">
        <v>252</v>
      </c>
      <c r="WHF76" s="343" t="s">
        <v>1300</v>
      </c>
      <c r="WHG76" s="343" t="s">
        <v>252</v>
      </c>
      <c r="WHH76" s="343" t="s">
        <v>1300</v>
      </c>
      <c r="WHI76" s="343" t="s">
        <v>252</v>
      </c>
      <c r="WHJ76" s="343" t="s">
        <v>1300</v>
      </c>
      <c r="WHK76" s="343" t="s">
        <v>252</v>
      </c>
      <c r="WHL76" s="343" t="s">
        <v>1300</v>
      </c>
      <c r="WHM76" s="343" t="s">
        <v>252</v>
      </c>
      <c r="WHN76" s="343" t="s">
        <v>1300</v>
      </c>
      <c r="WHO76" s="343" t="s">
        <v>252</v>
      </c>
      <c r="WHP76" s="343" t="s">
        <v>1300</v>
      </c>
      <c r="WHQ76" s="343" t="s">
        <v>252</v>
      </c>
      <c r="WHR76" s="343" t="s">
        <v>1300</v>
      </c>
      <c r="WHS76" s="343" t="s">
        <v>252</v>
      </c>
      <c r="WHT76" s="343" t="s">
        <v>1300</v>
      </c>
      <c r="WHU76" s="343" t="s">
        <v>252</v>
      </c>
      <c r="WHV76" s="343" t="s">
        <v>1300</v>
      </c>
      <c r="WHW76" s="343" t="s">
        <v>252</v>
      </c>
      <c r="WHX76" s="343" t="s">
        <v>1300</v>
      </c>
      <c r="WHY76" s="343" t="s">
        <v>252</v>
      </c>
      <c r="WHZ76" s="343" t="s">
        <v>1300</v>
      </c>
      <c r="WIA76" s="343" t="s">
        <v>252</v>
      </c>
      <c r="WIB76" s="343" t="s">
        <v>1300</v>
      </c>
      <c r="WIC76" s="343" t="s">
        <v>252</v>
      </c>
      <c r="WID76" s="343" t="s">
        <v>1300</v>
      </c>
      <c r="WIE76" s="343" t="s">
        <v>252</v>
      </c>
      <c r="WIF76" s="343" t="s">
        <v>1300</v>
      </c>
      <c r="WIG76" s="343" t="s">
        <v>252</v>
      </c>
      <c r="WIH76" s="343" t="s">
        <v>1300</v>
      </c>
      <c r="WII76" s="343" t="s">
        <v>252</v>
      </c>
      <c r="WIJ76" s="343" t="s">
        <v>1300</v>
      </c>
      <c r="WIK76" s="343" t="s">
        <v>252</v>
      </c>
      <c r="WIL76" s="343" t="s">
        <v>1300</v>
      </c>
      <c r="WIM76" s="343" t="s">
        <v>252</v>
      </c>
      <c r="WIN76" s="343" t="s">
        <v>1300</v>
      </c>
      <c r="WIO76" s="343" t="s">
        <v>252</v>
      </c>
      <c r="WIP76" s="343" t="s">
        <v>1300</v>
      </c>
      <c r="WIQ76" s="343" t="s">
        <v>252</v>
      </c>
      <c r="WIR76" s="343" t="s">
        <v>1300</v>
      </c>
      <c r="WIS76" s="343" t="s">
        <v>252</v>
      </c>
      <c r="WIT76" s="343" t="s">
        <v>1300</v>
      </c>
      <c r="WIU76" s="343" t="s">
        <v>252</v>
      </c>
      <c r="WIV76" s="343" t="s">
        <v>1300</v>
      </c>
      <c r="WIW76" s="343" t="s">
        <v>252</v>
      </c>
      <c r="WIX76" s="343" t="s">
        <v>1300</v>
      </c>
      <c r="WIY76" s="343" t="s">
        <v>252</v>
      </c>
      <c r="WIZ76" s="343" t="s">
        <v>1300</v>
      </c>
      <c r="WJA76" s="343" t="s">
        <v>252</v>
      </c>
      <c r="WJB76" s="343" t="s">
        <v>1300</v>
      </c>
      <c r="WJC76" s="343" t="s">
        <v>252</v>
      </c>
      <c r="WJD76" s="343" t="s">
        <v>1300</v>
      </c>
      <c r="WJE76" s="343" t="s">
        <v>252</v>
      </c>
      <c r="WJF76" s="343" t="s">
        <v>1300</v>
      </c>
      <c r="WJG76" s="343" t="s">
        <v>252</v>
      </c>
      <c r="WJH76" s="343" t="s">
        <v>1300</v>
      </c>
      <c r="WJI76" s="343" t="s">
        <v>252</v>
      </c>
      <c r="WJJ76" s="343" t="s">
        <v>1300</v>
      </c>
      <c r="WJK76" s="343" t="s">
        <v>252</v>
      </c>
      <c r="WJL76" s="343" t="s">
        <v>1300</v>
      </c>
      <c r="WJM76" s="343" t="s">
        <v>252</v>
      </c>
      <c r="WJN76" s="343" t="s">
        <v>1300</v>
      </c>
      <c r="WJO76" s="343" t="s">
        <v>252</v>
      </c>
      <c r="WJP76" s="343" t="s">
        <v>1300</v>
      </c>
      <c r="WJQ76" s="343" t="s">
        <v>252</v>
      </c>
      <c r="WJR76" s="343" t="s">
        <v>1300</v>
      </c>
      <c r="WJS76" s="343" t="s">
        <v>252</v>
      </c>
      <c r="WJT76" s="343" t="s">
        <v>1300</v>
      </c>
      <c r="WJU76" s="343" t="s">
        <v>252</v>
      </c>
      <c r="WJV76" s="343" t="s">
        <v>1300</v>
      </c>
      <c r="WJW76" s="343" t="s">
        <v>252</v>
      </c>
      <c r="WJX76" s="343" t="s">
        <v>1300</v>
      </c>
      <c r="WJY76" s="343" t="s">
        <v>252</v>
      </c>
      <c r="WJZ76" s="343" t="s">
        <v>1300</v>
      </c>
      <c r="WKA76" s="343" t="s">
        <v>252</v>
      </c>
      <c r="WKB76" s="343" t="s">
        <v>1300</v>
      </c>
      <c r="WKC76" s="343" t="s">
        <v>252</v>
      </c>
      <c r="WKD76" s="343" t="s">
        <v>1300</v>
      </c>
      <c r="WKE76" s="343" t="s">
        <v>252</v>
      </c>
      <c r="WKF76" s="343" t="s">
        <v>1300</v>
      </c>
      <c r="WKG76" s="343" t="s">
        <v>252</v>
      </c>
      <c r="WKH76" s="343" t="s">
        <v>1300</v>
      </c>
      <c r="WKI76" s="343" t="s">
        <v>252</v>
      </c>
      <c r="WKJ76" s="343" t="s">
        <v>1300</v>
      </c>
      <c r="WKK76" s="343" t="s">
        <v>252</v>
      </c>
      <c r="WKL76" s="343" t="s">
        <v>1300</v>
      </c>
      <c r="WKM76" s="343" t="s">
        <v>252</v>
      </c>
      <c r="WKN76" s="343" t="s">
        <v>1300</v>
      </c>
      <c r="WKO76" s="343" t="s">
        <v>252</v>
      </c>
      <c r="WKP76" s="343" t="s">
        <v>1300</v>
      </c>
      <c r="WKQ76" s="343" t="s">
        <v>252</v>
      </c>
      <c r="WKR76" s="343" t="s">
        <v>1300</v>
      </c>
      <c r="WKS76" s="343" t="s">
        <v>252</v>
      </c>
      <c r="WKT76" s="343" t="s">
        <v>1300</v>
      </c>
      <c r="WKU76" s="343" t="s">
        <v>252</v>
      </c>
      <c r="WKV76" s="343" t="s">
        <v>1300</v>
      </c>
      <c r="WKW76" s="343" t="s">
        <v>252</v>
      </c>
      <c r="WKX76" s="343" t="s">
        <v>1300</v>
      </c>
      <c r="WKY76" s="343" t="s">
        <v>252</v>
      </c>
      <c r="WKZ76" s="343" t="s">
        <v>1300</v>
      </c>
      <c r="WLA76" s="343" t="s">
        <v>252</v>
      </c>
      <c r="WLB76" s="343" t="s">
        <v>1300</v>
      </c>
      <c r="WLC76" s="343" t="s">
        <v>252</v>
      </c>
      <c r="WLD76" s="343" t="s">
        <v>1300</v>
      </c>
      <c r="WLE76" s="343" t="s">
        <v>252</v>
      </c>
      <c r="WLF76" s="343" t="s">
        <v>1300</v>
      </c>
      <c r="WLG76" s="343" t="s">
        <v>252</v>
      </c>
      <c r="WLH76" s="343" t="s">
        <v>1300</v>
      </c>
      <c r="WLI76" s="343" t="s">
        <v>252</v>
      </c>
      <c r="WLJ76" s="343" t="s">
        <v>1300</v>
      </c>
      <c r="WLK76" s="343" t="s">
        <v>252</v>
      </c>
      <c r="WLL76" s="343" t="s">
        <v>1300</v>
      </c>
      <c r="WLM76" s="343" t="s">
        <v>252</v>
      </c>
      <c r="WLN76" s="343" t="s">
        <v>1300</v>
      </c>
      <c r="WLO76" s="343" t="s">
        <v>252</v>
      </c>
      <c r="WLP76" s="343" t="s">
        <v>1300</v>
      </c>
      <c r="WLQ76" s="343" t="s">
        <v>252</v>
      </c>
      <c r="WLR76" s="343" t="s">
        <v>1300</v>
      </c>
      <c r="WLS76" s="343" t="s">
        <v>252</v>
      </c>
      <c r="WLT76" s="343" t="s">
        <v>1300</v>
      </c>
      <c r="WLU76" s="343" t="s">
        <v>252</v>
      </c>
      <c r="WLV76" s="343" t="s">
        <v>1300</v>
      </c>
      <c r="WLW76" s="343" t="s">
        <v>252</v>
      </c>
      <c r="WLX76" s="343" t="s">
        <v>1300</v>
      </c>
      <c r="WLY76" s="343" t="s">
        <v>252</v>
      </c>
      <c r="WLZ76" s="343" t="s">
        <v>1300</v>
      </c>
      <c r="WMA76" s="343" t="s">
        <v>252</v>
      </c>
      <c r="WMB76" s="343" t="s">
        <v>1300</v>
      </c>
      <c r="WMC76" s="343" t="s">
        <v>252</v>
      </c>
      <c r="WMD76" s="343" t="s">
        <v>1300</v>
      </c>
      <c r="WME76" s="343" t="s">
        <v>252</v>
      </c>
      <c r="WMF76" s="343" t="s">
        <v>1300</v>
      </c>
      <c r="WMG76" s="343" t="s">
        <v>252</v>
      </c>
      <c r="WMH76" s="343" t="s">
        <v>1300</v>
      </c>
      <c r="WMI76" s="343" t="s">
        <v>252</v>
      </c>
      <c r="WMJ76" s="343" t="s">
        <v>1300</v>
      </c>
      <c r="WMK76" s="343" t="s">
        <v>252</v>
      </c>
      <c r="WML76" s="343" t="s">
        <v>1300</v>
      </c>
      <c r="WMM76" s="343" t="s">
        <v>252</v>
      </c>
      <c r="WMN76" s="343" t="s">
        <v>1300</v>
      </c>
      <c r="WMO76" s="343" t="s">
        <v>252</v>
      </c>
      <c r="WMP76" s="343" t="s">
        <v>1300</v>
      </c>
      <c r="WMQ76" s="343" t="s">
        <v>252</v>
      </c>
      <c r="WMR76" s="343" t="s">
        <v>1300</v>
      </c>
      <c r="WMS76" s="343" t="s">
        <v>252</v>
      </c>
      <c r="WMT76" s="343" t="s">
        <v>1300</v>
      </c>
      <c r="WMU76" s="343" t="s">
        <v>252</v>
      </c>
      <c r="WMV76" s="343" t="s">
        <v>1300</v>
      </c>
      <c r="WMW76" s="343" t="s">
        <v>252</v>
      </c>
      <c r="WMX76" s="343" t="s">
        <v>1300</v>
      </c>
      <c r="WMY76" s="343" t="s">
        <v>252</v>
      </c>
      <c r="WMZ76" s="343" t="s">
        <v>1300</v>
      </c>
      <c r="WNA76" s="343" t="s">
        <v>252</v>
      </c>
      <c r="WNB76" s="343" t="s">
        <v>1300</v>
      </c>
      <c r="WNC76" s="343" t="s">
        <v>252</v>
      </c>
      <c r="WND76" s="343" t="s">
        <v>1300</v>
      </c>
      <c r="WNE76" s="343" t="s">
        <v>252</v>
      </c>
      <c r="WNF76" s="343" t="s">
        <v>1300</v>
      </c>
      <c r="WNG76" s="343" t="s">
        <v>252</v>
      </c>
      <c r="WNH76" s="343" t="s">
        <v>1300</v>
      </c>
      <c r="WNI76" s="343" t="s">
        <v>252</v>
      </c>
      <c r="WNJ76" s="343" t="s">
        <v>1300</v>
      </c>
      <c r="WNK76" s="343" t="s">
        <v>252</v>
      </c>
      <c r="WNL76" s="343" t="s">
        <v>1300</v>
      </c>
      <c r="WNM76" s="343" t="s">
        <v>252</v>
      </c>
      <c r="WNN76" s="343" t="s">
        <v>1300</v>
      </c>
      <c r="WNO76" s="343" t="s">
        <v>252</v>
      </c>
      <c r="WNP76" s="343" t="s">
        <v>1300</v>
      </c>
      <c r="WNQ76" s="343" t="s">
        <v>252</v>
      </c>
      <c r="WNR76" s="343" t="s">
        <v>1300</v>
      </c>
      <c r="WNS76" s="343" t="s">
        <v>252</v>
      </c>
      <c r="WNT76" s="343" t="s">
        <v>1300</v>
      </c>
      <c r="WNU76" s="343" t="s">
        <v>252</v>
      </c>
      <c r="WNV76" s="343" t="s">
        <v>1300</v>
      </c>
      <c r="WNW76" s="343" t="s">
        <v>252</v>
      </c>
      <c r="WNX76" s="343" t="s">
        <v>1300</v>
      </c>
      <c r="WNY76" s="343" t="s">
        <v>252</v>
      </c>
      <c r="WNZ76" s="343" t="s">
        <v>1300</v>
      </c>
      <c r="WOA76" s="343" t="s">
        <v>252</v>
      </c>
      <c r="WOB76" s="343" t="s">
        <v>1300</v>
      </c>
      <c r="WOC76" s="343" t="s">
        <v>252</v>
      </c>
      <c r="WOD76" s="343" t="s">
        <v>1300</v>
      </c>
      <c r="WOE76" s="343" t="s">
        <v>252</v>
      </c>
      <c r="WOF76" s="343" t="s">
        <v>1300</v>
      </c>
      <c r="WOG76" s="343" t="s">
        <v>252</v>
      </c>
      <c r="WOH76" s="343" t="s">
        <v>1300</v>
      </c>
      <c r="WOI76" s="343" t="s">
        <v>252</v>
      </c>
      <c r="WOJ76" s="343" t="s">
        <v>1300</v>
      </c>
      <c r="WOK76" s="343" t="s">
        <v>252</v>
      </c>
      <c r="WOL76" s="343" t="s">
        <v>1300</v>
      </c>
      <c r="WOM76" s="343" t="s">
        <v>252</v>
      </c>
      <c r="WON76" s="343" t="s">
        <v>1300</v>
      </c>
      <c r="WOO76" s="343" t="s">
        <v>252</v>
      </c>
      <c r="WOP76" s="343" t="s">
        <v>1300</v>
      </c>
      <c r="WOQ76" s="343" t="s">
        <v>252</v>
      </c>
      <c r="WOR76" s="343" t="s">
        <v>1300</v>
      </c>
      <c r="WOS76" s="343" t="s">
        <v>252</v>
      </c>
      <c r="WOT76" s="343" t="s">
        <v>1300</v>
      </c>
      <c r="WOU76" s="343" t="s">
        <v>252</v>
      </c>
      <c r="WOV76" s="343" t="s">
        <v>1300</v>
      </c>
      <c r="WOW76" s="343" t="s">
        <v>252</v>
      </c>
      <c r="WOX76" s="343" t="s">
        <v>1300</v>
      </c>
      <c r="WOY76" s="343" t="s">
        <v>252</v>
      </c>
      <c r="WOZ76" s="343" t="s">
        <v>1300</v>
      </c>
      <c r="WPA76" s="343" t="s">
        <v>252</v>
      </c>
      <c r="WPB76" s="343" t="s">
        <v>1300</v>
      </c>
      <c r="WPC76" s="343" t="s">
        <v>252</v>
      </c>
      <c r="WPD76" s="343" t="s">
        <v>1300</v>
      </c>
      <c r="WPE76" s="343" t="s">
        <v>252</v>
      </c>
      <c r="WPF76" s="343" t="s">
        <v>1300</v>
      </c>
      <c r="WPG76" s="343" t="s">
        <v>252</v>
      </c>
      <c r="WPH76" s="343" t="s">
        <v>1300</v>
      </c>
      <c r="WPI76" s="343" t="s">
        <v>252</v>
      </c>
      <c r="WPJ76" s="343" t="s">
        <v>1300</v>
      </c>
      <c r="WPK76" s="343" t="s">
        <v>252</v>
      </c>
      <c r="WPL76" s="343" t="s">
        <v>1300</v>
      </c>
      <c r="WPM76" s="343" t="s">
        <v>252</v>
      </c>
      <c r="WPN76" s="343" t="s">
        <v>1300</v>
      </c>
      <c r="WPO76" s="343" t="s">
        <v>252</v>
      </c>
      <c r="WPP76" s="343" t="s">
        <v>1300</v>
      </c>
      <c r="WPQ76" s="343" t="s">
        <v>252</v>
      </c>
      <c r="WPR76" s="343" t="s">
        <v>1300</v>
      </c>
      <c r="WPS76" s="343" t="s">
        <v>252</v>
      </c>
      <c r="WPT76" s="343" t="s">
        <v>1300</v>
      </c>
      <c r="WPU76" s="343" t="s">
        <v>252</v>
      </c>
      <c r="WPV76" s="343" t="s">
        <v>1300</v>
      </c>
      <c r="WPW76" s="343" t="s">
        <v>252</v>
      </c>
      <c r="WPX76" s="343" t="s">
        <v>1300</v>
      </c>
      <c r="WPY76" s="343" t="s">
        <v>252</v>
      </c>
      <c r="WPZ76" s="343" t="s">
        <v>1300</v>
      </c>
      <c r="WQA76" s="343" t="s">
        <v>252</v>
      </c>
      <c r="WQB76" s="343" t="s">
        <v>1300</v>
      </c>
      <c r="WQC76" s="343" t="s">
        <v>252</v>
      </c>
      <c r="WQD76" s="343" t="s">
        <v>1300</v>
      </c>
      <c r="WQE76" s="343" t="s">
        <v>252</v>
      </c>
      <c r="WQF76" s="343" t="s">
        <v>1300</v>
      </c>
      <c r="WQG76" s="343" t="s">
        <v>252</v>
      </c>
      <c r="WQH76" s="343" t="s">
        <v>1300</v>
      </c>
      <c r="WQI76" s="343" t="s">
        <v>252</v>
      </c>
      <c r="WQJ76" s="343" t="s">
        <v>1300</v>
      </c>
      <c r="WQK76" s="343" t="s">
        <v>252</v>
      </c>
      <c r="WQL76" s="343" t="s">
        <v>1300</v>
      </c>
      <c r="WQM76" s="343" t="s">
        <v>252</v>
      </c>
      <c r="WQN76" s="343" t="s">
        <v>1300</v>
      </c>
      <c r="WQO76" s="343" t="s">
        <v>252</v>
      </c>
      <c r="WQP76" s="343" t="s">
        <v>1300</v>
      </c>
      <c r="WQQ76" s="343" t="s">
        <v>252</v>
      </c>
      <c r="WQR76" s="343" t="s">
        <v>1300</v>
      </c>
      <c r="WQS76" s="343" t="s">
        <v>252</v>
      </c>
      <c r="WQT76" s="343" t="s">
        <v>1300</v>
      </c>
      <c r="WQU76" s="343" t="s">
        <v>252</v>
      </c>
      <c r="WQV76" s="343" t="s">
        <v>1300</v>
      </c>
      <c r="WQW76" s="343" t="s">
        <v>252</v>
      </c>
      <c r="WQX76" s="343" t="s">
        <v>1300</v>
      </c>
      <c r="WQY76" s="343" t="s">
        <v>252</v>
      </c>
      <c r="WQZ76" s="343" t="s">
        <v>1300</v>
      </c>
      <c r="WRA76" s="343" t="s">
        <v>252</v>
      </c>
      <c r="WRB76" s="343" t="s">
        <v>1300</v>
      </c>
      <c r="WRC76" s="343" t="s">
        <v>252</v>
      </c>
      <c r="WRD76" s="343" t="s">
        <v>1300</v>
      </c>
      <c r="WRE76" s="343" t="s">
        <v>252</v>
      </c>
      <c r="WRF76" s="343" t="s">
        <v>1300</v>
      </c>
      <c r="WRG76" s="343" t="s">
        <v>252</v>
      </c>
      <c r="WRH76" s="343" t="s">
        <v>1300</v>
      </c>
      <c r="WRI76" s="343" t="s">
        <v>252</v>
      </c>
      <c r="WRJ76" s="343" t="s">
        <v>1300</v>
      </c>
      <c r="WRK76" s="343" t="s">
        <v>252</v>
      </c>
      <c r="WRL76" s="343" t="s">
        <v>1300</v>
      </c>
      <c r="WRM76" s="343" t="s">
        <v>252</v>
      </c>
      <c r="WRN76" s="343" t="s">
        <v>1300</v>
      </c>
      <c r="WRO76" s="343" t="s">
        <v>252</v>
      </c>
      <c r="WRP76" s="343" t="s">
        <v>1300</v>
      </c>
      <c r="WRQ76" s="343" t="s">
        <v>252</v>
      </c>
      <c r="WRR76" s="343" t="s">
        <v>1300</v>
      </c>
      <c r="WRS76" s="343" t="s">
        <v>252</v>
      </c>
      <c r="WRT76" s="343" t="s">
        <v>1300</v>
      </c>
      <c r="WRU76" s="343" t="s">
        <v>252</v>
      </c>
      <c r="WRV76" s="343" t="s">
        <v>1300</v>
      </c>
      <c r="WRW76" s="343" t="s">
        <v>252</v>
      </c>
      <c r="WRX76" s="343" t="s">
        <v>1300</v>
      </c>
      <c r="WRY76" s="343" t="s">
        <v>252</v>
      </c>
      <c r="WRZ76" s="343" t="s">
        <v>1300</v>
      </c>
      <c r="WSA76" s="343" t="s">
        <v>252</v>
      </c>
      <c r="WSB76" s="343" t="s">
        <v>1300</v>
      </c>
      <c r="WSC76" s="343" t="s">
        <v>252</v>
      </c>
      <c r="WSD76" s="343" t="s">
        <v>1300</v>
      </c>
      <c r="WSE76" s="343" t="s">
        <v>252</v>
      </c>
      <c r="WSF76" s="343" t="s">
        <v>1300</v>
      </c>
      <c r="WSG76" s="343" t="s">
        <v>252</v>
      </c>
      <c r="WSH76" s="343" t="s">
        <v>1300</v>
      </c>
      <c r="WSI76" s="343" t="s">
        <v>252</v>
      </c>
      <c r="WSJ76" s="343" t="s">
        <v>1300</v>
      </c>
      <c r="WSK76" s="343" t="s">
        <v>252</v>
      </c>
      <c r="WSL76" s="343" t="s">
        <v>1300</v>
      </c>
      <c r="WSM76" s="343" t="s">
        <v>252</v>
      </c>
      <c r="WSN76" s="343" t="s">
        <v>1300</v>
      </c>
      <c r="WSO76" s="343" t="s">
        <v>252</v>
      </c>
      <c r="WSP76" s="343" t="s">
        <v>1300</v>
      </c>
      <c r="WSQ76" s="343" t="s">
        <v>252</v>
      </c>
      <c r="WSR76" s="343" t="s">
        <v>1300</v>
      </c>
      <c r="WSS76" s="343" t="s">
        <v>252</v>
      </c>
      <c r="WST76" s="343" t="s">
        <v>1300</v>
      </c>
      <c r="WSU76" s="343" t="s">
        <v>252</v>
      </c>
      <c r="WSV76" s="343" t="s">
        <v>1300</v>
      </c>
      <c r="WSW76" s="343" t="s">
        <v>252</v>
      </c>
      <c r="WSX76" s="343" t="s">
        <v>1300</v>
      </c>
      <c r="WSY76" s="343" t="s">
        <v>252</v>
      </c>
      <c r="WSZ76" s="343" t="s">
        <v>1300</v>
      </c>
      <c r="WTA76" s="343" t="s">
        <v>252</v>
      </c>
      <c r="WTB76" s="343" t="s">
        <v>1300</v>
      </c>
      <c r="WTC76" s="343" t="s">
        <v>252</v>
      </c>
      <c r="WTD76" s="343" t="s">
        <v>1300</v>
      </c>
      <c r="WTE76" s="343" t="s">
        <v>252</v>
      </c>
      <c r="WTF76" s="343" t="s">
        <v>1300</v>
      </c>
      <c r="WTG76" s="343" t="s">
        <v>252</v>
      </c>
      <c r="WTH76" s="343" t="s">
        <v>1300</v>
      </c>
      <c r="WTI76" s="343" t="s">
        <v>252</v>
      </c>
      <c r="WTJ76" s="343" t="s">
        <v>1300</v>
      </c>
      <c r="WTK76" s="343" t="s">
        <v>252</v>
      </c>
      <c r="WTL76" s="343" t="s">
        <v>1300</v>
      </c>
      <c r="WTM76" s="343" t="s">
        <v>252</v>
      </c>
      <c r="WTN76" s="343" t="s">
        <v>1300</v>
      </c>
      <c r="WTO76" s="343" t="s">
        <v>252</v>
      </c>
      <c r="WTP76" s="343" t="s">
        <v>1300</v>
      </c>
      <c r="WTQ76" s="343" t="s">
        <v>252</v>
      </c>
      <c r="WTR76" s="343" t="s">
        <v>1300</v>
      </c>
      <c r="WTS76" s="343" t="s">
        <v>252</v>
      </c>
      <c r="WTT76" s="343" t="s">
        <v>1300</v>
      </c>
      <c r="WTU76" s="343" t="s">
        <v>252</v>
      </c>
      <c r="WTV76" s="343" t="s">
        <v>1300</v>
      </c>
      <c r="WTW76" s="343" t="s">
        <v>252</v>
      </c>
      <c r="WTX76" s="343" t="s">
        <v>1300</v>
      </c>
      <c r="WTY76" s="343" t="s">
        <v>252</v>
      </c>
      <c r="WTZ76" s="343" t="s">
        <v>1300</v>
      </c>
      <c r="WUA76" s="343" t="s">
        <v>252</v>
      </c>
      <c r="WUB76" s="343" t="s">
        <v>1300</v>
      </c>
      <c r="WUC76" s="343" t="s">
        <v>252</v>
      </c>
      <c r="WUD76" s="343" t="s">
        <v>1300</v>
      </c>
      <c r="WUE76" s="343" t="s">
        <v>252</v>
      </c>
      <c r="WUF76" s="343" t="s">
        <v>1300</v>
      </c>
      <c r="WUG76" s="343" t="s">
        <v>252</v>
      </c>
      <c r="WUH76" s="343" t="s">
        <v>1300</v>
      </c>
      <c r="WUI76" s="343" t="s">
        <v>252</v>
      </c>
      <c r="WUJ76" s="343" t="s">
        <v>1300</v>
      </c>
      <c r="WUK76" s="343" t="s">
        <v>252</v>
      </c>
      <c r="WUL76" s="343" t="s">
        <v>1300</v>
      </c>
      <c r="WUM76" s="343" t="s">
        <v>252</v>
      </c>
      <c r="WUN76" s="343" t="s">
        <v>1300</v>
      </c>
      <c r="WUO76" s="343" t="s">
        <v>252</v>
      </c>
      <c r="WUP76" s="343" t="s">
        <v>1300</v>
      </c>
      <c r="WUQ76" s="343" t="s">
        <v>252</v>
      </c>
      <c r="WUR76" s="343" t="s">
        <v>1300</v>
      </c>
      <c r="WUS76" s="343" t="s">
        <v>252</v>
      </c>
      <c r="WUT76" s="343" t="s">
        <v>1300</v>
      </c>
      <c r="WUU76" s="343" t="s">
        <v>252</v>
      </c>
      <c r="WUV76" s="343" t="s">
        <v>1300</v>
      </c>
      <c r="WUW76" s="343" t="s">
        <v>252</v>
      </c>
      <c r="WUX76" s="343" t="s">
        <v>1300</v>
      </c>
      <c r="WUY76" s="343" t="s">
        <v>252</v>
      </c>
      <c r="WUZ76" s="343" t="s">
        <v>1300</v>
      </c>
      <c r="WVA76" s="343" t="s">
        <v>252</v>
      </c>
      <c r="WVB76" s="343" t="s">
        <v>1300</v>
      </c>
      <c r="WVC76" s="343" t="s">
        <v>252</v>
      </c>
      <c r="WVD76" s="343" t="s">
        <v>1300</v>
      </c>
      <c r="WVE76" s="343" t="s">
        <v>252</v>
      </c>
      <c r="WVF76" s="343" t="s">
        <v>1300</v>
      </c>
      <c r="WVG76" s="343" t="s">
        <v>252</v>
      </c>
      <c r="WVH76" s="343" t="s">
        <v>1300</v>
      </c>
      <c r="WVI76" s="343" t="s">
        <v>252</v>
      </c>
      <c r="WVJ76" s="343" t="s">
        <v>1300</v>
      </c>
      <c r="WVK76" s="343" t="s">
        <v>252</v>
      </c>
      <c r="WVL76" s="343" t="s">
        <v>1300</v>
      </c>
      <c r="WVM76" s="343" t="s">
        <v>252</v>
      </c>
      <c r="WVN76" s="343" t="s">
        <v>1300</v>
      </c>
      <c r="WVO76" s="343" t="s">
        <v>252</v>
      </c>
      <c r="WVP76" s="343" t="s">
        <v>1300</v>
      </c>
      <c r="WVQ76" s="343" t="s">
        <v>252</v>
      </c>
      <c r="WVR76" s="343" t="s">
        <v>1300</v>
      </c>
      <c r="WVS76" s="343" t="s">
        <v>252</v>
      </c>
      <c r="WVT76" s="343" t="s">
        <v>1300</v>
      </c>
      <c r="WVU76" s="343" t="s">
        <v>252</v>
      </c>
      <c r="WVV76" s="343" t="s">
        <v>1300</v>
      </c>
      <c r="WVW76" s="343" t="s">
        <v>252</v>
      </c>
      <c r="WVX76" s="343" t="s">
        <v>1300</v>
      </c>
      <c r="WVY76" s="343" t="s">
        <v>252</v>
      </c>
      <c r="WVZ76" s="343" t="s">
        <v>1300</v>
      </c>
      <c r="WWA76" s="343" t="s">
        <v>252</v>
      </c>
      <c r="WWB76" s="343" t="s">
        <v>1300</v>
      </c>
      <c r="WWC76" s="343" t="s">
        <v>252</v>
      </c>
      <c r="WWD76" s="343" t="s">
        <v>1300</v>
      </c>
      <c r="WWE76" s="343" t="s">
        <v>252</v>
      </c>
      <c r="WWF76" s="343" t="s">
        <v>1300</v>
      </c>
      <c r="WWG76" s="343" t="s">
        <v>252</v>
      </c>
      <c r="WWH76" s="343" t="s">
        <v>1300</v>
      </c>
      <c r="WWI76" s="343" t="s">
        <v>252</v>
      </c>
      <c r="WWJ76" s="343" t="s">
        <v>1300</v>
      </c>
      <c r="WWK76" s="343" t="s">
        <v>252</v>
      </c>
      <c r="WWL76" s="343" t="s">
        <v>1300</v>
      </c>
      <c r="WWM76" s="343" t="s">
        <v>252</v>
      </c>
      <c r="WWN76" s="343" t="s">
        <v>1300</v>
      </c>
      <c r="WWO76" s="343" t="s">
        <v>252</v>
      </c>
      <c r="WWP76" s="343" t="s">
        <v>1300</v>
      </c>
      <c r="WWQ76" s="343" t="s">
        <v>252</v>
      </c>
      <c r="WWR76" s="343" t="s">
        <v>1300</v>
      </c>
      <c r="WWS76" s="343" t="s">
        <v>252</v>
      </c>
      <c r="WWT76" s="343" t="s">
        <v>1300</v>
      </c>
      <c r="WWU76" s="343" t="s">
        <v>252</v>
      </c>
      <c r="WWV76" s="343" t="s">
        <v>1300</v>
      </c>
      <c r="WWW76" s="343" t="s">
        <v>252</v>
      </c>
      <c r="WWX76" s="343" t="s">
        <v>1300</v>
      </c>
      <c r="WWY76" s="343" t="s">
        <v>252</v>
      </c>
      <c r="WWZ76" s="343" t="s">
        <v>1300</v>
      </c>
      <c r="WXA76" s="343" t="s">
        <v>252</v>
      </c>
      <c r="WXB76" s="343" t="s">
        <v>1300</v>
      </c>
      <c r="WXC76" s="343" t="s">
        <v>252</v>
      </c>
      <c r="WXD76" s="343" t="s">
        <v>1300</v>
      </c>
      <c r="WXE76" s="343" t="s">
        <v>252</v>
      </c>
      <c r="WXF76" s="343" t="s">
        <v>1300</v>
      </c>
      <c r="WXG76" s="343" t="s">
        <v>252</v>
      </c>
      <c r="WXH76" s="343" t="s">
        <v>1300</v>
      </c>
      <c r="WXI76" s="343" t="s">
        <v>252</v>
      </c>
      <c r="WXJ76" s="343" t="s">
        <v>1300</v>
      </c>
      <c r="WXK76" s="343" t="s">
        <v>252</v>
      </c>
      <c r="WXL76" s="343" t="s">
        <v>1300</v>
      </c>
      <c r="WXM76" s="343" t="s">
        <v>252</v>
      </c>
      <c r="WXN76" s="343" t="s">
        <v>1300</v>
      </c>
      <c r="WXO76" s="343" t="s">
        <v>252</v>
      </c>
      <c r="WXP76" s="343" t="s">
        <v>1300</v>
      </c>
      <c r="WXQ76" s="343" t="s">
        <v>252</v>
      </c>
      <c r="WXR76" s="343" t="s">
        <v>1300</v>
      </c>
      <c r="WXS76" s="343" t="s">
        <v>252</v>
      </c>
      <c r="WXT76" s="343" t="s">
        <v>1300</v>
      </c>
      <c r="WXU76" s="343" t="s">
        <v>252</v>
      </c>
      <c r="WXV76" s="343" t="s">
        <v>1300</v>
      </c>
      <c r="WXW76" s="343" t="s">
        <v>252</v>
      </c>
      <c r="WXX76" s="343" t="s">
        <v>1300</v>
      </c>
      <c r="WXY76" s="343" t="s">
        <v>252</v>
      </c>
      <c r="WXZ76" s="343" t="s">
        <v>1300</v>
      </c>
      <c r="WYA76" s="343" t="s">
        <v>252</v>
      </c>
      <c r="WYB76" s="343" t="s">
        <v>1300</v>
      </c>
      <c r="WYC76" s="343" t="s">
        <v>252</v>
      </c>
      <c r="WYD76" s="343" t="s">
        <v>1300</v>
      </c>
      <c r="WYE76" s="343" t="s">
        <v>252</v>
      </c>
      <c r="WYF76" s="343" t="s">
        <v>1300</v>
      </c>
      <c r="WYG76" s="343" t="s">
        <v>252</v>
      </c>
      <c r="WYH76" s="343" t="s">
        <v>1300</v>
      </c>
      <c r="WYI76" s="343" t="s">
        <v>252</v>
      </c>
      <c r="WYJ76" s="343" t="s">
        <v>1300</v>
      </c>
      <c r="WYK76" s="343" t="s">
        <v>252</v>
      </c>
      <c r="WYL76" s="343" t="s">
        <v>1300</v>
      </c>
      <c r="WYM76" s="343" t="s">
        <v>252</v>
      </c>
      <c r="WYN76" s="343" t="s">
        <v>1300</v>
      </c>
      <c r="WYO76" s="343" t="s">
        <v>252</v>
      </c>
      <c r="WYP76" s="343" t="s">
        <v>1300</v>
      </c>
      <c r="WYQ76" s="343" t="s">
        <v>252</v>
      </c>
      <c r="WYR76" s="343" t="s">
        <v>1300</v>
      </c>
      <c r="WYS76" s="343" t="s">
        <v>252</v>
      </c>
      <c r="WYT76" s="343" t="s">
        <v>1300</v>
      </c>
      <c r="WYU76" s="343" t="s">
        <v>252</v>
      </c>
      <c r="WYV76" s="343" t="s">
        <v>1300</v>
      </c>
      <c r="WYW76" s="343" t="s">
        <v>252</v>
      </c>
      <c r="WYX76" s="343" t="s">
        <v>1300</v>
      </c>
      <c r="WYY76" s="343" t="s">
        <v>252</v>
      </c>
      <c r="WYZ76" s="343" t="s">
        <v>1300</v>
      </c>
      <c r="WZA76" s="343" t="s">
        <v>252</v>
      </c>
      <c r="WZB76" s="343" t="s">
        <v>1300</v>
      </c>
      <c r="WZC76" s="343" t="s">
        <v>252</v>
      </c>
      <c r="WZD76" s="343" t="s">
        <v>1300</v>
      </c>
      <c r="WZE76" s="343" t="s">
        <v>252</v>
      </c>
      <c r="WZF76" s="343" t="s">
        <v>1300</v>
      </c>
      <c r="WZG76" s="343" t="s">
        <v>252</v>
      </c>
      <c r="WZH76" s="343" t="s">
        <v>1300</v>
      </c>
      <c r="WZI76" s="343" t="s">
        <v>252</v>
      </c>
      <c r="WZJ76" s="343" t="s">
        <v>1300</v>
      </c>
      <c r="WZK76" s="343" t="s">
        <v>252</v>
      </c>
      <c r="WZL76" s="343" t="s">
        <v>1300</v>
      </c>
      <c r="WZM76" s="343" t="s">
        <v>252</v>
      </c>
      <c r="WZN76" s="343" t="s">
        <v>1300</v>
      </c>
      <c r="WZO76" s="343" t="s">
        <v>252</v>
      </c>
      <c r="WZP76" s="343" t="s">
        <v>1300</v>
      </c>
      <c r="WZQ76" s="343" t="s">
        <v>252</v>
      </c>
      <c r="WZR76" s="343" t="s">
        <v>1300</v>
      </c>
      <c r="WZS76" s="343" t="s">
        <v>252</v>
      </c>
      <c r="WZT76" s="343" t="s">
        <v>1300</v>
      </c>
      <c r="WZU76" s="343" t="s">
        <v>252</v>
      </c>
      <c r="WZV76" s="343" t="s">
        <v>1300</v>
      </c>
      <c r="WZW76" s="343" t="s">
        <v>252</v>
      </c>
      <c r="WZX76" s="343" t="s">
        <v>1300</v>
      </c>
      <c r="WZY76" s="343" t="s">
        <v>252</v>
      </c>
      <c r="WZZ76" s="343" t="s">
        <v>1300</v>
      </c>
      <c r="XAA76" s="343" t="s">
        <v>252</v>
      </c>
      <c r="XAB76" s="343" t="s">
        <v>1300</v>
      </c>
      <c r="XAC76" s="343" t="s">
        <v>252</v>
      </c>
      <c r="XAD76" s="343" t="s">
        <v>1300</v>
      </c>
      <c r="XAE76" s="343" t="s">
        <v>252</v>
      </c>
      <c r="XAF76" s="343" t="s">
        <v>1300</v>
      </c>
      <c r="XAG76" s="343" t="s">
        <v>252</v>
      </c>
      <c r="XAH76" s="343" t="s">
        <v>1300</v>
      </c>
      <c r="XAI76" s="343" t="s">
        <v>252</v>
      </c>
      <c r="XAJ76" s="343" t="s">
        <v>1300</v>
      </c>
      <c r="XAK76" s="343" t="s">
        <v>252</v>
      </c>
      <c r="XAL76" s="343" t="s">
        <v>1300</v>
      </c>
      <c r="XAM76" s="343" t="s">
        <v>252</v>
      </c>
      <c r="XAN76" s="343" t="s">
        <v>1300</v>
      </c>
      <c r="XAO76" s="343" t="s">
        <v>252</v>
      </c>
      <c r="XAP76" s="343" t="s">
        <v>1300</v>
      </c>
      <c r="XAQ76" s="343" t="s">
        <v>252</v>
      </c>
      <c r="XAR76" s="343" t="s">
        <v>1300</v>
      </c>
      <c r="XAS76" s="343" t="s">
        <v>252</v>
      </c>
      <c r="XAT76" s="343" t="s">
        <v>1300</v>
      </c>
      <c r="XAU76" s="343" t="s">
        <v>252</v>
      </c>
      <c r="XAV76" s="343" t="s">
        <v>1300</v>
      </c>
      <c r="XAW76" s="343" t="s">
        <v>252</v>
      </c>
      <c r="XAX76" s="343" t="s">
        <v>1300</v>
      </c>
      <c r="XAY76" s="343" t="s">
        <v>252</v>
      </c>
      <c r="XAZ76" s="343" t="s">
        <v>1300</v>
      </c>
      <c r="XBA76" s="343" t="s">
        <v>252</v>
      </c>
      <c r="XBB76" s="343" t="s">
        <v>1300</v>
      </c>
      <c r="XBC76" s="343" t="s">
        <v>252</v>
      </c>
      <c r="XBD76" s="343" t="s">
        <v>1300</v>
      </c>
      <c r="XBE76" s="343" t="s">
        <v>252</v>
      </c>
      <c r="XBF76" s="343" t="s">
        <v>1300</v>
      </c>
      <c r="XBG76" s="343" t="s">
        <v>252</v>
      </c>
      <c r="XBH76" s="343" t="s">
        <v>1300</v>
      </c>
      <c r="XBI76" s="343" t="s">
        <v>252</v>
      </c>
      <c r="XBJ76" s="343" t="s">
        <v>1300</v>
      </c>
      <c r="XBK76" s="343" t="s">
        <v>252</v>
      </c>
      <c r="XBL76" s="343" t="s">
        <v>1300</v>
      </c>
      <c r="XBM76" s="343" t="s">
        <v>252</v>
      </c>
      <c r="XBN76" s="343" t="s">
        <v>1300</v>
      </c>
      <c r="XBO76" s="343" t="s">
        <v>252</v>
      </c>
      <c r="XBP76" s="343" t="s">
        <v>1300</v>
      </c>
      <c r="XBQ76" s="343" t="s">
        <v>252</v>
      </c>
      <c r="XBR76" s="343" t="s">
        <v>1300</v>
      </c>
      <c r="XBS76" s="343" t="s">
        <v>252</v>
      </c>
      <c r="XBT76" s="343" t="s">
        <v>1300</v>
      </c>
      <c r="XBU76" s="343" t="s">
        <v>252</v>
      </c>
      <c r="XBV76" s="343" t="s">
        <v>1300</v>
      </c>
      <c r="XBW76" s="343" t="s">
        <v>252</v>
      </c>
      <c r="XBX76" s="343" t="s">
        <v>1300</v>
      </c>
      <c r="XBY76" s="343" t="s">
        <v>252</v>
      </c>
      <c r="XBZ76" s="343" t="s">
        <v>1300</v>
      </c>
      <c r="XCA76" s="343" t="s">
        <v>252</v>
      </c>
      <c r="XCB76" s="343" t="s">
        <v>1300</v>
      </c>
      <c r="XCC76" s="343" t="s">
        <v>252</v>
      </c>
      <c r="XCD76" s="343" t="s">
        <v>1300</v>
      </c>
      <c r="XCE76" s="343" t="s">
        <v>252</v>
      </c>
      <c r="XCF76" s="343" t="s">
        <v>1300</v>
      </c>
      <c r="XCG76" s="343" t="s">
        <v>252</v>
      </c>
      <c r="XCH76" s="343" t="s">
        <v>1300</v>
      </c>
      <c r="XCI76" s="343" t="s">
        <v>252</v>
      </c>
      <c r="XCJ76" s="343" t="s">
        <v>1300</v>
      </c>
      <c r="XCK76" s="343" t="s">
        <v>252</v>
      </c>
      <c r="XCL76" s="343" t="s">
        <v>1300</v>
      </c>
      <c r="XCM76" s="343" t="s">
        <v>252</v>
      </c>
      <c r="XCN76" s="343" t="s">
        <v>1300</v>
      </c>
      <c r="XCO76" s="343" t="s">
        <v>252</v>
      </c>
      <c r="XCP76" s="343" t="s">
        <v>1300</v>
      </c>
      <c r="XCQ76" s="343" t="s">
        <v>252</v>
      </c>
      <c r="XCR76" s="343" t="s">
        <v>1300</v>
      </c>
      <c r="XCS76" s="343" t="s">
        <v>252</v>
      </c>
      <c r="XCT76" s="343" t="s">
        <v>1300</v>
      </c>
      <c r="XCU76" s="343" t="s">
        <v>252</v>
      </c>
      <c r="XCV76" s="343" t="s">
        <v>1300</v>
      </c>
      <c r="XCW76" s="343" t="s">
        <v>252</v>
      </c>
      <c r="XCX76" s="343" t="s">
        <v>1300</v>
      </c>
      <c r="XCY76" s="343" t="s">
        <v>252</v>
      </c>
      <c r="XCZ76" s="343" t="s">
        <v>1300</v>
      </c>
      <c r="XDA76" s="343" t="s">
        <v>252</v>
      </c>
      <c r="XDB76" s="343" t="s">
        <v>1300</v>
      </c>
      <c r="XDC76" s="343" t="s">
        <v>252</v>
      </c>
      <c r="XDD76" s="343" t="s">
        <v>1300</v>
      </c>
      <c r="XDE76" s="343" t="s">
        <v>252</v>
      </c>
      <c r="XDF76" s="343" t="s">
        <v>1300</v>
      </c>
      <c r="XDG76" s="343" t="s">
        <v>252</v>
      </c>
      <c r="XDH76" s="343" t="s">
        <v>1300</v>
      </c>
      <c r="XDI76" s="343" t="s">
        <v>252</v>
      </c>
      <c r="XDJ76" s="343" t="s">
        <v>1300</v>
      </c>
      <c r="XDK76" s="343" t="s">
        <v>252</v>
      </c>
      <c r="XDL76" s="343" t="s">
        <v>1300</v>
      </c>
      <c r="XDM76" s="343" t="s">
        <v>252</v>
      </c>
      <c r="XDN76" s="343" t="s">
        <v>1300</v>
      </c>
      <c r="XDO76" s="343" t="s">
        <v>252</v>
      </c>
      <c r="XDP76" s="343" t="s">
        <v>1300</v>
      </c>
      <c r="XDQ76" s="343" t="s">
        <v>252</v>
      </c>
      <c r="XDR76" s="343" t="s">
        <v>1300</v>
      </c>
      <c r="XDS76" s="343" t="s">
        <v>252</v>
      </c>
      <c r="XDT76" s="343" t="s">
        <v>1300</v>
      </c>
      <c r="XDU76" s="343" t="s">
        <v>252</v>
      </c>
      <c r="XDV76" s="343" t="s">
        <v>1300</v>
      </c>
      <c r="XDW76" s="343" t="s">
        <v>252</v>
      </c>
      <c r="XDX76" s="343" t="s">
        <v>1300</v>
      </c>
      <c r="XDY76" s="343" t="s">
        <v>252</v>
      </c>
      <c r="XDZ76" s="343" t="s">
        <v>1300</v>
      </c>
      <c r="XEA76" s="343" t="s">
        <v>252</v>
      </c>
      <c r="XEB76" s="343" t="s">
        <v>1300</v>
      </c>
      <c r="XEC76" s="343" t="s">
        <v>252</v>
      </c>
      <c r="XED76" s="343" t="s">
        <v>1300</v>
      </c>
      <c r="XEE76" s="343" t="s">
        <v>252</v>
      </c>
      <c r="XEF76" s="343" t="s">
        <v>1300</v>
      </c>
      <c r="XEG76" s="343" t="s">
        <v>252</v>
      </c>
      <c r="XEH76" s="343" t="s">
        <v>1300</v>
      </c>
      <c r="XEI76" s="343" t="s">
        <v>252</v>
      </c>
      <c r="XEJ76" s="343" t="s">
        <v>1300</v>
      </c>
      <c r="XEK76" s="343" t="s">
        <v>252</v>
      </c>
      <c r="XEL76" s="343" t="s">
        <v>1300</v>
      </c>
      <c r="XEM76" s="343" t="s">
        <v>252</v>
      </c>
      <c r="XEN76" s="343" t="s">
        <v>1300</v>
      </c>
      <c r="XEO76" s="343" t="s">
        <v>252</v>
      </c>
      <c r="XEP76" s="343" t="s">
        <v>1300</v>
      </c>
      <c r="XEQ76" s="343" t="s">
        <v>252</v>
      </c>
      <c r="XER76" s="343" t="s">
        <v>1300</v>
      </c>
      <c r="XES76" s="343" t="s">
        <v>252</v>
      </c>
      <c r="XET76" s="343" t="s">
        <v>1300</v>
      </c>
      <c r="XEU76" s="343" t="s">
        <v>252</v>
      </c>
      <c r="XEV76" s="343" t="s">
        <v>1300</v>
      </c>
      <c r="XEW76" s="343" t="s">
        <v>252</v>
      </c>
      <c r="XEX76" s="343" t="s">
        <v>1300</v>
      </c>
      <c r="XEY76" s="343" t="s">
        <v>252</v>
      </c>
      <c r="XEZ76" s="343" t="s">
        <v>1300</v>
      </c>
      <c r="XFA76" s="343" t="s">
        <v>252</v>
      </c>
      <c r="XFB76" s="343" t="s">
        <v>1300</v>
      </c>
      <c r="XFC76" s="343" t="s">
        <v>252</v>
      </c>
      <c r="XFD76" s="343" t="s">
        <v>1300</v>
      </c>
    </row>
    <row r="77" spans="1:71 1606:16384" x14ac:dyDescent="0.25">
      <c r="A77" s="343" t="s">
        <v>340</v>
      </c>
      <c r="B77" s="510" t="s">
        <v>908</v>
      </c>
      <c r="C77" s="511"/>
      <c r="D77" s="444">
        <v>0</v>
      </c>
      <c r="E77" s="343" t="s">
        <v>856</v>
      </c>
      <c r="F77" s="511"/>
      <c r="G77" s="444">
        <v>7996223.75</v>
      </c>
      <c r="H77" s="343" t="s">
        <v>835</v>
      </c>
      <c r="I77" s="511"/>
      <c r="J77" s="444">
        <v>0</v>
      </c>
      <c r="K77" s="343" t="s">
        <v>856</v>
      </c>
      <c r="L77" s="511"/>
      <c r="M77" s="444">
        <v>11916.875931445604</v>
      </c>
      <c r="N77" s="343" t="s">
        <v>835</v>
      </c>
      <c r="O77" s="511"/>
      <c r="P77" s="512" t="str">
        <f t="shared" si="36"/>
        <v>Met</v>
      </c>
      <c r="Q77" s="511"/>
      <c r="R77" s="444">
        <f>VLOOKUP(A77,'2020-21'!$A$6:$F$319,6,0)</f>
        <v>0</v>
      </c>
      <c r="S77" s="513" t="str">
        <f t="shared" si="38"/>
        <v>Met</v>
      </c>
      <c r="U77" s="444">
        <f>VLOOKUP(A77,'2020-21'!$A$6:$G$319,7,0)</f>
        <v>8281665.6399999997</v>
      </c>
      <c r="V77" s="513" t="str">
        <f t="shared" si="39"/>
        <v>Met</v>
      </c>
      <c r="X77" s="444">
        <f>VLOOKUP(A77,'2020-21'!$A$6:$F$319,6,0)/VLOOKUP(A77,'42. SEA or LEA Worksheet'!$A$4:$T$324,20,0)</f>
        <v>0</v>
      </c>
      <c r="Y77" s="513" t="str">
        <f t="shared" si="40"/>
        <v>Met</v>
      </c>
      <c r="AA77" s="444">
        <f>VLOOKUP(A77,'42. SEA or LEA Worksheet'!$A$4:$W$324,23,0)/VLOOKUP(compliance!A77,'42. SEA or LEA Worksheet'!$A$4:$T$324,20,0)</f>
        <v>12072.39889212828</v>
      </c>
      <c r="AB77" s="513" t="str">
        <f t="shared" si="41"/>
        <v>Met</v>
      </c>
      <c r="AD77" s="512" t="str">
        <f t="shared" si="42"/>
        <v>Met</v>
      </c>
      <c r="AF77" s="444">
        <f>VLOOKUP(A77,'42. SEA or LEA Worksheet'!$A$4:$Z$324,26,0)</f>
        <v>710270.96</v>
      </c>
      <c r="AG77" s="513" t="str">
        <f t="shared" si="43"/>
        <v>Met</v>
      </c>
      <c r="AI77" s="444">
        <f>VLOOKUP(A77,'42. SEA or LEA Worksheet'!$A$4:$AB$324,28,0)</f>
        <v>9477554.9800000004</v>
      </c>
      <c r="AJ77" s="513" t="str">
        <f t="shared" si="44"/>
        <v>Met</v>
      </c>
      <c r="AL77" s="444">
        <f>VLOOKUP(compliance!A77,'42. SEA or LEA Worksheet'!$A$4:$AB$324,26,0)/VLOOKUP(compliance!A77,'42. SEA or LEA Worksheet'!$A$4:$Y$324,25,0)</f>
        <v>1082.7301219512194</v>
      </c>
      <c r="AM77" s="513" t="str">
        <f t="shared" si="45"/>
        <v>Met</v>
      </c>
      <c r="AO77" s="444">
        <f>VLOOKUP(A77,'42. SEA or LEA Worksheet'!$A$4:$AB$324,28,0)/VLOOKUP(compliance!A77,'42. SEA or LEA Worksheet'!$A$4:$Y$324,25,0)</f>
        <v>14447.492347560976</v>
      </c>
      <c r="AP77" s="513" t="str">
        <f t="shared" si="46"/>
        <v>Met</v>
      </c>
      <c r="AR77" s="512" t="str">
        <f t="shared" si="47"/>
        <v>Met</v>
      </c>
      <c r="AT77" s="444">
        <f>VLOOKUP(A77,'42. SEA or LEA Worksheet'!$A$4:$AE$324,31,0)</f>
        <v>1506604.06</v>
      </c>
      <c r="AU77" s="513" t="str">
        <f t="shared" si="52"/>
        <v>Met</v>
      </c>
      <c r="AW77" s="444">
        <f>VLOOKUP(A77,'42. SEA or LEA Worksheet'!$A$4:$AG$324,33,0)</f>
        <v>10488851.92</v>
      </c>
      <c r="AX77" s="513" t="str">
        <f t="shared" si="53"/>
        <v>Met</v>
      </c>
      <c r="AZ77" s="444">
        <f>VLOOKUP(A77,'42. SEA or LEA Worksheet'!$A$4:$AG$324,31,0)/VLOOKUP(A77,'42. SEA or LEA Worksheet'!$A$4:$AD$324,30,0)</f>
        <v>2116.0169382022473</v>
      </c>
      <c r="BA77" s="513" t="str">
        <f t="shared" si="54"/>
        <v>Met</v>
      </c>
      <c r="BC77" s="444">
        <f>VLOOKUP(A77,'42. SEA or LEA Worksheet'!$A$4:$AG$324,33,0)/VLOOKUP(A77,'42. SEA or LEA Worksheet'!$A$4:$AD$324,30,0)</f>
        <v>14731.533595505618</v>
      </c>
      <c r="BD77" s="513" t="str">
        <f t="shared" si="35"/>
        <v>Met</v>
      </c>
      <c r="BF77" s="512" t="str">
        <f t="shared" si="37"/>
        <v>Met</v>
      </c>
      <c r="BG77" s="637">
        <f>VLOOKUP(A77,'42. SEA or LEA Worksheet'!$A$4:$AM$324,36,0)</f>
        <v>496914.29</v>
      </c>
      <c r="BH77" s="638" t="str">
        <f t="shared" si="48"/>
        <v>Did not Meet</v>
      </c>
      <c r="BI77" s="639"/>
      <c r="BJ77" s="637">
        <f>VLOOKUP(A77,'42. SEA or LEA Worksheet'!$A$4:$AM$324,38,0)</f>
        <v>11761369.969999999</v>
      </c>
      <c r="BK77" s="638" t="str">
        <f t="shared" si="49"/>
        <v>Met</v>
      </c>
      <c r="BM77" s="631">
        <f>VLOOKUP(A77,'42. SEA or LEA Worksheet'!$A$4:$AL$324,36,0)/VLOOKUP(A77,'42. SEA or LEA Worksheet'!$A$4:$AL$324,35,0)</f>
        <v>646.18243172951884</v>
      </c>
      <c r="BN77" s="632" t="str">
        <f t="shared" si="50"/>
        <v>Met</v>
      </c>
      <c r="BP77" s="631">
        <f>VLOOKUP(A77,'42. SEA or LEA Worksheet'!$A$4:$AL$324,38,0)/VLOOKUP(A77,'42. SEA or LEA Worksheet'!$A$4:$AL$324,35,0)</f>
        <v>15294.369271781532</v>
      </c>
      <c r="BQ77" s="632" t="str">
        <f t="shared" si="51"/>
        <v>Met</v>
      </c>
      <c r="BS77" s="620" t="str">
        <f>IF(AND(BH77="Did not Meet",BK77="Did not Meet", BN77="Did not Meet",BQ77="Did not Meet"),"Did not Meet","Met")</f>
        <v>Met</v>
      </c>
    </row>
    <row r="78" spans="1:71 1606:16384" x14ac:dyDescent="0.25">
      <c r="A78" s="343" t="s">
        <v>342</v>
      </c>
      <c r="B78" s="510" t="s">
        <v>909</v>
      </c>
      <c r="C78" s="511"/>
      <c r="D78" s="444">
        <v>0</v>
      </c>
      <c r="E78" s="343" t="s">
        <v>835</v>
      </c>
      <c r="F78" s="511"/>
      <c r="G78" s="444">
        <v>3306426.94</v>
      </c>
      <c r="H78" s="343" t="s">
        <v>835</v>
      </c>
      <c r="I78" s="511"/>
      <c r="J78" s="444">
        <v>0</v>
      </c>
      <c r="K78" s="343" t="s">
        <v>835</v>
      </c>
      <c r="L78" s="511"/>
      <c r="M78" s="444">
        <v>9235.8294413407821</v>
      </c>
      <c r="N78" s="343" t="s">
        <v>835</v>
      </c>
      <c r="O78" s="511"/>
      <c r="P78" s="512" t="str">
        <f t="shared" si="36"/>
        <v>Met</v>
      </c>
      <c r="Q78" s="511"/>
      <c r="R78" s="444">
        <f>VLOOKUP(A78,'2020-21'!$A$6:$F$319,6,0)</f>
        <v>0</v>
      </c>
      <c r="S78" s="513" t="str">
        <f t="shared" si="38"/>
        <v>Met</v>
      </c>
      <c r="U78" s="444">
        <f>VLOOKUP(A78,'2020-21'!$A$6:$G$319,7,0)</f>
        <v>3387015.47</v>
      </c>
      <c r="V78" s="513" t="str">
        <f t="shared" si="39"/>
        <v>Met</v>
      </c>
      <c r="X78" s="444">
        <f>VLOOKUP(A78,'2020-21'!$A$6:$F$319,6,0)/VLOOKUP(A78,'42. SEA or LEA Worksheet'!$A$4:$T$324,20,0)</f>
        <v>0</v>
      </c>
      <c r="Y78" s="513" t="str">
        <f t="shared" si="40"/>
        <v>Met</v>
      </c>
      <c r="AA78" s="444">
        <f>VLOOKUP(A78,'42. SEA or LEA Worksheet'!$A$4:$W$324,23,0)/VLOOKUP(compliance!A78,'42. SEA or LEA Worksheet'!$A$4:$T$324,20,0)</f>
        <v>9487.4382913165264</v>
      </c>
      <c r="AB78" s="513" t="str">
        <f t="shared" si="41"/>
        <v>Met</v>
      </c>
      <c r="AD78" s="512" t="str">
        <f t="shared" si="42"/>
        <v>Met</v>
      </c>
      <c r="AF78" s="444">
        <f>VLOOKUP(A78,'42. SEA or LEA Worksheet'!$A$4:$Z$324,26,0)</f>
        <v>0</v>
      </c>
      <c r="AG78" s="513" t="str">
        <f t="shared" si="43"/>
        <v>Met</v>
      </c>
      <c r="AI78" s="444">
        <f>VLOOKUP(A78,'42. SEA or LEA Worksheet'!$A$4:$AB$324,28,0)</f>
        <v>3221619.67</v>
      </c>
      <c r="AJ78" s="513" t="str">
        <f t="shared" si="44"/>
        <v>Did not Meet</v>
      </c>
      <c r="AL78" s="444">
        <f>VLOOKUP(compliance!A78,'42. SEA or LEA Worksheet'!$A$4:$AB$324,26,0)/VLOOKUP(compliance!A78,'42. SEA or LEA Worksheet'!$A$4:$Y$324,25,0)</f>
        <v>0</v>
      </c>
      <c r="AM78" s="513" t="str">
        <f t="shared" si="45"/>
        <v>Met</v>
      </c>
      <c r="AO78" s="444">
        <f>VLOOKUP(A78,'42. SEA or LEA Worksheet'!$A$4:$AB$324,28,0)/VLOOKUP(compliance!A78,'42. SEA or LEA Worksheet'!$A$4:$Y$324,25,0)</f>
        <v>9024.1447338935577</v>
      </c>
      <c r="AP78" s="513" t="str">
        <f t="shared" si="46"/>
        <v>Did not Meet</v>
      </c>
      <c r="AR78" s="512" t="str">
        <f t="shared" si="47"/>
        <v>Met</v>
      </c>
      <c r="AT78" s="444">
        <f>VLOOKUP(A78,'42. SEA or LEA Worksheet'!$A$4:$AE$324,31,0)</f>
        <v>0</v>
      </c>
      <c r="AU78" s="513" t="str">
        <f t="shared" si="52"/>
        <v>Met</v>
      </c>
      <c r="AW78" s="444">
        <f>VLOOKUP(A78,'42. SEA or LEA Worksheet'!$A$4:$AG$324,33,0)</f>
        <v>3504168.79</v>
      </c>
      <c r="AX78" s="513" t="str">
        <f t="shared" si="53"/>
        <v>Met</v>
      </c>
      <c r="AZ78" s="444">
        <f>VLOOKUP(A78,'42. SEA or LEA Worksheet'!$A$4:$AG$324,31,0)/VLOOKUP(A78,'42. SEA or LEA Worksheet'!$A$4:$AD$324,30,0)</f>
        <v>0</v>
      </c>
      <c r="BA78" s="513" t="str">
        <f t="shared" si="54"/>
        <v>Met</v>
      </c>
      <c r="BC78" s="444">
        <f>VLOOKUP(A78,'42. SEA or LEA Worksheet'!$A$4:$AG$324,33,0)/VLOOKUP(A78,'42. SEA or LEA Worksheet'!$A$4:$AD$324,30,0)</f>
        <v>10306.378794117647</v>
      </c>
      <c r="BD78" s="513" t="str">
        <f t="shared" si="35"/>
        <v>Met</v>
      </c>
      <c r="BF78" s="512" t="str">
        <f t="shared" si="37"/>
        <v>Met</v>
      </c>
      <c r="BG78" s="637">
        <f>VLOOKUP(A78,'42. SEA or LEA Worksheet'!$A$4:$AM$324,36,0)</f>
        <v>0</v>
      </c>
      <c r="BH78" s="638" t="str">
        <f t="shared" si="48"/>
        <v>Met</v>
      </c>
      <c r="BI78" s="639"/>
      <c r="BJ78" s="637">
        <f>VLOOKUP(A78,'42. SEA or LEA Worksheet'!$A$4:$AM$324,38,0)</f>
        <v>3806656.36</v>
      </c>
      <c r="BK78" s="638" t="str">
        <f t="shared" si="49"/>
        <v>Met</v>
      </c>
      <c r="BM78" s="631">
        <f>VLOOKUP(A78,'42. SEA or LEA Worksheet'!$A$4:$AL$324,36,0)/VLOOKUP(A78,'42. SEA or LEA Worksheet'!$A$4:$AL$324,35,0)</f>
        <v>0</v>
      </c>
      <c r="BN78" s="632" t="str">
        <f t="shared" si="50"/>
        <v>Met</v>
      </c>
      <c r="BP78" s="631">
        <f>VLOOKUP(A78,'42. SEA or LEA Worksheet'!$A$4:$AL$324,38,0)/VLOOKUP(A78,'42. SEA or LEA Worksheet'!$A$4:$AL$324,35,0)</f>
        <v>10876.161028571429</v>
      </c>
      <c r="BQ78" s="632" t="str">
        <f t="shared" si="51"/>
        <v>Met</v>
      </c>
      <c r="BS78" s="620" t="str">
        <f>IF(AND(BH78="Did not Meet",BK78="Did not Meet", BN78="Did not Meet",BQ78="Did not Meet"),"Did not Meet","Met")</f>
        <v>Met</v>
      </c>
    </row>
    <row r="79" spans="1:71 1606:16384" x14ac:dyDescent="0.25">
      <c r="A79" s="343" t="s">
        <v>344</v>
      </c>
      <c r="B79" s="510" t="s">
        <v>1139</v>
      </c>
      <c r="C79" s="511"/>
      <c r="D79" s="444">
        <v>3964.71</v>
      </c>
      <c r="E79" s="343" t="s">
        <v>856</v>
      </c>
      <c r="F79" s="511"/>
      <c r="G79" s="444">
        <v>85745.450000000012</v>
      </c>
      <c r="H79" s="343" t="s">
        <v>835</v>
      </c>
      <c r="I79" s="511"/>
      <c r="J79" s="444">
        <v>360.42818181818183</v>
      </c>
      <c r="K79" s="343" t="s">
        <v>856</v>
      </c>
      <c r="L79" s="511"/>
      <c r="M79" s="444">
        <v>7795.0409090909097</v>
      </c>
      <c r="N79" s="343" t="s">
        <v>856</v>
      </c>
      <c r="O79" s="511"/>
      <c r="P79" s="512" t="str">
        <f t="shared" si="36"/>
        <v>Met</v>
      </c>
      <c r="Q79" s="511"/>
      <c r="R79" s="444">
        <f>VLOOKUP(A79,'2020-21'!$A$6:$F$319,6,0)</f>
        <v>2889</v>
      </c>
      <c r="S79" s="513" t="str">
        <f t="shared" si="38"/>
        <v>Did not Meet</v>
      </c>
      <c r="U79" s="444">
        <f>VLOOKUP(A79,'2020-21'!$A$6:$G$319,7,0)</f>
        <v>87667.37</v>
      </c>
      <c r="V79" s="513" t="str">
        <f t="shared" si="39"/>
        <v>Met</v>
      </c>
      <c r="X79" s="444">
        <f>VLOOKUP(A79,'2020-21'!$A$6:$F$319,6,0)/VLOOKUP(A79,'42. SEA or LEA Worksheet'!$A$4:$T$324,20,0)</f>
        <v>361.125</v>
      </c>
      <c r="Y79" s="513" t="str">
        <f t="shared" si="40"/>
        <v>Met</v>
      </c>
      <c r="AA79" s="444">
        <f>VLOOKUP(A79,'42. SEA or LEA Worksheet'!$A$4:$W$324,23,0)/VLOOKUP(compliance!A79,'42. SEA or LEA Worksheet'!$A$4:$T$324,20,0)</f>
        <v>10958.421249999999</v>
      </c>
      <c r="AB79" s="513" t="str">
        <f t="shared" si="41"/>
        <v>Met</v>
      </c>
      <c r="AD79" s="512" t="str">
        <f t="shared" si="42"/>
        <v>Met</v>
      </c>
      <c r="AF79" s="444">
        <f>VLOOKUP(A79,'42. SEA or LEA Worksheet'!$A$4:$Z$324,26,0)</f>
        <v>2890</v>
      </c>
      <c r="AG79" s="513" t="str">
        <f t="shared" si="43"/>
        <v>Met</v>
      </c>
      <c r="AI79" s="444">
        <f>VLOOKUP(A79,'42. SEA or LEA Worksheet'!$A$4:$AB$324,28,0)</f>
        <v>77420.990000000005</v>
      </c>
      <c r="AJ79" s="513" t="str">
        <f t="shared" si="44"/>
        <v>Did not Meet</v>
      </c>
      <c r="AL79" s="444">
        <f>VLOOKUP(compliance!A79,'42. SEA or LEA Worksheet'!$A$4:$AB$324,26,0)/VLOOKUP(compliance!A79,'42. SEA or LEA Worksheet'!$A$4:$Y$324,25,0)</f>
        <v>361.25</v>
      </c>
      <c r="AM79" s="513" t="str">
        <f t="shared" si="45"/>
        <v>Met</v>
      </c>
      <c r="AO79" s="444">
        <f>VLOOKUP(A79,'42. SEA or LEA Worksheet'!$A$4:$AB$324,28,0)/VLOOKUP(compliance!A79,'42. SEA or LEA Worksheet'!$A$4:$Y$324,25,0)</f>
        <v>9677.6237500000007</v>
      </c>
      <c r="AP79" s="513" t="str">
        <f t="shared" si="46"/>
        <v>Did not Meet</v>
      </c>
      <c r="AR79" s="512" t="str">
        <f t="shared" si="47"/>
        <v>Met</v>
      </c>
      <c r="AT79" s="444">
        <f>VLOOKUP(A79,'42. SEA or LEA Worksheet'!$A$4:$AE$324,31,0)</f>
        <v>761.27</v>
      </c>
      <c r="AU79" s="513" t="str">
        <f t="shared" si="52"/>
        <v>Did not Meet</v>
      </c>
      <c r="AW79" s="444">
        <f>VLOOKUP(A79,'42. SEA or LEA Worksheet'!$A$4:$AG$324,33,0)</f>
        <v>70780.17</v>
      </c>
      <c r="AX79" s="513" t="str">
        <f t="shared" si="53"/>
        <v>Did not Meet</v>
      </c>
      <c r="AZ79" s="444">
        <f>VLOOKUP(A79,'42. SEA or LEA Worksheet'!$A$4:$AG$324,31,0)/VLOOKUP(A79,'42. SEA or LEA Worksheet'!$A$4:$AD$324,30,0)</f>
        <v>190.3175</v>
      </c>
      <c r="BA79" s="513" t="str">
        <f t="shared" si="54"/>
        <v>Did not Meet</v>
      </c>
      <c r="BC79" s="444">
        <f>VLOOKUP(A79,'42. SEA or LEA Worksheet'!$A$4:$AG$324,33,0)/VLOOKUP(A79,'42. SEA or LEA Worksheet'!$A$4:$AD$324,30,0)</f>
        <v>17695.0425</v>
      </c>
      <c r="BD79" s="513" t="str">
        <f t="shared" si="35"/>
        <v>Met</v>
      </c>
      <c r="BF79" s="512" t="str">
        <f t="shared" si="37"/>
        <v>Met</v>
      </c>
      <c r="BG79" s="637">
        <f>VLOOKUP(A79,'42. SEA or LEA Worksheet'!$A$4:$AM$324,36,0)</f>
        <v>13.89</v>
      </c>
      <c r="BH79" s="638" t="str">
        <f t="shared" si="48"/>
        <v>Did not Meet</v>
      </c>
      <c r="BI79" s="639"/>
      <c r="BJ79" s="637">
        <f>VLOOKUP(A79,'42. SEA or LEA Worksheet'!$A$4:$AM$324,38,0)</f>
        <v>70791.91</v>
      </c>
      <c r="BK79" s="638" t="str">
        <f t="shared" si="49"/>
        <v>Met</v>
      </c>
      <c r="BM79" s="631">
        <f>VLOOKUP(A79,'42. SEA or LEA Worksheet'!$A$4:$AL$324,36,0)/VLOOKUP(A79,'42. SEA or LEA Worksheet'!$A$4:$AL$324,35,0)</f>
        <v>3.4725000000000001</v>
      </c>
      <c r="BN79" s="632" t="str">
        <f t="shared" si="50"/>
        <v>Met</v>
      </c>
      <c r="BP79" s="631">
        <f>VLOOKUP(A79,'42. SEA or LEA Worksheet'!$A$4:$AL$324,38,0)/VLOOKUP(A79,'42. SEA or LEA Worksheet'!$A$4:$AL$324,35,0)</f>
        <v>17697.977500000001</v>
      </c>
      <c r="BQ79" s="632" t="str">
        <f t="shared" si="51"/>
        <v>Met</v>
      </c>
      <c r="BS79" s="620" t="str">
        <f>IF(AND(BH79="Did not Meet",BK79="Did not Meet", BN79="Did not Meet",BQ79="Did not Meet"),"Did not Meet","Met")</f>
        <v>Met</v>
      </c>
    </row>
    <row r="80" spans="1:71 1606:16384" x14ac:dyDescent="0.25">
      <c r="A80" s="343" t="s">
        <v>346</v>
      </c>
      <c r="B80" s="510" t="s">
        <v>910</v>
      </c>
      <c r="C80" s="511"/>
      <c r="D80" s="444">
        <v>892221.14</v>
      </c>
      <c r="E80" s="343" t="s">
        <v>856</v>
      </c>
      <c r="F80" s="511"/>
      <c r="G80" s="444">
        <v>41743817.600000001</v>
      </c>
      <c r="H80" s="343" t="s">
        <v>835</v>
      </c>
      <c r="I80" s="511"/>
      <c r="J80" s="444">
        <v>331.68072118959111</v>
      </c>
      <c r="K80" s="343" t="s">
        <v>856</v>
      </c>
      <c r="L80" s="511"/>
      <c r="M80" s="444">
        <v>15518.14780669145</v>
      </c>
      <c r="N80" s="343" t="s">
        <v>835</v>
      </c>
      <c r="O80" s="511"/>
      <c r="P80" s="512" t="str">
        <f t="shared" si="36"/>
        <v>Met</v>
      </c>
      <c r="Q80" s="511"/>
      <c r="R80" s="444">
        <f>VLOOKUP(A80,'2020-21'!$A$6:$F$319,6,0)</f>
        <v>1238515.07</v>
      </c>
      <c r="S80" s="513" t="str">
        <f t="shared" si="38"/>
        <v>Met</v>
      </c>
      <c r="U80" s="444">
        <f>VLOOKUP(A80,'2020-21'!$A$6:$G$319,7,0)</f>
        <v>44400903.469999999</v>
      </c>
      <c r="V80" s="513" t="str">
        <f t="shared" si="39"/>
        <v>Met</v>
      </c>
      <c r="X80" s="444">
        <f>VLOOKUP(A80,'2020-21'!$A$6:$F$319,6,0)/VLOOKUP(A80,'42. SEA or LEA Worksheet'!$A$4:$T$324,20,0)</f>
        <v>467.71717145015106</v>
      </c>
      <c r="Y80" s="513" t="str">
        <f t="shared" si="40"/>
        <v>Met</v>
      </c>
      <c r="AA80" s="444">
        <f>VLOOKUP(A80,'42. SEA or LEA Worksheet'!$A$4:$W$324,23,0)/VLOOKUP(compliance!A80,'42. SEA or LEA Worksheet'!$A$4:$T$324,20,0)</f>
        <v>16767.712790785499</v>
      </c>
      <c r="AB80" s="513" t="str">
        <f t="shared" si="41"/>
        <v>Met</v>
      </c>
      <c r="AD80" s="512" t="str">
        <f t="shared" si="42"/>
        <v>Met</v>
      </c>
      <c r="AF80" s="444">
        <f>VLOOKUP(A80,'42. SEA or LEA Worksheet'!$A$4:$Z$324,26,0)</f>
        <v>1241534.4099999999</v>
      </c>
      <c r="AG80" s="513" t="str">
        <f t="shared" si="43"/>
        <v>Met</v>
      </c>
      <c r="AI80" s="444">
        <f>VLOOKUP(A80,'42. SEA or LEA Worksheet'!$A$4:$AB$324,28,0)</f>
        <v>45376622.309999995</v>
      </c>
      <c r="AJ80" s="513" t="str">
        <f t="shared" si="44"/>
        <v>Met</v>
      </c>
      <c r="AL80" s="444">
        <f>VLOOKUP(compliance!A80,'42. SEA or LEA Worksheet'!$A$4:$AB$324,26,0)/VLOOKUP(compliance!A80,'42. SEA or LEA Worksheet'!$A$4:$Y$324,25,0)</f>
        <v>482.52406140691795</v>
      </c>
      <c r="AM80" s="513" t="str">
        <f t="shared" si="45"/>
        <v>Met</v>
      </c>
      <c r="AO80" s="444">
        <f>VLOOKUP(A80,'42. SEA or LEA Worksheet'!$A$4:$AB$324,28,0)/VLOOKUP(compliance!A80,'42. SEA or LEA Worksheet'!$A$4:$Y$324,25,0)</f>
        <v>17635.686867469878</v>
      </c>
      <c r="AP80" s="513" t="str">
        <f t="shared" si="46"/>
        <v>Met</v>
      </c>
      <c r="AR80" s="512" t="str">
        <f t="shared" si="47"/>
        <v>Met</v>
      </c>
      <c r="AT80" s="444">
        <f>VLOOKUP(A80,'42. SEA or LEA Worksheet'!$A$4:$AE$324,31,0)</f>
        <v>1383996.29</v>
      </c>
      <c r="AU80" s="513" t="str">
        <f t="shared" si="52"/>
        <v>Met</v>
      </c>
      <c r="AW80" s="444">
        <f>VLOOKUP(A80,'42. SEA or LEA Worksheet'!$A$4:$AG$324,33,0)</f>
        <v>50008674.939999998</v>
      </c>
      <c r="AX80" s="513" t="str">
        <f t="shared" si="53"/>
        <v>Met</v>
      </c>
      <c r="AZ80" s="444">
        <f>VLOOKUP(A80,'42. SEA or LEA Worksheet'!$A$4:$AG$324,31,0)/VLOOKUP(A80,'42. SEA or LEA Worksheet'!$A$4:$AD$324,30,0)</f>
        <v>526.23433079847905</v>
      </c>
      <c r="BA80" s="513" t="str">
        <f t="shared" si="54"/>
        <v>Met</v>
      </c>
      <c r="BC80" s="444">
        <f>VLOOKUP(A80,'42. SEA or LEA Worksheet'!$A$4:$AG$324,33,0)/VLOOKUP(A80,'42. SEA or LEA Worksheet'!$A$4:$AD$324,30,0)</f>
        <v>19014.705300380228</v>
      </c>
      <c r="BD80" s="513" t="str">
        <f t="shared" si="35"/>
        <v>Met</v>
      </c>
      <c r="BF80" s="512" t="str">
        <f t="shared" si="37"/>
        <v>Met</v>
      </c>
      <c r="BG80" s="637">
        <f>VLOOKUP(A80,'42. SEA or LEA Worksheet'!$A$4:$AM$324,36,0)</f>
        <v>1435901</v>
      </c>
      <c r="BH80" s="638" t="str">
        <f t="shared" si="48"/>
        <v>Met</v>
      </c>
      <c r="BI80" s="639"/>
      <c r="BJ80" s="637">
        <f>VLOOKUP(A80,'42. SEA or LEA Worksheet'!$A$4:$AM$324,38,0)</f>
        <v>55725256.18</v>
      </c>
      <c r="BK80" s="638" t="str">
        <f t="shared" si="49"/>
        <v>Met</v>
      </c>
      <c r="BM80" s="631">
        <f>VLOOKUP(A80,'42. SEA or LEA Worksheet'!$A$4:$AL$324,36,0)/VLOOKUP(A80,'42. SEA or LEA Worksheet'!$A$4:$AL$324,35,0)</f>
        <v>526.16379626236721</v>
      </c>
      <c r="BN80" s="632" t="str">
        <f t="shared" si="50"/>
        <v>Met</v>
      </c>
      <c r="BP80" s="631">
        <f>VLOOKUP(A80,'42. SEA or LEA Worksheet'!$A$4:$AL$324,38,0)/VLOOKUP(A80,'42. SEA or LEA Worksheet'!$A$4:$AL$324,35,0)</f>
        <v>20419.661480395749</v>
      </c>
      <c r="BQ80" s="632" t="str">
        <f t="shared" si="51"/>
        <v>Met</v>
      </c>
      <c r="BS80" s="620" t="str">
        <f>IF(AND(BH80="Did not Meet",BK80="Did not Meet", BN80="Did not Meet",BQ80="Did not Meet"),"Did not Meet","Met")</f>
        <v>Met</v>
      </c>
    </row>
    <row r="81" spans="1:71" x14ac:dyDescent="0.25">
      <c r="A81" s="343" t="s">
        <v>348</v>
      </c>
      <c r="B81" s="510" t="s">
        <v>911</v>
      </c>
      <c r="C81" s="511"/>
      <c r="D81" s="444">
        <v>7474633.1699999999</v>
      </c>
      <c r="E81" s="343" t="s">
        <v>856</v>
      </c>
      <c r="F81" s="511"/>
      <c r="G81" s="444">
        <v>46284091.789999999</v>
      </c>
      <c r="H81" s="343" t="s">
        <v>835</v>
      </c>
      <c r="I81" s="511"/>
      <c r="J81" s="444">
        <v>2139.2768088151115</v>
      </c>
      <c r="K81" s="343" t="s">
        <v>856</v>
      </c>
      <c r="L81" s="511"/>
      <c r="M81" s="444">
        <v>13246.734914138522</v>
      </c>
      <c r="N81" s="343" t="s">
        <v>835</v>
      </c>
      <c r="O81" s="511"/>
      <c r="P81" s="512" t="str">
        <f t="shared" si="36"/>
        <v>Met</v>
      </c>
      <c r="Q81" s="511"/>
      <c r="R81" s="444">
        <f>VLOOKUP(A81,'2020-21'!$A$6:$F$319,6,0)</f>
        <v>7781327.3899999997</v>
      </c>
      <c r="S81" s="513" t="str">
        <f t="shared" si="38"/>
        <v>Met</v>
      </c>
      <c r="U81" s="444">
        <f>VLOOKUP(A81,'2020-21'!$A$6:$G$319,7,0)</f>
        <v>48051605.200000003</v>
      </c>
      <c r="V81" s="513" t="str">
        <f t="shared" si="39"/>
        <v>Met</v>
      </c>
      <c r="X81" s="444">
        <f>VLOOKUP(A81,'2020-21'!$A$6:$F$319,6,0)/VLOOKUP(A81,'42. SEA or LEA Worksheet'!$A$4:$T$324,20,0)</f>
        <v>2317.2505628350209</v>
      </c>
      <c r="Y81" s="513" t="str">
        <f t="shared" si="40"/>
        <v>Met</v>
      </c>
      <c r="AA81" s="444">
        <f>VLOOKUP(A81,'42. SEA or LEA Worksheet'!$A$4:$W$324,23,0)/VLOOKUP(compliance!A81,'42. SEA or LEA Worksheet'!$A$4:$T$324,20,0)</f>
        <v>14309.590589636689</v>
      </c>
      <c r="AB81" s="513" t="str">
        <f t="shared" si="41"/>
        <v>Met</v>
      </c>
      <c r="AD81" s="512" t="str">
        <f t="shared" si="42"/>
        <v>Met</v>
      </c>
      <c r="AF81" s="444">
        <f>VLOOKUP(A81,'42. SEA or LEA Worksheet'!$A$4:$Z$324,26,0)</f>
        <v>8070900.0999999996</v>
      </c>
      <c r="AG81" s="513" t="str">
        <f t="shared" si="43"/>
        <v>Met</v>
      </c>
      <c r="AI81" s="444">
        <f>VLOOKUP(A81,'42. SEA or LEA Worksheet'!$A$4:$AB$324,28,0)</f>
        <v>50141705.43</v>
      </c>
      <c r="AJ81" s="513" t="str">
        <f t="shared" si="44"/>
        <v>Met</v>
      </c>
      <c r="AL81" s="444">
        <f>VLOOKUP(compliance!A81,'42. SEA or LEA Worksheet'!$A$4:$AB$324,26,0)/VLOOKUP(compliance!A81,'42. SEA or LEA Worksheet'!$A$4:$Y$324,25,0)</f>
        <v>2479.5392012288785</v>
      </c>
      <c r="AM81" s="513" t="str">
        <f t="shared" si="45"/>
        <v>Met</v>
      </c>
      <c r="AO81" s="444">
        <f>VLOOKUP(A81,'42. SEA or LEA Worksheet'!$A$4:$AB$324,28,0)/VLOOKUP(compliance!A81,'42. SEA or LEA Worksheet'!$A$4:$Y$324,25,0)</f>
        <v>15404.517797235023</v>
      </c>
      <c r="AP81" s="513" t="str">
        <f t="shared" si="46"/>
        <v>Met</v>
      </c>
      <c r="AR81" s="512" t="str">
        <f t="shared" si="47"/>
        <v>Met</v>
      </c>
      <c r="AT81" s="444">
        <f>VLOOKUP(A81,'42. SEA or LEA Worksheet'!$A$4:$AE$324,31,0)</f>
        <v>9818475.3800000008</v>
      </c>
      <c r="AU81" s="513" t="str">
        <f t="shared" si="52"/>
        <v>Met</v>
      </c>
      <c r="AW81" s="444">
        <f>VLOOKUP(A81,'42. SEA or LEA Worksheet'!$A$4:$AG$324,33,0)</f>
        <v>53365244.120000005</v>
      </c>
      <c r="AX81" s="513" t="str">
        <f t="shared" si="53"/>
        <v>Met</v>
      </c>
      <c r="AZ81" s="444">
        <f>VLOOKUP(A81,'42. SEA or LEA Worksheet'!$A$4:$AG$324,31,0)/VLOOKUP(A81,'42. SEA or LEA Worksheet'!$A$4:$AD$324,30,0)</f>
        <v>3005.3490602999696</v>
      </c>
      <c r="BA81" s="513" t="str">
        <f t="shared" si="54"/>
        <v>Met</v>
      </c>
      <c r="BC81" s="444">
        <f>VLOOKUP(A81,'42. SEA or LEA Worksheet'!$A$4:$AG$324,33,0)/VLOOKUP(A81,'42. SEA or LEA Worksheet'!$A$4:$AD$324,30,0)</f>
        <v>16334.632421181514</v>
      </c>
      <c r="BD81" s="513" t="str">
        <f t="shared" si="35"/>
        <v>Met</v>
      </c>
      <c r="BF81" s="512" t="str">
        <f>IF(AND(AU81="Did not Meet",AX81="Did not Meet", BA81="Did not Meet",BD81="Did not Meet",),"Did not Meet","Met")</f>
        <v>Met</v>
      </c>
      <c r="BG81" s="637">
        <f>VLOOKUP(A81,'42. SEA or LEA Worksheet'!$A$4:$AM$324,36,0)</f>
        <v>10265345.130000001</v>
      </c>
      <c r="BH81" s="638" t="str">
        <f t="shared" si="48"/>
        <v>Met</v>
      </c>
      <c r="BI81" s="639"/>
      <c r="BJ81" s="637">
        <f>VLOOKUP(A81,'42. SEA or LEA Worksheet'!$A$4:$AM$324,38,0)</f>
        <v>61276216.950000003</v>
      </c>
      <c r="BK81" s="638" t="str">
        <f t="shared" si="49"/>
        <v>Met</v>
      </c>
      <c r="BM81" s="631">
        <f>VLOOKUP(A81,'42. SEA or LEA Worksheet'!$A$4:$AL$324,36,0)/VLOOKUP(A81,'42. SEA or LEA Worksheet'!$A$4:$AL$324,35,0)</f>
        <v>3020.1074227714034</v>
      </c>
      <c r="BN81" s="632" t="str">
        <f t="shared" si="50"/>
        <v>Met</v>
      </c>
      <c r="BP81" s="631">
        <f>VLOOKUP(A81,'42. SEA or LEA Worksheet'!$A$4:$AL$324,38,0)/VLOOKUP(A81,'42. SEA or LEA Worksheet'!$A$4:$AL$324,35,0)</f>
        <v>18027.71902030009</v>
      </c>
      <c r="BQ81" s="632" t="str">
        <f t="shared" si="51"/>
        <v>Met</v>
      </c>
      <c r="BS81" s="620" t="str">
        <f>IF(AND(BH81="Did not Meet",BK81="Did not Meet", BN81="Did not Meet",BQ81="Did not Meet",),"Did not Meet","Met")</f>
        <v>Met</v>
      </c>
    </row>
    <row r="82" spans="1:71" x14ac:dyDescent="0.25">
      <c r="A82" s="343" t="s">
        <v>350</v>
      </c>
      <c r="B82" s="510" t="s">
        <v>912</v>
      </c>
      <c r="C82" s="511"/>
      <c r="D82" s="444">
        <v>0</v>
      </c>
      <c r="E82" s="343" t="s">
        <v>835</v>
      </c>
      <c r="F82" s="511"/>
      <c r="G82" s="444">
        <v>31991.61</v>
      </c>
      <c r="H82" s="343" t="s">
        <v>835</v>
      </c>
      <c r="I82" s="511"/>
      <c r="J82" s="444">
        <v>0</v>
      </c>
      <c r="K82" s="343" t="s">
        <v>835</v>
      </c>
      <c r="L82" s="511"/>
      <c r="M82" s="444">
        <v>31991.61</v>
      </c>
      <c r="N82" s="343" t="s">
        <v>835</v>
      </c>
      <c r="O82" s="511"/>
      <c r="P82" s="512" t="str">
        <f t="shared" si="36"/>
        <v>Met</v>
      </c>
      <c r="Q82" s="511"/>
      <c r="R82" s="444">
        <f>VLOOKUP(A82,'2020-21'!$A$6:$F$319,6,0)</f>
        <v>0</v>
      </c>
      <c r="S82" s="513" t="str">
        <f t="shared" si="38"/>
        <v>Met</v>
      </c>
      <c r="U82" s="444">
        <f>VLOOKUP(A82,'2020-21'!$A$6:$G$319,7,0)</f>
        <v>33281.99</v>
      </c>
      <c r="V82" s="513" t="str">
        <f t="shared" si="39"/>
        <v>Met</v>
      </c>
      <c r="X82" s="444">
        <f>VLOOKUP(A82,'2020-21'!$A$6:$F$319,6,0)/VLOOKUP(A82,'42. SEA or LEA Worksheet'!$A$4:$T$324,20,0)</f>
        <v>0</v>
      </c>
      <c r="Y82" s="513" t="str">
        <f t="shared" si="40"/>
        <v>Met</v>
      </c>
      <c r="AA82" s="444">
        <f>VLOOKUP(A82,'42. SEA or LEA Worksheet'!$A$4:$W$324,23,0)/VLOOKUP(compliance!A82,'42. SEA or LEA Worksheet'!$A$4:$T$324,20,0)</f>
        <v>33281.99</v>
      </c>
      <c r="AB82" s="513" t="str">
        <f t="shared" si="41"/>
        <v>Met</v>
      </c>
      <c r="AD82" s="512" t="str">
        <f t="shared" si="42"/>
        <v>Met</v>
      </c>
      <c r="AF82" s="444">
        <f>VLOOKUP(A82,'42. SEA or LEA Worksheet'!$A$4:$Z$324,26,0)</f>
        <v>0</v>
      </c>
      <c r="AG82" s="513" t="str">
        <f t="shared" si="43"/>
        <v>Met</v>
      </c>
      <c r="AI82" s="444">
        <f>VLOOKUP(A82,'42. SEA or LEA Worksheet'!$A$4:$AB$324,28,0)</f>
        <v>32684.11</v>
      </c>
      <c r="AJ82" s="513" t="str">
        <f t="shared" si="44"/>
        <v>Did not Meet</v>
      </c>
      <c r="AL82" s="444">
        <f>VLOOKUP(compliance!A82,'42. SEA or LEA Worksheet'!$A$4:$AB$324,26,0)/VLOOKUP(compliance!A82,'42. SEA or LEA Worksheet'!$A$4:$Y$324,25,0)</f>
        <v>0</v>
      </c>
      <c r="AM82" s="513" t="str">
        <f t="shared" si="45"/>
        <v>Met</v>
      </c>
      <c r="AO82" s="444">
        <f>VLOOKUP(A82,'42. SEA or LEA Worksheet'!$A$4:$AB$324,28,0)/VLOOKUP(compliance!A82,'42. SEA or LEA Worksheet'!$A$4:$Y$324,25,0)</f>
        <v>32684.11</v>
      </c>
      <c r="AP82" s="513" t="str">
        <f t="shared" si="46"/>
        <v>Did not Meet</v>
      </c>
      <c r="AR82" s="512" t="str">
        <f t="shared" si="47"/>
        <v>Met</v>
      </c>
      <c r="AT82" s="444">
        <f>VLOOKUP(A82,'42. SEA or LEA Worksheet'!$A$4:$AE$324,31,0)</f>
        <v>0</v>
      </c>
      <c r="AU82" s="513" t="str">
        <f t="shared" si="52"/>
        <v>Met</v>
      </c>
      <c r="AW82" s="444">
        <f>VLOOKUP(A82,'42. SEA or LEA Worksheet'!$A$4:$AG$324,33,0)</f>
        <v>34509.480000000003</v>
      </c>
      <c r="AX82" s="513" t="str">
        <f t="shared" si="53"/>
        <v>Met</v>
      </c>
      <c r="AZ82" s="444">
        <f>VLOOKUP(A82,'42. SEA or LEA Worksheet'!$A$4:$AG$324,31,0)/VLOOKUP(A82,'42. SEA or LEA Worksheet'!$A$4:$AD$324,30,0)</f>
        <v>0</v>
      </c>
      <c r="BA82" s="513" t="str">
        <f t="shared" si="54"/>
        <v>Met</v>
      </c>
      <c r="BC82" s="444">
        <f>VLOOKUP(A82,'42. SEA or LEA Worksheet'!$A$4:$AG$324,33,0)/VLOOKUP(A82,'42. SEA or LEA Worksheet'!$A$4:$AD$324,30,0)</f>
        <v>17254.740000000002</v>
      </c>
      <c r="BD82" s="513" t="str">
        <f t="shared" si="35"/>
        <v>Did not Meet</v>
      </c>
      <c r="BF82" s="512" t="str">
        <f>IF(AND(AU82="Did not Meet",AX82="Did not Meet", BA82="Did not Meet",BD82="Did not Meet"),"Did not Meet","Met")</f>
        <v>Met</v>
      </c>
      <c r="BG82" s="637">
        <f>VLOOKUP(A82,'42. SEA or LEA Worksheet'!$A$4:$AM$324,36,0)</f>
        <v>0</v>
      </c>
      <c r="BH82" s="638" t="str">
        <f t="shared" si="48"/>
        <v>Met</v>
      </c>
      <c r="BI82" s="639"/>
      <c r="BJ82" s="637">
        <f>VLOOKUP(A82,'42. SEA or LEA Worksheet'!$A$4:$AM$324,38,0)</f>
        <v>48051.18</v>
      </c>
      <c r="BK82" s="638" t="str">
        <f t="shared" si="49"/>
        <v>Met</v>
      </c>
      <c r="BM82" s="631">
        <f>VLOOKUP(A82,'42. SEA or LEA Worksheet'!$A$4:$AL$324,36,0)/VLOOKUP(A82,'42. SEA or LEA Worksheet'!$A$4:$AL$324,35,0)</f>
        <v>0</v>
      </c>
      <c r="BN82" s="632" t="str">
        <f t="shared" si="50"/>
        <v>Met</v>
      </c>
      <c r="BP82" s="631">
        <f>VLOOKUP(A82,'42. SEA or LEA Worksheet'!$A$4:$AL$324,38,0)/VLOOKUP(A82,'42. SEA or LEA Worksheet'!$A$4:$AL$324,35,0)</f>
        <v>12012.795</v>
      </c>
      <c r="BQ82" s="632" t="str">
        <f t="shared" si="51"/>
        <v>Met</v>
      </c>
      <c r="BS82" s="620" t="str">
        <f>IF(AND(BH82="Did not Meet",BK82="Did not Meet", BN82="Did not Meet",BQ82="Did not Meet"),"Did not Meet","Met")</f>
        <v>Met</v>
      </c>
    </row>
    <row r="83" spans="1:71" s="533" customFormat="1" ht="30" x14ac:dyDescent="0.25">
      <c r="A83" s="502" t="s">
        <v>383</v>
      </c>
      <c r="B83" s="503" t="s">
        <v>1358</v>
      </c>
      <c r="C83" s="505"/>
      <c r="D83" s="506">
        <v>0</v>
      </c>
      <c r="E83" s="502" t="s">
        <v>856</v>
      </c>
      <c r="F83" s="505"/>
      <c r="G83" s="617">
        <v>0</v>
      </c>
      <c r="H83" s="502" t="s">
        <v>856</v>
      </c>
      <c r="I83" s="505"/>
      <c r="J83" s="506">
        <v>0</v>
      </c>
      <c r="K83" s="502" t="s">
        <v>1151</v>
      </c>
      <c r="L83" s="505"/>
      <c r="M83" s="506">
        <v>0</v>
      </c>
      <c r="N83" s="502" t="s">
        <v>1152</v>
      </c>
      <c r="O83" s="505"/>
      <c r="P83" s="507" t="s">
        <v>1381</v>
      </c>
      <c r="Q83" s="505"/>
      <c r="R83" s="506">
        <v>0</v>
      </c>
      <c r="S83" s="508" t="str">
        <f t="shared" si="38"/>
        <v>Met</v>
      </c>
      <c r="T83" s="505"/>
      <c r="U83" s="506">
        <v>0</v>
      </c>
      <c r="V83" s="618" t="str">
        <f t="shared" si="39"/>
        <v>Met</v>
      </c>
      <c r="W83" s="505"/>
      <c r="X83" s="506">
        <v>0</v>
      </c>
      <c r="Y83" s="508" t="str">
        <f t="shared" si="40"/>
        <v>Met</v>
      </c>
      <c r="Z83" s="505"/>
      <c r="AA83" s="506">
        <v>0</v>
      </c>
      <c r="AB83" s="508" t="str">
        <f t="shared" si="41"/>
        <v>Met</v>
      </c>
      <c r="AC83" s="505"/>
      <c r="AD83" s="507" t="s">
        <v>1381</v>
      </c>
      <c r="AE83" s="505"/>
      <c r="AF83" s="617">
        <f>VLOOKUP(A83,'42. SEA or LEA Worksheet'!$A$4:$Z$324,26,0)</f>
        <v>0</v>
      </c>
      <c r="AG83" s="508" t="str">
        <f t="shared" si="43"/>
        <v>Met</v>
      </c>
      <c r="AH83" s="505"/>
      <c r="AI83" s="617">
        <f>VLOOKUP(A83,'42. SEA or LEA Worksheet'!$A$4:$AB$324,28,0)</f>
        <v>0</v>
      </c>
      <c r="AJ83" s="508" t="str">
        <f t="shared" si="44"/>
        <v>Met</v>
      </c>
      <c r="AK83" s="505"/>
      <c r="AL83" s="617">
        <v>0</v>
      </c>
      <c r="AM83" s="508" t="str">
        <f t="shared" si="45"/>
        <v>Met</v>
      </c>
      <c r="AN83" s="505"/>
      <c r="AO83" s="617">
        <v>0</v>
      </c>
      <c r="AP83" s="508" t="str">
        <f t="shared" si="46"/>
        <v>Met</v>
      </c>
      <c r="AQ83" s="505"/>
      <c r="AR83" s="507" t="s">
        <v>1361</v>
      </c>
      <c r="AS83" s="505"/>
      <c r="AT83" s="617">
        <f>VLOOKUP(A83,'42. SEA or LEA Worksheet'!$A$4:$AE$324,31,0)</f>
        <v>0</v>
      </c>
      <c r="AU83" s="508" t="str">
        <f t="shared" si="52"/>
        <v>Met</v>
      </c>
      <c r="AV83" s="505"/>
      <c r="AW83" s="617">
        <f>VLOOKUP(A83,'42. SEA or LEA Worksheet'!$A$4:$AG$324,33,0)</f>
        <v>0</v>
      </c>
      <c r="AX83" s="508" t="str">
        <f t="shared" si="53"/>
        <v>Met</v>
      </c>
      <c r="AY83" s="505"/>
      <c r="AZ83" s="617">
        <v>0</v>
      </c>
      <c r="BA83" s="508" t="str">
        <f t="shared" si="54"/>
        <v>Met</v>
      </c>
      <c r="BB83" s="505"/>
      <c r="BC83" s="617">
        <v>0</v>
      </c>
      <c r="BD83" s="618" t="str">
        <f t="shared" si="35"/>
        <v>Met</v>
      </c>
      <c r="BE83" s="505"/>
      <c r="BF83" s="507" t="s">
        <v>1381</v>
      </c>
      <c r="BG83" s="637">
        <f>VLOOKUP(A83,'42. SEA or LEA Worksheet'!$A$4:$AM$324,36,0)</f>
        <v>0</v>
      </c>
      <c r="BH83" s="623" t="s">
        <v>1151</v>
      </c>
      <c r="BI83" s="622"/>
      <c r="BJ83" s="637">
        <f>VLOOKUP(A83,'42. SEA or LEA Worksheet'!$A$4:$AM$324,38,0)</f>
        <v>0</v>
      </c>
      <c r="BK83" s="623" t="s">
        <v>1151</v>
      </c>
      <c r="BL83" s="622"/>
      <c r="BM83" s="631" t="e">
        <f>VLOOKUP(A83,'42. SEA or LEA Worksheet'!$A$4:$AL$324,36,0)/VLOOKUP(A83,'42. SEA or LEA Worksheet'!$A$4:$AL$324,35,0)</f>
        <v>#DIV/0!</v>
      </c>
      <c r="BN83" s="621" t="s">
        <v>1151</v>
      </c>
      <c r="BO83" s="622"/>
      <c r="BP83" s="631" t="e">
        <f>VLOOKUP(A83,'42. SEA or LEA Worksheet'!$A$4:$AL$324,38,0)/VLOOKUP(A83,'42. SEA or LEA Worksheet'!$A$4:$AL$324,35,0)</f>
        <v>#DIV/0!</v>
      </c>
      <c r="BQ83" s="623" t="s">
        <v>1151</v>
      </c>
      <c r="BR83" s="622"/>
      <c r="BS83" s="619" t="s">
        <v>1381</v>
      </c>
    </row>
    <row r="84" spans="1:71" x14ac:dyDescent="0.25">
      <c r="A84" s="343" t="s">
        <v>352</v>
      </c>
      <c r="B84" s="510" t="s">
        <v>913</v>
      </c>
      <c r="C84" s="511"/>
      <c r="D84" s="444">
        <v>0</v>
      </c>
      <c r="E84" s="343" t="s">
        <v>835</v>
      </c>
      <c r="F84" s="511"/>
      <c r="G84" s="444">
        <v>44178341.93</v>
      </c>
      <c r="H84" s="343" t="s">
        <v>835</v>
      </c>
      <c r="I84" s="511"/>
      <c r="J84" s="444">
        <v>0</v>
      </c>
      <c r="K84" s="343" t="s">
        <v>835</v>
      </c>
      <c r="L84" s="511"/>
      <c r="M84" s="444">
        <v>13993.773180234399</v>
      </c>
      <c r="N84" s="343" t="s">
        <v>856</v>
      </c>
      <c r="O84" s="511"/>
      <c r="P84" s="512" t="str">
        <f t="shared" ref="P84:P98" si="55">IF(AND(E84="Did not Meet",H84="Did not Meet",K84="Did not Meet", N84="Did not Meet"),"Did not Meet","Met")</f>
        <v>Met</v>
      </c>
      <c r="Q84" s="511"/>
      <c r="R84" s="444">
        <f>VLOOKUP(A84,'2020-21'!$A$6:$F$319,6,0)</f>
        <v>0</v>
      </c>
      <c r="S84" s="513" t="str">
        <f t="shared" si="38"/>
        <v>Met</v>
      </c>
      <c r="U84" s="444">
        <f>VLOOKUP(A84,'2020-21'!$A$6:$G$319,7,0)</f>
        <v>43772852.810000002</v>
      </c>
      <c r="V84" s="513" t="str">
        <f t="shared" si="39"/>
        <v>Did not Meet</v>
      </c>
      <c r="X84" s="444">
        <f>VLOOKUP(A84,'2020-21'!$A$6:$F$319,6,0)/VLOOKUP(A84,'42. SEA or LEA Worksheet'!$A$4:$T$324,20,0)</f>
        <v>0</v>
      </c>
      <c r="Y84" s="513" t="str">
        <f t="shared" si="40"/>
        <v>Met</v>
      </c>
      <c r="AA84" s="444">
        <f>VLOOKUP(A84,'42. SEA or LEA Worksheet'!$A$4:$W$324,23,0)/VLOOKUP(compliance!A84,'42. SEA or LEA Worksheet'!$A$4:$T$324,20,0)</f>
        <v>14356.46205641194</v>
      </c>
      <c r="AB84" s="513" t="str">
        <f t="shared" si="41"/>
        <v>Met</v>
      </c>
      <c r="AD84" s="512" t="str">
        <f t="shared" ref="AD84:AD98" si="56">IF(AND(S84="Did not Meet",V84="Did not Meet", Y84="Did not Meet",AB84="Did not Meet"),"Did not Meet","Met")</f>
        <v>Met</v>
      </c>
      <c r="AF84" s="444">
        <f>VLOOKUP(A84,'42. SEA or LEA Worksheet'!$A$4:$Z$324,26,0)</f>
        <v>0</v>
      </c>
      <c r="AG84" s="513" t="str">
        <f t="shared" si="43"/>
        <v>Met</v>
      </c>
      <c r="AI84" s="444">
        <f>VLOOKUP(A84,'42. SEA or LEA Worksheet'!$A$4:$AB$324,28,0)</f>
        <v>42890505.780000001</v>
      </c>
      <c r="AJ84" s="513" t="str">
        <f t="shared" si="44"/>
        <v>Did not Meet</v>
      </c>
      <c r="AL84" s="444">
        <f>VLOOKUP(compliance!A84,'42. SEA or LEA Worksheet'!$A$4:$AB$324,26,0)/VLOOKUP(compliance!A84,'42. SEA or LEA Worksheet'!$A$4:$Y$324,25,0)</f>
        <v>0</v>
      </c>
      <c r="AM84" s="513" t="str">
        <f t="shared" si="45"/>
        <v>Met</v>
      </c>
      <c r="AO84" s="444">
        <f>VLOOKUP(A84,'42. SEA or LEA Worksheet'!$A$4:$AB$324,28,0)/VLOOKUP(compliance!A84,'42. SEA or LEA Worksheet'!$A$4:$Y$324,25,0)</f>
        <v>14841.005460207612</v>
      </c>
      <c r="AP84" s="513" t="str">
        <f t="shared" si="46"/>
        <v>Met</v>
      </c>
      <c r="AR84" s="512" t="str">
        <f t="shared" ref="AR84:AR98" si="57">IF(AND(AG84="Did not Meet",AJ84="Did not Meet", AM84="Did not Meet",AP84="Did not Meet"),"Did not Meet","Met")</f>
        <v>Met</v>
      </c>
      <c r="AT84" s="444">
        <f>VLOOKUP(A84,'42. SEA or LEA Worksheet'!$A$4:$AE$324,31,0)</f>
        <v>0</v>
      </c>
      <c r="AU84" s="513" t="str">
        <f t="shared" si="52"/>
        <v>Met</v>
      </c>
      <c r="AW84" s="444">
        <f>VLOOKUP(A84,'42. SEA or LEA Worksheet'!$A$4:$AG$324,33,0)</f>
        <v>47319836.770000003</v>
      </c>
      <c r="AX84" s="513" t="str">
        <f t="shared" si="53"/>
        <v>Met</v>
      </c>
      <c r="AZ84" s="444">
        <f>VLOOKUP(A84,'42. SEA or LEA Worksheet'!$A$4:$AG$324,31,0)/VLOOKUP(A84,'42. SEA or LEA Worksheet'!$A$4:$AD$324,30,0)</f>
        <v>0</v>
      </c>
      <c r="BA84" s="513" t="str">
        <f t="shared" si="54"/>
        <v>Met</v>
      </c>
      <c r="BC84" s="444">
        <f>VLOOKUP(A84,'42. SEA or LEA Worksheet'!$A$4:$AG$324,33,0)/VLOOKUP(A84,'42. SEA or LEA Worksheet'!$A$4:$AD$324,30,0)</f>
        <v>16436.20589440778</v>
      </c>
      <c r="BD84" s="513" t="str">
        <f t="shared" si="35"/>
        <v>Met</v>
      </c>
      <c r="BF84" s="512" t="str">
        <f t="shared" ref="BF84:BF97" si="58">IF(AND(AU84="Did not Meet",AX84="Did not Meet", BA84="Did not Meet",BD84="Did not Meet"),"Did not Meet","Met")</f>
        <v>Met</v>
      </c>
      <c r="BG84" s="637">
        <f>VLOOKUP(A84,'42. SEA or LEA Worksheet'!$A$4:$AM$324,36,0)</f>
        <v>4244258.57</v>
      </c>
      <c r="BH84" s="638" t="str">
        <f t="shared" ref="BH84:BH98" si="59">IF(BG84&gt;=AT84,"Met","Did not Meet")</f>
        <v>Met</v>
      </c>
      <c r="BI84" s="639"/>
      <c r="BJ84" s="637">
        <f>VLOOKUP(A84,'42. SEA or LEA Worksheet'!$A$4:$AM$324,38,0)</f>
        <v>54848484.619999997</v>
      </c>
      <c r="BK84" s="638" t="str">
        <f t="shared" ref="BK84:BK98" si="60">IF(BJ84&gt;=AW84,"Met","Did not Meet")</f>
        <v>Met</v>
      </c>
      <c r="BM84" s="631">
        <f>VLOOKUP(A84,'42. SEA or LEA Worksheet'!$A$4:$AL$324,36,0)/VLOOKUP(A84,'42. SEA or LEA Worksheet'!$A$4:$AL$324,35,0)</f>
        <v>1377.5587698799093</v>
      </c>
      <c r="BN84" s="632" t="str">
        <f t="shared" ref="BN84:BN98" si="61">IF(BM84&gt;=AY84,"Met","Did not Meet")</f>
        <v>Met</v>
      </c>
      <c r="BP84" s="631">
        <f>VLOOKUP(A84,'42. SEA or LEA Worksheet'!$A$4:$AL$324,38,0)/VLOOKUP(A84,'42. SEA or LEA Worksheet'!$A$4:$AL$324,35,0)</f>
        <v>17802.169626744562</v>
      </c>
      <c r="BQ84" s="632" t="str">
        <f t="shared" ref="BQ84:BQ98" si="62">IF(BP84&gt;=BB84,"Met","Did not Meet")</f>
        <v>Met</v>
      </c>
      <c r="BS84" s="620" t="str">
        <f t="shared" ref="BS84:BS98" si="63">IF(AND(BH84="Did not Meet",BK84="Did not Meet", BN84="Did not Meet",BQ84="Did not Meet"),"Did not Meet","Met")</f>
        <v>Met</v>
      </c>
    </row>
    <row r="85" spans="1:71" x14ac:dyDescent="0.25">
      <c r="A85" s="343" t="s">
        <v>354</v>
      </c>
      <c r="B85" s="510" t="s">
        <v>914</v>
      </c>
      <c r="C85" s="511"/>
      <c r="D85" s="444">
        <v>217.75</v>
      </c>
      <c r="E85" s="343" t="s">
        <v>856</v>
      </c>
      <c r="F85" s="511"/>
      <c r="G85" s="444">
        <v>10252921.68</v>
      </c>
      <c r="H85" s="343" t="s">
        <v>835</v>
      </c>
      <c r="I85" s="511"/>
      <c r="J85" s="444">
        <v>0.29465493910690121</v>
      </c>
      <c r="K85" s="343" t="s">
        <v>856</v>
      </c>
      <c r="L85" s="511"/>
      <c r="M85" s="444">
        <v>13874.048281461433</v>
      </c>
      <c r="N85" s="343" t="s">
        <v>835</v>
      </c>
      <c r="O85" s="511"/>
      <c r="P85" s="512" t="str">
        <f t="shared" si="55"/>
        <v>Met</v>
      </c>
      <c r="Q85" s="511"/>
      <c r="R85" s="444">
        <f>VLOOKUP(A85,'2020-21'!$A$6:$F$319,6,0)</f>
        <v>0</v>
      </c>
      <c r="S85" s="513" t="str">
        <f t="shared" si="38"/>
        <v>Did not Meet</v>
      </c>
      <c r="U85" s="444">
        <f>VLOOKUP(A85,'2020-21'!$A$6:$G$319,7,0)</f>
        <v>9156287.4700000007</v>
      </c>
      <c r="V85" s="513" t="str">
        <f t="shared" si="39"/>
        <v>Did not Meet</v>
      </c>
      <c r="X85" s="444">
        <f>VLOOKUP(A85,'2020-21'!$A$6:$F$319,6,0)/VLOOKUP(A85,'42. SEA or LEA Worksheet'!$A$4:$T$324,20,0)</f>
        <v>0</v>
      </c>
      <c r="Y85" s="513" t="str">
        <f t="shared" si="40"/>
        <v>Did not Meet</v>
      </c>
      <c r="AA85" s="444">
        <f>VLOOKUP(A85,'42. SEA or LEA Worksheet'!$A$4:$W$324,23,0)/VLOOKUP(compliance!A85,'42. SEA or LEA Worksheet'!$A$4:$T$324,20,0)</f>
        <v>13289.24161103048</v>
      </c>
      <c r="AB85" s="513" t="str">
        <f t="shared" si="41"/>
        <v>Did not Meet</v>
      </c>
      <c r="AD85" s="512" t="str">
        <f t="shared" si="56"/>
        <v>Did not Meet</v>
      </c>
      <c r="AF85" s="444">
        <f>VLOOKUP(A85,'42. SEA or LEA Worksheet'!$A$4:$Z$324,26,0)</f>
        <v>0</v>
      </c>
      <c r="AG85" s="513" t="str">
        <f t="shared" si="43"/>
        <v>Met</v>
      </c>
      <c r="AI85" s="444">
        <f>VLOOKUP(A85,'42. SEA or LEA Worksheet'!$A$4:$AB$324,28,0)</f>
        <v>9740360.8699999992</v>
      </c>
      <c r="AJ85" s="513" t="str">
        <f t="shared" si="44"/>
        <v>Met</v>
      </c>
      <c r="AL85" s="444">
        <f>VLOOKUP(compliance!A85,'42. SEA or LEA Worksheet'!$A$4:$AB$324,26,0)/VLOOKUP(compliance!A85,'42. SEA or LEA Worksheet'!$A$4:$Y$324,25,0)</f>
        <v>0</v>
      </c>
      <c r="AM85" s="513" t="str">
        <f t="shared" si="45"/>
        <v>Met</v>
      </c>
      <c r="AO85" s="444">
        <f>VLOOKUP(A85,'42. SEA or LEA Worksheet'!$A$4:$AB$324,28,0)/VLOOKUP(compliance!A85,'42. SEA or LEA Worksheet'!$A$4:$Y$324,25,0)</f>
        <v>14802.980045592703</v>
      </c>
      <c r="AP85" s="513" t="str">
        <f t="shared" si="46"/>
        <v>Met</v>
      </c>
      <c r="AR85" s="512" t="str">
        <f t="shared" si="57"/>
        <v>Met</v>
      </c>
      <c r="AT85" s="444">
        <f>VLOOKUP(A85,'42. SEA or LEA Worksheet'!$A$4:$AE$324,31,0)</f>
        <v>0</v>
      </c>
      <c r="AU85" s="513" t="str">
        <f t="shared" si="52"/>
        <v>Met</v>
      </c>
      <c r="AW85" s="444">
        <f>VLOOKUP(A85,'42. SEA or LEA Worksheet'!$A$4:$AG$324,33,0)</f>
        <v>11783958.57</v>
      </c>
      <c r="AX85" s="513" t="str">
        <f t="shared" si="53"/>
        <v>Met</v>
      </c>
      <c r="AZ85" s="444">
        <f>VLOOKUP(A85,'42. SEA or LEA Worksheet'!$A$4:$AG$324,31,0)/VLOOKUP(A85,'42. SEA or LEA Worksheet'!$A$4:$AD$324,30,0)</f>
        <v>0</v>
      </c>
      <c r="BA85" s="513" t="str">
        <f t="shared" si="54"/>
        <v>Met</v>
      </c>
      <c r="BC85" s="444">
        <f>VLOOKUP(A85,'42. SEA or LEA Worksheet'!$A$4:$AG$324,33,0)/VLOOKUP(A85,'42. SEA or LEA Worksheet'!$A$4:$AD$324,30,0)</f>
        <v>17228.00960526316</v>
      </c>
      <c r="BD85" s="513" t="str">
        <f t="shared" si="35"/>
        <v>Met</v>
      </c>
      <c r="BF85" s="512" t="str">
        <f t="shared" si="58"/>
        <v>Met</v>
      </c>
      <c r="BG85" s="637">
        <f>VLOOKUP(A85,'42. SEA or LEA Worksheet'!$A$4:$AM$324,36,0)</f>
        <v>0</v>
      </c>
      <c r="BH85" s="638" t="str">
        <f t="shared" si="59"/>
        <v>Met</v>
      </c>
      <c r="BI85" s="639"/>
      <c r="BJ85" s="637">
        <f>VLOOKUP(A85,'42. SEA or LEA Worksheet'!$A$4:$AM$324,38,0)</f>
        <v>13213779.52</v>
      </c>
      <c r="BK85" s="638" t="str">
        <f t="shared" si="60"/>
        <v>Met</v>
      </c>
      <c r="BM85" s="631">
        <f>VLOOKUP(A85,'42. SEA or LEA Worksheet'!$A$4:$AL$324,36,0)/VLOOKUP(A85,'42. SEA or LEA Worksheet'!$A$4:$AL$324,35,0)</f>
        <v>0</v>
      </c>
      <c r="BN85" s="632" t="str">
        <f t="shared" si="61"/>
        <v>Met</v>
      </c>
      <c r="BP85" s="631">
        <f>VLOOKUP(A85,'42. SEA or LEA Worksheet'!$A$4:$AL$324,38,0)/VLOOKUP(A85,'42. SEA or LEA Worksheet'!$A$4:$AL$324,35,0)</f>
        <v>18480.810517482518</v>
      </c>
      <c r="BQ85" s="632" t="str">
        <f t="shared" si="62"/>
        <v>Met</v>
      </c>
      <c r="BS85" s="620" t="str">
        <f t="shared" si="63"/>
        <v>Met</v>
      </c>
    </row>
    <row r="86" spans="1:71" x14ac:dyDescent="0.25">
      <c r="A86" s="343" t="s">
        <v>356</v>
      </c>
      <c r="B86" s="510" t="s">
        <v>915</v>
      </c>
      <c r="C86" s="511"/>
      <c r="D86" s="444">
        <v>982034.2</v>
      </c>
      <c r="E86" s="343" t="s">
        <v>835</v>
      </c>
      <c r="F86" s="511"/>
      <c r="G86" s="444">
        <v>6556893.0600000005</v>
      </c>
      <c r="H86" s="343" t="s">
        <v>835</v>
      </c>
      <c r="I86" s="511"/>
      <c r="J86" s="444">
        <v>2111.9015053763442</v>
      </c>
      <c r="K86" s="343" t="s">
        <v>835</v>
      </c>
      <c r="L86" s="511"/>
      <c r="M86" s="444">
        <v>14100.845290322583</v>
      </c>
      <c r="N86" s="343" t="s">
        <v>835</v>
      </c>
      <c r="O86" s="511"/>
      <c r="P86" s="512" t="str">
        <f t="shared" si="55"/>
        <v>Met</v>
      </c>
      <c r="Q86" s="511"/>
      <c r="R86" s="444">
        <f>VLOOKUP(A86,'2020-21'!$A$6:$F$319,6,0)</f>
        <v>0</v>
      </c>
      <c r="S86" s="513" t="str">
        <f t="shared" si="38"/>
        <v>Did not Meet</v>
      </c>
      <c r="U86" s="444">
        <f>VLOOKUP(A86,'2020-21'!$A$6:$G$319,7,0)</f>
        <v>6836381.79</v>
      </c>
      <c r="V86" s="513" t="str">
        <f t="shared" si="39"/>
        <v>Met</v>
      </c>
      <c r="X86" s="444">
        <f>VLOOKUP(A86,'2020-21'!$A$6:$F$319,6,0)/VLOOKUP(A86,'42. SEA or LEA Worksheet'!$A$4:$T$324,20,0)</f>
        <v>0</v>
      </c>
      <c r="Y86" s="513" t="str">
        <f t="shared" si="40"/>
        <v>Did not Meet</v>
      </c>
      <c r="AA86" s="444">
        <f>VLOOKUP(A86,'42. SEA or LEA Worksheet'!$A$4:$W$324,23,0)/VLOOKUP(compliance!A86,'42. SEA or LEA Worksheet'!$A$4:$T$324,20,0)</f>
        <v>15328.210291479822</v>
      </c>
      <c r="AB86" s="513" t="str">
        <f t="shared" si="41"/>
        <v>Met</v>
      </c>
      <c r="AD86" s="512" t="str">
        <f t="shared" si="56"/>
        <v>Met</v>
      </c>
      <c r="AF86" s="444">
        <f>VLOOKUP(A86,'42. SEA or LEA Worksheet'!$A$4:$Z$324,26,0)</f>
        <v>0</v>
      </c>
      <c r="AG86" s="513" t="str">
        <f t="shared" si="43"/>
        <v>Met</v>
      </c>
      <c r="AI86" s="444">
        <f>VLOOKUP(A86,'42. SEA or LEA Worksheet'!$A$4:$AB$324,28,0)</f>
        <v>7507937.0700000003</v>
      </c>
      <c r="AJ86" s="513" t="str">
        <f t="shared" si="44"/>
        <v>Met</v>
      </c>
      <c r="AL86" s="444">
        <f>VLOOKUP(compliance!A86,'42. SEA or LEA Worksheet'!$A$4:$AB$324,26,0)/VLOOKUP(compliance!A86,'42. SEA or LEA Worksheet'!$A$4:$Y$324,25,0)</f>
        <v>0</v>
      </c>
      <c r="AM86" s="513" t="str">
        <f t="shared" si="45"/>
        <v>Met</v>
      </c>
      <c r="AO86" s="444">
        <f>VLOOKUP(A86,'42. SEA or LEA Worksheet'!$A$4:$AB$324,28,0)/VLOOKUP(compliance!A86,'42. SEA or LEA Worksheet'!$A$4:$Y$324,25,0)</f>
        <v>17665.734282352943</v>
      </c>
      <c r="AP86" s="513" t="str">
        <f t="shared" si="46"/>
        <v>Met</v>
      </c>
      <c r="AR86" s="512" t="str">
        <f t="shared" si="57"/>
        <v>Met</v>
      </c>
      <c r="AT86" s="444">
        <f>VLOOKUP(A86,'42. SEA or LEA Worksheet'!$A$4:$AE$324,31,0)</f>
        <v>0</v>
      </c>
      <c r="AU86" s="513" t="str">
        <f t="shared" si="52"/>
        <v>Met</v>
      </c>
      <c r="AW86" s="444">
        <f>VLOOKUP(A86,'42. SEA or LEA Worksheet'!$A$4:$AG$324,33,0)</f>
        <v>8953544.0399999991</v>
      </c>
      <c r="AX86" s="513" t="str">
        <f t="shared" si="53"/>
        <v>Met</v>
      </c>
      <c r="AZ86" s="444">
        <f>VLOOKUP(A86,'42. SEA or LEA Worksheet'!$A$4:$AG$324,31,0)/VLOOKUP(A86,'42. SEA or LEA Worksheet'!$A$4:$AD$324,30,0)</f>
        <v>0</v>
      </c>
      <c r="BA86" s="513" t="str">
        <f t="shared" si="54"/>
        <v>Met</v>
      </c>
      <c r="BC86" s="444">
        <f>VLOOKUP(A86,'42. SEA or LEA Worksheet'!$A$4:$AG$324,33,0)/VLOOKUP(A86,'42. SEA or LEA Worksheet'!$A$4:$AD$324,30,0)</f>
        <v>20441.881369863011</v>
      </c>
      <c r="BD86" s="513" t="str">
        <f t="shared" si="35"/>
        <v>Met</v>
      </c>
      <c r="BF86" s="512" t="str">
        <f t="shared" si="58"/>
        <v>Met</v>
      </c>
      <c r="BG86" s="637">
        <f>VLOOKUP(A86,'42. SEA or LEA Worksheet'!$A$4:$AM$324,36,0)</f>
        <v>0</v>
      </c>
      <c r="BH86" s="638" t="str">
        <f t="shared" si="59"/>
        <v>Met</v>
      </c>
      <c r="BI86" s="639"/>
      <c r="BJ86" s="637">
        <f>VLOOKUP(A86,'42. SEA or LEA Worksheet'!$A$4:$AM$324,38,0)</f>
        <v>8969865.2400000002</v>
      </c>
      <c r="BK86" s="638" t="str">
        <f t="shared" si="60"/>
        <v>Met</v>
      </c>
      <c r="BM86" s="631">
        <f>VLOOKUP(A86,'42. SEA or LEA Worksheet'!$A$4:$AL$324,36,0)/VLOOKUP(A86,'42. SEA or LEA Worksheet'!$A$4:$AL$324,35,0)</f>
        <v>0</v>
      </c>
      <c r="BN86" s="632" t="str">
        <f t="shared" si="61"/>
        <v>Met</v>
      </c>
      <c r="BP86" s="631">
        <f>VLOOKUP(A86,'42. SEA or LEA Worksheet'!$A$4:$AL$324,38,0)/VLOOKUP(A86,'42. SEA or LEA Worksheet'!$A$4:$AL$324,35,0)</f>
        <v>19542.190065359478</v>
      </c>
      <c r="BQ86" s="632" t="str">
        <f t="shared" si="62"/>
        <v>Met</v>
      </c>
      <c r="BS86" s="620" t="str">
        <f t="shared" si="63"/>
        <v>Met</v>
      </c>
    </row>
    <row r="87" spans="1:71" x14ac:dyDescent="0.25">
      <c r="A87" s="343" t="s">
        <v>358</v>
      </c>
      <c r="B87" s="510" t="s">
        <v>916</v>
      </c>
      <c r="C87" s="511"/>
      <c r="D87" s="444">
        <v>0</v>
      </c>
      <c r="E87" s="343" t="s">
        <v>856</v>
      </c>
      <c r="F87" s="511"/>
      <c r="G87" s="444">
        <v>1257846.6000000001</v>
      </c>
      <c r="H87" s="343" t="s">
        <v>880</v>
      </c>
      <c r="I87" s="511"/>
      <c r="J87" s="444">
        <v>0</v>
      </c>
      <c r="K87" s="343" t="s">
        <v>856</v>
      </c>
      <c r="L87" s="511"/>
      <c r="M87" s="444">
        <v>9982.9095238095251</v>
      </c>
      <c r="N87" s="343" t="s">
        <v>835</v>
      </c>
      <c r="O87" s="511"/>
      <c r="P87" s="512" t="str">
        <f t="shared" si="55"/>
        <v>Met</v>
      </c>
      <c r="Q87" s="511"/>
      <c r="R87" s="444">
        <f>VLOOKUP(A87,'2020-21'!$A$6:$F$319,6,0)</f>
        <v>222280.12</v>
      </c>
      <c r="S87" s="513" t="str">
        <f t="shared" si="38"/>
        <v>Met</v>
      </c>
      <c r="U87" s="444">
        <f>VLOOKUP(A87,'2020-21'!$A$6:$G$319,7,0)</f>
        <v>1378792.9</v>
      </c>
      <c r="V87" s="513" t="str">
        <f t="shared" si="39"/>
        <v>Met</v>
      </c>
      <c r="X87" s="444">
        <f>VLOOKUP(A87,'2020-21'!$A$6:$F$319,6,0)/VLOOKUP(A87,'42. SEA or LEA Worksheet'!$A$4:$T$324,20,0)</f>
        <v>1821.9681967213114</v>
      </c>
      <c r="Y87" s="513" t="str">
        <f t="shared" si="40"/>
        <v>Met</v>
      </c>
      <c r="AA87" s="444">
        <f>VLOOKUP(A87,'42. SEA or LEA Worksheet'!$A$4:$W$324,23,0)/VLOOKUP(compliance!A87,'42. SEA or LEA Worksheet'!$A$4:$T$324,20,0)</f>
        <v>11301.581147540983</v>
      </c>
      <c r="AB87" s="513" t="str">
        <f t="shared" si="41"/>
        <v>Met</v>
      </c>
      <c r="AD87" s="512" t="str">
        <f t="shared" si="56"/>
        <v>Met</v>
      </c>
      <c r="AF87" s="444">
        <f>VLOOKUP(A87,'42. SEA or LEA Worksheet'!$A$4:$Z$324,26,0)</f>
        <v>482687.13</v>
      </c>
      <c r="AG87" s="513" t="str">
        <f t="shared" si="43"/>
        <v>Met</v>
      </c>
      <c r="AI87" s="444">
        <f>VLOOKUP(A87,'42. SEA or LEA Worksheet'!$A$4:$AB$324,28,0)</f>
        <v>1335358.55</v>
      </c>
      <c r="AJ87" s="513" t="str">
        <f t="shared" si="44"/>
        <v>Did not Meet</v>
      </c>
      <c r="AL87" s="444">
        <f>VLOOKUP(compliance!A87,'42. SEA or LEA Worksheet'!$A$4:$AB$324,26,0)/VLOOKUP(compliance!A87,'42. SEA or LEA Worksheet'!$A$4:$Y$324,25,0)</f>
        <v>4271.5675221238935</v>
      </c>
      <c r="AM87" s="513" t="str">
        <f t="shared" si="45"/>
        <v>Met</v>
      </c>
      <c r="AO87" s="444">
        <f>VLOOKUP(A87,'42. SEA or LEA Worksheet'!$A$4:$AB$324,28,0)/VLOOKUP(compliance!A87,'42. SEA or LEA Worksheet'!$A$4:$Y$324,25,0)</f>
        <v>11817.332300884957</v>
      </c>
      <c r="AP87" s="513" t="str">
        <f t="shared" si="46"/>
        <v>Met</v>
      </c>
      <c r="AR87" s="512" t="str">
        <f t="shared" si="57"/>
        <v>Met</v>
      </c>
      <c r="AT87" s="444">
        <f>VLOOKUP(A87,'42. SEA or LEA Worksheet'!$A$4:$AE$324,31,0)</f>
        <v>88.5</v>
      </c>
      <c r="AU87" s="513" t="str">
        <f t="shared" si="52"/>
        <v>Did not Meet</v>
      </c>
      <c r="AW87" s="444">
        <f>VLOOKUP(A87,'42. SEA or LEA Worksheet'!$A$4:$AG$324,33,0)</f>
        <v>1258387.22</v>
      </c>
      <c r="AX87" s="513" t="s">
        <v>1453</v>
      </c>
      <c r="AZ87" s="444">
        <f>VLOOKUP(A87,'42. SEA or LEA Worksheet'!$A$4:$AG$324,31,0)/VLOOKUP(A87,'42. SEA or LEA Worksheet'!$A$4:$AD$324,30,0)</f>
        <v>0.76956521739130435</v>
      </c>
      <c r="BA87" s="513" t="str">
        <f t="shared" si="54"/>
        <v>Did not Meet</v>
      </c>
      <c r="BC87" s="444">
        <f>VLOOKUP(A87,'42. SEA or LEA Worksheet'!$A$4:$AG$324,33,0)/VLOOKUP(A87,'42. SEA or LEA Worksheet'!$A$4:$AD$324,30,0)</f>
        <v>10942.497565217391</v>
      </c>
      <c r="BD87" s="513" t="s">
        <v>1453</v>
      </c>
      <c r="BF87" s="512" t="str">
        <f t="shared" si="58"/>
        <v>Met</v>
      </c>
      <c r="BG87" s="637">
        <f>VLOOKUP(A87,'42. SEA or LEA Worksheet'!$A$4:$AM$324,36,0)</f>
        <v>123519.16</v>
      </c>
      <c r="BH87" s="638" t="str">
        <f t="shared" si="59"/>
        <v>Met</v>
      </c>
      <c r="BI87" s="639"/>
      <c r="BJ87" s="637">
        <f>VLOOKUP(A87,'42. SEA or LEA Worksheet'!$A$4:$AM$324,38,0)</f>
        <v>1442655.8599999999</v>
      </c>
      <c r="BK87" s="638" t="str">
        <f t="shared" si="60"/>
        <v>Met</v>
      </c>
      <c r="BM87" s="631">
        <f>VLOOKUP(A87,'42. SEA or LEA Worksheet'!$A$4:$AL$324,36,0)/VLOOKUP(A87,'42. SEA or LEA Worksheet'!$A$4:$AL$324,35,0)</f>
        <v>1020.8195041322315</v>
      </c>
      <c r="BN87" s="632" t="str">
        <f t="shared" si="61"/>
        <v>Met</v>
      </c>
      <c r="BP87" s="631">
        <f>VLOOKUP(A87,'42. SEA or LEA Worksheet'!$A$4:$AL$324,38,0)/VLOOKUP(A87,'42. SEA or LEA Worksheet'!$A$4:$AL$324,35,0)</f>
        <v>11922.775702479337</v>
      </c>
      <c r="BQ87" s="632" t="str">
        <f t="shared" si="62"/>
        <v>Met</v>
      </c>
      <c r="BS87" s="620" t="str">
        <f t="shared" si="63"/>
        <v>Met</v>
      </c>
    </row>
    <row r="88" spans="1:71" x14ac:dyDescent="0.25">
      <c r="A88" s="343" t="s">
        <v>360</v>
      </c>
      <c r="B88" s="510" t="s">
        <v>917</v>
      </c>
      <c r="C88" s="511"/>
      <c r="D88" s="444">
        <v>0</v>
      </c>
      <c r="E88" s="343" t="s">
        <v>856</v>
      </c>
      <c r="F88" s="511"/>
      <c r="G88" s="444">
        <v>17834420.52</v>
      </c>
      <c r="H88" s="343" t="s">
        <v>835</v>
      </c>
      <c r="I88" s="511"/>
      <c r="J88" s="444">
        <v>0</v>
      </c>
      <c r="K88" s="343" t="s">
        <v>856</v>
      </c>
      <c r="L88" s="511"/>
      <c r="M88" s="444">
        <v>15401.053989637305</v>
      </c>
      <c r="N88" s="343" t="s">
        <v>835</v>
      </c>
      <c r="O88" s="511"/>
      <c r="P88" s="512" t="str">
        <f t="shared" si="55"/>
        <v>Met</v>
      </c>
      <c r="Q88" s="511"/>
      <c r="R88" s="444">
        <f>VLOOKUP(A88,'2020-21'!$A$6:$F$319,6,0)</f>
        <v>0</v>
      </c>
      <c r="S88" s="513" t="str">
        <f t="shared" si="38"/>
        <v>Met</v>
      </c>
      <c r="U88" s="444">
        <f>VLOOKUP(A88,'2020-21'!$A$6:$G$319,7,0)</f>
        <v>17486215.199999999</v>
      </c>
      <c r="V88" s="513" t="str">
        <f t="shared" si="39"/>
        <v>Did not Meet</v>
      </c>
      <c r="X88" s="444">
        <f>VLOOKUP(A88,'2020-21'!$A$6:$F$319,6,0)/VLOOKUP(A88,'42. SEA or LEA Worksheet'!$A$4:$T$324,20,0)</f>
        <v>0</v>
      </c>
      <c r="Y88" s="513" t="str">
        <f t="shared" si="40"/>
        <v>Met</v>
      </c>
      <c r="AA88" s="444">
        <f>VLOOKUP(A88,'42. SEA or LEA Worksheet'!$A$4:$W$324,23,0)/VLOOKUP(compliance!A88,'42. SEA or LEA Worksheet'!$A$4:$T$324,20,0)</f>
        <v>17451.312574850297</v>
      </c>
      <c r="AB88" s="513" t="str">
        <f t="shared" si="41"/>
        <v>Met</v>
      </c>
      <c r="AD88" s="512" t="str">
        <f t="shared" si="56"/>
        <v>Met</v>
      </c>
      <c r="AF88" s="444">
        <f>VLOOKUP(A88,'42. SEA or LEA Worksheet'!$A$4:$Z$324,26,0)</f>
        <v>0</v>
      </c>
      <c r="AG88" s="513" t="str">
        <f t="shared" si="43"/>
        <v>Met</v>
      </c>
      <c r="AI88" s="444">
        <f>VLOOKUP(A88,'42. SEA or LEA Worksheet'!$A$4:$AB$324,28,0)</f>
        <v>17935754.699999999</v>
      </c>
      <c r="AJ88" s="513" t="str">
        <f t="shared" si="44"/>
        <v>Met</v>
      </c>
      <c r="AL88" s="444">
        <f>VLOOKUP(compliance!A88,'42. SEA or LEA Worksheet'!$A$4:$AB$324,26,0)/VLOOKUP(compliance!A88,'42. SEA or LEA Worksheet'!$A$4:$Y$324,25,0)</f>
        <v>0</v>
      </c>
      <c r="AM88" s="513" t="str">
        <f t="shared" si="45"/>
        <v>Met</v>
      </c>
      <c r="AO88" s="444">
        <f>VLOOKUP(A88,'42. SEA or LEA Worksheet'!$A$4:$AB$324,28,0)/VLOOKUP(compliance!A88,'42. SEA or LEA Worksheet'!$A$4:$Y$324,25,0)</f>
        <v>17653.30187007874</v>
      </c>
      <c r="AP88" s="513" t="str">
        <f t="shared" si="46"/>
        <v>Met</v>
      </c>
      <c r="AR88" s="512" t="str">
        <f t="shared" si="57"/>
        <v>Met</v>
      </c>
      <c r="AT88" s="444">
        <f>VLOOKUP(A88,'42. SEA or LEA Worksheet'!$A$4:$AE$324,31,0)</f>
        <v>6093098.7199999997</v>
      </c>
      <c r="AU88" s="513" t="str">
        <f t="shared" si="52"/>
        <v>Met</v>
      </c>
      <c r="AW88" s="444">
        <f>VLOOKUP(A88,'42. SEA or LEA Worksheet'!$A$4:$AG$324,33,0)</f>
        <v>19442523.940000001</v>
      </c>
      <c r="AX88" s="513" t="str">
        <f t="shared" ref="AX88:AX119" si="64">IF(AW88&gt;=AI88,"Met","Did not Meet")</f>
        <v>Met</v>
      </c>
      <c r="AZ88" s="444">
        <f>VLOOKUP(A88,'42. SEA or LEA Worksheet'!$A$4:$AG$324,31,0)/VLOOKUP(A88,'42. SEA or LEA Worksheet'!$A$4:$AD$324,30,0)</f>
        <v>5932.9101460564752</v>
      </c>
      <c r="BA88" s="513" t="str">
        <f t="shared" si="54"/>
        <v>Met</v>
      </c>
      <c r="BC88" s="444">
        <f>VLOOKUP(A88,'42. SEA or LEA Worksheet'!$A$4:$AG$324,33,0)/VLOOKUP(A88,'42. SEA or LEA Worksheet'!$A$4:$AD$324,30,0)</f>
        <v>18931.376767283349</v>
      </c>
      <c r="BD88" s="513" t="str">
        <f t="shared" ref="BD88:BD119" si="65">IF(BC88&gt;=AO88,"Met","Did not Meet")</f>
        <v>Met</v>
      </c>
      <c r="BF88" s="512" t="str">
        <f t="shared" si="58"/>
        <v>Met</v>
      </c>
      <c r="BG88" s="637">
        <f>VLOOKUP(A88,'42. SEA or LEA Worksheet'!$A$4:$AM$324,36,0)</f>
        <v>5433551.6799999997</v>
      </c>
      <c r="BH88" s="638" t="str">
        <f t="shared" si="59"/>
        <v>Did not Meet</v>
      </c>
      <c r="BI88" s="639"/>
      <c r="BJ88" s="637">
        <f>VLOOKUP(A88,'42. SEA or LEA Worksheet'!$A$4:$AM$324,38,0)</f>
        <v>21822686.189999998</v>
      </c>
      <c r="BK88" s="638" t="str">
        <f t="shared" si="60"/>
        <v>Met</v>
      </c>
      <c r="BM88" s="631">
        <f>VLOOKUP(A88,'42. SEA or LEA Worksheet'!$A$4:$AL$324,36,0)/VLOOKUP(A88,'42. SEA or LEA Worksheet'!$A$4:$AL$324,35,0)</f>
        <v>4899.5055725879165</v>
      </c>
      <c r="BN88" s="632" t="str">
        <f t="shared" si="61"/>
        <v>Met</v>
      </c>
      <c r="BP88" s="631">
        <f>VLOOKUP(A88,'42. SEA or LEA Worksheet'!$A$4:$AL$324,38,0)/VLOOKUP(A88,'42. SEA or LEA Worksheet'!$A$4:$AL$324,35,0)</f>
        <v>19677.805401262398</v>
      </c>
      <c r="BQ88" s="632" t="str">
        <f t="shared" si="62"/>
        <v>Met</v>
      </c>
      <c r="BS88" s="620" t="str">
        <f t="shared" si="63"/>
        <v>Met</v>
      </c>
    </row>
    <row r="89" spans="1:71" x14ac:dyDescent="0.25">
      <c r="A89" s="343" t="s">
        <v>362</v>
      </c>
      <c r="B89" s="510" t="s">
        <v>918</v>
      </c>
      <c r="C89" s="511"/>
      <c r="D89" s="444">
        <v>0</v>
      </c>
      <c r="E89" s="343" t="s">
        <v>856</v>
      </c>
      <c r="F89" s="511"/>
      <c r="G89" s="444">
        <v>1030632.24</v>
      </c>
      <c r="H89" s="343" t="s">
        <v>835</v>
      </c>
      <c r="I89" s="511"/>
      <c r="J89" s="444">
        <v>0</v>
      </c>
      <c r="K89" s="343" t="s">
        <v>856</v>
      </c>
      <c r="L89" s="511"/>
      <c r="M89" s="444">
        <v>9120.6392920353974</v>
      </c>
      <c r="N89" s="343" t="s">
        <v>856</v>
      </c>
      <c r="O89" s="511"/>
      <c r="P89" s="512" t="str">
        <f t="shared" si="55"/>
        <v>Met</v>
      </c>
      <c r="Q89" s="511"/>
      <c r="R89" s="444">
        <f>VLOOKUP(A89,'2020-21'!$A$6:$F$319,6,0)</f>
        <v>0</v>
      </c>
      <c r="S89" s="513" t="str">
        <f t="shared" si="38"/>
        <v>Met</v>
      </c>
      <c r="U89" s="444">
        <f>VLOOKUP(A89,'2020-21'!$A$6:$G$319,7,0)</f>
        <v>966394.72</v>
      </c>
      <c r="V89" s="513" t="str">
        <f t="shared" si="39"/>
        <v>Did not Meet</v>
      </c>
      <c r="X89" s="444">
        <f>VLOOKUP(A89,'2020-21'!$A$6:$F$319,6,0)/VLOOKUP(A89,'42. SEA or LEA Worksheet'!$A$4:$T$324,20,0)</f>
        <v>0</v>
      </c>
      <c r="Y89" s="513" t="str">
        <f t="shared" si="40"/>
        <v>Met</v>
      </c>
      <c r="AA89" s="444">
        <f>VLOOKUP(A89,'42. SEA or LEA Worksheet'!$A$4:$W$324,23,0)/VLOOKUP(compliance!A89,'42. SEA or LEA Worksheet'!$A$4:$T$324,20,0)</f>
        <v>8552.1656637168144</v>
      </c>
      <c r="AB89" s="513" t="str">
        <f t="shared" si="41"/>
        <v>Did not Meet</v>
      </c>
      <c r="AD89" s="512" t="str">
        <f t="shared" si="56"/>
        <v>Met</v>
      </c>
      <c r="AF89" s="444">
        <f>VLOOKUP(A89,'42. SEA or LEA Worksheet'!$A$4:$Z$324,26,0)</f>
        <v>0</v>
      </c>
      <c r="AG89" s="513" t="str">
        <f t="shared" si="43"/>
        <v>Met</v>
      </c>
      <c r="AI89" s="444">
        <f>VLOOKUP(A89,'42. SEA or LEA Worksheet'!$A$4:$AB$324,28,0)</f>
        <v>1166295.9099999999</v>
      </c>
      <c r="AJ89" s="513" t="str">
        <f t="shared" si="44"/>
        <v>Met</v>
      </c>
      <c r="AL89" s="444">
        <f>VLOOKUP(compliance!A89,'42. SEA or LEA Worksheet'!$A$4:$AB$324,26,0)/VLOOKUP(compliance!A89,'42. SEA or LEA Worksheet'!$A$4:$Y$324,25,0)</f>
        <v>0</v>
      </c>
      <c r="AM89" s="513" t="str">
        <f t="shared" si="45"/>
        <v>Met</v>
      </c>
      <c r="AO89" s="444">
        <f>VLOOKUP(A89,'42. SEA or LEA Worksheet'!$A$4:$AB$324,28,0)/VLOOKUP(compliance!A89,'42. SEA or LEA Worksheet'!$A$4:$Y$324,25,0)</f>
        <v>10321.202743362832</v>
      </c>
      <c r="AP89" s="513" t="str">
        <f t="shared" si="46"/>
        <v>Met</v>
      </c>
      <c r="AR89" s="512" t="str">
        <f t="shared" si="57"/>
        <v>Met</v>
      </c>
      <c r="AT89" s="444">
        <f>VLOOKUP(A89,'42. SEA or LEA Worksheet'!$A$4:$AE$324,31,0)</f>
        <v>7534.66</v>
      </c>
      <c r="AU89" s="513" t="str">
        <f t="shared" si="52"/>
        <v>Met</v>
      </c>
      <c r="AW89" s="444">
        <f>VLOOKUP(A89,'42. SEA or LEA Worksheet'!$A$4:$AG$324,33,0)</f>
        <v>1080552.75</v>
      </c>
      <c r="AX89" s="513" t="str">
        <f t="shared" si="64"/>
        <v>Did not Meet</v>
      </c>
      <c r="AZ89" s="444">
        <f>VLOOKUP(A89,'42. SEA or LEA Worksheet'!$A$4:$AG$324,31,0)/VLOOKUP(A89,'42. SEA or LEA Worksheet'!$A$4:$AD$324,30,0)</f>
        <v>67.879819819819815</v>
      </c>
      <c r="BA89" s="513" t="str">
        <f t="shared" si="54"/>
        <v>Met</v>
      </c>
      <c r="BC89" s="444">
        <f>VLOOKUP(A89,'42. SEA or LEA Worksheet'!$A$4:$AG$324,33,0)/VLOOKUP(A89,'42. SEA or LEA Worksheet'!$A$4:$AD$324,30,0)</f>
        <v>9734.70945945946</v>
      </c>
      <c r="BD89" s="513" t="str">
        <f t="shared" si="65"/>
        <v>Did not Meet</v>
      </c>
      <c r="BF89" s="512" t="str">
        <f t="shared" si="58"/>
        <v>Met</v>
      </c>
      <c r="BG89" s="637">
        <f>VLOOKUP(A89,'42. SEA or LEA Worksheet'!$A$4:$AM$324,36,0)</f>
        <v>0</v>
      </c>
      <c r="BH89" s="638" t="str">
        <f t="shared" si="59"/>
        <v>Did not Meet</v>
      </c>
      <c r="BI89" s="639"/>
      <c r="BJ89" s="637">
        <f>VLOOKUP(A89,'42. SEA or LEA Worksheet'!$A$4:$AM$324,38,0)</f>
        <v>1299481.47</v>
      </c>
      <c r="BK89" s="638" t="str">
        <f t="shared" si="60"/>
        <v>Met</v>
      </c>
      <c r="BM89" s="631">
        <f>VLOOKUP(A89,'42. SEA or LEA Worksheet'!$A$4:$AL$324,36,0)/VLOOKUP(A89,'42. SEA or LEA Worksheet'!$A$4:$AL$324,35,0)</f>
        <v>0</v>
      </c>
      <c r="BN89" s="632" t="str">
        <f t="shared" si="61"/>
        <v>Met</v>
      </c>
      <c r="BP89" s="631">
        <f>VLOOKUP(A89,'42. SEA or LEA Worksheet'!$A$4:$AL$324,38,0)/VLOOKUP(A89,'42. SEA or LEA Worksheet'!$A$4:$AL$324,35,0)</f>
        <v>12144.686635514019</v>
      </c>
      <c r="BQ89" s="632" t="str">
        <f t="shared" si="62"/>
        <v>Met</v>
      </c>
      <c r="BS89" s="620" t="str">
        <f t="shared" si="63"/>
        <v>Met</v>
      </c>
    </row>
    <row r="90" spans="1:71" x14ac:dyDescent="0.25">
      <c r="A90" s="343" t="s">
        <v>364</v>
      </c>
      <c r="B90" s="510" t="s">
        <v>919</v>
      </c>
      <c r="C90" s="511"/>
      <c r="D90" s="444">
        <v>0</v>
      </c>
      <c r="E90" s="343" t="s">
        <v>835</v>
      </c>
      <c r="F90" s="511"/>
      <c r="G90" s="444">
        <v>227562.34</v>
      </c>
      <c r="H90" s="343" t="s">
        <v>880</v>
      </c>
      <c r="I90" s="511"/>
      <c r="J90" s="444">
        <v>0</v>
      </c>
      <c r="K90" s="343" t="s">
        <v>835</v>
      </c>
      <c r="L90" s="511"/>
      <c r="M90" s="444">
        <v>15170.822666666667</v>
      </c>
      <c r="N90" s="343" t="s">
        <v>835</v>
      </c>
      <c r="O90" s="511"/>
      <c r="P90" s="512" t="str">
        <f t="shared" si="55"/>
        <v>Met</v>
      </c>
      <c r="Q90" s="511"/>
      <c r="R90" s="444">
        <f>VLOOKUP(A90,'2020-21'!$A$6:$F$319,6,0)</f>
        <v>2913.78</v>
      </c>
      <c r="S90" s="513" t="str">
        <f t="shared" si="38"/>
        <v>Met</v>
      </c>
      <c r="U90" s="444">
        <f>VLOOKUP(A90,'2020-21'!$A$6:$G$319,7,0)</f>
        <v>162913.78</v>
      </c>
      <c r="V90" s="513" t="str">
        <f t="shared" si="39"/>
        <v>Did not Meet</v>
      </c>
      <c r="X90" s="444">
        <f>VLOOKUP(A90,'2020-21'!$A$6:$F$319,6,0)/VLOOKUP(A90,'42. SEA or LEA Worksheet'!$A$4:$T$324,20,0)</f>
        <v>161.87666666666667</v>
      </c>
      <c r="Y90" s="513" t="str">
        <f t="shared" si="40"/>
        <v>Met</v>
      </c>
      <c r="AA90" s="444">
        <f>VLOOKUP(A90,'42. SEA or LEA Worksheet'!$A$4:$W$324,23,0)/VLOOKUP(compliance!A90,'42. SEA or LEA Worksheet'!$A$4:$T$324,20,0)</f>
        <v>9050.7655555555557</v>
      </c>
      <c r="AB90" s="513" t="str">
        <f t="shared" si="41"/>
        <v>Did not Meet</v>
      </c>
      <c r="AD90" s="512" t="str">
        <f t="shared" si="56"/>
        <v>Met</v>
      </c>
      <c r="AF90" s="444">
        <f>VLOOKUP(A90,'42. SEA or LEA Worksheet'!$A$4:$Z$324,26,0)</f>
        <v>2706.94</v>
      </c>
      <c r="AG90" s="513" t="str">
        <f t="shared" si="43"/>
        <v>Did not Meet</v>
      </c>
      <c r="AI90" s="444">
        <f>VLOOKUP(A90,'42. SEA or LEA Worksheet'!$A$4:$AB$324,28,0)</f>
        <v>153728.22</v>
      </c>
      <c r="AJ90" s="513" t="str">
        <f t="shared" si="44"/>
        <v>Did not Meet</v>
      </c>
      <c r="AL90" s="444">
        <f>VLOOKUP(compliance!A90,'42. SEA or LEA Worksheet'!$A$4:$AB$324,26,0)/VLOOKUP(compliance!A90,'42. SEA or LEA Worksheet'!$A$4:$Y$324,25,0)</f>
        <v>193.35285714285715</v>
      </c>
      <c r="AM90" s="513" t="str">
        <f t="shared" si="45"/>
        <v>Met</v>
      </c>
      <c r="AO90" s="444">
        <f>VLOOKUP(A90,'42. SEA or LEA Worksheet'!$A$4:$AB$324,28,0)/VLOOKUP(compliance!A90,'42. SEA or LEA Worksheet'!$A$4:$Y$324,25,0)</f>
        <v>10980.587142857143</v>
      </c>
      <c r="AP90" s="513" t="str">
        <f t="shared" si="46"/>
        <v>Met</v>
      </c>
      <c r="AR90" s="512" t="str">
        <f t="shared" si="57"/>
        <v>Met</v>
      </c>
      <c r="AT90" s="444">
        <f>VLOOKUP(A90,'42. SEA or LEA Worksheet'!$A$4:$AE$324,31,0)</f>
        <v>3351.68</v>
      </c>
      <c r="AU90" s="513" t="str">
        <f t="shared" si="52"/>
        <v>Met</v>
      </c>
      <c r="AW90" s="444">
        <f>VLOOKUP(A90,'42. SEA or LEA Worksheet'!$A$4:$AG$324,33,0)</f>
        <v>172396.41999999998</v>
      </c>
      <c r="AX90" s="513" t="str">
        <f t="shared" si="64"/>
        <v>Met</v>
      </c>
      <c r="AZ90" s="444">
        <f>VLOOKUP(A90,'42. SEA or LEA Worksheet'!$A$4:$AG$324,31,0)/VLOOKUP(A90,'42. SEA or LEA Worksheet'!$A$4:$AD$324,30,0)</f>
        <v>223.44533333333331</v>
      </c>
      <c r="BA90" s="513" t="str">
        <f t="shared" si="54"/>
        <v>Met</v>
      </c>
      <c r="BC90" s="444">
        <f>VLOOKUP(A90,'42. SEA or LEA Worksheet'!$A$4:$AG$324,33,0)/VLOOKUP(A90,'42. SEA or LEA Worksheet'!$A$4:$AD$324,30,0)</f>
        <v>11493.094666666666</v>
      </c>
      <c r="BD90" s="513" t="str">
        <f t="shared" si="65"/>
        <v>Met</v>
      </c>
      <c r="BF90" s="512" t="str">
        <f t="shared" si="58"/>
        <v>Met</v>
      </c>
      <c r="BG90" s="637">
        <f>VLOOKUP(A90,'42. SEA or LEA Worksheet'!$A$4:$AM$324,36,0)</f>
        <v>4218.12</v>
      </c>
      <c r="BH90" s="638" t="str">
        <f t="shared" si="59"/>
        <v>Met</v>
      </c>
      <c r="BI90" s="639"/>
      <c r="BJ90" s="637">
        <f>VLOOKUP(A90,'42. SEA or LEA Worksheet'!$A$4:$AM$324,38,0)</f>
        <v>174748.4</v>
      </c>
      <c r="BK90" s="638" t="str">
        <f t="shared" si="60"/>
        <v>Met</v>
      </c>
      <c r="BM90" s="631">
        <f>VLOOKUP(A90,'42. SEA or LEA Worksheet'!$A$4:$AL$324,36,0)/VLOOKUP(A90,'42. SEA or LEA Worksheet'!$A$4:$AL$324,35,0)</f>
        <v>248.12470588235294</v>
      </c>
      <c r="BN90" s="632" t="str">
        <f t="shared" si="61"/>
        <v>Met</v>
      </c>
      <c r="BP90" s="631">
        <f>VLOOKUP(A90,'42. SEA or LEA Worksheet'!$A$4:$AL$324,38,0)/VLOOKUP(A90,'42. SEA or LEA Worksheet'!$A$4:$AL$324,35,0)</f>
        <v>10279.317647058822</v>
      </c>
      <c r="BQ90" s="632" t="str">
        <f t="shared" si="62"/>
        <v>Met</v>
      </c>
      <c r="BS90" s="620" t="str">
        <f t="shared" si="63"/>
        <v>Met</v>
      </c>
    </row>
    <row r="91" spans="1:71" x14ac:dyDescent="0.25">
      <c r="A91" s="343" t="s">
        <v>366</v>
      </c>
      <c r="B91" s="510" t="s">
        <v>920</v>
      </c>
      <c r="C91" s="511"/>
      <c r="D91" s="444">
        <v>0</v>
      </c>
      <c r="E91" s="343" t="s">
        <v>856</v>
      </c>
      <c r="F91" s="511"/>
      <c r="G91" s="444">
        <v>117990.8</v>
      </c>
      <c r="H91" s="343" t="s">
        <v>835</v>
      </c>
      <c r="I91" s="511"/>
      <c r="J91" s="444">
        <v>0</v>
      </c>
      <c r="K91" s="343" t="s">
        <v>856</v>
      </c>
      <c r="L91" s="511"/>
      <c r="M91" s="444">
        <v>9832.5666666666675</v>
      </c>
      <c r="N91" s="343" t="s">
        <v>856</v>
      </c>
      <c r="O91" s="511"/>
      <c r="P91" s="512" t="str">
        <f t="shared" si="55"/>
        <v>Met</v>
      </c>
      <c r="Q91" s="511"/>
      <c r="R91" s="444">
        <f>VLOOKUP(A91,'2020-21'!$A$6:$F$319,6,0)</f>
        <v>0</v>
      </c>
      <c r="S91" s="513" t="str">
        <f t="shared" si="38"/>
        <v>Met</v>
      </c>
      <c r="U91" s="444">
        <f>VLOOKUP(A91,'2020-21'!$A$6:$G$319,7,0)</f>
        <v>122245.78</v>
      </c>
      <c r="V91" s="513" t="str">
        <f t="shared" si="39"/>
        <v>Met</v>
      </c>
      <c r="X91" s="444">
        <v>0</v>
      </c>
      <c r="Y91" s="513" t="str">
        <f t="shared" si="40"/>
        <v>Met</v>
      </c>
      <c r="AA91" s="444">
        <f>VLOOKUP(A91,'42. SEA or LEA Worksheet'!$A$4:$W$324,23,0)/VLOOKUP(compliance!A91,'42. SEA or LEA Worksheet'!$A$4:$T$324,20,0)</f>
        <v>11113.252727272727</v>
      </c>
      <c r="AB91" s="513" t="str">
        <f t="shared" si="41"/>
        <v>Met</v>
      </c>
      <c r="AD91" s="512" t="str">
        <f t="shared" si="56"/>
        <v>Met</v>
      </c>
      <c r="AF91" s="444">
        <f>VLOOKUP(A91,'42. SEA or LEA Worksheet'!$A$4:$Z$324,26,0)</f>
        <v>0</v>
      </c>
      <c r="AG91" s="513" t="str">
        <f t="shared" si="43"/>
        <v>Met</v>
      </c>
      <c r="AI91" s="444">
        <f>VLOOKUP(A91,'42. SEA or LEA Worksheet'!$A$4:$AB$324,28,0)</f>
        <v>100066.66</v>
      </c>
      <c r="AJ91" s="513" t="str">
        <f t="shared" si="44"/>
        <v>Did not Meet</v>
      </c>
      <c r="AL91" s="444">
        <f>VLOOKUP(compliance!A91,'42. SEA or LEA Worksheet'!$A$4:$AB$324,26,0)/VLOOKUP(compliance!A91,'42. SEA or LEA Worksheet'!$A$4:$Y$324,25,0)</f>
        <v>0</v>
      </c>
      <c r="AM91" s="513" t="str">
        <f t="shared" si="45"/>
        <v>Met</v>
      </c>
      <c r="AO91" s="444">
        <f>VLOOKUP(A91,'42. SEA or LEA Worksheet'!$A$4:$AB$324,28,0)/VLOOKUP(compliance!A91,'42. SEA or LEA Worksheet'!$A$4:$Y$324,25,0)</f>
        <v>8338.8883333333342</v>
      </c>
      <c r="AP91" s="513" t="str">
        <f t="shared" si="46"/>
        <v>Did not Meet</v>
      </c>
      <c r="AR91" s="512" t="str">
        <f t="shared" si="57"/>
        <v>Met</v>
      </c>
      <c r="AT91" s="444">
        <f>VLOOKUP(A91,'42. SEA or LEA Worksheet'!$A$4:$AE$324,31,0)</f>
        <v>0</v>
      </c>
      <c r="AU91" s="513" t="str">
        <f t="shared" si="52"/>
        <v>Met</v>
      </c>
      <c r="AW91" s="444">
        <f>VLOOKUP(A91,'42. SEA or LEA Worksheet'!$A$4:$AG$324,33,0)</f>
        <v>113295.39</v>
      </c>
      <c r="AX91" s="513" t="str">
        <f t="shared" si="64"/>
        <v>Met</v>
      </c>
      <c r="AZ91" s="444">
        <f>VLOOKUP(A91,'42. SEA or LEA Worksheet'!$A$4:$AG$324,31,0)/VLOOKUP(A91,'42. SEA or LEA Worksheet'!$A$4:$AD$324,30,0)</f>
        <v>0</v>
      </c>
      <c r="BA91" s="513" t="str">
        <f t="shared" si="54"/>
        <v>Met</v>
      </c>
      <c r="BC91" s="444">
        <f>VLOOKUP(A91,'42. SEA or LEA Worksheet'!$A$4:$AG$324,33,0)/VLOOKUP(A91,'42. SEA or LEA Worksheet'!$A$4:$AD$324,30,0)</f>
        <v>10299.58090909091</v>
      </c>
      <c r="BD91" s="513" t="str">
        <f t="shared" si="65"/>
        <v>Met</v>
      </c>
      <c r="BF91" s="512" t="str">
        <f t="shared" si="58"/>
        <v>Met</v>
      </c>
      <c r="BG91" s="637">
        <f>VLOOKUP(A91,'42. SEA or LEA Worksheet'!$A$4:$AM$324,36,0)</f>
        <v>0</v>
      </c>
      <c r="BH91" s="638" t="str">
        <f t="shared" si="59"/>
        <v>Met</v>
      </c>
      <c r="BI91" s="639"/>
      <c r="BJ91" s="637">
        <f>VLOOKUP(A91,'42. SEA or LEA Worksheet'!$A$4:$AM$324,38,0)</f>
        <v>136626.67000000001</v>
      </c>
      <c r="BK91" s="638" t="str">
        <f t="shared" si="60"/>
        <v>Met</v>
      </c>
      <c r="BM91" s="631">
        <f>VLOOKUP(A91,'42. SEA or LEA Worksheet'!$A$4:$AL$324,36,0)/VLOOKUP(A91,'42. SEA or LEA Worksheet'!$A$4:$AL$324,35,0)</f>
        <v>0</v>
      </c>
      <c r="BN91" s="632" t="str">
        <f t="shared" si="61"/>
        <v>Met</v>
      </c>
      <c r="BP91" s="631">
        <f>VLOOKUP(A91,'42. SEA or LEA Worksheet'!$A$4:$AL$324,38,0)/VLOOKUP(A91,'42. SEA or LEA Worksheet'!$A$4:$AL$324,35,0)</f>
        <v>12420.606363636365</v>
      </c>
      <c r="BQ91" s="632" t="str">
        <f t="shared" si="62"/>
        <v>Met</v>
      </c>
      <c r="BS91" s="620" t="str">
        <f t="shared" si="63"/>
        <v>Met</v>
      </c>
    </row>
    <row r="92" spans="1:71" x14ac:dyDescent="0.25">
      <c r="A92" s="343" t="s">
        <v>368</v>
      </c>
      <c r="B92" s="510" t="s">
        <v>921</v>
      </c>
      <c r="C92" s="511"/>
      <c r="D92" s="444">
        <v>0</v>
      </c>
      <c r="E92" s="343" t="s">
        <v>835</v>
      </c>
      <c r="F92" s="511"/>
      <c r="G92" s="444">
        <v>1158150.1599999999</v>
      </c>
      <c r="H92" s="343" t="s">
        <v>835</v>
      </c>
      <c r="I92" s="511"/>
      <c r="J92" s="444">
        <v>0</v>
      </c>
      <c r="K92" s="343" t="s">
        <v>835</v>
      </c>
      <c r="L92" s="511"/>
      <c r="M92" s="444">
        <v>9493.0340983606548</v>
      </c>
      <c r="N92" s="343" t="s">
        <v>856</v>
      </c>
      <c r="O92" s="511"/>
      <c r="P92" s="512" t="str">
        <f t="shared" si="55"/>
        <v>Met</v>
      </c>
      <c r="Q92" s="511"/>
      <c r="R92" s="444">
        <f>VLOOKUP(A92,'2020-21'!$A$6:$F$319,6,0)</f>
        <v>0</v>
      </c>
      <c r="S92" s="513" t="str">
        <f t="shared" si="38"/>
        <v>Met</v>
      </c>
      <c r="U92" s="444">
        <f>VLOOKUP(A92,'2020-21'!$A$6:$G$319,7,0)</f>
        <v>2534143.91</v>
      </c>
      <c r="V92" s="513" t="str">
        <f t="shared" si="39"/>
        <v>Met</v>
      </c>
      <c r="X92" s="444">
        <v>0</v>
      </c>
      <c r="Y92" s="513" t="str">
        <f t="shared" si="40"/>
        <v>Met</v>
      </c>
      <c r="AA92" s="444">
        <f>VLOOKUP(A92,'42. SEA or LEA Worksheet'!$A$4:$W$324,23,0)/VLOOKUP(compliance!A92,'42. SEA or LEA Worksheet'!$A$4:$T$324,20,0)</f>
        <v>9784.339420849421</v>
      </c>
      <c r="AB92" s="513" t="str">
        <f t="shared" si="41"/>
        <v>Met</v>
      </c>
      <c r="AD92" s="512" t="str">
        <f t="shared" si="56"/>
        <v>Met</v>
      </c>
      <c r="AF92" s="444">
        <f>VLOOKUP(A92,'42. SEA or LEA Worksheet'!$A$4:$Z$324,26,0)</f>
        <v>0</v>
      </c>
      <c r="AG92" s="513" t="str">
        <f t="shared" si="43"/>
        <v>Met</v>
      </c>
      <c r="AI92" s="444">
        <f>VLOOKUP(A92,'42. SEA or LEA Worksheet'!$A$4:$AB$324,28,0)</f>
        <v>3007033.3</v>
      </c>
      <c r="AJ92" s="513" t="str">
        <f t="shared" si="44"/>
        <v>Met</v>
      </c>
      <c r="AL92" s="444">
        <f>VLOOKUP(compliance!A92,'42. SEA or LEA Worksheet'!$A$4:$AB$324,26,0)/VLOOKUP(compliance!A92,'42. SEA or LEA Worksheet'!$A$4:$Y$324,25,0)</f>
        <v>0</v>
      </c>
      <c r="AM92" s="513" t="str">
        <f t="shared" si="45"/>
        <v>Met</v>
      </c>
      <c r="AO92" s="444">
        <f>VLOOKUP(A92,'42. SEA or LEA Worksheet'!$A$4:$AB$324,28,0)/VLOOKUP(compliance!A92,'42. SEA or LEA Worksheet'!$A$4:$Y$324,25,0)</f>
        <v>9700.1074193548375</v>
      </c>
      <c r="AP92" s="513" t="str">
        <f t="shared" si="46"/>
        <v>Did not Meet</v>
      </c>
      <c r="AR92" s="512" t="str">
        <f t="shared" si="57"/>
        <v>Met</v>
      </c>
      <c r="AT92" s="444">
        <f>VLOOKUP(A92,'42. SEA or LEA Worksheet'!$A$4:$AE$324,31,0)</f>
        <v>0</v>
      </c>
      <c r="AU92" s="513" t="str">
        <f t="shared" si="52"/>
        <v>Met</v>
      </c>
      <c r="AW92" s="444">
        <f>VLOOKUP(A92,'42. SEA or LEA Worksheet'!$A$4:$AG$324,33,0)</f>
        <v>4397511.04</v>
      </c>
      <c r="AX92" s="513" t="str">
        <f t="shared" si="64"/>
        <v>Met</v>
      </c>
      <c r="AZ92" s="444">
        <f>VLOOKUP(A92,'42. SEA or LEA Worksheet'!$A$4:$AG$324,31,0)/VLOOKUP(A92,'42. SEA or LEA Worksheet'!$A$4:$AD$324,30,0)</f>
        <v>0</v>
      </c>
      <c r="BA92" s="513" t="str">
        <f t="shared" si="54"/>
        <v>Met</v>
      </c>
      <c r="BC92" s="444">
        <f>VLOOKUP(A92,'42. SEA or LEA Worksheet'!$A$4:$AG$324,33,0)/VLOOKUP(A92,'42. SEA or LEA Worksheet'!$A$4:$AD$324,30,0)</f>
        <v>10470.264380952382</v>
      </c>
      <c r="BD92" s="513" t="str">
        <f t="shared" si="65"/>
        <v>Met</v>
      </c>
      <c r="BF92" s="512" t="str">
        <f t="shared" si="58"/>
        <v>Met</v>
      </c>
      <c r="BG92" s="637">
        <f>VLOOKUP(A92,'42. SEA or LEA Worksheet'!$A$4:$AM$324,36,0)</f>
        <v>0</v>
      </c>
      <c r="BH92" s="638" t="str">
        <f t="shared" si="59"/>
        <v>Met</v>
      </c>
      <c r="BI92" s="639"/>
      <c r="BJ92" s="637">
        <f>VLOOKUP(A92,'42. SEA or LEA Worksheet'!$A$4:$AM$324,38,0)</f>
        <v>5763668.8700000001</v>
      </c>
      <c r="BK92" s="638" t="str">
        <f t="shared" si="60"/>
        <v>Met</v>
      </c>
      <c r="BM92" s="631">
        <f>VLOOKUP(A92,'42. SEA or LEA Worksheet'!$A$4:$AL$324,36,0)/VLOOKUP(A92,'42. SEA or LEA Worksheet'!$A$4:$AL$324,35,0)</f>
        <v>0</v>
      </c>
      <c r="BN92" s="632" t="str">
        <f t="shared" si="61"/>
        <v>Met</v>
      </c>
      <c r="BP92" s="631">
        <f>VLOOKUP(A92,'42. SEA or LEA Worksheet'!$A$4:$AL$324,38,0)/VLOOKUP(A92,'42. SEA or LEA Worksheet'!$A$4:$AL$324,35,0)</f>
        <v>11933.061842650104</v>
      </c>
      <c r="BQ92" s="632" t="str">
        <f t="shared" si="62"/>
        <v>Met</v>
      </c>
      <c r="BS92" s="620" t="str">
        <f t="shared" si="63"/>
        <v>Met</v>
      </c>
    </row>
    <row r="93" spans="1:71" x14ac:dyDescent="0.25">
      <c r="A93" s="343" t="s">
        <v>370</v>
      </c>
      <c r="B93" s="510" t="s">
        <v>922</v>
      </c>
      <c r="C93" s="511"/>
      <c r="D93" s="444">
        <v>43872.62</v>
      </c>
      <c r="E93" s="343" t="s">
        <v>856</v>
      </c>
      <c r="F93" s="511"/>
      <c r="G93" s="444">
        <v>1133663.78</v>
      </c>
      <c r="H93" s="343" t="s">
        <v>835</v>
      </c>
      <c r="I93" s="511"/>
      <c r="J93" s="444">
        <v>388.2532743362832</v>
      </c>
      <c r="K93" s="343" t="s">
        <v>856</v>
      </c>
      <c r="L93" s="511"/>
      <c r="M93" s="444">
        <v>10032.422831858406</v>
      </c>
      <c r="N93" s="343" t="s">
        <v>856</v>
      </c>
      <c r="O93" s="511"/>
      <c r="P93" s="512" t="str">
        <f t="shared" si="55"/>
        <v>Met</v>
      </c>
      <c r="Q93" s="511"/>
      <c r="R93" s="444">
        <f>VLOOKUP(A93,'2020-21'!$A$6:$F$319,6,0)</f>
        <v>121860.49</v>
      </c>
      <c r="S93" s="513" t="str">
        <f t="shared" si="38"/>
        <v>Met</v>
      </c>
      <c r="U93" s="444">
        <f>VLOOKUP(A93,'2020-21'!$A$6:$G$319,7,0)</f>
        <v>1108493.97</v>
      </c>
      <c r="V93" s="513" t="str">
        <f t="shared" si="39"/>
        <v>Did not Meet</v>
      </c>
      <c r="X93" s="444">
        <f>VLOOKUP(A93,'2020-21'!$A$6:$F$319,6,0)/VLOOKUP(A93,'42. SEA or LEA Worksheet'!$A$4:$T$324,20,0)</f>
        <v>1107.8226363636363</v>
      </c>
      <c r="Y93" s="513" t="str">
        <f t="shared" si="40"/>
        <v>Met</v>
      </c>
      <c r="AA93" s="444">
        <f>VLOOKUP(A93,'42. SEA or LEA Worksheet'!$A$4:$W$324,23,0)/VLOOKUP(compliance!A93,'42. SEA or LEA Worksheet'!$A$4:$T$324,20,0)</f>
        <v>10077.217909090909</v>
      </c>
      <c r="AB93" s="513" t="str">
        <f t="shared" si="41"/>
        <v>Met</v>
      </c>
      <c r="AD93" s="512" t="str">
        <f t="shared" si="56"/>
        <v>Met</v>
      </c>
      <c r="AF93" s="444">
        <f>VLOOKUP(A93,'42. SEA or LEA Worksheet'!$A$4:$Z$324,26,0)</f>
        <v>104299.01</v>
      </c>
      <c r="AG93" s="513" t="str">
        <f t="shared" si="43"/>
        <v>Did not Meet</v>
      </c>
      <c r="AI93" s="444">
        <f>VLOOKUP(A93,'42. SEA or LEA Worksheet'!$A$4:$AB$324,28,0)</f>
        <v>1096275.22</v>
      </c>
      <c r="AJ93" s="513" t="str">
        <f t="shared" si="44"/>
        <v>Did not Meet</v>
      </c>
      <c r="AL93" s="444">
        <f>VLOOKUP(compliance!A93,'42. SEA or LEA Worksheet'!$A$4:$AB$324,26,0)/VLOOKUP(compliance!A93,'42. SEA or LEA Worksheet'!$A$4:$Y$324,25,0)</f>
        <v>974.75710280373823</v>
      </c>
      <c r="AM93" s="513" t="str">
        <f t="shared" si="45"/>
        <v>Did not Meet</v>
      </c>
      <c r="AO93" s="444">
        <f>VLOOKUP(A93,'42. SEA or LEA Worksheet'!$A$4:$AB$324,28,0)/VLOOKUP(compliance!A93,'42. SEA or LEA Worksheet'!$A$4:$Y$324,25,0)</f>
        <v>10245.562803738318</v>
      </c>
      <c r="AP93" s="513" t="str">
        <f t="shared" si="46"/>
        <v>Met</v>
      </c>
      <c r="AR93" s="512" t="str">
        <f t="shared" si="57"/>
        <v>Met</v>
      </c>
      <c r="AT93" s="444">
        <f>VLOOKUP(A93,'42. SEA or LEA Worksheet'!$A$4:$AE$324,31,0)</f>
        <v>100429.23</v>
      </c>
      <c r="AU93" s="513" t="str">
        <f t="shared" si="52"/>
        <v>Did not Meet</v>
      </c>
      <c r="AW93" s="444">
        <f>VLOOKUP(A93,'42. SEA or LEA Worksheet'!$A$4:$AG$324,33,0)</f>
        <v>1190033.82</v>
      </c>
      <c r="AX93" s="513" t="str">
        <f t="shared" si="64"/>
        <v>Met</v>
      </c>
      <c r="AZ93" s="444">
        <f>VLOOKUP(A93,'42. SEA or LEA Worksheet'!$A$4:$AG$324,31,0)/VLOOKUP(A93,'42. SEA or LEA Worksheet'!$A$4:$AD$324,30,0)</f>
        <v>947.44556603773583</v>
      </c>
      <c r="BA93" s="513" t="str">
        <f t="shared" si="54"/>
        <v>Did not Meet</v>
      </c>
      <c r="BC93" s="444">
        <f>VLOOKUP(A93,'42. SEA or LEA Worksheet'!$A$4:$AG$324,33,0)/VLOOKUP(A93,'42. SEA or LEA Worksheet'!$A$4:$AD$324,30,0)</f>
        <v>11226.734150943397</v>
      </c>
      <c r="BD93" s="513" t="str">
        <f t="shared" si="65"/>
        <v>Met</v>
      </c>
      <c r="BF93" s="512" t="str">
        <f t="shared" si="58"/>
        <v>Met</v>
      </c>
      <c r="BG93" s="637">
        <f>VLOOKUP(A93,'42. SEA or LEA Worksheet'!$A$4:$AM$324,36,0)</f>
        <v>17570.099999999999</v>
      </c>
      <c r="BH93" s="638" t="str">
        <f t="shared" si="59"/>
        <v>Did not Meet</v>
      </c>
      <c r="BI93" s="639"/>
      <c r="BJ93" s="637">
        <f>VLOOKUP(A93,'42. SEA or LEA Worksheet'!$A$4:$AM$324,38,0)</f>
        <v>1295135.1800000002</v>
      </c>
      <c r="BK93" s="638" t="str">
        <f t="shared" si="60"/>
        <v>Met</v>
      </c>
      <c r="BM93" s="631">
        <f>VLOOKUP(A93,'42. SEA or LEA Worksheet'!$A$4:$AL$324,36,0)/VLOOKUP(A93,'42. SEA or LEA Worksheet'!$A$4:$AL$324,35,0)</f>
        <v>184.94842105263157</v>
      </c>
      <c r="BN93" s="632" t="str">
        <f t="shared" si="61"/>
        <v>Met</v>
      </c>
      <c r="BP93" s="631">
        <f>VLOOKUP(A93,'42. SEA or LEA Worksheet'!$A$4:$AL$324,38,0)/VLOOKUP(A93,'42. SEA or LEA Worksheet'!$A$4:$AL$324,35,0)</f>
        <v>13633.001894736844</v>
      </c>
      <c r="BQ93" s="632" t="str">
        <f t="shared" si="62"/>
        <v>Met</v>
      </c>
      <c r="BS93" s="620" t="str">
        <f t="shared" si="63"/>
        <v>Met</v>
      </c>
    </row>
    <row r="94" spans="1:71" x14ac:dyDescent="0.25">
      <c r="A94" s="343" t="s">
        <v>372</v>
      </c>
      <c r="B94" s="510" t="s">
        <v>923</v>
      </c>
      <c r="C94" s="511"/>
      <c r="D94" s="444">
        <v>0</v>
      </c>
      <c r="E94" s="343" t="s">
        <v>835</v>
      </c>
      <c r="F94" s="511"/>
      <c r="G94" s="444">
        <v>5304574.3</v>
      </c>
      <c r="H94" s="343" t="s">
        <v>835</v>
      </c>
      <c r="I94" s="511"/>
      <c r="J94" s="444">
        <v>0</v>
      </c>
      <c r="K94" s="343" t="s">
        <v>835</v>
      </c>
      <c r="L94" s="511"/>
      <c r="M94" s="444">
        <v>10340.300779727095</v>
      </c>
      <c r="N94" s="343" t="s">
        <v>835</v>
      </c>
      <c r="O94" s="511"/>
      <c r="P94" s="512" t="str">
        <f t="shared" si="55"/>
        <v>Met</v>
      </c>
      <c r="Q94" s="511"/>
      <c r="R94" s="444">
        <f>VLOOKUP(A94,'2020-21'!$A$6:$F$319,6,0)</f>
        <v>0</v>
      </c>
      <c r="S94" s="513" t="str">
        <f t="shared" si="38"/>
        <v>Met</v>
      </c>
      <c r="U94" s="444">
        <f>VLOOKUP(A94,'2020-21'!$A$6:$G$319,7,0)</f>
        <v>5621644.7300000004</v>
      </c>
      <c r="V94" s="513" t="str">
        <f t="shared" si="39"/>
        <v>Met</v>
      </c>
      <c r="X94" s="444">
        <f>VLOOKUP(A94,'2020-21'!$A$6:$F$319,6,0)/VLOOKUP(A94,'42. SEA or LEA Worksheet'!$A$4:$T$324,20,0)</f>
        <v>0</v>
      </c>
      <c r="Y94" s="513" t="str">
        <f t="shared" si="40"/>
        <v>Met</v>
      </c>
      <c r="AA94" s="444">
        <f>VLOOKUP(A94,'42. SEA or LEA Worksheet'!$A$4:$W$324,23,0)/VLOOKUP(compliance!A94,'42. SEA or LEA Worksheet'!$A$4:$T$324,20,0)</f>
        <v>10728.32963740458</v>
      </c>
      <c r="AB94" s="513" t="str">
        <f t="shared" si="41"/>
        <v>Met</v>
      </c>
      <c r="AD94" s="512" t="str">
        <f t="shared" si="56"/>
        <v>Met</v>
      </c>
      <c r="AF94" s="444">
        <f>VLOOKUP(A94,'42. SEA or LEA Worksheet'!$A$4:$Z$324,26,0)</f>
        <v>0</v>
      </c>
      <c r="AG94" s="513" t="str">
        <f t="shared" si="43"/>
        <v>Met</v>
      </c>
      <c r="AI94" s="444">
        <f>VLOOKUP(A94,'42. SEA or LEA Worksheet'!$A$4:$AB$324,28,0)</f>
        <v>5775391.6100000003</v>
      </c>
      <c r="AJ94" s="513" t="str">
        <f t="shared" si="44"/>
        <v>Met</v>
      </c>
      <c r="AL94" s="444">
        <f>VLOOKUP(compliance!A94,'42. SEA or LEA Worksheet'!$A$4:$AB$324,26,0)/VLOOKUP(compliance!A94,'42. SEA or LEA Worksheet'!$A$4:$Y$324,25,0)</f>
        <v>0</v>
      </c>
      <c r="AM94" s="513" t="str">
        <f t="shared" si="45"/>
        <v>Met</v>
      </c>
      <c r="AO94" s="444">
        <f>VLOOKUP(A94,'42. SEA or LEA Worksheet'!$A$4:$AB$324,28,0)/VLOOKUP(compliance!A94,'42. SEA or LEA Worksheet'!$A$4:$Y$324,25,0)</f>
        <v>10938.241685606061</v>
      </c>
      <c r="AP94" s="513" t="str">
        <f t="shared" si="46"/>
        <v>Met</v>
      </c>
      <c r="AR94" s="512" t="str">
        <f t="shared" si="57"/>
        <v>Met</v>
      </c>
      <c r="AT94" s="444">
        <f>VLOOKUP(A94,'42. SEA or LEA Worksheet'!$A$4:$AE$324,31,0)</f>
        <v>0</v>
      </c>
      <c r="AU94" s="513" t="str">
        <f t="shared" si="52"/>
        <v>Met</v>
      </c>
      <c r="AW94" s="444">
        <f>VLOOKUP(A94,'42. SEA or LEA Worksheet'!$A$4:$AG$324,33,0)</f>
        <v>5777779.3399999999</v>
      </c>
      <c r="AX94" s="513" t="str">
        <f t="shared" si="64"/>
        <v>Met</v>
      </c>
      <c r="AZ94" s="444">
        <f>VLOOKUP(A94,'42. SEA or LEA Worksheet'!$A$4:$AG$324,31,0)/VLOOKUP(A94,'42. SEA or LEA Worksheet'!$A$4:$AD$324,30,0)</f>
        <v>0</v>
      </c>
      <c r="BA94" s="513" t="str">
        <f t="shared" si="54"/>
        <v>Met</v>
      </c>
      <c r="BC94" s="444">
        <f>VLOOKUP(A94,'42. SEA or LEA Worksheet'!$A$4:$AG$324,33,0)/VLOOKUP(A94,'42. SEA or LEA Worksheet'!$A$4:$AD$324,30,0)</f>
        <v>10582.013443223443</v>
      </c>
      <c r="BD94" s="513" t="str">
        <f t="shared" si="65"/>
        <v>Did not Meet</v>
      </c>
      <c r="BF94" s="512" t="str">
        <f t="shared" si="58"/>
        <v>Met</v>
      </c>
      <c r="BG94" s="637">
        <f>VLOOKUP(A94,'42. SEA or LEA Worksheet'!$A$4:$AM$324,36,0)</f>
        <v>0</v>
      </c>
      <c r="BH94" s="638" t="str">
        <f t="shared" si="59"/>
        <v>Met</v>
      </c>
      <c r="BI94" s="639"/>
      <c r="BJ94" s="637">
        <f>VLOOKUP(A94,'42. SEA or LEA Worksheet'!$A$4:$AM$324,38,0)</f>
        <v>6478616.5800000001</v>
      </c>
      <c r="BK94" s="638" t="str">
        <f t="shared" si="60"/>
        <v>Met</v>
      </c>
      <c r="BM94" s="631">
        <f>VLOOKUP(A94,'42. SEA or LEA Worksheet'!$A$4:$AL$324,36,0)/VLOOKUP(A94,'42. SEA or LEA Worksheet'!$A$4:$AL$324,35,0)</f>
        <v>0</v>
      </c>
      <c r="BN94" s="632" t="str">
        <f t="shared" si="61"/>
        <v>Met</v>
      </c>
      <c r="BP94" s="631">
        <f>VLOOKUP(A94,'42. SEA or LEA Worksheet'!$A$4:$AL$324,38,0)/VLOOKUP(A94,'42. SEA or LEA Worksheet'!$A$4:$AL$324,35,0)</f>
        <v>10980.706067796611</v>
      </c>
      <c r="BQ94" s="632" t="str">
        <f t="shared" si="62"/>
        <v>Met</v>
      </c>
      <c r="BS94" s="620" t="str">
        <f t="shared" si="63"/>
        <v>Met</v>
      </c>
    </row>
    <row r="95" spans="1:71" x14ac:dyDescent="0.25">
      <c r="A95" s="343" t="s">
        <v>374</v>
      </c>
      <c r="B95" s="510" t="s">
        <v>924</v>
      </c>
      <c r="C95" s="511"/>
      <c r="D95" s="444">
        <v>0</v>
      </c>
      <c r="E95" s="343" t="s">
        <v>835</v>
      </c>
      <c r="F95" s="511"/>
      <c r="G95" s="444">
        <v>1786085.03</v>
      </c>
      <c r="H95" s="343" t="s">
        <v>835</v>
      </c>
      <c r="I95" s="511"/>
      <c r="J95" s="444">
        <v>0</v>
      </c>
      <c r="K95" s="343" t="s">
        <v>835</v>
      </c>
      <c r="L95" s="511"/>
      <c r="M95" s="444">
        <v>8385.3757276995311</v>
      </c>
      <c r="N95" s="343" t="s">
        <v>835</v>
      </c>
      <c r="O95" s="511"/>
      <c r="P95" s="512" t="str">
        <f t="shared" si="55"/>
        <v>Met</v>
      </c>
      <c r="Q95" s="511"/>
      <c r="R95" s="444">
        <f>VLOOKUP(A95,'2020-21'!$A$6:$F$319,6,0)</f>
        <v>0</v>
      </c>
      <c r="S95" s="513" t="str">
        <f t="shared" si="38"/>
        <v>Met</v>
      </c>
      <c r="U95" s="444">
        <f>VLOOKUP(A95,'2020-21'!$A$6:$G$319,7,0)</f>
        <v>1935371.76</v>
      </c>
      <c r="V95" s="513" t="str">
        <f t="shared" si="39"/>
        <v>Met</v>
      </c>
      <c r="X95" s="444">
        <f>VLOOKUP(A95,'2020-21'!$A$6:$F$319,6,0)/VLOOKUP(A95,'42. SEA or LEA Worksheet'!$A$4:$T$324,20,0)</f>
        <v>0</v>
      </c>
      <c r="Y95" s="513" t="str">
        <f t="shared" si="40"/>
        <v>Met</v>
      </c>
      <c r="AA95" s="444">
        <f>VLOOKUP(A95,'42. SEA or LEA Worksheet'!$A$4:$W$324,23,0)/VLOOKUP(compliance!A95,'42. SEA or LEA Worksheet'!$A$4:$T$324,20,0)</f>
        <v>9628.7152238805975</v>
      </c>
      <c r="AB95" s="513" t="str">
        <f t="shared" si="41"/>
        <v>Met</v>
      </c>
      <c r="AD95" s="512" t="str">
        <f t="shared" si="56"/>
        <v>Met</v>
      </c>
      <c r="AF95" s="444">
        <f>VLOOKUP(A95,'42. SEA or LEA Worksheet'!$A$4:$Z$324,26,0)</f>
        <v>0</v>
      </c>
      <c r="AG95" s="513" t="str">
        <f t="shared" si="43"/>
        <v>Met</v>
      </c>
      <c r="AI95" s="444">
        <f>VLOOKUP(A95,'42. SEA or LEA Worksheet'!$A$4:$AB$324,28,0)</f>
        <v>1965377.29</v>
      </c>
      <c r="AJ95" s="513" t="str">
        <f t="shared" si="44"/>
        <v>Met</v>
      </c>
      <c r="AL95" s="444">
        <f>VLOOKUP(compliance!A95,'42. SEA or LEA Worksheet'!$A$4:$AB$324,26,0)/VLOOKUP(compliance!A95,'42. SEA or LEA Worksheet'!$A$4:$Y$324,25,0)</f>
        <v>0</v>
      </c>
      <c r="AM95" s="513" t="str">
        <f t="shared" si="45"/>
        <v>Met</v>
      </c>
      <c r="AO95" s="444">
        <f>VLOOKUP(A95,'42. SEA or LEA Worksheet'!$A$4:$AB$324,28,0)/VLOOKUP(compliance!A95,'42. SEA or LEA Worksheet'!$A$4:$Y$324,25,0)</f>
        <v>9494.576280193236</v>
      </c>
      <c r="AP95" s="513" t="str">
        <f t="shared" si="46"/>
        <v>Did not Meet</v>
      </c>
      <c r="AR95" s="512" t="str">
        <f t="shared" si="57"/>
        <v>Met</v>
      </c>
      <c r="AT95" s="444">
        <f>VLOOKUP(A95,'42. SEA or LEA Worksheet'!$A$4:$AE$324,31,0)</f>
        <v>0</v>
      </c>
      <c r="AU95" s="513" t="str">
        <f t="shared" si="52"/>
        <v>Met</v>
      </c>
      <c r="AW95" s="444">
        <f>VLOOKUP(A95,'42. SEA or LEA Worksheet'!$A$4:$AG$324,33,0)</f>
        <v>2225210.67</v>
      </c>
      <c r="AX95" s="513" t="str">
        <f t="shared" si="64"/>
        <v>Met</v>
      </c>
      <c r="AZ95" s="444">
        <f>VLOOKUP(A95,'42. SEA or LEA Worksheet'!$A$4:$AG$324,31,0)/VLOOKUP(A95,'42. SEA or LEA Worksheet'!$A$4:$AD$324,30,0)</f>
        <v>0</v>
      </c>
      <c r="BA95" s="513" t="str">
        <f t="shared" si="54"/>
        <v>Met</v>
      </c>
      <c r="BC95" s="444">
        <f>VLOOKUP(A95,'42. SEA or LEA Worksheet'!$A$4:$AG$324,33,0)/VLOOKUP(A95,'42. SEA or LEA Worksheet'!$A$4:$AD$324,30,0)</f>
        <v>10398.180700934579</v>
      </c>
      <c r="BD95" s="513" t="str">
        <f t="shared" si="65"/>
        <v>Met</v>
      </c>
      <c r="BF95" s="512" t="str">
        <f t="shared" si="58"/>
        <v>Met</v>
      </c>
      <c r="BG95" s="637">
        <f>VLOOKUP(A95,'42. SEA or LEA Worksheet'!$A$4:$AM$324,36,0)</f>
        <v>0</v>
      </c>
      <c r="BH95" s="638" t="str">
        <f t="shared" si="59"/>
        <v>Met</v>
      </c>
      <c r="BI95" s="639"/>
      <c r="BJ95" s="637">
        <f>VLOOKUP(A95,'42. SEA or LEA Worksheet'!$A$4:$AM$324,38,0)</f>
        <v>2341890.5299999998</v>
      </c>
      <c r="BK95" s="638" t="str">
        <f t="shared" si="60"/>
        <v>Met</v>
      </c>
      <c r="BM95" s="631">
        <f>VLOOKUP(A95,'42. SEA or LEA Worksheet'!$A$4:$AL$324,36,0)/VLOOKUP(A95,'42. SEA or LEA Worksheet'!$A$4:$AL$324,35,0)</f>
        <v>0</v>
      </c>
      <c r="BN95" s="632" t="str">
        <f t="shared" si="61"/>
        <v>Met</v>
      </c>
      <c r="BP95" s="631">
        <f>VLOOKUP(A95,'42. SEA or LEA Worksheet'!$A$4:$AL$324,38,0)/VLOOKUP(A95,'42. SEA or LEA Worksheet'!$A$4:$AL$324,35,0)</f>
        <v>11313.480821256038</v>
      </c>
      <c r="BQ95" s="632" t="str">
        <f t="shared" si="62"/>
        <v>Met</v>
      </c>
      <c r="BS95" s="620" t="str">
        <f t="shared" si="63"/>
        <v>Met</v>
      </c>
    </row>
    <row r="96" spans="1:71" x14ac:dyDescent="0.25">
      <c r="A96" s="343" t="s">
        <v>376</v>
      </c>
      <c r="B96" s="510" t="s">
        <v>925</v>
      </c>
      <c r="C96" s="511"/>
      <c r="D96" s="444">
        <v>0</v>
      </c>
      <c r="E96" s="343" t="s">
        <v>856</v>
      </c>
      <c r="F96" s="511"/>
      <c r="G96" s="444">
        <v>5434670.6299999999</v>
      </c>
      <c r="H96" s="343" t="s">
        <v>835</v>
      </c>
      <c r="I96" s="511"/>
      <c r="J96" s="444">
        <v>0</v>
      </c>
      <c r="K96" s="343" t="s">
        <v>856</v>
      </c>
      <c r="L96" s="511"/>
      <c r="M96" s="444">
        <v>14688.298999999999</v>
      </c>
      <c r="N96" s="343" t="s">
        <v>835</v>
      </c>
      <c r="O96" s="511"/>
      <c r="P96" s="512" t="str">
        <f t="shared" si="55"/>
        <v>Met</v>
      </c>
      <c r="Q96" s="511"/>
      <c r="R96" s="444">
        <f>VLOOKUP(A96,'2020-21'!$A$6:$F$319,6,0)</f>
        <v>0</v>
      </c>
      <c r="S96" s="513" t="str">
        <f t="shared" si="38"/>
        <v>Met</v>
      </c>
      <c r="U96" s="444">
        <f>VLOOKUP(A96,'2020-21'!$A$6:$G$319,7,0)</f>
        <v>5880700.21</v>
      </c>
      <c r="V96" s="513" t="str">
        <f t="shared" si="39"/>
        <v>Met</v>
      </c>
      <c r="X96" s="444">
        <f>VLOOKUP(A96,'2020-21'!$A$6:$F$319,6,0)/VLOOKUP(A96,'42. SEA or LEA Worksheet'!$A$4:$T$324,20,0)</f>
        <v>0</v>
      </c>
      <c r="Y96" s="513" t="str">
        <f t="shared" si="40"/>
        <v>Met</v>
      </c>
      <c r="AA96" s="444">
        <f>VLOOKUP(A96,'42. SEA or LEA Worksheet'!$A$4:$W$324,23,0)/VLOOKUP(compliance!A96,'42. SEA or LEA Worksheet'!$A$4:$T$324,20,0)</f>
        <v>14701.750524999999</v>
      </c>
      <c r="AB96" s="513" t="str">
        <f t="shared" si="41"/>
        <v>Met</v>
      </c>
      <c r="AD96" s="512" t="str">
        <f t="shared" si="56"/>
        <v>Met</v>
      </c>
      <c r="AF96" s="444">
        <f>VLOOKUP(A96,'42. SEA or LEA Worksheet'!$A$4:$Z$324,26,0)</f>
        <v>0</v>
      </c>
      <c r="AG96" s="513" t="str">
        <f t="shared" si="43"/>
        <v>Met</v>
      </c>
      <c r="AI96" s="444">
        <f>VLOOKUP(A96,'42. SEA or LEA Worksheet'!$A$4:$AB$324,28,0)</f>
        <v>6324214.1600000001</v>
      </c>
      <c r="AJ96" s="513" t="str">
        <f t="shared" si="44"/>
        <v>Met</v>
      </c>
      <c r="AL96" s="444">
        <f>VLOOKUP(compliance!A96,'42. SEA or LEA Worksheet'!$A$4:$AB$324,26,0)/VLOOKUP(compliance!A96,'42. SEA or LEA Worksheet'!$A$4:$Y$324,25,0)</f>
        <v>0</v>
      </c>
      <c r="AM96" s="513" t="str">
        <f t="shared" si="45"/>
        <v>Met</v>
      </c>
      <c r="AO96" s="444">
        <f>VLOOKUP(A96,'42. SEA or LEA Worksheet'!$A$4:$AB$324,28,0)/VLOOKUP(compliance!A96,'42. SEA or LEA Worksheet'!$A$4:$Y$324,25,0)</f>
        <v>16174.460767263428</v>
      </c>
      <c r="AP96" s="513" t="str">
        <f t="shared" si="46"/>
        <v>Met</v>
      </c>
      <c r="AR96" s="512" t="str">
        <f t="shared" si="57"/>
        <v>Met</v>
      </c>
      <c r="AT96" s="444">
        <f>VLOOKUP(A96,'42. SEA or LEA Worksheet'!$A$4:$AE$324,31,0)</f>
        <v>0</v>
      </c>
      <c r="AU96" s="513" t="str">
        <f t="shared" si="52"/>
        <v>Met</v>
      </c>
      <c r="AW96" s="444">
        <f>VLOOKUP(A96,'42. SEA or LEA Worksheet'!$A$4:$AG$324,33,0)</f>
        <v>6625874.25</v>
      </c>
      <c r="AX96" s="513" t="str">
        <f t="shared" si="64"/>
        <v>Met</v>
      </c>
      <c r="AZ96" s="444">
        <f>VLOOKUP(A96,'42. SEA or LEA Worksheet'!$A$4:$AG$324,31,0)/VLOOKUP(A96,'42. SEA or LEA Worksheet'!$A$4:$AD$324,30,0)</f>
        <v>0</v>
      </c>
      <c r="BA96" s="513" t="str">
        <f t="shared" si="54"/>
        <v>Met</v>
      </c>
      <c r="BC96" s="444">
        <f>VLOOKUP(A96,'42. SEA or LEA Worksheet'!$A$4:$AG$324,33,0)/VLOOKUP(A96,'42. SEA or LEA Worksheet'!$A$4:$AD$324,30,0)</f>
        <v>16239.887867647059</v>
      </c>
      <c r="BD96" s="513" t="str">
        <f t="shared" si="65"/>
        <v>Met</v>
      </c>
      <c r="BF96" s="512" t="str">
        <f t="shared" si="58"/>
        <v>Met</v>
      </c>
      <c r="BG96" s="637">
        <f>VLOOKUP(A96,'42. SEA or LEA Worksheet'!$A$4:$AM$324,36,0)</f>
        <v>0</v>
      </c>
      <c r="BH96" s="638" t="str">
        <f t="shared" si="59"/>
        <v>Met</v>
      </c>
      <c r="BI96" s="639"/>
      <c r="BJ96" s="637">
        <f>VLOOKUP(A96,'42. SEA or LEA Worksheet'!$A$4:$AM$324,38,0)</f>
        <v>7520879.7699999996</v>
      </c>
      <c r="BK96" s="638" t="str">
        <f t="shared" si="60"/>
        <v>Met</v>
      </c>
      <c r="BM96" s="631">
        <f>VLOOKUP(A96,'42. SEA or LEA Worksheet'!$A$4:$AL$324,36,0)/VLOOKUP(A96,'42. SEA or LEA Worksheet'!$A$4:$AL$324,35,0)</f>
        <v>0</v>
      </c>
      <c r="BN96" s="632" t="str">
        <f t="shared" si="61"/>
        <v>Met</v>
      </c>
      <c r="BP96" s="631">
        <f>VLOOKUP(A96,'42. SEA or LEA Worksheet'!$A$4:$AL$324,38,0)/VLOOKUP(A96,'42. SEA or LEA Worksheet'!$A$4:$AL$324,35,0)</f>
        <v>16493.157390350876</v>
      </c>
      <c r="BQ96" s="632" t="str">
        <f t="shared" si="62"/>
        <v>Met</v>
      </c>
      <c r="BS96" s="620" t="str">
        <f t="shared" si="63"/>
        <v>Met</v>
      </c>
    </row>
    <row r="97" spans="1:71" x14ac:dyDescent="0.25">
      <c r="A97" s="343" t="s">
        <v>378</v>
      </c>
      <c r="B97" s="510" t="s">
        <v>1140</v>
      </c>
      <c r="C97" s="511"/>
      <c r="D97" s="444">
        <v>19003.919999999998</v>
      </c>
      <c r="E97" s="343" t="s">
        <v>835</v>
      </c>
      <c r="F97" s="511"/>
      <c r="G97" s="444">
        <v>289237.38</v>
      </c>
      <c r="H97" s="343" t="s">
        <v>835</v>
      </c>
      <c r="I97" s="511"/>
      <c r="J97" s="444">
        <v>655.30758620689653</v>
      </c>
      <c r="K97" s="343" t="s">
        <v>835</v>
      </c>
      <c r="L97" s="511"/>
      <c r="M97" s="444">
        <v>9973.7027586206896</v>
      </c>
      <c r="N97" s="343" t="s">
        <v>856</v>
      </c>
      <c r="O97" s="511"/>
      <c r="P97" s="512" t="str">
        <f t="shared" si="55"/>
        <v>Met</v>
      </c>
      <c r="Q97" s="511"/>
      <c r="R97" s="444">
        <f>VLOOKUP(A97,'2020-21'!$A$6:$F$319,6,0)</f>
        <v>5825.71</v>
      </c>
      <c r="S97" s="513" t="str">
        <f t="shared" si="38"/>
        <v>Did not Meet</v>
      </c>
      <c r="U97" s="444">
        <f>VLOOKUP(A97,'2020-21'!$A$6:$G$319,7,0)</f>
        <v>247206.53</v>
      </c>
      <c r="V97" s="513" t="str">
        <f t="shared" si="39"/>
        <v>Did not Meet</v>
      </c>
      <c r="X97" s="444">
        <f>VLOOKUP(A97,'2020-21'!$A$6:$F$319,6,0)/VLOOKUP(A97,'42. SEA or LEA Worksheet'!$A$4:$T$324,20,0)</f>
        <v>224.06576923076923</v>
      </c>
      <c r="Y97" s="513" t="str">
        <f t="shared" si="40"/>
        <v>Did not Meet</v>
      </c>
      <c r="AA97" s="444">
        <f>VLOOKUP(A97,'42. SEA or LEA Worksheet'!$A$4:$W$324,23,0)/VLOOKUP(compliance!A97,'42. SEA or LEA Worksheet'!$A$4:$T$324,20,0)</f>
        <v>9507.9434615384616</v>
      </c>
      <c r="AB97" s="513" t="str">
        <f t="shared" si="41"/>
        <v>Did not Meet</v>
      </c>
      <c r="AD97" s="512" t="str">
        <f t="shared" si="56"/>
        <v>Did not Meet</v>
      </c>
      <c r="AF97" s="444">
        <f>VLOOKUP(A97,'42. SEA or LEA Worksheet'!$A$4:$Z$324,26,0)</f>
        <v>54560.54</v>
      </c>
      <c r="AG97" s="513" t="str">
        <f t="shared" si="43"/>
        <v>Met</v>
      </c>
      <c r="AI97" s="444">
        <f>VLOOKUP(A97,'42. SEA or LEA Worksheet'!$A$4:$AB$324,28,0)</f>
        <v>358929.13</v>
      </c>
      <c r="AJ97" s="513" t="str">
        <f t="shared" si="44"/>
        <v>Met</v>
      </c>
      <c r="AL97" s="444">
        <f>VLOOKUP(compliance!A97,'42. SEA or LEA Worksheet'!$A$4:$AB$324,26,0)/VLOOKUP(compliance!A97,'42. SEA or LEA Worksheet'!$A$4:$Y$324,25,0)</f>
        <v>2273.3558333333335</v>
      </c>
      <c r="AM97" s="513" t="str">
        <f t="shared" si="45"/>
        <v>Met</v>
      </c>
      <c r="AO97" s="444">
        <f>VLOOKUP(A97,'42. SEA or LEA Worksheet'!$A$4:$AB$324,28,0)/VLOOKUP(compliance!A97,'42. SEA or LEA Worksheet'!$A$4:$Y$324,25,0)</f>
        <v>14955.380416666667</v>
      </c>
      <c r="AP97" s="513" t="str">
        <f t="shared" si="46"/>
        <v>Met</v>
      </c>
      <c r="AR97" s="512" t="str">
        <f t="shared" si="57"/>
        <v>Met</v>
      </c>
      <c r="AT97" s="444">
        <f>VLOOKUP(A97,'42. SEA or LEA Worksheet'!$A$4:$AE$324,31,0)</f>
        <v>25029.27</v>
      </c>
      <c r="AU97" s="513" t="str">
        <f t="shared" si="52"/>
        <v>Did not Meet</v>
      </c>
      <c r="AW97" s="444">
        <f>VLOOKUP(A97,'42. SEA or LEA Worksheet'!$A$4:$AG$324,33,0)</f>
        <v>364103.27</v>
      </c>
      <c r="AX97" s="513" t="str">
        <f t="shared" si="64"/>
        <v>Met</v>
      </c>
      <c r="AZ97" s="444">
        <f>VLOOKUP(A97,'42. SEA or LEA Worksheet'!$A$4:$AG$324,31,0)/VLOOKUP(A97,'42. SEA or LEA Worksheet'!$A$4:$AD$324,30,0)</f>
        <v>834.30899999999997</v>
      </c>
      <c r="BA97" s="513" t="str">
        <f t="shared" si="54"/>
        <v>Did not Meet</v>
      </c>
      <c r="BC97" s="444">
        <f>VLOOKUP(A97,'42. SEA or LEA Worksheet'!$A$4:$AG$324,33,0)/VLOOKUP(A97,'42. SEA or LEA Worksheet'!$A$4:$AD$324,30,0)</f>
        <v>12136.775666666666</v>
      </c>
      <c r="BD97" s="513" t="str">
        <f t="shared" si="65"/>
        <v>Did not Meet</v>
      </c>
      <c r="BF97" s="512" t="str">
        <f t="shared" si="58"/>
        <v>Met</v>
      </c>
      <c r="BG97" s="637">
        <f>VLOOKUP(A97,'42. SEA or LEA Worksheet'!$A$4:$AM$324,36,0)</f>
        <v>21692.03</v>
      </c>
      <c r="BH97" s="638" t="str">
        <f t="shared" si="59"/>
        <v>Did not Meet</v>
      </c>
      <c r="BI97" s="639"/>
      <c r="BJ97" s="637">
        <f>VLOOKUP(A97,'42. SEA or LEA Worksheet'!$A$4:$AM$324,38,0)</f>
        <v>535692.79</v>
      </c>
      <c r="BK97" s="638" t="str">
        <f t="shared" si="60"/>
        <v>Met</v>
      </c>
      <c r="BM97" s="631">
        <f>VLOOKUP(A97,'42. SEA or LEA Worksheet'!$A$4:$AL$324,36,0)/VLOOKUP(A97,'42. SEA or LEA Worksheet'!$A$4:$AL$324,35,0)</f>
        <v>586.27108108108109</v>
      </c>
      <c r="BN97" s="632" t="str">
        <f t="shared" si="61"/>
        <v>Met</v>
      </c>
      <c r="BP97" s="631">
        <f>VLOOKUP(A97,'42. SEA or LEA Worksheet'!$A$4:$AL$324,38,0)/VLOOKUP(A97,'42. SEA or LEA Worksheet'!$A$4:$AL$324,35,0)</f>
        <v>14478.183513513515</v>
      </c>
      <c r="BQ97" s="632" t="str">
        <f t="shared" si="62"/>
        <v>Met</v>
      </c>
      <c r="BS97" s="620" t="str">
        <f t="shared" si="63"/>
        <v>Met</v>
      </c>
    </row>
    <row r="98" spans="1:71" x14ac:dyDescent="0.25">
      <c r="A98" s="343" t="s">
        <v>380</v>
      </c>
      <c r="B98" s="510" t="s">
        <v>926</v>
      </c>
      <c r="C98" s="511"/>
      <c r="D98" s="444">
        <v>0</v>
      </c>
      <c r="E98" s="343" t="s">
        <v>856</v>
      </c>
      <c r="F98" s="511"/>
      <c r="G98" s="444">
        <v>61792.62</v>
      </c>
      <c r="H98" s="343" t="s">
        <v>856</v>
      </c>
      <c r="I98" s="511"/>
      <c r="J98" s="444">
        <v>0</v>
      </c>
      <c r="K98" s="343" t="s">
        <v>856</v>
      </c>
      <c r="L98" s="511"/>
      <c r="M98" s="444">
        <v>12358.524000000001</v>
      </c>
      <c r="N98" s="343" t="s">
        <v>835</v>
      </c>
      <c r="O98" s="511"/>
      <c r="P98" s="512" t="str">
        <f t="shared" si="55"/>
        <v>Met</v>
      </c>
      <c r="Q98" s="511"/>
      <c r="R98" s="444">
        <f>VLOOKUP(A98,'2020-21'!$A$6:$F$319,6,0)</f>
        <v>0</v>
      </c>
      <c r="S98" s="513" t="str">
        <f t="shared" si="38"/>
        <v>Met</v>
      </c>
      <c r="U98" s="444">
        <f>VLOOKUP(A98,'2020-21'!$A$6:$G$319,7,0)</f>
        <v>65931.03</v>
      </c>
      <c r="V98" s="513" t="str">
        <f t="shared" si="39"/>
        <v>Met</v>
      </c>
      <c r="X98" s="444">
        <f>VLOOKUP(A98,'2020-21'!$A$6:$F$319,6,0)/VLOOKUP(A98,'42. SEA or LEA Worksheet'!$A$4:$T$324,20,0)</f>
        <v>0</v>
      </c>
      <c r="Y98" s="513" t="str">
        <f t="shared" si="40"/>
        <v>Met</v>
      </c>
      <c r="AA98" s="444">
        <f>VLOOKUP(A98,'42. SEA or LEA Worksheet'!$A$4:$W$324,23,0)/VLOOKUP(compliance!A98,'42. SEA or LEA Worksheet'!$A$4:$T$324,20,0)</f>
        <v>9418.7185714285715</v>
      </c>
      <c r="AB98" s="513" t="str">
        <f t="shared" si="41"/>
        <v>Did not Meet</v>
      </c>
      <c r="AD98" s="512" t="str">
        <f t="shared" si="56"/>
        <v>Met</v>
      </c>
      <c r="AF98" s="444">
        <f>VLOOKUP(A98,'42. SEA or LEA Worksheet'!$A$4:$Z$324,26,0)</f>
        <v>0</v>
      </c>
      <c r="AG98" s="513" t="str">
        <f t="shared" si="43"/>
        <v>Met</v>
      </c>
      <c r="AI98" s="444">
        <f>VLOOKUP(A98,'42. SEA or LEA Worksheet'!$A$4:$AB$324,28,0)</f>
        <v>51044.639999999999</v>
      </c>
      <c r="AJ98" s="513" t="str">
        <f t="shared" si="44"/>
        <v>Did not Meet</v>
      </c>
      <c r="AL98" s="444">
        <f>VLOOKUP(compliance!A98,'42. SEA or LEA Worksheet'!$A$4:$AB$324,26,0)/VLOOKUP(compliance!A98,'42. SEA or LEA Worksheet'!$A$4:$Y$324,25,0)</f>
        <v>0</v>
      </c>
      <c r="AM98" s="513" t="str">
        <f t="shared" si="45"/>
        <v>Met</v>
      </c>
      <c r="AO98" s="444">
        <f>VLOOKUP(A98,'42. SEA or LEA Worksheet'!$A$4:$AB$324,28,0)/VLOOKUP(compliance!A98,'42. SEA or LEA Worksheet'!$A$4:$Y$324,25,0)</f>
        <v>25522.32</v>
      </c>
      <c r="AP98" s="513" t="str">
        <f t="shared" si="46"/>
        <v>Met</v>
      </c>
      <c r="AR98" s="512" t="str">
        <f t="shared" si="57"/>
        <v>Met</v>
      </c>
      <c r="AT98" s="444">
        <f>VLOOKUP(A98,'42. SEA or LEA Worksheet'!$A$4:$AE$324,31,0)</f>
        <v>0</v>
      </c>
      <c r="AU98" s="513" t="str">
        <f t="shared" si="52"/>
        <v>Met</v>
      </c>
      <c r="AW98" s="444">
        <f>VLOOKUP(A98,'42. SEA or LEA Worksheet'!$A$4:$AG$324,33,0)</f>
        <v>58839.74</v>
      </c>
      <c r="AX98" s="513" t="str">
        <f t="shared" si="64"/>
        <v>Met</v>
      </c>
      <c r="AZ98" s="444">
        <f>VLOOKUP(A98,'42. SEA or LEA Worksheet'!$A$4:$AG$324,31,0)/VLOOKUP(A98,'42. SEA or LEA Worksheet'!$A$4:$AD$324,30,0)</f>
        <v>0</v>
      </c>
      <c r="BA98" s="513" t="str">
        <f t="shared" si="54"/>
        <v>Met</v>
      </c>
      <c r="BC98" s="444">
        <f>VLOOKUP(A98,'42. SEA or LEA Worksheet'!$A$4:$AG$324,33,0)/VLOOKUP(A98,'42. SEA or LEA Worksheet'!$A$4:$AD$324,30,0)</f>
        <v>11767.948</v>
      </c>
      <c r="BD98" s="513" t="str">
        <f t="shared" si="65"/>
        <v>Did not Meet</v>
      </c>
      <c r="BF98" s="512" t="s">
        <v>1381</v>
      </c>
      <c r="BG98" s="637">
        <f>VLOOKUP(A98,'42. SEA or LEA Worksheet'!$A$4:$AM$324,36,0)</f>
        <v>0</v>
      </c>
      <c r="BH98" s="638" t="str">
        <f t="shared" si="59"/>
        <v>Met</v>
      </c>
      <c r="BI98" s="639"/>
      <c r="BJ98" s="637">
        <f>VLOOKUP(A98,'42. SEA or LEA Worksheet'!$A$4:$AM$324,38,0)</f>
        <v>60060.69</v>
      </c>
      <c r="BK98" s="638" t="str">
        <f t="shared" si="60"/>
        <v>Met</v>
      </c>
      <c r="BM98" s="631">
        <f>VLOOKUP(A98,'42. SEA or LEA Worksheet'!$A$4:$AL$324,36,0)/VLOOKUP(A98,'42. SEA or LEA Worksheet'!$A$4:$AL$324,35,0)</f>
        <v>0</v>
      </c>
      <c r="BN98" s="632" t="str">
        <f t="shared" si="61"/>
        <v>Met</v>
      </c>
      <c r="BP98" s="631">
        <f>VLOOKUP(A98,'42. SEA or LEA Worksheet'!$A$4:$AL$324,38,0)/VLOOKUP(A98,'42. SEA or LEA Worksheet'!$A$4:$AL$324,35,0)</f>
        <v>7507.5862500000003</v>
      </c>
      <c r="BQ98" s="632" t="str">
        <f t="shared" si="62"/>
        <v>Met</v>
      </c>
      <c r="BS98" s="620" t="str">
        <f t="shared" si="63"/>
        <v>Met</v>
      </c>
    </row>
    <row r="99" spans="1:71" s="533" customFormat="1" ht="30" x14ac:dyDescent="0.25">
      <c r="A99" s="502" t="s">
        <v>382</v>
      </c>
      <c r="B99" s="503" t="s">
        <v>1359</v>
      </c>
      <c r="C99" s="505"/>
      <c r="D99" s="506">
        <v>0</v>
      </c>
      <c r="E99" s="502" t="s">
        <v>856</v>
      </c>
      <c r="F99" s="505"/>
      <c r="G99" s="617">
        <v>0</v>
      </c>
      <c r="H99" s="502" t="s">
        <v>856</v>
      </c>
      <c r="I99" s="505"/>
      <c r="J99" s="506">
        <v>0</v>
      </c>
      <c r="K99" s="502" t="s">
        <v>1151</v>
      </c>
      <c r="L99" s="505"/>
      <c r="M99" s="506">
        <v>0</v>
      </c>
      <c r="N99" s="502" t="s">
        <v>1152</v>
      </c>
      <c r="O99" s="505"/>
      <c r="P99" s="507" t="s">
        <v>1381</v>
      </c>
      <c r="Q99" s="505"/>
      <c r="R99" s="506">
        <v>0</v>
      </c>
      <c r="S99" s="508" t="str">
        <f t="shared" si="38"/>
        <v>Met</v>
      </c>
      <c r="T99" s="505"/>
      <c r="U99" s="506">
        <v>0</v>
      </c>
      <c r="V99" s="618" t="str">
        <f t="shared" si="39"/>
        <v>Met</v>
      </c>
      <c r="W99" s="505"/>
      <c r="X99" s="506">
        <v>0</v>
      </c>
      <c r="Y99" s="508" t="str">
        <f t="shared" si="40"/>
        <v>Met</v>
      </c>
      <c r="Z99" s="505"/>
      <c r="AA99" s="506">
        <v>0</v>
      </c>
      <c r="AB99" s="508" t="str">
        <f t="shared" si="41"/>
        <v>Met</v>
      </c>
      <c r="AC99" s="505"/>
      <c r="AD99" s="507" t="s">
        <v>1381</v>
      </c>
      <c r="AE99" s="505"/>
      <c r="AF99" s="617">
        <f>VLOOKUP(A99,'42. SEA or LEA Worksheet'!$A$4:$Z$324,26,0)</f>
        <v>0</v>
      </c>
      <c r="AG99" s="508" t="str">
        <f t="shared" si="43"/>
        <v>Met</v>
      </c>
      <c r="AH99" s="505"/>
      <c r="AI99" s="617">
        <f>VLOOKUP(A99,'42. SEA or LEA Worksheet'!$A$4:$AB$324,28,0)</f>
        <v>0</v>
      </c>
      <c r="AJ99" s="508" t="str">
        <f t="shared" si="44"/>
        <v>Met</v>
      </c>
      <c r="AK99" s="505"/>
      <c r="AL99" s="617">
        <v>0</v>
      </c>
      <c r="AM99" s="508" t="str">
        <f t="shared" si="45"/>
        <v>Met</v>
      </c>
      <c r="AN99" s="505"/>
      <c r="AO99" s="617">
        <v>0</v>
      </c>
      <c r="AP99" s="508" t="str">
        <f t="shared" si="46"/>
        <v>Met</v>
      </c>
      <c r="AQ99" s="505"/>
      <c r="AR99" s="507" t="s">
        <v>1361</v>
      </c>
      <c r="AS99" s="505"/>
      <c r="AT99" s="617">
        <f>VLOOKUP(A99,'42. SEA or LEA Worksheet'!$A$4:$AE$324,31,0)</f>
        <v>0</v>
      </c>
      <c r="AU99" s="508" t="str">
        <f t="shared" si="52"/>
        <v>Met</v>
      </c>
      <c r="AV99" s="505"/>
      <c r="AW99" s="617">
        <f>VLOOKUP(A99,'42. SEA or LEA Worksheet'!$A$4:$AG$324,33,0)</f>
        <v>0</v>
      </c>
      <c r="AX99" s="508" t="str">
        <f t="shared" si="64"/>
        <v>Met</v>
      </c>
      <c r="AY99" s="505"/>
      <c r="AZ99" s="617">
        <v>0</v>
      </c>
      <c r="BA99" s="508" t="str">
        <f t="shared" si="54"/>
        <v>Met</v>
      </c>
      <c r="BB99" s="505"/>
      <c r="BC99" s="617">
        <v>0</v>
      </c>
      <c r="BD99" s="618" t="str">
        <f t="shared" si="65"/>
        <v>Met</v>
      </c>
      <c r="BE99" s="505"/>
      <c r="BF99" s="507" t="s">
        <v>1381</v>
      </c>
      <c r="BG99" s="637">
        <f>VLOOKUP(A99,'42. SEA or LEA Worksheet'!$A$4:$AM$324,36,0)</f>
        <v>0</v>
      </c>
      <c r="BH99" s="623" t="s">
        <v>1151</v>
      </c>
      <c r="BI99" s="622"/>
      <c r="BJ99" s="637">
        <f>VLOOKUP(A99,'42. SEA or LEA Worksheet'!$A$4:$AM$324,38,0)</f>
        <v>0</v>
      </c>
      <c r="BK99" s="623" t="s">
        <v>1151</v>
      </c>
      <c r="BL99" s="622"/>
      <c r="BM99" s="631" t="e">
        <f>VLOOKUP(A99,'42. SEA or LEA Worksheet'!$A$4:$AL$324,36,0)/VLOOKUP(A99,'42. SEA or LEA Worksheet'!$A$4:$AL$324,35,0)</f>
        <v>#DIV/0!</v>
      </c>
      <c r="BN99" s="621" t="s">
        <v>1151</v>
      </c>
      <c r="BO99" s="622"/>
      <c r="BP99" s="631" t="e">
        <f>VLOOKUP(A99,'42. SEA or LEA Worksheet'!$A$4:$AL$324,38,0)/VLOOKUP(A99,'42. SEA or LEA Worksheet'!$A$4:$AL$324,35,0)</f>
        <v>#DIV/0!</v>
      </c>
      <c r="BQ99" s="623" t="s">
        <v>1151</v>
      </c>
      <c r="BR99" s="622"/>
      <c r="BS99" s="619" t="s">
        <v>1381</v>
      </c>
    </row>
    <row r="100" spans="1:71" x14ac:dyDescent="0.25">
      <c r="A100" s="343" t="s">
        <v>384</v>
      </c>
      <c r="B100" s="510" t="s">
        <v>927</v>
      </c>
      <c r="C100" s="511"/>
      <c r="D100" s="444">
        <v>0</v>
      </c>
      <c r="E100" s="343" t="s">
        <v>835</v>
      </c>
      <c r="F100" s="511"/>
      <c r="G100" s="444">
        <v>183280.16</v>
      </c>
      <c r="H100" s="343" t="s">
        <v>835</v>
      </c>
      <c r="I100" s="511"/>
      <c r="J100" s="444">
        <v>0</v>
      </c>
      <c r="K100" s="343" t="s">
        <v>835</v>
      </c>
      <c r="L100" s="511"/>
      <c r="M100" s="444">
        <v>9646.3242105263162</v>
      </c>
      <c r="N100" s="343" t="s">
        <v>835</v>
      </c>
      <c r="O100" s="511"/>
      <c r="P100" s="512" t="str">
        <f t="shared" ref="P100:P107" si="66">IF(AND(E100="Did not Meet",H100="Did not Meet",K100="Did not Meet", N100="Did not Meet"),"Did not Meet","Met")</f>
        <v>Met</v>
      </c>
      <c r="Q100" s="511"/>
      <c r="R100" s="444">
        <f>VLOOKUP(A100,'2020-21'!$A$6:$F$319,6,0)</f>
        <v>0</v>
      </c>
      <c r="S100" s="513" t="str">
        <f t="shared" si="38"/>
        <v>Met</v>
      </c>
      <c r="U100" s="444">
        <f>VLOOKUP(A100,'2020-21'!$A$6:$G$319,7,0)</f>
        <v>189322.61</v>
      </c>
      <c r="V100" s="513" t="str">
        <f t="shared" si="39"/>
        <v>Met</v>
      </c>
      <c r="X100" s="444">
        <v>0</v>
      </c>
      <c r="Y100" s="513" t="str">
        <f t="shared" si="40"/>
        <v>Met</v>
      </c>
      <c r="AA100" s="444">
        <f>VLOOKUP(A100,'42. SEA or LEA Worksheet'!$A$4:$W$324,23,0)/VLOOKUP(compliance!A100,'42. SEA or LEA Worksheet'!$A$4:$T$324,20,0)</f>
        <v>11136.624117647058</v>
      </c>
      <c r="AB100" s="513" t="str">
        <f t="shared" si="41"/>
        <v>Met</v>
      </c>
      <c r="AD100" s="512" t="str">
        <f t="shared" ref="AD100:AD131" si="67">IF(AND(S100="Did not Meet",V100="Did not Meet", Y100="Did not Meet",AB100="Did not Meet"),"Did not Meet","Met")</f>
        <v>Met</v>
      </c>
      <c r="AF100" s="444">
        <f>VLOOKUP(A100,'42. SEA or LEA Worksheet'!$A$4:$Z$324,26,0)</f>
        <v>0</v>
      </c>
      <c r="AG100" s="513" t="str">
        <f t="shared" si="43"/>
        <v>Met</v>
      </c>
      <c r="AI100" s="444">
        <f>VLOOKUP(A100,'42. SEA or LEA Worksheet'!$A$4:$AB$324,28,0)</f>
        <v>194224.95</v>
      </c>
      <c r="AJ100" s="513" t="str">
        <f t="shared" si="44"/>
        <v>Met</v>
      </c>
      <c r="AL100" s="444">
        <f>VLOOKUP(compliance!A100,'42. SEA or LEA Worksheet'!$A$4:$AB$324,26,0)/VLOOKUP(compliance!A100,'42. SEA or LEA Worksheet'!$A$4:$Y$324,25,0)</f>
        <v>0</v>
      </c>
      <c r="AM100" s="513" t="str">
        <f t="shared" si="45"/>
        <v>Met</v>
      </c>
      <c r="AO100" s="444">
        <f>VLOOKUP(A100,'42. SEA or LEA Worksheet'!$A$4:$AB$324,28,0)/VLOOKUP(compliance!A100,'42. SEA or LEA Worksheet'!$A$4:$Y$324,25,0)</f>
        <v>9711.2475000000013</v>
      </c>
      <c r="AP100" s="513" t="str">
        <f t="shared" si="46"/>
        <v>Did not Meet</v>
      </c>
      <c r="AR100" s="512" t="str">
        <f t="shared" ref="AR100:AR131" si="68">IF(AND(AG100="Did not Meet",AJ100="Did not Meet", AM100="Did not Meet",AP100="Did not Meet"),"Did not Meet","Met")</f>
        <v>Met</v>
      </c>
      <c r="AT100" s="444">
        <f>VLOOKUP(A100,'42. SEA or LEA Worksheet'!$A$4:$AE$324,31,0)</f>
        <v>0</v>
      </c>
      <c r="AU100" s="513" t="str">
        <f t="shared" si="52"/>
        <v>Met</v>
      </c>
      <c r="AW100" s="444">
        <f>VLOOKUP(A100,'42. SEA or LEA Worksheet'!$A$4:$AG$324,33,0)</f>
        <v>212038.01</v>
      </c>
      <c r="AX100" s="513" t="str">
        <f t="shared" si="64"/>
        <v>Met</v>
      </c>
      <c r="AZ100" s="444">
        <f>VLOOKUP(A100,'42. SEA or LEA Worksheet'!$A$4:$AG$324,31,0)/VLOOKUP(A100,'42. SEA or LEA Worksheet'!$A$4:$AD$324,30,0)</f>
        <v>0</v>
      </c>
      <c r="BA100" s="513" t="str">
        <f t="shared" si="54"/>
        <v>Met</v>
      </c>
      <c r="BC100" s="444">
        <f>VLOOKUP(A100,'42. SEA or LEA Worksheet'!$A$4:$AG$324,33,0)/VLOOKUP(A100,'42. SEA or LEA Worksheet'!$A$4:$AD$324,30,0)</f>
        <v>10601.9005</v>
      </c>
      <c r="BD100" s="513" t="str">
        <f t="shared" si="65"/>
        <v>Met</v>
      </c>
      <c r="BF100" s="512" t="str">
        <f t="shared" ref="BF100:BF107" si="69">IF(AND(AU100="Did not Meet",AX100="Did not Meet", BA100="Did not Meet",BD100="Did not Meet"),"Did not Meet","Met")</f>
        <v>Met</v>
      </c>
      <c r="BG100" s="637">
        <f>VLOOKUP(A100,'42. SEA or LEA Worksheet'!$A$4:$AM$324,36,0)</f>
        <v>0</v>
      </c>
      <c r="BH100" s="638" t="str">
        <f t="shared" ref="BH100:BH131" si="70">IF(BG100&gt;=AT100,"Met","Did not Meet")</f>
        <v>Met</v>
      </c>
      <c r="BI100" s="639"/>
      <c r="BJ100" s="637">
        <f>VLOOKUP(A100,'42. SEA or LEA Worksheet'!$A$4:$AM$324,38,0)</f>
        <v>219801.33</v>
      </c>
      <c r="BK100" s="638" t="str">
        <f t="shared" ref="BK100:BK131" si="71">IF(BJ100&gt;=AW100,"Met","Did not Meet")</f>
        <v>Met</v>
      </c>
      <c r="BM100" s="631">
        <f>VLOOKUP(A100,'42. SEA or LEA Worksheet'!$A$4:$AL$324,36,0)/VLOOKUP(A100,'42. SEA or LEA Worksheet'!$A$4:$AL$324,35,0)</f>
        <v>0</v>
      </c>
      <c r="BN100" s="632" t="str">
        <f t="shared" ref="BN100:BN131" si="72">IF(BM100&gt;=AY100,"Met","Did not Meet")</f>
        <v>Met</v>
      </c>
      <c r="BP100" s="631">
        <f>VLOOKUP(A100,'42. SEA or LEA Worksheet'!$A$4:$AL$324,38,0)/VLOOKUP(A100,'42. SEA or LEA Worksheet'!$A$4:$AL$324,35,0)</f>
        <v>12929.49</v>
      </c>
      <c r="BQ100" s="632" t="str">
        <f t="shared" ref="BQ100:BQ131" si="73">IF(BP100&gt;=BB100,"Met","Did not Meet")</f>
        <v>Met</v>
      </c>
      <c r="BS100" s="620" t="str">
        <f t="shared" ref="BS100:BS107" si="74">IF(AND(BH100="Did not Meet",BK100="Did not Meet", BN100="Did not Meet",BQ100="Did not Meet"),"Did not Meet","Met")</f>
        <v>Met</v>
      </c>
    </row>
    <row r="101" spans="1:71" x14ac:dyDescent="0.25">
      <c r="A101" s="343" t="s">
        <v>386</v>
      </c>
      <c r="B101" s="510" t="s">
        <v>928</v>
      </c>
      <c r="C101" s="511"/>
      <c r="D101" s="444">
        <v>0</v>
      </c>
      <c r="E101" s="343" t="s">
        <v>856</v>
      </c>
      <c r="F101" s="511"/>
      <c r="G101" s="444">
        <v>1075365.2</v>
      </c>
      <c r="H101" s="343" t="s">
        <v>835</v>
      </c>
      <c r="I101" s="511"/>
      <c r="J101" s="444">
        <v>0</v>
      </c>
      <c r="K101" s="343" t="s">
        <v>856</v>
      </c>
      <c r="L101" s="511"/>
      <c r="M101" s="444">
        <v>11440.055319148936</v>
      </c>
      <c r="N101" s="343" t="s">
        <v>856</v>
      </c>
      <c r="O101" s="511"/>
      <c r="P101" s="512" t="str">
        <f t="shared" si="66"/>
        <v>Met</v>
      </c>
      <c r="Q101" s="511"/>
      <c r="R101" s="444">
        <f>VLOOKUP(A101,'2020-21'!$A$6:$F$319,6,0)</f>
        <v>0</v>
      </c>
      <c r="S101" s="513" t="str">
        <f t="shared" si="38"/>
        <v>Met</v>
      </c>
      <c r="U101" s="444">
        <f>VLOOKUP(A101,'2020-21'!$A$6:$G$319,7,0)</f>
        <v>1003449.28</v>
      </c>
      <c r="V101" s="513" t="str">
        <f t="shared" si="39"/>
        <v>Did not Meet</v>
      </c>
      <c r="X101" s="444">
        <f>VLOOKUP(A101,'2020-21'!$A$6:$F$319,6,0)/VLOOKUP(A101,'42. SEA or LEA Worksheet'!$A$4:$T$324,20,0)</f>
        <v>0</v>
      </c>
      <c r="Y101" s="513" t="str">
        <f t="shared" si="40"/>
        <v>Met</v>
      </c>
      <c r="AA101" s="444">
        <f>VLOOKUP(A101,'42. SEA or LEA Worksheet'!$A$4:$W$324,23,0)/VLOOKUP(compliance!A101,'42. SEA or LEA Worksheet'!$A$4:$T$324,20,0)</f>
        <v>10344.83793814433</v>
      </c>
      <c r="AB101" s="513" t="str">
        <f t="shared" si="41"/>
        <v>Did not Meet</v>
      </c>
      <c r="AD101" s="512" t="str">
        <f t="shared" si="67"/>
        <v>Met</v>
      </c>
      <c r="AF101" s="444">
        <f>VLOOKUP(A101,'42. SEA or LEA Worksheet'!$A$4:$Z$324,26,0)</f>
        <v>0</v>
      </c>
      <c r="AG101" s="513" t="str">
        <f t="shared" si="43"/>
        <v>Met</v>
      </c>
      <c r="AI101" s="444">
        <f>VLOOKUP(A101,'42. SEA or LEA Worksheet'!$A$4:$AB$324,28,0)</f>
        <v>1071346.52</v>
      </c>
      <c r="AJ101" s="513" t="str">
        <f t="shared" si="44"/>
        <v>Met</v>
      </c>
      <c r="AL101" s="444">
        <f>VLOOKUP(compliance!A101,'42. SEA or LEA Worksheet'!$A$4:$AB$324,26,0)/VLOOKUP(compliance!A101,'42. SEA or LEA Worksheet'!$A$4:$Y$324,25,0)</f>
        <v>0</v>
      </c>
      <c r="AM101" s="513" t="str">
        <f t="shared" si="45"/>
        <v>Met</v>
      </c>
      <c r="AO101" s="444">
        <f>VLOOKUP(A101,'42. SEA or LEA Worksheet'!$A$4:$AB$324,28,0)/VLOOKUP(compliance!A101,'42. SEA or LEA Worksheet'!$A$4:$Y$324,25,0)</f>
        <v>12174.392272727273</v>
      </c>
      <c r="AP101" s="513" t="str">
        <f t="shared" si="46"/>
        <v>Met</v>
      </c>
      <c r="AR101" s="512" t="str">
        <f t="shared" si="68"/>
        <v>Met</v>
      </c>
      <c r="AT101" s="444">
        <f>VLOOKUP(A101,'42. SEA or LEA Worksheet'!$A$4:$AE$324,31,0)</f>
        <v>0</v>
      </c>
      <c r="AU101" s="513" t="str">
        <f t="shared" si="52"/>
        <v>Met</v>
      </c>
      <c r="AW101" s="444">
        <f>VLOOKUP(A101,'42. SEA or LEA Worksheet'!$A$4:$AG$324,33,0)</f>
        <v>1003093.81</v>
      </c>
      <c r="AX101" s="513" t="str">
        <f t="shared" si="64"/>
        <v>Did not Meet</v>
      </c>
      <c r="AZ101" s="444">
        <f>VLOOKUP(A101,'42. SEA or LEA Worksheet'!$A$4:$AG$324,31,0)/VLOOKUP(A101,'42. SEA or LEA Worksheet'!$A$4:$AD$324,30,0)</f>
        <v>0</v>
      </c>
      <c r="BA101" s="513" t="str">
        <f t="shared" si="54"/>
        <v>Met</v>
      </c>
      <c r="BC101" s="444">
        <f>VLOOKUP(A101,'42. SEA or LEA Worksheet'!$A$4:$AG$324,33,0)/VLOOKUP(A101,'42. SEA or LEA Worksheet'!$A$4:$AD$324,30,0)</f>
        <v>11270.716966292135</v>
      </c>
      <c r="BD101" s="513" t="str">
        <f t="shared" si="65"/>
        <v>Did not Meet</v>
      </c>
      <c r="BF101" s="512" t="str">
        <f t="shared" si="69"/>
        <v>Met</v>
      </c>
      <c r="BG101" s="637">
        <f>VLOOKUP(A101,'42. SEA or LEA Worksheet'!$A$4:$AM$324,36,0)</f>
        <v>0</v>
      </c>
      <c r="BH101" s="638" t="str">
        <f t="shared" si="70"/>
        <v>Met</v>
      </c>
      <c r="BI101" s="639"/>
      <c r="BJ101" s="637">
        <f>VLOOKUP(A101,'42. SEA or LEA Worksheet'!$A$4:$AM$324,38,0)</f>
        <v>1459917.37</v>
      </c>
      <c r="BK101" s="638" t="str">
        <f t="shared" si="71"/>
        <v>Met</v>
      </c>
      <c r="BM101" s="631">
        <f>VLOOKUP(A101,'42. SEA or LEA Worksheet'!$A$4:$AL$324,36,0)/VLOOKUP(A101,'42. SEA or LEA Worksheet'!$A$4:$AL$324,35,0)</f>
        <v>0</v>
      </c>
      <c r="BN101" s="632" t="str">
        <f t="shared" si="72"/>
        <v>Met</v>
      </c>
      <c r="BP101" s="631">
        <f>VLOOKUP(A101,'42. SEA or LEA Worksheet'!$A$4:$AL$324,38,0)/VLOOKUP(A101,'42. SEA or LEA Worksheet'!$A$4:$AL$324,35,0)</f>
        <v>16403.56595505618</v>
      </c>
      <c r="BQ101" s="632" t="str">
        <f t="shared" si="73"/>
        <v>Met</v>
      </c>
      <c r="BS101" s="620" t="str">
        <f t="shared" si="74"/>
        <v>Met</v>
      </c>
    </row>
    <row r="102" spans="1:71" x14ac:dyDescent="0.25">
      <c r="A102" s="343" t="s">
        <v>388</v>
      </c>
      <c r="B102" s="510" t="s">
        <v>929</v>
      </c>
      <c r="C102" s="511"/>
      <c r="D102" s="444">
        <v>5207.41</v>
      </c>
      <c r="E102" s="343" t="s">
        <v>856</v>
      </c>
      <c r="F102" s="511"/>
      <c r="G102" s="444">
        <v>235443.98</v>
      </c>
      <c r="H102" s="343" t="s">
        <v>835</v>
      </c>
      <c r="I102" s="511"/>
      <c r="J102" s="444">
        <v>216.97541666666666</v>
      </c>
      <c r="K102" s="343" t="s">
        <v>856</v>
      </c>
      <c r="L102" s="511"/>
      <c r="M102" s="444">
        <v>9810.1658333333344</v>
      </c>
      <c r="N102" s="343" t="s">
        <v>856</v>
      </c>
      <c r="O102" s="511"/>
      <c r="P102" s="512" t="str">
        <f t="shared" si="66"/>
        <v>Met</v>
      </c>
      <c r="Q102" s="511"/>
      <c r="R102" s="444">
        <f>VLOOKUP(A102,'2020-21'!$A$6:$F$319,6,0)</f>
        <v>5207.42</v>
      </c>
      <c r="S102" s="513" t="str">
        <f t="shared" si="38"/>
        <v>Met</v>
      </c>
      <c r="U102" s="444">
        <f>VLOOKUP(A102,'2020-21'!$A$6:$G$319,7,0)</f>
        <v>223225.18000000002</v>
      </c>
      <c r="V102" s="513" t="str">
        <f t="shared" si="39"/>
        <v>Did not Meet</v>
      </c>
      <c r="X102" s="444">
        <f>VLOOKUP(A102,'2020-21'!$A$6:$F$319,6,0)/VLOOKUP(A102,'42. SEA or LEA Worksheet'!$A$4:$T$324,20,0)</f>
        <v>226.4095652173913</v>
      </c>
      <c r="Y102" s="513" t="str">
        <f t="shared" si="40"/>
        <v>Met</v>
      </c>
      <c r="AA102" s="444">
        <f>VLOOKUP(A102,'42. SEA or LEA Worksheet'!$A$4:$W$324,23,0)/VLOOKUP(compliance!A102,'42. SEA or LEA Worksheet'!$A$4:$T$324,20,0)</f>
        <v>9705.4426086956537</v>
      </c>
      <c r="AB102" s="513" t="str">
        <f t="shared" si="41"/>
        <v>Did not Meet</v>
      </c>
      <c r="AD102" s="512" t="str">
        <f t="shared" si="67"/>
        <v>Met</v>
      </c>
      <c r="AF102" s="444">
        <f>VLOOKUP(A102,'42. SEA or LEA Worksheet'!$A$4:$Z$324,26,0)</f>
        <v>5300</v>
      </c>
      <c r="AG102" s="513" t="str">
        <f t="shared" si="43"/>
        <v>Met</v>
      </c>
      <c r="AI102" s="444">
        <f>VLOOKUP(A102,'42. SEA or LEA Worksheet'!$A$4:$AB$324,28,0)</f>
        <v>213891.12</v>
      </c>
      <c r="AJ102" s="513" t="str">
        <f t="shared" si="44"/>
        <v>Did not Meet</v>
      </c>
      <c r="AL102" s="444">
        <f>VLOOKUP(compliance!A102,'42. SEA or LEA Worksheet'!$A$4:$AB$324,26,0)/VLOOKUP(compliance!A102,'42. SEA or LEA Worksheet'!$A$4:$Y$324,25,0)</f>
        <v>230.43478260869566</v>
      </c>
      <c r="AM102" s="513" t="str">
        <f t="shared" si="45"/>
        <v>Met</v>
      </c>
      <c r="AO102" s="444">
        <f>VLOOKUP(A102,'42. SEA or LEA Worksheet'!$A$4:$AB$324,28,0)/VLOOKUP(compliance!A102,'42. SEA or LEA Worksheet'!$A$4:$Y$324,25,0)</f>
        <v>9299.6139130434785</v>
      </c>
      <c r="AP102" s="513" t="str">
        <f t="shared" si="46"/>
        <v>Did not Meet</v>
      </c>
      <c r="AR102" s="512" t="str">
        <f t="shared" si="68"/>
        <v>Met</v>
      </c>
      <c r="AT102" s="444">
        <f>VLOOKUP(A102,'42. SEA or LEA Worksheet'!$A$4:$AE$324,31,0)</f>
        <v>8254.77</v>
      </c>
      <c r="AU102" s="513" t="str">
        <f t="shared" si="52"/>
        <v>Met</v>
      </c>
      <c r="AW102" s="444">
        <f>VLOOKUP(A102,'42. SEA or LEA Worksheet'!$A$4:$AG$324,33,0)</f>
        <v>229182.13999999998</v>
      </c>
      <c r="AX102" s="513" t="str">
        <f t="shared" si="64"/>
        <v>Met</v>
      </c>
      <c r="AZ102" s="444">
        <f>VLOOKUP(A102,'42. SEA or LEA Worksheet'!$A$4:$AG$324,31,0)/VLOOKUP(A102,'42. SEA or LEA Worksheet'!$A$4:$AD$324,30,0)</f>
        <v>317.49115384615385</v>
      </c>
      <c r="BA102" s="513" t="str">
        <f t="shared" si="54"/>
        <v>Met</v>
      </c>
      <c r="BC102" s="444">
        <f>VLOOKUP(A102,'42. SEA or LEA Worksheet'!$A$4:$AG$324,33,0)/VLOOKUP(A102,'42. SEA or LEA Worksheet'!$A$4:$AD$324,30,0)</f>
        <v>8814.6976923076909</v>
      </c>
      <c r="BD102" s="513" t="str">
        <f t="shared" si="65"/>
        <v>Did not Meet</v>
      </c>
      <c r="BF102" s="512" t="str">
        <f t="shared" si="69"/>
        <v>Met</v>
      </c>
      <c r="BG102" s="637">
        <f>VLOOKUP(A102,'42. SEA or LEA Worksheet'!$A$4:$AM$324,36,0)</f>
        <v>8992.08</v>
      </c>
      <c r="BH102" s="638" t="str">
        <f t="shared" si="70"/>
        <v>Met</v>
      </c>
      <c r="BI102" s="639"/>
      <c r="BJ102" s="637">
        <f>VLOOKUP(A102,'42. SEA or LEA Worksheet'!$A$4:$AM$324,38,0)</f>
        <v>240318.31</v>
      </c>
      <c r="BK102" s="638" t="str">
        <f t="shared" si="71"/>
        <v>Met</v>
      </c>
      <c r="BM102" s="631">
        <f>VLOOKUP(A102,'42. SEA or LEA Worksheet'!$A$4:$AL$324,36,0)/VLOOKUP(A102,'42. SEA or LEA Worksheet'!$A$4:$AL$324,35,0)</f>
        <v>249.78</v>
      </c>
      <c r="BN102" s="632" t="str">
        <f t="shared" si="72"/>
        <v>Met</v>
      </c>
      <c r="BP102" s="631">
        <f>VLOOKUP(A102,'42. SEA or LEA Worksheet'!$A$4:$AL$324,38,0)/VLOOKUP(A102,'42. SEA or LEA Worksheet'!$A$4:$AL$324,35,0)</f>
        <v>6675.5086111111113</v>
      </c>
      <c r="BQ102" s="632" t="str">
        <f t="shared" si="73"/>
        <v>Met</v>
      </c>
      <c r="BS102" s="620" t="str">
        <f t="shared" si="74"/>
        <v>Met</v>
      </c>
    </row>
    <row r="103" spans="1:71" x14ac:dyDescent="0.25">
      <c r="A103" s="343" t="s">
        <v>390</v>
      </c>
      <c r="B103" s="510" t="s">
        <v>930</v>
      </c>
      <c r="C103" s="511"/>
      <c r="D103" s="444">
        <v>0</v>
      </c>
      <c r="E103" s="343" t="s">
        <v>835</v>
      </c>
      <c r="F103" s="511"/>
      <c r="G103" s="444">
        <v>1327237.92</v>
      </c>
      <c r="H103" s="343" t="s">
        <v>835</v>
      </c>
      <c r="I103" s="511"/>
      <c r="J103" s="444">
        <v>0</v>
      </c>
      <c r="K103" s="343" t="s">
        <v>835</v>
      </c>
      <c r="L103" s="511"/>
      <c r="M103" s="444">
        <v>9548.4742446043165</v>
      </c>
      <c r="N103" s="343" t="s">
        <v>835</v>
      </c>
      <c r="O103" s="511"/>
      <c r="P103" s="512" t="str">
        <f t="shared" si="66"/>
        <v>Met</v>
      </c>
      <c r="Q103" s="511"/>
      <c r="R103" s="444">
        <f>VLOOKUP(A103,'2020-21'!$A$6:$F$319,6,0)</f>
        <v>0</v>
      </c>
      <c r="S103" s="513" t="str">
        <f t="shared" si="38"/>
        <v>Met</v>
      </c>
      <c r="U103" s="444">
        <f>VLOOKUP(A103,'2020-21'!$A$6:$G$319,7,0)</f>
        <v>1356056.94</v>
      </c>
      <c r="V103" s="513" t="str">
        <f t="shared" si="39"/>
        <v>Met</v>
      </c>
      <c r="X103" s="444">
        <f>VLOOKUP(A103,'2020-21'!$A$6:$F$319,6,0)/VLOOKUP(A103,'42. SEA or LEA Worksheet'!$A$4:$T$324,20,0)</f>
        <v>0</v>
      </c>
      <c r="Y103" s="513" t="str">
        <f t="shared" si="40"/>
        <v>Met</v>
      </c>
      <c r="AA103" s="444">
        <f>VLOOKUP(A103,'42. SEA or LEA Worksheet'!$A$4:$W$324,23,0)/VLOOKUP(compliance!A103,'42. SEA or LEA Worksheet'!$A$4:$T$324,20,0)</f>
        <v>9617.4251063829779</v>
      </c>
      <c r="AB103" s="513" t="str">
        <f t="shared" si="41"/>
        <v>Met</v>
      </c>
      <c r="AD103" s="512" t="str">
        <f t="shared" si="67"/>
        <v>Met</v>
      </c>
      <c r="AF103" s="444">
        <f>VLOOKUP(A103,'42. SEA or LEA Worksheet'!$A$4:$Z$324,26,0)</f>
        <v>117184.58</v>
      </c>
      <c r="AG103" s="513" t="str">
        <f t="shared" si="43"/>
        <v>Met</v>
      </c>
      <c r="AI103" s="444">
        <f>VLOOKUP(A103,'42. SEA or LEA Worksheet'!$A$4:$AB$324,28,0)</f>
        <v>1369854.57</v>
      </c>
      <c r="AJ103" s="513" t="str">
        <f t="shared" si="44"/>
        <v>Met</v>
      </c>
      <c r="AL103" s="444">
        <f>VLOOKUP(compliance!A103,'42. SEA or LEA Worksheet'!$A$4:$AB$324,26,0)/VLOOKUP(compliance!A103,'42. SEA or LEA Worksheet'!$A$4:$Y$324,25,0)</f>
        <v>894.53877862595425</v>
      </c>
      <c r="AM103" s="513" t="str">
        <f t="shared" si="45"/>
        <v>Met</v>
      </c>
      <c r="AO103" s="444">
        <f>VLOOKUP(A103,'42. SEA or LEA Worksheet'!$A$4:$AB$324,28,0)/VLOOKUP(compliance!A103,'42. SEA or LEA Worksheet'!$A$4:$Y$324,25,0)</f>
        <v>10456.905114503817</v>
      </c>
      <c r="AP103" s="513" t="str">
        <f t="shared" si="46"/>
        <v>Met</v>
      </c>
      <c r="AR103" s="512" t="str">
        <f t="shared" si="68"/>
        <v>Met</v>
      </c>
      <c r="AT103" s="444">
        <f>VLOOKUP(A103,'42. SEA or LEA Worksheet'!$A$4:$AE$324,31,0)</f>
        <v>0</v>
      </c>
      <c r="AU103" s="513" t="str">
        <f t="shared" ref="AU103:AU134" si="75">IF(AT103&gt;=AF103,"Met","Did not Meet")</f>
        <v>Did not Meet</v>
      </c>
      <c r="AW103" s="444">
        <f>VLOOKUP(A103,'42. SEA or LEA Worksheet'!$A$4:$AG$324,33,0)</f>
        <v>1558527.77</v>
      </c>
      <c r="AX103" s="513" t="str">
        <f t="shared" si="64"/>
        <v>Met</v>
      </c>
      <c r="AZ103" s="444">
        <f>VLOOKUP(A103,'42. SEA or LEA Worksheet'!$A$4:$AG$324,31,0)/VLOOKUP(A103,'42. SEA or LEA Worksheet'!$A$4:$AD$324,30,0)</f>
        <v>0</v>
      </c>
      <c r="BA103" s="513" t="str">
        <f t="shared" ref="BA103:BA134" si="76">IF(AZ103&gt;=AL103,"Met","Did not Meet")</f>
        <v>Did not Meet</v>
      </c>
      <c r="BC103" s="444">
        <f>VLOOKUP(A103,'42. SEA or LEA Worksheet'!$A$4:$AG$324,33,0)/VLOOKUP(A103,'42. SEA or LEA Worksheet'!$A$4:$AD$324,30,0)</f>
        <v>10823.109513888889</v>
      </c>
      <c r="BD103" s="513" t="str">
        <f t="shared" si="65"/>
        <v>Met</v>
      </c>
      <c r="BF103" s="512" t="str">
        <f t="shared" si="69"/>
        <v>Met</v>
      </c>
      <c r="BG103" s="637">
        <f>VLOOKUP(A103,'42. SEA or LEA Worksheet'!$A$4:$AM$324,36,0)</f>
        <v>0</v>
      </c>
      <c r="BH103" s="638" t="str">
        <f t="shared" si="70"/>
        <v>Met</v>
      </c>
      <c r="BI103" s="639"/>
      <c r="BJ103" s="637">
        <f>VLOOKUP(A103,'42. SEA or LEA Worksheet'!$A$4:$AM$324,38,0)</f>
        <v>1831959.3</v>
      </c>
      <c r="BK103" s="638" t="str">
        <f t="shared" si="71"/>
        <v>Met</v>
      </c>
      <c r="BM103" s="631">
        <f>VLOOKUP(A103,'42. SEA or LEA Worksheet'!$A$4:$AL$324,36,0)/VLOOKUP(A103,'42. SEA or LEA Worksheet'!$A$4:$AL$324,35,0)</f>
        <v>0</v>
      </c>
      <c r="BN103" s="632" t="str">
        <f t="shared" si="72"/>
        <v>Met</v>
      </c>
      <c r="BP103" s="631">
        <f>VLOOKUP(A103,'42. SEA or LEA Worksheet'!$A$4:$AL$324,38,0)/VLOOKUP(A103,'42. SEA or LEA Worksheet'!$A$4:$AL$324,35,0)</f>
        <v>11594.67911392405</v>
      </c>
      <c r="BQ103" s="632" t="str">
        <f t="shared" si="73"/>
        <v>Met</v>
      </c>
      <c r="BS103" s="620" t="str">
        <f t="shared" si="74"/>
        <v>Met</v>
      </c>
    </row>
    <row r="104" spans="1:71" x14ac:dyDescent="0.25">
      <c r="A104" s="343" t="s">
        <v>392</v>
      </c>
      <c r="B104" s="510" t="s">
        <v>931</v>
      </c>
      <c r="C104" s="511"/>
      <c r="D104" s="444">
        <v>6299226.71</v>
      </c>
      <c r="E104" s="343" t="s">
        <v>835</v>
      </c>
      <c r="F104" s="511"/>
      <c r="G104" s="444">
        <v>40913684.660000004</v>
      </c>
      <c r="H104" s="343" t="s">
        <v>835</v>
      </c>
      <c r="I104" s="511"/>
      <c r="J104" s="444">
        <v>2249.723825</v>
      </c>
      <c r="K104" s="343" t="s">
        <v>856</v>
      </c>
      <c r="L104" s="511"/>
      <c r="M104" s="444">
        <v>14612.030235714286</v>
      </c>
      <c r="N104" s="343" t="s">
        <v>835</v>
      </c>
      <c r="O104" s="511"/>
      <c r="P104" s="512" t="str">
        <f t="shared" si="66"/>
        <v>Met</v>
      </c>
      <c r="Q104" s="511"/>
      <c r="R104" s="444">
        <f>VLOOKUP(A104,'2020-21'!$A$6:$F$319,6,0)</f>
        <v>9601210.7400000002</v>
      </c>
      <c r="S104" s="513" t="str">
        <f t="shared" si="38"/>
        <v>Met</v>
      </c>
      <c r="U104" s="444">
        <f>VLOOKUP(A104,'2020-21'!$A$6:$G$319,7,0)</f>
        <v>43476084.18</v>
      </c>
      <c r="V104" s="513" t="str">
        <f t="shared" si="39"/>
        <v>Met</v>
      </c>
      <c r="X104" s="444">
        <f>VLOOKUP(A104,'2020-21'!$A$6:$F$319,6,0)/VLOOKUP(A104,'42. SEA or LEA Worksheet'!$A$4:$T$324,20,0)</f>
        <v>3451.190057512581</v>
      </c>
      <c r="Y104" s="513" t="str">
        <f t="shared" si="40"/>
        <v>Met</v>
      </c>
      <c r="AA104" s="444">
        <f>VLOOKUP(A104,'42. SEA or LEA Worksheet'!$A$4:$W$324,23,0)/VLOOKUP(compliance!A104,'42. SEA or LEA Worksheet'!$A$4:$T$324,20,0)</f>
        <v>15627.636297627607</v>
      </c>
      <c r="AB104" s="513" t="str">
        <f t="shared" si="41"/>
        <v>Met</v>
      </c>
      <c r="AD104" s="512" t="str">
        <f t="shared" si="67"/>
        <v>Met</v>
      </c>
      <c r="AF104" s="444">
        <f>VLOOKUP(A104,'42. SEA or LEA Worksheet'!$A$4:$Z$324,26,0)</f>
        <v>10578962.119999999</v>
      </c>
      <c r="AG104" s="513" t="str">
        <f t="shared" si="43"/>
        <v>Met</v>
      </c>
      <c r="AI104" s="444">
        <f>VLOOKUP(A104,'42. SEA or LEA Worksheet'!$A$4:$AB$324,28,0)</f>
        <v>44303629.059999995</v>
      </c>
      <c r="AJ104" s="513" t="str">
        <f t="shared" si="44"/>
        <v>Met</v>
      </c>
      <c r="AL104" s="444">
        <f>VLOOKUP(compliance!A104,'42. SEA or LEA Worksheet'!$A$4:$AB$324,26,0)/VLOOKUP(compliance!A104,'42. SEA or LEA Worksheet'!$A$4:$Y$324,25,0)</f>
        <v>3956.231159311892</v>
      </c>
      <c r="AM104" s="513" t="str">
        <f t="shared" si="45"/>
        <v>Met</v>
      </c>
      <c r="AO104" s="444">
        <f>VLOOKUP(A104,'42. SEA or LEA Worksheet'!$A$4:$AB$324,28,0)/VLOOKUP(compliance!A104,'42. SEA or LEA Worksheet'!$A$4:$Y$324,25,0)</f>
        <v>16568.298077786087</v>
      </c>
      <c r="AP104" s="513" t="str">
        <f t="shared" si="46"/>
        <v>Met</v>
      </c>
      <c r="AR104" s="512" t="str">
        <f t="shared" si="68"/>
        <v>Met</v>
      </c>
      <c r="AT104" s="444">
        <f>VLOOKUP(A104,'42. SEA or LEA Worksheet'!$A$4:$AE$324,31,0)</f>
        <v>13987299.470000001</v>
      </c>
      <c r="AU104" s="513" t="str">
        <f t="shared" si="75"/>
        <v>Met</v>
      </c>
      <c r="AW104" s="444">
        <f>VLOOKUP(A104,'42. SEA or LEA Worksheet'!$A$4:$AG$324,33,0)</f>
        <v>50228815.609999999</v>
      </c>
      <c r="AX104" s="513" t="str">
        <f t="shared" si="64"/>
        <v>Met</v>
      </c>
      <c r="AZ104" s="444">
        <f>VLOOKUP(A104,'42. SEA or LEA Worksheet'!$A$4:$AG$324,31,0)/VLOOKUP(A104,'42. SEA or LEA Worksheet'!$A$4:$AD$324,30,0)</f>
        <v>5226.9430007473848</v>
      </c>
      <c r="BA104" s="513" t="str">
        <f t="shared" si="76"/>
        <v>Met</v>
      </c>
      <c r="BC104" s="444">
        <f>VLOOKUP(A104,'42. SEA or LEA Worksheet'!$A$4:$AG$324,33,0)/VLOOKUP(A104,'42. SEA or LEA Worksheet'!$A$4:$AD$324,30,0)</f>
        <v>18770.110467115097</v>
      </c>
      <c r="BD104" s="513" t="str">
        <f t="shared" si="65"/>
        <v>Met</v>
      </c>
      <c r="BF104" s="512" t="str">
        <f t="shared" si="69"/>
        <v>Met</v>
      </c>
      <c r="BG104" s="637">
        <f>VLOOKUP(A104,'42. SEA or LEA Worksheet'!$A$4:$AM$324,36,0)</f>
        <v>10531247.42</v>
      </c>
      <c r="BH104" s="638" t="str">
        <f t="shared" si="70"/>
        <v>Did not Meet</v>
      </c>
      <c r="BI104" s="639"/>
      <c r="BJ104" s="637">
        <f>VLOOKUP(A104,'42. SEA or LEA Worksheet'!$A$4:$AM$324,38,0)</f>
        <v>54085556.630000003</v>
      </c>
      <c r="BK104" s="638" t="str">
        <f t="shared" si="71"/>
        <v>Met</v>
      </c>
      <c r="BM104" s="631">
        <f>VLOOKUP(A104,'42. SEA or LEA Worksheet'!$A$4:$AL$324,36,0)/VLOOKUP(A104,'42. SEA or LEA Worksheet'!$A$4:$AL$324,35,0)</f>
        <v>3840.7175127644055</v>
      </c>
      <c r="BN104" s="632" t="str">
        <f t="shared" si="72"/>
        <v>Met</v>
      </c>
      <c r="BP104" s="631">
        <f>VLOOKUP(A104,'42. SEA or LEA Worksheet'!$A$4:$AL$324,38,0)/VLOOKUP(A104,'42. SEA or LEA Worksheet'!$A$4:$AL$324,35,0)</f>
        <v>19724.856539022614</v>
      </c>
      <c r="BQ104" s="632" t="str">
        <f t="shared" si="73"/>
        <v>Met</v>
      </c>
      <c r="BS104" s="620" t="str">
        <f t="shared" si="74"/>
        <v>Met</v>
      </c>
    </row>
    <row r="105" spans="1:71" x14ac:dyDescent="0.25">
      <c r="A105" s="343" t="s">
        <v>394</v>
      </c>
      <c r="B105" s="510" t="s">
        <v>932</v>
      </c>
      <c r="C105" s="511"/>
      <c r="D105" s="444">
        <v>329156.21999999997</v>
      </c>
      <c r="E105" s="343" t="s">
        <v>856</v>
      </c>
      <c r="F105" s="511"/>
      <c r="G105" s="444">
        <v>2589410.2999999998</v>
      </c>
      <c r="H105" s="343" t="s">
        <v>835</v>
      </c>
      <c r="I105" s="511"/>
      <c r="J105" s="444">
        <v>1849.1922471910111</v>
      </c>
      <c r="K105" s="343" t="s">
        <v>856</v>
      </c>
      <c r="L105" s="511"/>
      <c r="M105" s="444">
        <v>14547.248876404494</v>
      </c>
      <c r="N105" s="343" t="s">
        <v>856</v>
      </c>
      <c r="O105" s="511"/>
      <c r="P105" s="512" t="str">
        <f t="shared" si="66"/>
        <v>Met</v>
      </c>
      <c r="Q105" s="511"/>
      <c r="R105" s="444">
        <f>VLOOKUP(A105,'2020-21'!$A$6:$F$319,6,0)</f>
        <v>328751.65999999997</v>
      </c>
      <c r="S105" s="513" t="str">
        <f t="shared" si="38"/>
        <v>Did not Meet</v>
      </c>
      <c r="U105" s="444">
        <f>VLOOKUP(A105,'2020-21'!$A$6:$G$319,7,0)</f>
        <v>2466422.89</v>
      </c>
      <c r="V105" s="513" t="str">
        <f t="shared" si="39"/>
        <v>Did not Meet</v>
      </c>
      <c r="X105" s="444">
        <f>VLOOKUP(A105,'2020-21'!$A$6:$F$319,6,0)/VLOOKUP(A105,'42. SEA or LEA Worksheet'!$A$4:$T$324,20,0)</f>
        <v>2041.9357763975154</v>
      </c>
      <c r="Y105" s="513" t="str">
        <f t="shared" si="40"/>
        <v>Met</v>
      </c>
      <c r="AA105" s="444">
        <f>VLOOKUP(A105,'42. SEA or LEA Worksheet'!$A$4:$W$324,23,0)/VLOOKUP(compliance!A105,'42. SEA or LEA Worksheet'!$A$4:$T$324,20,0)</f>
        <v>15319.396832298138</v>
      </c>
      <c r="AB105" s="513" t="str">
        <f t="shared" si="41"/>
        <v>Met</v>
      </c>
      <c r="AD105" s="512" t="str">
        <f t="shared" si="67"/>
        <v>Met</v>
      </c>
      <c r="AF105" s="444">
        <f>VLOOKUP(A105,'42. SEA or LEA Worksheet'!$A$4:$Z$324,26,0)</f>
        <v>558569.05000000005</v>
      </c>
      <c r="AG105" s="513" t="str">
        <f t="shared" si="43"/>
        <v>Met</v>
      </c>
      <c r="AI105" s="444">
        <f>VLOOKUP(A105,'42. SEA or LEA Worksheet'!$A$4:$AB$324,28,0)</f>
        <v>2778513.2</v>
      </c>
      <c r="AJ105" s="513" t="str">
        <f t="shared" si="44"/>
        <v>Met</v>
      </c>
      <c r="AL105" s="444">
        <f>VLOOKUP(compliance!A105,'42. SEA or LEA Worksheet'!$A$4:$AB$324,26,0)/VLOOKUP(compliance!A105,'42. SEA or LEA Worksheet'!$A$4:$Y$324,25,0)</f>
        <v>2971.1119680851066</v>
      </c>
      <c r="AM105" s="513" t="str">
        <f t="shared" si="45"/>
        <v>Met</v>
      </c>
      <c r="AO105" s="444">
        <f>VLOOKUP(A105,'42. SEA or LEA Worksheet'!$A$4:$AB$324,28,0)/VLOOKUP(compliance!A105,'42. SEA or LEA Worksheet'!$A$4:$Y$324,25,0)</f>
        <v>14779.325531914894</v>
      </c>
      <c r="AP105" s="513" t="str">
        <f t="shared" si="46"/>
        <v>Did not Meet</v>
      </c>
      <c r="AR105" s="512" t="str">
        <f t="shared" si="68"/>
        <v>Met</v>
      </c>
      <c r="AT105" s="444">
        <f>VLOOKUP(A105,'42. SEA or LEA Worksheet'!$A$4:$AE$324,31,0)</f>
        <v>734573.74</v>
      </c>
      <c r="AU105" s="513" t="str">
        <f t="shared" si="75"/>
        <v>Met</v>
      </c>
      <c r="AW105" s="444">
        <f>VLOOKUP(A105,'42. SEA or LEA Worksheet'!$A$4:$AG$324,33,0)</f>
        <v>3349112.6100000003</v>
      </c>
      <c r="AX105" s="513" t="str">
        <f t="shared" si="64"/>
        <v>Met</v>
      </c>
      <c r="AZ105" s="444">
        <f>VLOOKUP(A105,'42. SEA or LEA Worksheet'!$A$4:$AG$324,31,0)/VLOOKUP(A105,'42. SEA or LEA Worksheet'!$A$4:$AD$324,30,0)</f>
        <v>3636.5036633663367</v>
      </c>
      <c r="BA105" s="513" t="str">
        <f t="shared" si="76"/>
        <v>Met</v>
      </c>
      <c r="BC105" s="444">
        <f>VLOOKUP(A105,'42. SEA or LEA Worksheet'!$A$4:$AG$324,33,0)/VLOOKUP(A105,'42. SEA or LEA Worksheet'!$A$4:$AD$324,30,0)</f>
        <v>16579.765396039606</v>
      </c>
      <c r="BD105" s="513" t="str">
        <f t="shared" si="65"/>
        <v>Met</v>
      </c>
      <c r="BF105" s="512" t="str">
        <f t="shared" si="69"/>
        <v>Met</v>
      </c>
      <c r="BG105" s="637">
        <f>VLOOKUP(A105,'42. SEA or LEA Worksheet'!$A$4:$AM$324,36,0)</f>
        <v>839296.1</v>
      </c>
      <c r="BH105" s="638" t="str">
        <f t="shared" si="70"/>
        <v>Met</v>
      </c>
      <c r="BI105" s="639"/>
      <c r="BJ105" s="637">
        <f>VLOOKUP(A105,'42. SEA or LEA Worksheet'!$A$4:$AM$324,38,0)</f>
        <v>4131567.15</v>
      </c>
      <c r="BK105" s="638" t="str">
        <f t="shared" si="71"/>
        <v>Met</v>
      </c>
      <c r="BM105" s="631">
        <f>VLOOKUP(A105,'42. SEA or LEA Worksheet'!$A$4:$AL$324,36,0)/VLOOKUP(A105,'42. SEA or LEA Worksheet'!$A$4:$AL$324,35,0)</f>
        <v>3780.6130630630628</v>
      </c>
      <c r="BN105" s="632" t="str">
        <f t="shared" si="72"/>
        <v>Met</v>
      </c>
      <c r="BP105" s="631">
        <f>VLOOKUP(A105,'42. SEA or LEA Worksheet'!$A$4:$AL$324,38,0)/VLOOKUP(A105,'42. SEA or LEA Worksheet'!$A$4:$AL$324,35,0)</f>
        <v>18610.662837837837</v>
      </c>
      <c r="BQ105" s="632" t="str">
        <f t="shared" si="73"/>
        <v>Met</v>
      </c>
      <c r="BS105" s="620" t="str">
        <f t="shared" si="74"/>
        <v>Met</v>
      </c>
    </row>
    <row r="106" spans="1:71" x14ac:dyDescent="0.25">
      <c r="A106" s="343" t="s">
        <v>396</v>
      </c>
      <c r="B106" s="510" t="s">
        <v>933</v>
      </c>
      <c r="C106" s="511"/>
      <c r="D106" s="444">
        <v>0</v>
      </c>
      <c r="E106" s="343" t="s">
        <v>835</v>
      </c>
      <c r="F106" s="511"/>
      <c r="G106" s="444">
        <v>810584.2</v>
      </c>
      <c r="H106" s="343" t="s">
        <v>856</v>
      </c>
      <c r="I106" s="511"/>
      <c r="J106" s="444">
        <v>0</v>
      </c>
      <c r="K106" s="343" t="s">
        <v>835</v>
      </c>
      <c r="L106" s="511"/>
      <c r="M106" s="444">
        <v>16542.534693877551</v>
      </c>
      <c r="N106" s="343" t="s">
        <v>856</v>
      </c>
      <c r="O106" s="511"/>
      <c r="P106" s="512" t="str">
        <f t="shared" si="66"/>
        <v>Met</v>
      </c>
      <c r="Q106" s="511"/>
      <c r="R106" s="444">
        <f>VLOOKUP(A106,'2020-21'!$A$6:$F$319,6,0)</f>
        <v>0</v>
      </c>
      <c r="S106" s="513" t="str">
        <f t="shared" si="38"/>
        <v>Met</v>
      </c>
      <c r="U106" s="444">
        <f>VLOOKUP(A106,'2020-21'!$A$6:$G$319,7,0)</f>
        <v>740819.86</v>
      </c>
      <c r="V106" s="513" t="str">
        <f t="shared" si="39"/>
        <v>Did not Meet</v>
      </c>
      <c r="X106" s="444">
        <f>VLOOKUP(A106,'2020-21'!$A$6:$F$319,6,0)/VLOOKUP(A106,'42. SEA or LEA Worksheet'!$A$4:$T$324,20,0)</f>
        <v>0</v>
      </c>
      <c r="Y106" s="513" t="str">
        <f t="shared" si="40"/>
        <v>Met</v>
      </c>
      <c r="AA106" s="444">
        <f>VLOOKUP(A106,'42. SEA or LEA Worksheet'!$A$4:$W$324,23,0)/VLOOKUP(compliance!A106,'42. SEA or LEA Worksheet'!$A$4:$T$324,20,0)</f>
        <v>17638.568095238094</v>
      </c>
      <c r="AB106" s="513" t="str">
        <f t="shared" si="41"/>
        <v>Met</v>
      </c>
      <c r="AD106" s="512" t="str">
        <f t="shared" si="67"/>
        <v>Met</v>
      </c>
      <c r="AF106" s="444">
        <f>VLOOKUP(A106,'42. SEA or LEA Worksheet'!$A$4:$Z$324,26,0)</f>
        <v>0</v>
      </c>
      <c r="AG106" s="513" t="str">
        <f t="shared" si="43"/>
        <v>Met</v>
      </c>
      <c r="AI106" s="444">
        <f>VLOOKUP(A106,'42. SEA or LEA Worksheet'!$A$4:$AB$324,28,0)</f>
        <v>791057.47</v>
      </c>
      <c r="AJ106" s="513" t="str">
        <f t="shared" si="44"/>
        <v>Met</v>
      </c>
      <c r="AL106" s="444">
        <f>VLOOKUP(compliance!A106,'42. SEA or LEA Worksheet'!$A$4:$AB$324,26,0)/VLOOKUP(compliance!A106,'42. SEA or LEA Worksheet'!$A$4:$Y$324,25,0)</f>
        <v>0</v>
      </c>
      <c r="AM106" s="513" t="str">
        <f t="shared" si="45"/>
        <v>Met</v>
      </c>
      <c r="AO106" s="444">
        <f>VLOOKUP(A106,'42. SEA or LEA Worksheet'!$A$4:$AB$324,28,0)/VLOOKUP(compliance!A106,'42. SEA or LEA Worksheet'!$A$4:$Y$324,25,0)</f>
        <v>20817.301842105262</v>
      </c>
      <c r="AP106" s="513" t="str">
        <f t="shared" si="46"/>
        <v>Met</v>
      </c>
      <c r="AR106" s="512" t="str">
        <f t="shared" si="68"/>
        <v>Met</v>
      </c>
      <c r="AT106" s="444">
        <f>VLOOKUP(A106,'42. SEA or LEA Worksheet'!$A$4:$AE$324,31,0)</f>
        <v>0</v>
      </c>
      <c r="AU106" s="513" t="str">
        <f t="shared" si="75"/>
        <v>Met</v>
      </c>
      <c r="AW106" s="444">
        <f>VLOOKUP(A106,'42. SEA or LEA Worksheet'!$A$4:$AG$324,33,0)</f>
        <v>828615.64</v>
      </c>
      <c r="AX106" s="513" t="str">
        <f t="shared" si="64"/>
        <v>Met</v>
      </c>
      <c r="AZ106" s="444">
        <f>VLOOKUP(A106,'42. SEA or LEA Worksheet'!$A$4:$AG$324,31,0)/VLOOKUP(A106,'42. SEA or LEA Worksheet'!$A$4:$AD$324,30,0)</f>
        <v>0</v>
      </c>
      <c r="BA106" s="513" t="str">
        <f t="shared" si="76"/>
        <v>Met</v>
      </c>
      <c r="BC106" s="444">
        <f>VLOOKUP(A106,'42. SEA or LEA Worksheet'!$A$4:$AG$324,33,0)/VLOOKUP(A106,'42. SEA or LEA Worksheet'!$A$4:$AD$324,30,0)</f>
        <v>19270.131162790698</v>
      </c>
      <c r="BD106" s="513" t="str">
        <f t="shared" si="65"/>
        <v>Did not Meet</v>
      </c>
      <c r="BF106" s="512" t="str">
        <f t="shared" si="69"/>
        <v>Met</v>
      </c>
      <c r="BG106" s="637">
        <f>VLOOKUP(A106,'42. SEA or LEA Worksheet'!$A$4:$AM$324,36,0)</f>
        <v>0</v>
      </c>
      <c r="BH106" s="638" t="str">
        <f t="shared" si="70"/>
        <v>Met</v>
      </c>
      <c r="BI106" s="639"/>
      <c r="BJ106" s="637">
        <f>VLOOKUP(A106,'42. SEA or LEA Worksheet'!$A$4:$AM$324,38,0)</f>
        <v>916390.49</v>
      </c>
      <c r="BK106" s="638" t="str">
        <f t="shared" si="71"/>
        <v>Met</v>
      </c>
      <c r="BM106" s="631">
        <f>VLOOKUP(A106,'42. SEA or LEA Worksheet'!$A$4:$AL$324,36,0)/VLOOKUP(A106,'42. SEA or LEA Worksheet'!$A$4:$AL$324,35,0)</f>
        <v>0</v>
      </c>
      <c r="BN106" s="632" t="str">
        <f t="shared" si="72"/>
        <v>Met</v>
      </c>
      <c r="BP106" s="631">
        <f>VLOOKUP(A106,'42. SEA or LEA Worksheet'!$A$4:$AL$324,38,0)/VLOOKUP(A106,'42. SEA or LEA Worksheet'!$A$4:$AL$324,35,0)</f>
        <v>16364.115892857142</v>
      </c>
      <c r="BQ106" s="632" t="str">
        <f t="shared" si="73"/>
        <v>Met</v>
      </c>
      <c r="BS106" s="620" t="str">
        <f t="shared" si="74"/>
        <v>Met</v>
      </c>
    </row>
    <row r="107" spans="1:71" x14ac:dyDescent="0.25">
      <c r="A107" s="343" t="s">
        <v>398</v>
      </c>
      <c r="B107" s="510" t="s">
        <v>934</v>
      </c>
      <c r="C107" s="511"/>
      <c r="D107" s="444">
        <v>0</v>
      </c>
      <c r="E107" s="343" t="s">
        <v>856</v>
      </c>
      <c r="F107" s="511"/>
      <c r="G107" s="444">
        <v>2625485.61</v>
      </c>
      <c r="H107" s="343" t="s">
        <v>835</v>
      </c>
      <c r="I107" s="511"/>
      <c r="J107" s="444">
        <v>0</v>
      </c>
      <c r="K107" s="343" t="s">
        <v>856</v>
      </c>
      <c r="L107" s="511"/>
      <c r="M107" s="444">
        <v>9982.835019011407</v>
      </c>
      <c r="N107" s="343" t="s">
        <v>835</v>
      </c>
      <c r="O107" s="511"/>
      <c r="P107" s="512" t="str">
        <f t="shared" si="66"/>
        <v>Met</v>
      </c>
      <c r="Q107" s="511"/>
      <c r="R107" s="444">
        <f>VLOOKUP(A107,'2020-21'!$A$6:$F$319,6,0)</f>
        <v>0</v>
      </c>
      <c r="S107" s="513" t="str">
        <f t="shared" si="38"/>
        <v>Met</v>
      </c>
      <c r="U107" s="444">
        <f>VLOOKUP(A107,'2020-21'!$A$6:$G$319,7,0)</f>
        <v>2427327.34</v>
      </c>
      <c r="V107" s="513" t="str">
        <f t="shared" si="39"/>
        <v>Did not Meet</v>
      </c>
      <c r="X107" s="444">
        <f>VLOOKUP(A107,'2020-21'!$A$6:$F$319,6,0)/VLOOKUP(A107,'42. SEA or LEA Worksheet'!$A$4:$T$324,20,0)</f>
        <v>0</v>
      </c>
      <c r="Y107" s="513" t="str">
        <f t="shared" si="40"/>
        <v>Met</v>
      </c>
      <c r="AA107" s="444">
        <f>VLOOKUP(A107,'42. SEA or LEA Worksheet'!$A$4:$W$324,23,0)/VLOOKUP(compliance!A107,'42. SEA or LEA Worksheet'!$A$4:$T$324,20,0)</f>
        <v>8858.8589051094878</v>
      </c>
      <c r="AB107" s="513" t="str">
        <f t="shared" si="41"/>
        <v>Did not Meet</v>
      </c>
      <c r="AD107" s="512" t="str">
        <f t="shared" si="67"/>
        <v>Met</v>
      </c>
      <c r="AF107" s="444">
        <f>VLOOKUP(A107,'42. SEA or LEA Worksheet'!$A$4:$Z$324,26,0)</f>
        <v>0</v>
      </c>
      <c r="AG107" s="513" t="str">
        <f t="shared" si="43"/>
        <v>Met</v>
      </c>
      <c r="AI107" s="444">
        <f>VLOOKUP(A107,'42. SEA or LEA Worksheet'!$A$4:$AB$324,28,0)</f>
        <v>2621035.7200000002</v>
      </c>
      <c r="AJ107" s="513" t="str">
        <f t="shared" si="44"/>
        <v>Met</v>
      </c>
      <c r="AL107" s="444">
        <f>VLOOKUP(compliance!A107,'42. SEA or LEA Worksheet'!$A$4:$AB$324,26,0)/VLOOKUP(compliance!A107,'42. SEA or LEA Worksheet'!$A$4:$Y$324,25,0)</f>
        <v>0</v>
      </c>
      <c r="AM107" s="513" t="str">
        <f t="shared" si="45"/>
        <v>Met</v>
      </c>
      <c r="AO107" s="444">
        <f>VLOOKUP(A107,'42. SEA or LEA Worksheet'!$A$4:$AB$324,28,0)/VLOOKUP(compliance!A107,'42. SEA or LEA Worksheet'!$A$4:$Y$324,25,0)</f>
        <v>11153.343489361703</v>
      </c>
      <c r="AP107" s="513" t="str">
        <f t="shared" si="46"/>
        <v>Met</v>
      </c>
      <c r="AR107" s="512" t="str">
        <f t="shared" si="68"/>
        <v>Met</v>
      </c>
      <c r="AT107" s="444">
        <f>VLOOKUP(A107,'42. SEA or LEA Worksheet'!$A$4:$AE$324,31,0)</f>
        <v>0</v>
      </c>
      <c r="AU107" s="513" t="str">
        <f t="shared" si="75"/>
        <v>Met</v>
      </c>
      <c r="AW107" s="444">
        <f>VLOOKUP(A107,'42. SEA or LEA Worksheet'!$A$4:$AG$324,33,0)</f>
        <v>2900753.46</v>
      </c>
      <c r="AX107" s="513" t="str">
        <f t="shared" si="64"/>
        <v>Met</v>
      </c>
      <c r="AZ107" s="444">
        <f>VLOOKUP(A107,'42. SEA or LEA Worksheet'!$A$4:$AG$324,31,0)/VLOOKUP(A107,'42. SEA or LEA Worksheet'!$A$4:$AD$324,30,0)</f>
        <v>0</v>
      </c>
      <c r="BA107" s="513" t="str">
        <f t="shared" si="76"/>
        <v>Met</v>
      </c>
      <c r="BC107" s="444">
        <f>VLOOKUP(A107,'42. SEA or LEA Worksheet'!$A$4:$AG$324,33,0)/VLOOKUP(A107,'42. SEA or LEA Worksheet'!$A$4:$AD$324,30,0)</f>
        <v>11510.926428571429</v>
      </c>
      <c r="BD107" s="513" t="str">
        <f t="shared" si="65"/>
        <v>Met</v>
      </c>
      <c r="BF107" s="512" t="str">
        <f t="shared" si="69"/>
        <v>Met</v>
      </c>
      <c r="BG107" s="637">
        <f>VLOOKUP(A107,'42. SEA or LEA Worksheet'!$A$4:$AM$324,36,0)</f>
        <v>0</v>
      </c>
      <c r="BH107" s="638" t="str">
        <f t="shared" si="70"/>
        <v>Met</v>
      </c>
      <c r="BI107" s="639"/>
      <c r="BJ107" s="637">
        <f>VLOOKUP(A107,'42. SEA or LEA Worksheet'!$A$4:$AM$324,38,0)</f>
        <v>2934545.17</v>
      </c>
      <c r="BK107" s="638" t="str">
        <f t="shared" si="71"/>
        <v>Met</v>
      </c>
      <c r="BM107" s="631">
        <f>VLOOKUP(A107,'42. SEA or LEA Worksheet'!$A$4:$AL$324,36,0)/VLOOKUP(A107,'42. SEA or LEA Worksheet'!$A$4:$AL$324,35,0)</f>
        <v>0</v>
      </c>
      <c r="BN107" s="632" t="str">
        <f t="shared" si="72"/>
        <v>Met</v>
      </c>
      <c r="BP107" s="631">
        <f>VLOOKUP(A107,'42. SEA or LEA Worksheet'!$A$4:$AL$324,38,0)/VLOOKUP(A107,'42. SEA or LEA Worksheet'!$A$4:$AL$324,35,0)</f>
        <v>10406.188546099291</v>
      </c>
      <c r="BQ107" s="632" t="str">
        <f t="shared" si="73"/>
        <v>Met</v>
      </c>
      <c r="BS107" s="620" t="str">
        <f t="shared" si="74"/>
        <v>Met</v>
      </c>
    </row>
    <row r="108" spans="1:71" s="533" customFormat="1" x14ac:dyDescent="0.25">
      <c r="A108" s="529" t="s">
        <v>1161</v>
      </c>
      <c r="B108" s="530" t="s">
        <v>1345</v>
      </c>
      <c r="C108" s="531"/>
      <c r="D108" s="532">
        <v>0</v>
      </c>
      <c r="F108" s="531"/>
      <c r="G108" s="444">
        <v>0</v>
      </c>
      <c r="I108" s="531"/>
      <c r="J108" s="532">
        <v>0</v>
      </c>
      <c r="L108" s="531"/>
      <c r="M108" s="532">
        <v>0</v>
      </c>
      <c r="O108" s="531"/>
      <c r="P108" s="534"/>
      <c r="Q108" s="531"/>
      <c r="R108" s="532">
        <v>0</v>
      </c>
      <c r="S108" s="535" t="str">
        <f t="shared" si="38"/>
        <v>Met</v>
      </c>
      <c r="T108" s="531"/>
      <c r="U108" s="532">
        <v>0</v>
      </c>
      <c r="V108" s="513" t="str">
        <f t="shared" si="39"/>
        <v>Met</v>
      </c>
      <c r="W108" s="531"/>
      <c r="X108" s="532">
        <v>0</v>
      </c>
      <c r="Y108" s="535" t="str">
        <f t="shared" si="40"/>
        <v>Met</v>
      </c>
      <c r="Z108" s="531"/>
      <c r="AA108" s="532">
        <v>0</v>
      </c>
      <c r="AB108" s="535" t="str">
        <f t="shared" si="41"/>
        <v>Met</v>
      </c>
      <c r="AC108" s="531"/>
      <c r="AD108" s="534" t="str">
        <f t="shared" si="67"/>
        <v>Met</v>
      </c>
      <c r="AE108" s="531"/>
      <c r="AF108" s="444">
        <f>VLOOKUP(A108,'42. SEA or LEA Worksheet'!$A$4:$Z$324,26,0)</f>
        <v>0</v>
      </c>
      <c r="AG108" s="535" t="str">
        <f t="shared" si="43"/>
        <v>Met</v>
      </c>
      <c r="AH108" s="531"/>
      <c r="AI108" s="444">
        <f>VLOOKUP(A108,'42. SEA or LEA Worksheet'!$A$4:$AB$324,28,0)</f>
        <v>160829.82</v>
      </c>
      <c r="AJ108" s="535" t="str">
        <f t="shared" si="44"/>
        <v>Met</v>
      </c>
      <c r="AK108" s="531"/>
      <c r="AL108" s="444">
        <f>VLOOKUP(compliance!A108,'42. SEA or LEA Worksheet'!$A$4:$AB$324,26,0)/VLOOKUP(compliance!A108,'42. SEA or LEA Worksheet'!$A$4:$Y$324,25,0)</f>
        <v>0</v>
      </c>
      <c r="AM108" s="535" t="str">
        <f t="shared" si="45"/>
        <v>Met</v>
      </c>
      <c r="AN108" s="531"/>
      <c r="AO108" s="444">
        <f>VLOOKUP(A108,'42. SEA or LEA Worksheet'!$A$4:$AB$324,28,0)/VLOOKUP(compliance!A108,'42. SEA or LEA Worksheet'!$A$4:$Y$324,25,0)</f>
        <v>17869.98</v>
      </c>
      <c r="AP108" s="535" t="str">
        <f t="shared" si="46"/>
        <v>Met</v>
      </c>
      <c r="AQ108" s="531"/>
      <c r="AR108" s="534" t="str">
        <f t="shared" si="68"/>
        <v>Met</v>
      </c>
      <c r="AS108" s="531"/>
      <c r="AT108" s="444">
        <f>VLOOKUP(A108,'42. SEA or LEA Worksheet'!$A$4:$AE$324,31,0)</f>
        <v>0</v>
      </c>
      <c r="AU108" s="535" t="str">
        <f t="shared" si="75"/>
        <v>Met</v>
      </c>
      <c r="AV108" s="531"/>
      <c r="AW108" s="444">
        <f>VLOOKUP(A108,'42. SEA or LEA Worksheet'!$A$4:$AG$324,33,0)</f>
        <v>315886.37</v>
      </c>
      <c r="AX108" s="535" t="str">
        <f t="shared" si="64"/>
        <v>Met</v>
      </c>
      <c r="AY108" s="531"/>
      <c r="AZ108" s="444">
        <f>VLOOKUP(A108,'42. SEA or LEA Worksheet'!$A$4:$AG$324,31,0)/VLOOKUP(A108,'42. SEA or LEA Worksheet'!$A$4:$AD$324,30,0)</f>
        <v>0</v>
      </c>
      <c r="BA108" s="535" t="str">
        <f t="shared" si="76"/>
        <v>Met</v>
      </c>
      <c r="BB108" s="531"/>
      <c r="BC108" s="444">
        <f>VLOOKUP(A108,'42. SEA or LEA Worksheet'!$A$4:$AG$324,33,0)/VLOOKUP(A108,'42. SEA or LEA Worksheet'!$A$4:$AD$324,30,0)</f>
        <v>14358.471363636363</v>
      </c>
      <c r="BD108" s="513" t="str">
        <f t="shared" si="65"/>
        <v>Did not Meet</v>
      </c>
      <c r="BE108" s="531"/>
      <c r="BF108" s="534" t="str">
        <f>IF(AND(AU108="Did not Meet",AX108="Did not Meet", BA108="Did not Meet",BD108="Did not Meet",),"Did not Meet","Met")</f>
        <v>Met</v>
      </c>
      <c r="BG108" s="637">
        <f>VLOOKUP(A108,'42. SEA or LEA Worksheet'!$A$4:$AM$324,36,0)</f>
        <v>0</v>
      </c>
      <c r="BH108" s="638" t="str">
        <f t="shared" si="70"/>
        <v>Met</v>
      </c>
      <c r="BI108" s="640"/>
      <c r="BJ108" s="637">
        <f>VLOOKUP(A108,'42. SEA or LEA Worksheet'!$A$4:$AM$324,38,0)</f>
        <v>683546.26</v>
      </c>
      <c r="BK108" s="638" t="str">
        <f t="shared" si="71"/>
        <v>Met</v>
      </c>
      <c r="BL108" s="641"/>
      <c r="BM108" s="631">
        <f>VLOOKUP(A108,'42. SEA or LEA Worksheet'!$A$4:$AL$324,36,0)/VLOOKUP(A108,'42. SEA or LEA Worksheet'!$A$4:$AL$324,35,0)</f>
        <v>0</v>
      </c>
      <c r="BN108" s="642" t="str">
        <f t="shared" si="72"/>
        <v>Met</v>
      </c>
      <c r="BO108" s="641"/>
      <c r="BP108" s="631">
        <f>VLOOKUP(A108,'42. SEA or LEA Worksheet'!$A$4:$AL$324,38,0)/VLOOKUP(A108,'42. SEA or LEA Worksheet'!$A$4:$AL$324,35,0)</f>
        <v>18987.396111111113</v>
      </c>
      <c r="BQ108" s="632" t="str">
        <f t="shared" si="73"/>
        <v>Met</v>
      </c>
      <c r="BR108" s="641"/>
      <c r="BS108" s="643" t="str">
        <f>IF(AND(BH108="Did not Meet",BK108="Did not Meet", BN108="Did not Meet",BQ108="Did not Meet",),"Did not Meet","Met")</f>
        <v>Met</v>
      </c>
    </row>
    <row r="109" spans="1:71" x14ac:dyDescent="0.25">
      <c r="A109" s="536" t="s">
        <v>400</v>
      </c>
      <c r="B109" s="510" t="s">
        <v>1346</v>
      </c>
      <c r="C109" s="511"/>
      <c r="D109" s="444">
        <v>0</v>
      </c>
      <c r="F109" s="511"/>
      <c r="G109" s="444">
        <v>204323.62</v>
      </c>
      <c r="I109" s="511"/>
      <c r="J109" s="444">
        <v>0</v>
      </c>
      <c r="L109" s="511"/>
      <c r="M109" s="444">
        <v>15717.201538461539</v>
      </c>
      <c r="O109" s="511"/>
      <c r="P109" s="512"/>
      <c r="Q109" s="511"/>
      <c r="R109" s="444">
        <f>VLOOKUP(A109,'2020-21'!$A$6:$F$319,6,0)</f>
        <v>0</v>
      </c>
      <c r="S109" s="513" t="str">
        <f t="shared" si="38"/>
        <v>Met</v>
      </c>
      <c r="U109" s="444">
        <f>VLOOKUP(A109,'2020-21'!$A$6:$G$319,7,0)</f>
        <v>208479.7</v>
      </c>
      <c r="V109" s="513" t="str">
        <f t="shared" si="39"/>
        <v>Met</v>
      </c>
      <c r="X109" s="444">
        <f>VLOOKUP(A109,'2020-21'!$A$6:$F$319,6,0)/VLOOKUP(A109,'42. SEA or LEA Worksheet'!$A$4:$T$324,20,0)</f>
        <v>0</v>
      </c>
      <c r="Y109" s="513" t="str">
        <f t="shared" si="40"/>
        <v>Met</v>
      </c>
      <c r="AA109" s="444">
        <f>VLOOKUP(A109,'42. SEA or LEA Worksheet'!$A$4:$W$324,23,0)/VLOOKUP(compliance!A109,'42. SEA or LEA Worksheet'!$A$4:$T$324,20,0)</f>
        <v>12263.511764705883</v>
      </c>
      <c r="AB109" s="513" t="str">
        <f t="shared" si="41"/>
        <v>Did not Meet</v>
      </c>
      <c r="AD109" s="512" t="str">
        <f t="shared" si="67"/>
        <v>Met</v>
      </c>
      <c r="AF109" s="444">
        <f>VLOOKUP(A109,'42. SEA or LEA Worksheet'!$A$4:$Z$324,26,0)</f>
        <v>0</v>
      </c>
      <c r="AG109" s="513" t="str">
        <f t="shared" si="43"/>
        <v>Met</v>
      </c>
      <c r="AI109" s="444">
        <f>VLOOKUP(A109,'42. SEA or LEA Worksheet'!$A$4:$AB$324,28,0)</f>
        <v>278257.78999999998</v>
      </c>
      <c r="AJ109" s="513" t="str">
        <f t="shared" si="44"/>
        <v>Met</v>
      </c>
      <c r="AL109" s="444">
        <f>VLOOKUP(compliance!A109,'42. SEA or LEA Worksheet'!$A$4:$AB$324,26,0)/VLOOKUP(compliance!A109,'42. SEA or LEA Worksheet'!$A$4:$Y$324,25,0)</f>
        <v>0</v>
      </c>
      <c r="AM109" s="513" t="str">
        <f t="shared" si="45"/>
        <v>Met</v>
      </c>
      <c r="AO109" s="444">
        <f>VLOOKUP(A109,'42. SEA or LEA Worksheet'!$A$4:$AB$324,28,0)/VLOOKUP(compliance!A109,'42. SEA or LEA Worksheet'!$A$4:$Y$324,25,0)</f>
        <v>13250.370952380952</v>
      </c>
      <c r="AP109" s="513" t="str">
        <f t="shared" si="46"/>
        <v>Met</v>
      </c>
      <c r="AR109" s="512" t="str">
        <f t="shared" si="68"/>
        <v>Met</v>
      </c>
      <c r="AT109" s="444">
        <f>VLOOKUP(A109,'42. SEA or LEA Worksheet'!$A$4:$AE$324,31,0)</f>
        <v>0</v>
      </c>
      <c r="AU109" s="513" t="str">
        <f t="shared" si="75"/>
        <v>Met</v>
      </c>
      <c r="AW109" s="444">
        <f>VLOOKUP(A109,'42. SEA or LEA Worksheet'!$A$4:$AG$324,33,0)</f>
        <v>737312.9</v>
      </c>
      <c r="AX109" s="513" t="str">
        <f t="shared" si="64"/>
        <v>Met</v>
      </c>
      <c r="AZ109" s="444">
        <f>VLOOKUP(A109,'42. SEA or LEA Worksheet'!$A$4:$AG$324,31,0)/VLOOKUP(A109,'42. SEA or LEA Worksheet'!$A$4:$AD$324,30,0)</f>
        <v>0</v>
      </c>
      <c r="BA109" s="513" t="str">
        <f t="shared" si="76"/>
        <v>Met</v>
      </c>
      <c r="BC109" s="444">
        <f>VLOOKUP(A109,'42. SEA or LEA Worksheet'!$A$4:$AG$324,33,0)/VLOOKUP(A109,'42. SEA or LEA Worksheet'!$A$4:$AD$324,30,0)</f>
        <v>26332.603571428572</v>
      </c>
      <c r="BD109" s="513" t="str">
        <f t="shared" si="65"/>
        <v>Met</v>
      </c>
      <c r="BF109" s="512" t="str">
        <f>IF(AND(AU109="Did not Meet",AX109="Did not Meet", BA109="Did not Meet",BD109="Did not Meet",),"Did not Meet","Met")</f>
        <v>Met</v>
      </c>
      <c r="BG109" s="637">
        <f>VLOOKUP(A109,'42. SEA or LEA Worksheet'!$A$4:$AM$324,36,0)</f>
        <v>0</v>
      </c>
      <c r="BH109" s="638" t="str">
        <f t="shared" si="70"/>
        <v>Met</v>
      </c>
      <c r="BI109" s="639"/>
      <c r="BJ109" s="637">
        <f>VLOOKUP(A109,'42. SEA or LEA Worksheet'!$A$4:$AM$324,38,0)</f>
        <v>1063197.67</v>
      </c>
      <c r="BK109" s="638" t="str">
        <f t="shared" si="71"/>
        <v>Met</v>
      </c>
      <c r="BM109" s="631">
        <f>VLOOKUP(A109,'42. SEA or LEA Worksheet'!$A$4:$AL$324,36,0)/VLOOKUP(A109,'42. SEA or LEA Worksheet'!$A$4:$AL$324,35,0)</f>
        <v>0</v>
      </c>
      <c r="BN109" s="632" t="str">
        <f t="shared" si="72"/>
        <v>Met</v>
      </c>
      <c r="BP109" s="631">
        <f>VLOOKUP(A109,'42. SEA or LEA Worksheet'!$A$4:$AL$324,38,0)/VLOOKUP(A109,'42. SEA or LEA Worksheet'!$A$4:$AL$324,35,0)</f>
        <v>22149.951458333333</v>
      </c>
      <c r="BQ109" s="632" t="str">
        <f t="shared" si="73"/>
        <v>Met</v>
      </c>
      <c r="BS109" s="620" t="str">
        <f>IF(AND(BH109="Did not Meet",BK109="Did not Meet", BN109="Did not Meet",BQ109="Did not Meet",),"Did not Meet","Met")</f>
        <v>Met</v>
      </c>
    </row>
    <row r="110" spans="1:71" x14ac:dyDescent="0.25">
      <c r="A110" s="536" t="s">
        <v>401</v>
      </c>
      <c r="B110" s="510" t="s">
        <v>1347</v>
      </c>
      <c r="C110" s="511"/>
      <c r="D110" s="444">
        <v>0</v>
      </c>
      <c r="F110" s="511"/>
      <c r="G110" s="444">
        <v>0</v>
      </c>
      <c r="I110" s="511"/>
      <c r="J110" s="444">
        <v>0</v>
      </c>
      <c r="L110" s="511"/>
      <c r="M110" s="444">
        <v>0</v>
      </c>
      <c r="O110" s="511"/>
      <c r="P110" s="512"/>
      <c r="Q110" s="511"/>
      <c r="R110" s="444">
        <f>VLOOKUP(A110,'2020-21'!$A$6:$F$319,6,0)</f>
        <v>975.01</v>
      </c>
      <c r="S110" s="513" t="str">
        <f t="shared" si="38"/>
        <v>Met</v>
      </c>
      <c r="U110" s="444">
        <f>VLOOKUP(A110,'2020-21'!$A$6:$G$319,7,0)</f>
        <v>15280.85</v>
      </c>
      <c r="V110" s="513" t="str">
        <f t="shared" si="39"/>
        <v>Met</v>
      </c>
      <c r="X110" s="444">
        <f>VLOOKUP(A110,'2020-21'!$A$6:$F$319,6,0)/VLOOKUP(A110,'42. SEA or LEA Worksheet'!$A$4:$T$324,20,0)</f>
        <v>325.00333333333333</v>
      </c>
      <c r="Y110" s="513" t="str">
        <f t="shared" si="40"/>
        <v>Met</v>
      </c>
      <c r="AA110" s="444">
        <f>VLOOKUP(A110,'42. SEA or LEA Worksheet'!$A$4:$W$324,23,0)/VLOOKUP(compliance!A110,'42. SEA or LEA Worksheet'!$A$4:$T$324,20,0)</f>
        <v>5093.6166666666668</v>
      </c>
      <c r="AB110" s="513" t="str">
        <f t="shared" si="41"/>
        <v>Met</v>
      </c>
      <c r="AD110" s="512" t="str">
        <f t="shared" si="67"/>
        <v>Met</v>
      </c>
      <c r="AF110" s="444">
        <f>VLOOKUP(A110,'42. SEA or LEA Worksheet'!$A$4:$Z$324,26,0)</f>
        <v>0</v>
      </c>
      <c r="AG110" s="513" t="str">
        <f t="shared" si="43"/>
        <v>Did not Meet</v>
      </c>
      <c r="AI110" s="444">
        <f>VLOOKUP(A110,'42. SEA or LEA Worksheet'!$A$4:$AB$324,28,0)</f>
        <v>119056.03</v>
      </c>
      <c r="AJ110" s="513" t="str">
        <f t="shared" si="44"/>
        <v>Met</v>
      </c>
      <c r="AL110" s="444">
        <f>VLOOKUP(compliance!A110,'42. SEA or LEA Worksheet'!$A$4:$AB$324,26,0)/VLOOKUP(compliance!A110,'42. SEA or LEA Worksheet'!$A$4:$Y$324,25,0)</f>
        <v>0</v>
      </c>
      <c r="AM110" s="513" t="str">
        <f t="shared" si="45"/>
        <v>Did not Meet</v>
      </c>
      <c r="AO110" s="444">
        <f>VLOOKUP(A110,'42. SEA or LEA Worksheet'!$A$4:$AB$324,28,0)/VLOOKUP(compliance!A110,'42. SEA or LEA Worksheet'!$A$4:$Y$324,25,0)</f>
        <v>14882.00375</v>
      </c>
      <c r="AP110" s="513" t="str">
        <f t="shared" si="46"/>
        <v>Met</v>
      </c>
      <c r="AR110" s="512" t="str">
        <f t="shared" si="68"/>
        <v>Met</v>
      </c>
      <c r="AT110" s="444">
        <f>VLOOKUP(A110,'42. SEA or LEA Worksheet'!$A$4:$AE$324,31,0)</f>
        <v>0</v>
      </c>
      <c r="AU110" s="513" t="str">
        <f t="shared" si="75"/>
        <v>Met</v>
      </c>
      <c r="AW110" s="444">
        <f>VLOOKUP(A110,'42. SEA or LEA Worksheet'!$A$4:$AG$324,33,0)</f>
        <v>428858.55</v>
      </c>
      <c r="AX110" s="513" t="str">
        <f t="shared" si="64"/>
        <v>Met</v>
      </c>
      <c r="AZ110" s="444">
        <f>VLOOKUP(A110,'42. SEA or LEA Worksheet'!$A$4:$AG$324,31,0)/VLOOKUP(A110,'42. SEA or LEA Worksheet'!$A$4:$AD$324,30,0)</f>
        <v>0</v>
      </c>
      <c r="BA110" s="513" t="str">
        <f t="shared" si="76"/>
        <v>Met</v>
      </c>
      <c r="BC110" s="444">
        <f>VLOOKUP(A110,'42. SEA or LEA Worksheet'!$A$4:$AG$324,33,0)/VLOOKUP(A110,'42. SEA or LEA Worksheet'!$A$4:$AD$324,30,0)</f>
        <v>30632.75357142857</v>
      </c>
      <c r="BD110" s="513" t="str">
        <f t="shared" si="65"/>
        <v>Met</v>
      </c>
      <c r="BF110" s="512" t="str">
        <f>IF(AND(AU110="Did not Meet",AX110="Did not Meet", BA110="Did not Meet",BD110="Did not Meet",),"Did not Meet","Met")</f>
        <v>Met</v>
      </c>
      <c r="BG110" s="637">
        <f>VLOOKUP(A110,'42. SEA or LEA Worksheet'!$A$4:$AM$324,36,0)</f>
        <v>0</v>
      </c>
      <c r="BH110" s="638" t="str">
        <f t="shared" si="70"/>
        <v>Met</v>
      </c>
      <c r="BI110" s="639"/>
      <c r="BJ110" s="637">
        <f>VLOOKUP(A110,'42. SEA or LEA Worksheet'!$A$4:$AM$324,38,0)</f>
        <v>569676.59</v>
      </c>
      <c r="BK110" s="638" t="str">
        <f t="shared" si="71"/>
        <v>Met</v>
      </c>
      <c r="BM110" s="631">
        <f>VLOOKUP(A110,'42. SEA or LEA Worksheet'!$A$4:$AL$324,36,0)/VLOOKUP(A110,'42. SEA or LEA Worksheet'!$A$4:$AL$324,35,0)</f>
        <v>0</v>
      </c>
      <c r="BN110" s="632" t="str">
        <f t="shared" si="72"/>
        <v>Met</v>
      </c>
      <c r="BP110" s="631">
        <f>VLOOKUP(A110,'42. SEA or LEA Worksheet'!$A$4:$AL$324,38,0)/VLOOKUP(A110,'42. SEA or LEA Worksheet'!$A$4:$AL$324,35,0)</f>
        <v>40691.184999999998</v>
      </c>
      <c r="BQ110" s="632" t="str">
        <f t="shared" si="73"/>
        <v>Met</v>
      </c>
      <c r="BS110" s="620" t="str">
        <f>IF(AND(BH110="Did not Meet",BK110="Did not Meet", BN110="Did not Meet",BQ110="Did not Meet",),"Did not Meet","Met")</f>
        <v>Met</v>
      </c>
    </row>
    <row r="111" spans="1:71" x14ac:dyDescent="0.25">
      <c r="A111" s="343" t="s">
        <v>403</v>
      </c>
      <c r="B111" s="510" t="s">
        <v>935</v>
      </c>
      <c r="C111" s="511"/>
      <c r="D111" s="444">
        <v>0</v>
      </c>
      <c r="E111" s="343" t="s">
        <v>835</v>
      </c>
      <c r="F111" s="511"/>
      <c r="G111" s="444">
        <v>338468.73</v>
      </c>
      <c r="H111" s="343" t="s">
        <v>856</v>
      </c>
      <c r="I111" s="511"/>
      <c r="J111" s="444">
        <v>0</v>
      </c>
      <c r="K111" s="343" t="s">
        <v>835</v>
      </c>
      <c r="L111" s="511"/>
      <c r="M111" s="444">
        <v>14102.863749999999</v>
      </c>
      <c r="N111" s="343" t="s">
        <v>856</v>
      </c>
      <c r="O111" s="511"/>
      <c r="P111" s="512" t="str">
        <f>IF(AND(E111="Did not Meet",H111="Did not Meet",K111="Did not Meet", N111="Did not Meet"),"Did not Meet","Met")</f>
        <v>Met</v>
      </c>
      <c r="Q111" s="511"/>
      <c r="R111" s="444">
        <f>VLOOKUP(A111,'2020-21'!$A$6:$F$319,6,0)</f>
        <v>0</v>
      </c>
      <c r="S111" s="513" t="str">
        <f t="shared" si="38"/>
        <v>Met</v>
      </c>
      <c r="U111" s="444">
        <f>VLOOKUP(A111,'2020-21'!$A$6:$G$319,7,0)</f>
        <v>341731.04</v>
      </c>
      <c r="V111" s="513" t="str">
        <f t="shared" si="39"/>
        <v>Met</v>
      </c>
      <c r="X111" s="444">
        <f>VLOOKUP(A111,'2020-21'!$A$6:$F$319,6,0)/VLOOKUP(A111,'42. SEA or LEA Worksheet'!$A$4:$T$324,20,0)</f>
        <v>0</v>
      </c>
      <c r="Y111" s="513" t="str">
        <f t="shared" si="40"/>
        <v>Met</v>
      </c>
      <c r="AA111" s="444">
        <f>VLOOKUP(A111,'42. SEA or LEA Worksheet'!$A$4:$W$324,23,0)/VLOOKUP(compliance!A111,'42. SEA or LEA Worksheet'!$A$4:$T$324,20,0)</f>
        <v>14238.793333333333</v>
      </c>
      <c r="AB111" s="513" t="str">
        <f t="shared" si="41"/>
        <v>Met</v>
      </c>
      <c r="AD111" s="512" t="str">
        <f t="shared" si="67"/>
        <v>Met</v>
      </c>
      <c r="AF111" s="444">
        <f>VLOOKUP(A111,'42. SEA or LEA Worksheet'!$A$4:$Z$324,26,0)</f>
        <v>0</v>
      </c>
      <c r="AG111" s="513" t="str">
        <f t="shared" si="43"/>
        <v>Met</v>
      </c>
      <c r="AI111" s="444">
        <f>VLOOKUP(A111,'42. SEA or LEA Worksheet'!$A$4:$AB$324,28,0)</f>
        <v>368862.91</v>
      </c>
      <c r="AJ111" s="513" t="str">
        <f t="shared" si="44"/>
        <v>Met</v>
      </c>
      <c r="AL111" s="444">
        <f>VLOOKUP(compliance!A111,'42. SEA or LEA Worksheet'!$A$4:$AB$324,26,0)/VLOOKUP(compliance!A111,'42. SEA or LEA Worksheet'!$A$4:$Y$324,25,0)</f>
        <v>0</v>
      </c>
      <c r="AM111" s="513" t="str">
        <f t="shared" si="45"/>
        <v>Met</v>
      </c>
      <c r="AO111" s="444">
        <f>VLOOKUP(A111,'42. SEA or LEA Worksheet'!$A$4:$AB$324,28,0)/VLOOKUP(compliance!A111,'42. SEA or LEA Worksheet'!$A$4:$Y$324,25,0)</f>
        <v>14754.516399999999</v>
      </c>
      <c r="AP111" s="513" t="str">
        <f t="shared" si="46"/>
        <v>Met</v>
      </c>
      <c r="AR111" s="512" t="str">
        <f t="shared" si="68"/>
        <v>Met</v>
      </c>
      <c r="AT111" s="444">
        <f>VLOOKUP(A111,'42. SEA or LEA Worksheet'!$A$4:$AE$324,31,0)</f>
        <v>0</v>
      </c>
      <c r="AU111" s="513" t="str">
        <f t="shared" si="75"/>
        <v>Met</v>
      </c>
      <c r="AW111" s="444">
        <f>VLOOKUP(A111,'42. SEA or LEA Worksheet'!$A$4:$AG$324,33,0)</f>
        <v>504789.57</v>
      </c>
      <c r="AX111" s="513" t="str">
        <f t="shared" si="64"/>
        <v>Met</v>
      </c>
      <c r="AZ111" s="444">
        <f>VLOOKUP(A111,'42. SEA or LEA Worksheet'!$A$4:$AG$324,31,0)/VLOOKUP(A111,'42. SEA or LEA Worksheet'!$A$4:$AD$324,30,0)</f>
        <v>0</v>
      </c>
      <c r="BA111" s="513" t="str">
        <f t="shared" si="76"/>
        <v>Met</v>
      </c>
      <c r="BC111" s="444">
        <f>VLOOKUP(A111,'42. SEA or LEA Worksheet'!$A$4:$AG$324,33,0)/VLOOKUP(A111,'42. SEA or LEA Worksheet'!$A$4:$AD$324,30,0)</f>
        <v>18695.91</v>
      </c>
      <c r="BD111" s="513" t="str">
        <f t="shared" si="65"/>
        <v>Met</v>
      </c>
      <c r="BF111" s="512" t="str">
        <f t="shared" ref="BF111:BF129" si="77">IF(AND(AU111="Did not Meet",AX111="Did not Meet", BA111="Did not Meet",BD111="Did not Meet"),"Did not Meet","Met")</f>
        <v>Met</v>
      </c>
      <c r="BG111" s="637">
        <f>VLOOKUP(A111,'42. SEA or LEA Worksheet'!$A$4:$AM$324,36,0)</f>
        <v>500</v>
      </c>
      <c r="BH111" s="638" t="str">
        <f t="shared" si="70"/>
        <v>Met</v>
      </c>
      <c r="BI111" s="639"/>
      <c r="BJ111" s="637">
        <f>VLOOKUP(A111,'42. SEA or LEA Worksheet'!$A$4:$AM$324,38,0)</f>
        <v>497727.2</v>
      </c>
      <c r="BK111" s="638" t="str">
        <f t="shared" si="71"/>
        <v>Did not Meet</v>
      </c>
      <c r="BM111" s="631">
        <f>VLOOKUP(A111,'42. SEA or LEA Worksheet'!$A$4:$AL$324,36,0)/VLOOKUP(A111,'42. SEA or LEA Worksheet'!$A$4:$AL$324,35,0)</f>
        <v>22.727272727272727</v>
      </c>
      <c r="BN111" s="632" t="str">
        <f t="shared" si="72"/>
        <v>Met</v>
      </c>
      <c r="BP111" s="631">
        <f>VLOOKUP(A111,'42. SEA or LEA Worksheet'!$A$4:$AL$324,38,0)/VLOOKUP(A111,'42. SEA or LEA Worksheet'!$A$4:$AL$324,35,0)</f>
        <v>22623.963636363638</v>
      </c>
      <c r="BQ111" s="632" t="str">
        <f t="shared" si="73"/>
        <v>Met</v>
      </c>
      <c r="BS111" s="620" t="str">
        <f t="shared" ref="BS111:BS129" si="78">IF(AND(BH111="Did not Meet",BK111="Did not Meet", BN111="Did not Meet",BQ111="Did not Meet"),"Did not Meet","Met")</f>
        <v>Met</v>
      </c>
    </row>
    <row r="112" spans="1:71" x14ac:dyDescent="0.25">
      <c r="A112" s="343" t="s">
        <v>405</v>
      </c>
      <c r="B112" s="510" t="s">
        <v>936</v>
      </c>
      <c r="C112" s="511"/>
      <c r="D112" s="444">
        <v>0</v>
      </c>
      <c r="E112" s="343" t="s">
        <v>835</v>
      </c>
      <c r="F112" s="511"/>
      <c r="G112" s="444">
        <v>53171.26</v>
      </c>
      <c r="H112" s="343" t="s">
        <v>835</v>
      </c>
      <c r="I112" s="511"/>
      <c r="J112" s="444">
        <v>0</v>
      </c>
      <c r="K112" s="343" t="s">
        <v>835</v>
      </c>
      <c r="L112" s="511"/>
      <c r="M112" s="444">
        <v>7595.8942857142856</v>
      </c>
      <c r="N112" s="343" t="s">
        <v>856</v>
      </c>
      <c r="O112" s="511"/>
      <c r="P112" s="512" t="str">
        <f>IF(AND(E112="Did not Meet",H112="Did not Meet",K112="Did not Meet", N112="Did not Meet"),"Did not Meet","Met")</f>
        <v>Met</v>
      </c>
      <c r="Q112" s="511"/>
      <c r="R112" s="444">
        <f>VLOOKUP(A112,'2020-21'!$A$6:$F$319,6,0)</f>
        <v>0</v>
      </c>
      <c r="S112" s="513" t="str">
        <f t="shared" si="38"/>
        <v>Met</v>
      </c>
      <c r="U112" s="444">
        <f>VLOOKUP(A112,'2020-21'!$A$6:$G$319,7,0)</f>
        <v>32330.15</v>
      </c>
      <c r="V112" s="513" t="str">
        <f t="shared" si="39"/>
        <v>Did not Meet</v>
      </c>
      <c r="X112" s="444">
        <f>VLOOKUP(A112,'2020-21'!$A$6:$F$319,6,0)/VLOOKUP(A112,'42. SEA or LEA Worksheet'!$A$4:$T$324,20,0)</f>
        <v>0</v>
      </c>
      <c r="Y112" s="513" t="str">
        <f t="shared" si="40"/>
        <v>Met</v>
      </c>
      <c r="AA112" s="444">
        <f>VLOOKUP(A112,'42. SEA or LEA Worksheet'!$A$4:$W$324,23,0)/VLOOKUP(compliance!A112,'42. SEA or LEA Worksheet'!$A$4:$T$324,20,0)</f>
        <v>6466.0300000000007</v>
      </c>
      <c r="AB112" s="513" t="str">
        <f t="shared" si="41"/>
        <v>Did not Meet</v>
      </c>
      <c r="AD112" s="512" t="str">
        <f t="shared" si="67"/>
        <v>Met</v>
      </c>
      <c r="AF112" s="444">
        <f>VLOOKUP(A112,'42. SEA or LEA Worksheet'!$A$4:$Z$324,26,0)</f>
        <v>0</v>
      </c>
      <c r="AG112" s="513" t="str">
        <f t="shared" si="43"/>
        <v>Met</v>
      </c>
      <c r="AI112" s="444">
        <f>VLOOKUP(A112,'42. SEA or LEA Worksheet'!$A$4:$AB$324,28,0)</f>
        <v>37255.51</v>
      </c>
      <c r="AJ112" s="513" t="str">
        <f t="shared" si="44"/>
        <v>Met</v>
      </c>
      <c r="AL112" s="444">
        <f>VLOOKUP(compliance!A112,'42. SEA or LEA Worksheet'!$A$4:$AB$324,26,0)/VLOOKUP(compliance!A112,'42. SEA or LEA Worksheet'!$A$4:$Y$324,25,0)</f>
        <v>0</v>
      </c>
      <c r="AM112" s="513" t="str">
        <f t="shared" si="45"/>
        <v>Met</v>
      </c>
      <c r="AO112" s="444">
        <f>VLOOKUP(A112,'42. SEA or LEA Worksheet'!$A$4:$AB$324,28,0)/VLOOKUP(compliance!A112,'42. SEA or LEA Worksheet'!$A$4:$Y$324,25,0)</f>
        <v>9313.8775000000005</v>
      </c>
      <c r="AP112" s="513" t="str">
        <f t="shared" si="46"/>
        <v>Met</v>
      </c>
      <c r="AR112" s="512" t="str">
        <f t="shared" si="68"/>
        <v>Met</v>
      </c>
      <c r="AT112" s="444">
        <f>VLOOKUP(A112,'42. SEA or LEA Worksheet'!$A$4:$AE$324,31,0)</f>
        <v>0</v>
      </c>
      <c r="AU112" s="513" t="str">
        <f t="shared" si="75"/>
        <v>Met</v>
      </c>
      <c r="AW112" s="444">
        <f>VLOOKUP(A112,'42. SEA or LEA Worksheet'!$A$4:$AG$324,33,0)</f>
        <v>53944.11</v>
      </c>
      <c r="AX112" s="513" t="str">
        <f t="shared" si="64"/>
        <v>Met</v>
      </c>
      <c r="AZ112" s="444">
        <f>VLOOKUP(A112,'42. SEA or LEA Worksheet'!$A$4:$AG$324,31,0)/VLOOKUP(A112,'42. SEA or LEA Worksheet'!$A$4:$AD$324,30,0)</f>
        <v>0</v>
      </c>
      <c r="BA112" s="513" t="str">
        <f t="shared" si="76"/>
        <v>Met</v>
      </c>
      <c r="BC112" s="444">
        <f>VLOOKUP(A112,'42. SEA or LEA Worksheet'!$A$4:$AG$324,33,0)/VLOOKUP(A112,'42. SEA or LEA Worksheet'!$A$4:$AD$324,30,0)</f>
        <v>10788.822</v>
      </c>
      <c r="BD112" s="513" t="str">
        <f t="shared" si="65"/>
        <v>Met</v>
      </c>
      <c r="BF112" s="512" t="str">
        <f t="shared" si="77"/>
        <v>Met</v>
      </c>
      <c r="BG112" s="637">
        <f>VLOOKUP(A112,'42. SEA or LEA Worksheet'!$A$4:$AM$324,36,0)</f>
        <v>0</v>
      </c>
      <c r="BH112" s="638" t="str">
        <f t="shared" si="70"/>
        <v>Met</v>
      </c>
      <c r="BI112" s="639"/>
      <c r="BJ112" s="637">
        <f>VLOOKUP(A112,'42. SEA or LEA Worksheet'!$A$4:$AM$324,38,0)</f>
        <v>34374</v>
      </c>
      <c r="BK112" s="638" t="str">
        <f t="shared" si="71"/>
        <v>Did not Meet</v>
      </c>
      <c r="BM112" s="631">
        <f>VLOOKUP(A112,'42. SEA or LEA Worksheet'!$A$4:$AL$324,36,0)/VLOOKUP(A112,'42. SEA or LEA Worksheet'!$A$4:$AL$324,35,0)</f>
        <v>0</v>
      </c>
      <c r="BN112" s="632" t="str">
        <f t="shared" si="72"/>
        <v>Met</v>
      </c>
      <c r="BP112" s="631">
        <f>VLOOKUP(A112,'42. SEA or LEA Worksheet'!$A$4:$AL$324,38,0)/VLOOKUP(A112,'42. SEA or LEA Worksheet'!$A$4:$AL$324,35,0)</f>
        <v>6874.8</v>
      </c>
      <c r="BQ112" s="632" t="str">
        <f t="shared" si="73"/>
        <v>Met</v>
      </c>
      <c r="BS112" s="620" t="str">
        <f t="shared" si="78"/>
        <v>Met</v>
      </c>
    </row>
    <row r="113" spans="1:71" x14ac:dyDescent="0.25">
      <c r="A113" s="343" t="s">
        <v>407</v>
      </c>
      <c r="B113" s="510" t="s">
        <v>937</v>
      </c>
      <c r="C113" s="511"/>
      <c r="D113" s="444">
        <v>157310.82</v>
      </c>
      <c r="E113" s="343" t="s">
        <v>835</v>
      </c>
      <c r="F113" s="511"/>
      <c r="G113" s="444">
        <v>29482793.66</v>
      </c>
      <c r="H113" s="343" t="s">
        <v>835</v>
      </c>
      <c r="I113" s="511"/>
      <c r="J113" s="444">
        <v>92.156309314587006</v>
      </c>
      <c r="K113" s="343" t="s">
        <v>856</v>
      </c>
      <c r="L113" s="511"/>
      <c r="M113" s="444">
        <v>17271.701031048622</v>
      </c>
      <c r="N113" s="343" t="s">
        <v>835</v>
      </c>
      <c r="O113" s="511"/>
      <c r="P113" s="512" t="str">
        <f>IF(AND(E113="Did not Meet",H113="Did not Meet",K113="Did not Meet", N113="Did not Meet"),"Did not Meet","Met")</f>
        <v>Met</v>
      </c>
      <c r="Q113" s="511"/>
      <c r="R113" s="444">
        <f>VLOOKUP(A113,'2020-21'!$A$6:$F$319,6,0)</f>
        <v>172959.73</v>
      </c>
      <c r="S113" s="513" t="str">
        <f t="shared" si="38"/>
        <v>Met</v>
      </c>
      <c r="U113" s="444">
        <f>VLOOKUP(A113,'2020-21'!$A$6:$G$319,7,0)</f>
        <v>31421916.27</v>
      </c>
      <c r="V113" s="513" t="str">
        <f t="shared" si="39"/>
        <v>Met</v>
      </c>
      <c r="X113" s="444">
        <f>VLOOKUP(A113,'2020-21'!$A$6:$F$319,6,0)/VLOOKUP(A113,'42. SEA or LEA Worksheet'!$A$4:$T$324,20,0)</f>
        <v>104.12987959060807</v>
      </c>
      <c r="Y113" s="513" t="str">
        <f t="shared" si="40"/>
        <v>Met</v>
      </c>
      <c r="AA113" s="444">
        <f>VLOOKUP(A113,'42. SEA or LEA Worksheet'!$A$4:$W$324,23,0)/VLOOKUP(compliance!A113,'42. SEA or LEA Worksheet'!$A$4:$T$324,20,0)</f>
        <v>18917.469157134256</v>
      </c>
      <c r="AB113" s="513" t="str">
        <f t="shared" si="41"/>
        <v>Met</v>
      </c>
      <c r="AD113" s="512" t="str">
        <f t="shared" si="67"/>
        <v>Met</v>
      </c>
      <c r="AF113" s="444">
        <f>VLOOKUP(A113,'42. SEA or LEA Worksheet'!$A$4:$Z$324,26,0)</f>
        <v>8175715.2400000002</v>
      </c>
      <c r="AG113" s="513" t="str">
        <f t="shared" si="43"/>
        <v>Met</v>
      </c>
      <c r="AI113" s="444">
        <f>VLOOKUP(A113,'42. SEA or LEA Worksheet'!$A$4:$AB$324,28,0)</f>
        <v>32847104.090000004</v>
      </c>
      <c r="AJ113" s="513" t="str">
        <f t="shared" si="44"/>
        <v>Met</v>
      </c>
      <c r="AL113" s="444">
        <f>VLOOKUP(compliance!A113,'42. SEA or LEA Worksheet'!$A$4:$AB$324,26,0)/VLOOKUP(compliance!A113,'42. SEA or LEA Worksheet'!$A$4:$Y$324,25,0)</f>
        <v>4922.1645033112582</v>
      </c>
      <c r="AM113" s="513" t="str">
        <f t="shared" si="45"/>
        <v>Met</v>
      </c>
      <c r="AO113" s="444">
        <f>VLOOKUP(A113,'42. SEA or LEA Worksheet'!$A$4:$AB$324,28,0)/VLOOKUP(compliance!A113,'42. SEA or LEA Worksheet'!$A$4:$Y$324,25,0)</f>
        <v>19775.499151113789</v>
      </c>
      <c r="AP113" s="513" t="str">
        <f t="shared" si="46"/>
        <v>Met</v>
      </c>
      <c r="AR113" s="512" t="str">
        <f t="shared" si="68"/>
        <v>Met</v>
      </c>
      <c r="AT113" s="444">
        <f>VLOOKUP(A113,'42. SEA or LEA Worksheet'!$A$4:$AE$324,31,0)</f>
        <v>7463219.6600000001</v>
      </c>
      <c r="AU113" s="513" t="str">
        <f t="shared" si="75"/>
        <v>Did not Meet</v>
      </c>
      <c r="AW113" s="444">
        <f>VLOOKUP(A113,'42. SEA or LEA Worksheet'!$A$4:$AG$324,33,0)</f>
        <v>35929583.350000001</v>
      </c>
      <c r="AX113" s="513" t="str">
        <f t="shared" si="64"/>
        <v>Met</v>
      </c>
      <c r="AZ113" s="444">
        <f>VLOOKUP(A113,'42. SEA or LEA Worksheet'!$A$4:$AG$324,31,0)/VLOOKUP(A113,'42. SEA or LEA Worksheet'!$A$4:$AD$324,30,0)</f>
        <v>4223.6670401810979</v>
      </c>
      <c r="BA113" s="513" t="str">
        <f t="shared" si="76"/>
        <v>Did not Meet</v>
      </c>
      <c r="BC113" s="444">
        <f>VLOOKUP(A113,'42. SEA or LEA Worksheet'!$A$4:$AG$324,33,0)/VLOOKUP(A113,'42. SEA or LEA Worksheet'!$A$4:$AD$324,30,0)</f>
        <v>20333.663469156763</v>
      </c>
      <c r="BD113" s="513" t="str">
        <f t="shared" si="65"/>
        <v>Met</v>
      </c>
      <c r="BF113" s="512" t="str">
        <f t="shared" si="77"/>
        <v>Met</v>
      </c>
      <c r="BG113" s="637">
        <f>VLOOKUP(A113,'42. SEA or LEA Worksheet'!$A$4:$AM$324,36,0)</f>
        <v>7452134.7599999998</v>
      </c>
      <c r="BH113" s="638" t="str">
        <f t="shared" si="70"/>
        <v>Did not Meet</v>
      </c>
      <c r="BI113" s="639"/>
      <c r="BJ113" s="637">
        <f>VLOOKUP(A113,'42. SEA or LEA Worksheet'!$A$4:$AM$324,38,0)</f>
        <v>40949160.420000002</v>
      </c>
      <c r="BK113" s="638" t="str">
        <f t="shared" si="71"/>
        <v>Met</v>
      </c>
      <c r="BM113" s="631">
        <f>VLOOKUP(A113,'42. SEA or LEA Worksheet'!$A$4:$AL$324,36,0)/VLOOKUP(A113,'42. SEA or LEA Worksheet'!$A$4:$AL$324,35,0)</f>
        <v>3809.8848466257668</v>
      </c>
      <c r="BN113" s="632" t="str">
        <f t="shared" si="72"/>
        <v>Met</v>
      </c>
      <c r="BP113" s="631">
        <f>VLOOKUP(A113,'42. SEA or LEA Worksheet'!$A$4:$AL$324,38,0)/VLOOKUP(A113,'42. SEA or LEA Worksheet'!$A$4:$AL$324,35,0)</f>
        <v>20935.153588957055</v>
      </c>
      <c r="BQ113" s="632" t="str">
        <f t="shared" si="73"/>
        <v>Met</v>
      </c>
      <c r="BS113" s="620" t="str">
        <f t="shared" si="78"/>
        <v>Met</v>
      </c>
    </row>
    <row r="114" spans="1:71" x14ac:dyDescent="0.25">
      <c r="A114" s="343" t="s">
        <v>409</v>
      </c>
      <c r="B114" s="510" t="s">
        <v>938</v>
      </c>
      <c r="C114" s="511"/>
      <c r="D114" s="444">
        <v>0</v>
      </c>
      <c r="E114" s="343" t="s">
        <v>835</v>
      </c>
      <c r="F114" s="511"/>
      <c r="G114" s="444">
        <v>59369.09</v>
      </c>
      <c r="H114" s="343" t="s">
        <v>835</v>
      </c>
      <c r="I114" s="511"/>
      <c r="J114" s="444">
        <v>0</v>
      </c>
      <c r="K114" s="343" t="s">
        <v>835</v>
      </c>
      <c r="L114" s="511"/>
      <c r="M114" s="444">
        <v>14842.272499999999</v>
      </c>
      <c r="N114" s="343" t="s">
        <v>835</v>
      </c>
      <c r="O114" s="511"/>
      <c r="P114" s="512" t="str">
        <f>IF(AND(E114="Did not Meet",H114="Did not Meet",K114="Did not Meet", N114="Did not Meet"),"Did not Meet","Met")</f>
        <v>Met</v>
      </c>
      <c r="Q114" s="511"/>
      <c r="R114" s="444">
        <f>VLOOKUP(A114,'2020-21'!$A$6:$F$319,6,0)</f>
        <v>0</v>
      </c>
      <c r="S114" s="513" t="str">
        <f t="shared" si="38"/>
        <v>Met</v>
      </c>
      <c r="U114" s="444">
        <f>VLOOKUP(A114,'2020-21'!$A$6:$G$319,7,0)</f>
        <v>55051.61</v>
      </c>
      <c r="V114" s="513" t="str">
        <f t="shared" si="39"/>
        <v>Did not Meet</v>
      </c>
      <c r="X114" s="444">
        <v>0</v>
      </c>
      <c r="Y114" s="513" t="str">
        <f t="shared" si="40"/>
        <v>Met</v>
      </c>
      <c r="AA114" s="444">
        <f>VLOOKUP(A114,'42. SEA or LEA Worksheet'!$A$4:$W$324,23,0)/VLOOKUP(compliance!A114,'42. SEA or LEA Worksheet'!$A$4:$T$324,20,0)</f>
        <v>9175.2683333333334</v>
      </c>
      <c r="AB114" s="513" t="str">
        <f t="shared" si="41"/>
        <v>Did not Meet</v>
      </c>
      <c r="AD114" s="512" t="str">
        <f t="shared" si="67"/>
        <v>Met</v>
      </c>
      <c r="AF114" s="444">
        <f>VLOOKUP(A114,'42. SEA or LEA Worksheet'!$A$4:$Z$324,26,0)</f>
        <v>0</v>
      </c>
      <c r="AG114" s="513" t="str">
        <f t="shared" si="43"/>
        <v>Met</v>
      </c>
      <c r="AI114" s="444">
        <f>VLOOKUP(A114,'42. SEA or LEA Worksheet'!$A$4:$AB$324,28,0)</f>
        <v>73202.64</v>
      </c>
      <c r="AJ114" s="513" t="str">
        <f t="shared" si="44"/>
        <v>Met</v>
      </c>
      <c r="AL114" s="444">
        <f>VLOOKUP(compliance!A114,'42. SEA or LEA Worksheet'!$A$4:$AB$324,26,0)/VLOOKUP(compliance!A114,'42. SEA or LEA Worksheet'!$A$4:$Y$324,25,0)</f>
        <v>0</v>
      </c>
      <c r="AM114" s="513" t="str">
        <f t="shared" si="45"/>
        <v>Met</v>
      </c>
      <c r="AO114" s="444">
        <f>VLOOKUP(A114,'42. SEA or LEA Worksheet'!$A$4:$AB$324,28,0)/VLOOKUP(compliance!A114,'42. SEA or LEA Worksheet'!$A$4:$Y$324,25,0)</f>
        <v>14640.528</v>
      </c>
      <c r="AP114" s="513" t="str">
        <f t="shared" si="46"/>
        <v>Met</v>
      </c>
      <c r="AR114" s="512" t="str">
        <f t="shared" si="68"/>
        <v>Met</v>
      </c>
      <c r="AT114" s="444">
        <f>VLOOKUP(A114,'42. SEA or LEA Worksheet'!$A$4:$AE$324,31,0)</f>
        <v>0</v>
      </c>
      <c r="AU114" s="513" t="str">
        <f t="shared" si="75"/>
        <v>Met</v>
      </c>
      <c r="AW114" s="444">
        <f>VLOOKUP(A114,'42. SEA or LEA Worksheet'!$A$4:$AG$324,33,0)</f>
        <v>116658.88</v>
      </c>
      <c r="AX114" s="513" t="str">
        <f t="shared" si="64"/>
        <v>Met</v>
      </c>
      <c r="AZ114" s="444">
        <f>VLOOKUP(A114,'42. SEA or LEA Worksheet'!$A$4:$AG$324,31,0)/VLOOKUP(A114,'42. SEA or LEA Worksheet'!$A$4:$AD$324,30,0)</f>
        <v>0</v>
      </c>
      <c r="BA114" s="513" t="str">
        <f t="shared" si="76"/>
        <v>Met</v>
      </c>
      <c r="BC114" s="444">
        <f>VLOOKUP(A114,'42. SEA or LEA Worksheet'!$A$4:$AG$324,33,0)/VLOOKUP(A114,'42. SEA or LEA Worksheet'!$A$4:$AD$324,30,0)</f>
        <v>14582.36</v>
      </c>
      <c r="BD114" s="513" t="str">
        <f t="shared" si="65"/>
        <v>Did not Meet</v>
      </c>
      <c r="BF114" s="512" t="str">
        <f t="shared" si="77"/>
        <v>Met</v>
      </c>
      <c r="BG114" s="637">
        <f>VLOOKUP(A114,'42. SEA or LEA Worksheet'!$A$4:$AM$324,36,0)</f>
        <v>0</v>
      </c>
      <c r="BH114" s="638" t="str">
        <f t="shared" si="70"/>
        <v>Met</v>
      </c>
      <c r="BI114" s="639"/>
      <c r="BJ114" s="637">
        <f>VLOOKUP(A114,'42. SEA or LEA Worksheet'!$A$4:$AM$324,38,0)</f>
        <v>155955.57999999999</v>
      </c>
      <c r="BK114" s="638" t="str">
        <f t="shared" si="71"/>
        <v>Met</v>
      </c>
      <c r="BM114" s="631">
        <f>VLOOKUP(A114,'42. SEA or LEA Worksheet'!$A$4:$AL$324,36,0)/VLOOKUP(A114,'42. SEA or LEA Worksheet'!$A$4:$AL$324,35,0)</f>
        <v>0</v>
      </c>
      <c r="BN114" s="632" t="str">
        <f t="shared" si="72"/>
        <v>Met</v>
      </c>
      <c r="BP114" s="631">
        <f>VLOOKUP(A114,'42. SEA or LEA Worksheet'!$A$4:$AL$324,38,0)/VLOOKUP(A114,'42. SEA or LEA Worksheet'!$A$4:$AL$324,35,0)</f>
        <v>11996.583076923076</v>
      </c>
      <c r="BQ114" s="632" t="str">
        <f t="shared" si="73"/>
        <v>Met</v>
      </c>
      <c r="BS114" s="620" t="str">
        <f t="shared" si="78"/>
        <v>Met</v>
      </c>
    </row>
    <row r="115" spans="1:71" x14ac:dyDescent="0.25">
      <c r="A115" s="343" t="s">
        <v>411</v>
      </c>
      <c r="B115" s="510" t="s">
        <v>1156</v>
      </c>
      <c r="C115" s="511"/>
      <c r="D115" s="444">
        <v>0</v>
      </c>
      <c r="E115" s="343" t="s">
        <v>1151</v>
      </c>
      <c r="F115" s="511"/>
      <c r="G115" s="444">
        <v>274533.03000000003</v>
      </c>
      <c r="H115" s="343" t="s">
        <v>1151</v>
      </c>
      <c r="I115" s="511"/>
      <c r="J115" s="444">
        <v>0</v>
      </c>
      <c r="K115" s="343" t="s">
        <v>1151</v>
      </c>
      <c r="L115" s="511"/>
      <c r="M115" s="444">
        <v>1533.7040782122906</v>
      </c>
      <c r="N115" s="343" t="s">
        <v>1151</v>
      </c>
      <c r="O115" s="511"/>
      <c r="P115" s="512" t="s">
        <v>819</v>
      </c>
      <c r="Q115" s="511"/>
      <c r="R115" s="444">
        <f>VLOOKUP(A115,'2020-21'!$A$6:$F$319,6,0)</f>
        <v>0</v>
      </c>
      <c r="S115" s="513" t="str">
        <f t="shared" si="38"/>
        <v>Met</v>
      </c>
      <c r="U115" s="444">
        <f>VLOOKUP(A115,'2020-21'!$A$6:$G$319,7,0)</f>
        <v>1835839.1</v>
      </c>
      <c r="V115" s="513" t="str">
        <f t="shared" si="39"/>
        <v>Met</v>
      </c>
      <c r="X115" s="444">
        <v>0</v>
      </c>
      <c r="Y115" s="513" t="str">
        <f t="shared" si="40"/>
        <v>Met</v>
      </c>
      <c r="AA115" s="444">
        <f>VLOOKUP(A115,'42. SEA or LEA Worksheet'!$A$4:$W$324,23,0)/VLOOKUP(compliance!A115,'42. SEA or LEA Worksheet'!$A$4:$T$324,20,0)</f>
        <v>9713.4343915343925</v>
      </c>
      <c r="AB115" s="513" t="str">
        <f t="shared" si="41"/>
        <v>Met</v>
      </c>
      <c r="AD115" s="512" t="str">
        <f t="shared" si="67"/>
        <v>Met</v>
      </c>
      <c r="AF115" s="444">
        <f>VLOOKUP(A115,'42. SEA or LEA Worksheet'!$A$4:$Z$324,26,0)</f>
        <v>0</v>
      </c>
      <c r="AG115" s="513" t="str">
        <f t="shared" si="43"/>
        <v>Met</v>
      </c>
      <c r="AI115" s="444">
        <f>VLOOKUP(A115,'42. SEA or LEA Worksheet'!$A$4:$AB$324,28,0)</f>
        <v>1902289.02</v>
      </c>
      <c r="AJ115" s="513" t="str">
        <f t="shared" si="44"/>
        <v>Met</v>
      </c>
      <c r="AL115" s="444">
        <f>VLOOKUP(compliance!A115,'42. SEA or LEA Worksheet'!$A$4:$AB$324,26,0)/VLOOKUP(compliance!A115,'42. SEA or LEA Worksheet'!$A$4:$Y$324,25,0)</f>
        <v>0</v>
      </c>
      <c r="AM115" s="513" t="str">
        <f t="shared" si="45"/>
        <v>Met</v>
      </c>
      <c r="AO115" s="444">
        <f>VLOOKUP(A115,'42. SEA or LEA Worksheet'!$A$4:$AB$324,28,0)/VLOOKUP(compliance!A115,'42. SEA or LEA Worksheet'!$A$4:$Y$324,25,0)</f>
        <v>9856.4197927461137</v>
      </c>
      <c r="AP115" s="513" t="str">
        <f t="shared" si="46"/>
        <v>Met</v>
      </c>
      <c r="AR115" s="512" t="str">
        <f t="shared" si="68"/>
        <v>Met</v>
      </c>
      <c r="AT115" s="444">
        <f>VLOOKUP(A115,'42. SEA or LEA Worksheet'!$A$4:$AE$324,31,0)</f>
        <v>0</v>
      </c>
      <c r="AU115" s="513" t="str">
        <f t="shared" si="75"/>
        <v>Met</v>
      </c>
      <c r="AW115" s="444">
        <f>VLOOKUP(A115,'42. SEA or LEA Worksheet'!$A$4:$AG$324,33,0)</f>
        <v>2024664.18</v>
      </c>
      <c r="AX115" s="513" t="str">
        <f t="shared" si="64"/>
        <v>Met</v>
      </c>
      <c r="AZ115" s="444">
        <f>VLOOKUP(A115,'42. SEA or LEA Worksheet'!$A$4:$AG$324,31,0)/VLOOKUP(A115,'42. SEA or LEA Worksheet'!$A$4:$AD$324,30,0)</f>
        <v>0</v>
      </c>
      <c r="BA115" s="513" t="str">
        <f t="shared" si="76"/>
        <v>Met</v>
      </c>
      <c r="BC115" s="444">
        <f>VLOOKUP(A115,'42. SEA or LEA Worksheet'!$A$4:$AG$324,33,0)/VLOOKUP(A115,'42. SEA or LEA Worksheet'!$A$4:$AD$324,30,0)</f>
        <v>10329.919285714286</v>
      </c>
      <c r="BD115" s="513" t="str">
        <f t="shared" si="65"/>
        <v>Met</v>
      </c>
      <c r="BF115" s="512" t="str">
        <f t="shared" si="77"/>
        <v>Met</v>
      </c>
      <c r="BG115" s="637">
        <f>VLOOKUP(A115,'42. SEA or LEA Worksheet'!$A$4:$AM$324,36,0)</f>
        <v>0</v>
      </c>
      <c r="BH115" s="638" t="str">
        <f t="shared" si="70"/>
        <v>Met</v>
      </c>
      <c r="BI115" s="639"/>
      <c r="BJ115" s="637">
        <f>VLOOKUP(A115,'42. SEA or LEA Worksheet'!$A$4:$AM$324,38,0)</f>
        <v>2291959.8199999998</v>
      </c>
      <c r="BK115" s="638" t="str">
        <f t="shared" si="71"/>
        <v>Met</v>
      </c>
      <c r="BM115" s="631">
        <f>VLOOKUP(A115,'42. SEA or LEA Worksheet'!$A$4:$AL$324,36,0)/VLOOKUP(A115,'42. SEA or LEA Worksheet'!$A$4:$AL$324,35,0)</f>
        <v>0</v>
      </c>
      <c r="BN115" s="632" t="str">
        <f t="shared" si="72"/>
        <v>Met</v>
      </c>
      <c r="BP115" s="631">
        <f>VLOOKUP(A115,'42. SEA or LEA Worksheet'!$A$4:$AL$324,38,0)/VLOOKUP(A115,'42. SEA or LEA Worksheet'!$A$4:$AL$324,35,0)</f>
        <v>11575.554646464645</v>
      </c>
      <c r="BQ115" s="632" t="str">
        <f t="shared" si="73"/>
        <v>Met</v>
      </c>
      <c r="BS115" s="620" t="str">
        <f t="shared" si="78"/>
        <v>Met</v>
      </c>
    </row>
    <row r="116" spans="1:71" x14ac:dyDescent="0.25">
      <c r="A116" s="343" t="s">
        <v>413</v>
      </c>
      <c r="B116" s="510" t="s">
        <v>939</v>
      </c>
      <c r="C116" s="511"/>
      <c r="D116" s="444">
        <v>0</v>
      </c>
      <c r="E116" s="343" t="s">
        <v>835</v>
      </c>
      <c r="F116" s="511"/>
      <c r="G116" s="444">
        <v>31023.5</v>
      </c>
      <c r="H116" s="343" t="s">
        <v>856</v>
      </c>
      <c r="I116" s="511"/>
      <c r="J116" s="444">
        <v>0</v>
      </c>
      <c r="K116" s="343" t="s">
        <v>835</v>
      </c>
      <c r="L116" s="511"/>
      <c r="M116" s="444">
        <v>7755.875</v>
      </c>
      <c r="N116" s="343" t="s">
        <v>856</v>
      </c>
      <c r="O116" s="511"/>
      <c r="P116" s="512" t="str">
        <f t="shared" ref="P116:P122" si="79">IF(AND(E116="Did not Meet",H116="Did not Meet",K116="Did not Meet", N116="Did not Meet"),"Did not Meet","Met")</f>
        <v>Met</v>
      </c>
      <c r="Q116" s="511"/>
      <c r="R116" s="444">
        <f>VLOOKUP(A116,'2020-21'!$A$6:$F$319,6,0)</f>
        <v>0</v>
      </c>
      <c r="S116" s="513" t="str">
        <f t="shared" si="38"/>
        <v>Met</v>
      </c>
      <c r="U116" s="444">
        <f>VLOOKUP(A116,'2020-21'!$A$6:$G$319,7,0)</f>
        <v>38421</v>
      </c>
      <c r="V116" s="513" t="str">
        <f t="shared" si="39"/>
        <v>Met</v>
      </c>
      <c r="X116" s="444">
        <f>VLOOKUP(A116,'2020-21'!$A$6:$F$319,6,0)/VLOOKUP(A116,'42. SEA or LEA Worksheet'!$A$4:$T$324,20,0)</f>
        <v>0</v>
      </c>
      <c r="Y116" s="513" t="str">
        <f t="shared" si="40"/>
        <v>Met</v>
      </c>
      <c r="AA116" s="444">
        <f>VLOOKUP(A116,'42. SEA or LEA Worksheet'!$A$4:$W$324,23,0)/VLOOKUP(compliance!A116,'42. SEA or LEA Worksheet'!$A$4:$T$324,20,0)</f>
        <v>12807</v>
      </c>
      <c r="AB116" s="513" t="str">
        <f t="shared" si="41"/>
        <v>Met</v>
      </c>
      <c r="AD116" s="512" t="str">
        <f t="shared" si="67"/>
        <v>Met</v>
      </c>
      <c r="AF116" s="444">
        <f>VLOOKUP(A116,'42. SEA or LEA Worksheet'!$A$4:$Z$324,26,0)</f>
        <v>0</v>
      </c>
      <c r="AG116" s="513" t="str">
        <f t="shared" si="43"/>
        <v>Met</v>
      </c>
      <c r="AI116" s="444">
        <f>VLOOKUP(A116,'42. SEA or LEA Worksheet'!$A$4:$AB$324,28,0)</f>
        <v>27386.44</v>
      </c>
      <c r="AJ116" s="513" t="str">
        <f t="shared" si="44"/>
        <v>Did not Meet</v>
      </c>
      <c r="AL116" s="444">
        <f>VLOOKUP(compliance!A116,'42. SEA or LEA Worksheet'!$A$4:$AB$324,26,0)/VLOOKUP(compliance!A116,'42. SEA or LEA Worksheet'!$A$4:$Y$324,25,0)</f>
        <v>0</v>
      </c>
      <c r="AM116" s="513" t="str">
        <f t="shared" si="45"/>
        <v>Met</v>
      </c>
      <c r="AO116" s="444">
        <f>VLOOKUP(A116,'42. SEA or LEA Worksheet'!$A$4:$AB$324,28,0)/VLOOKUP(compliance!A116,'42. SEA or LEA Worksheet'!$A$4:$Y$324,25,0)</f>
        <v>6846.61</v>
      </c>
      <c r="AP116" s="513" t="str">
        <f t="shared" si="46"/>
        <v>Did not Meet</v>
      </c>
      <c r="AR116" s="512" t="str">
        <f t="shared" si="68"/>
        <v>Met</v>
      </c>
      <c r="AT116" s="444">
        <f>VLOOKUP(A116,'42. SEA or LEA Worksheet'!$A$4:$AE$324,31,0)</f>
        <v>0</v>
      </c>
      <c r="AU116" s="513" t="str">
        <f t="shared" si="75"/>
        <v>Met</v>
      </c>
      <c r="AW116" s="444">
        <f>VLOOKUP(A116,'42. SEA or LEA Worksheet'!$A$4:$AG$324,33,0)</f>
        <v>43804.67</v>
      </c>
      <c r="AX116" s="513" t="str">
        <f t="shared" si="64"/>
        <v>Met</v>
      </c>
      <c r="AZ116" s="444">
        <f>VLOOKUP(A116,'42. SEA or LEA Worksheet'!$A$4:$AG$324,31,0)/VLOOKUP(A116,'42. SEA or LEA Worksheet'!$A$4:$AD$324,30,0)</f>
        <v>0</v>
      </c>
      <c r="BA116" s="513" t="str">
        <f t="shared" si="76"/>
        <v>Met</v>
      </c>
      <c r="BC116" s="444">
        <f>VLOOKUP(A116,'42. SEA or LEA Worksheet'!$A$4:$AG$324,33,0)/VLOOKUP(A116,'42. SEA or LEA Worksheet'!$A$4:$AD$324,30,0)</f>
        <v>8760.9339999999993</v>
      </c>
      <c r="BD116" s="513" t="str">
        <f t="shared" si="65"/>
        <v>Met</v>
      </c>
      <c r="BF116" s="512" t="str">
        <f t="shared" si="77"/>
        <v>Met</v>
      </c>
      <c r="BG116" s="637">
        <f>VLOOKUP(A116,'42. SEA or LEA Worksheet'!$A$4:$AM$324,36,0)</f>
        <v>0</v>
      </c>
      <c r="BH116" s="638" t="str">
        <f t="shared" si="70"/>
        <v>Met</v>
      </c>
      <c r="BI116" s="639"/>
      <c r="BJ116" s="637">
        <f>VLOOKUP(A116,'42. SEA or LEA Worksheet'!$A$4:$AM$324,38,0)</f>
        <v>51263.54</v>
      </c>
      <c r="BK116" s="638" t="str">
        <f t="shared" si="71"/>
        <v>Met</v>
      </c>
      <c r="BM116" s="631">
        <f>VLOOKUP(A116,'42. SEA or LEA Worksheet'!$A$4:$AL$324,36,0)/VLOOKUP(A116,'42. SEA or LEA Worksheet'!$A$4:$AL$324,35,0)</f>
        <v>0</v>
      </c>
      <c r="BN116" s="632" t="str">
        <f t="shared" si="72"/>
        <v>Met</v>
      </c>
      <c r="BP116" s="631">
        <f>VLOOKUP(A116,'42. SEA or LEA Worksheet'!$A$4:$AL$324,38,0)/VLOOKUP(A116,'42. SEA or LEA Worksheet'!$A$4:$AL$324,35,0)</f>
        <v>8543.9233333333341</v>
      </c>
      <c r="BQ116" s="632" t="str">
        <f t="shared" si="73"/>
        <v>Met</v>
      </c>
      <c r="BS116" s="620" t="str">
        <f t="shared" si="78"/>
        <v>Met</v>
      </c>
    </row>
    <row r="117" spans="1:71" x14ac:dyDescent="0.25">
      <c r="A117" s="343" t="s">
        <v>415</v>
      </c>
      <c r="B117" s="510" t="s">
        <v>940</v>
      </c>
      <c r="C117" s="511"/>
      <c r="D117" s="444">
        <v>196482.85</v>
      </c>
      <c r="E117" s="343" t="s">
        <v>856</v>
      </c>
      <c r="F117" s="511"/>
      <c r="G117" s="444">
        <v>8536177.6899999995</v>
      </c>
      <c r="H117" s="343" t="s">
        <v>835</v>
      </c>
      <c r="I117" s="511"/>
      <c r="J117" s="444">
        <v>264.08985215053764</v>
      </c>
      <c r="K117" s="343" t="s">
        <v>856</v>
      </c>
      <c r="L117" s="511"/>
      <c r="M117" s="444">
        <v>11473.357110215053</v>
      </c>
      <c r="N117" s="343" t="s">
        <v>835</v>
      </c>
      <c r="O117" s="511"/>
      <c r="P117" s="512" t="str">
        <f t="shared" si="79"/>
        <v>Met</v>
      </c>
      <c r="Q117" s="511"/>
      <c r="R117" s="444">
        <f>VLOOKUP(A117,'2020-21'!$A$6:$F$319,6,0)</f>
        <v>432881.6</v>
      </c>
      <c r="S117" s="513" t="str">
        <f t="shared" si="38"/>
        <v>Met</v>
      </c>
      <c r="U117" s="444">
        <f>VLOOKUP(A117,'2020-21'!$A$6:$G$319,7,0)</f>
        <v>8465129.4499999993</v>
      </c>
      <c r="V117" s="513" t="str">
        <f t="shared" si="39"/>
        <v>Did not Meet</v>
      </c>
      <c r="X117" s="444">
        <f>VLOOKUP(A117,'2020-21'!$A$6:$F$319,6,0)/VLOOKUP(A117,'42. SEA or LEA Worksheet'!$A$4:$T$324,20,0)</f>
        <v>599.55900277008311</v>
      </c>
      <c r="Y117" s="513" t="str">
        <f t="shared" si="40"/>
        <v>Met</v>
      </c>
      <c r="AA117" s="444">
        <f>VLOOKUP(A117,'42. SEA or LEA Worksheet'!$A$4:$W$324,23,0)/VLOOKUP(compliance!A117,'42. SEA or LEA Worksheet'!$A$4:$T$324,20,0)</f>
        <v>11724.556024930747</v>
      </c>
      <c r="AB117" s="513" t="str">
        <f t="shared" si="41"/>
        <v>Met</v>
      </c>
      <c r="AD117" s="512" t="str">
        <f t="shared" si="67"/>
        <v>Met</v>
      </c>
      <c r="AF117" s="444">
        <f>VLOOKUP(A117,'42. SEA or LEA Worksheet'!$A$4:$Z$324,26,0)</f>
        <v>301940.51</v>
      </c>
      <c r="AG117" s="513" t="str">
        <f t="shared" si="43"/>
        <v>Did not Meet</v>
      </c>
      <c r="AI117" s="444">
        <f>VLOOKUP(A117,'42. SEA or LEA Worksheet'!$A$4:$AB$324,28,0)</f>
        <v>8617727.0999999996</v>
      </c>
      <c r="AJ117" s="513" t="str">
        <f t="shared" si="44"/>
        <v>Met</v>
      </c>
      <c r="AL117" s="444">
        <f>VLOOKUP(compliance!A117,'42. SEA or LEA Worksheet'!$A$4:$AB$324,26,0)/VLOOKUP(compliance!A117,'42. SEA or LEA Worksheet'!$A$4:$Y$324,25,0)</f>
        <v>419.36181944444445</v>
      </c>
      <c r="AM117" s="513" t="str">
        <f t="shared" si="45"/>
        <v>Did not Meet</v>
      </c>
      <c r="AO117" s="444">
        <f>VLOOKUP(A117,'42. SEA or LEA Worksheet'!$A$4:$AB$324,28,0)/VLOOKUP(compliance!A117,'42. SEA or LEA Worksheet'!$A$4:$Y$324,25,0)</f>
        <v>11969.065416666666</v>
      </c>
      <c r="AP117" s="513" t="str">
        <f t="shared" si="46"/>
        <v>Met</v>
      </c>
      <c r="AR117" s="512" t="str">
        <f t="shared" si="68"/>
        <v>Met</v>
      </c>
      <c r="AT117" s="444">
        <f>VLOOKUP(A117,'42. SEA or LEA Worksheet'!$A$4:$AE$324,31,0)</f>
        <v>1076187.8600000001</v>
      </c>
      <c r="AU117" s="513" t="str">
        <f t="shared" si="75"/>
        <v>Met</v>
      </c>
      <c r="AW117" s="444">
        <f>VLOOKUP(A117,'42. SEA or LEA Worksheet'!$A$4:$AG$324,33,0)</f>
        <v>10564631.879999999</v>
      </c>
      <c r="AX117" s="513" t="str">
        <f t="shared" si="64"/>
        <v>Met</v>
      </c>
      <c r="AZ117" s="444">
        <f>VLOOKUP(A117,'42. SEA or LEA Worksheet'!$A$4:$AG$324,31,0)/VLOOKUP(A117,'42. SEA or LEA Worksheet'!$A$4:$AD$324,30,0)</f>
        <v>1335.2206699751862</v>
      </c>
      <c r="BA117" s="513" t="str">
        <f t="shared" si="76"/>
        <v>Met</v>
      </c>
      <c r="BC117" s="444">
        <f>VLOOKUP(A117,'42. SEA or LEA Worksheet'!$A$4:$AG$324,33,0)/VLOOKUP(A117,'42. SEA or LEA Worksheet'!$A$4:$AD$324,30,0)</f>
        <v>13107.483722084366</v>
      </c>
      <c r="BD117" s="513" t="str">
        <f t="shared" si="65"/>
        <v>Met</v>
      </c>
      <c r="BF117" s="512" t="str">
        <f t="shared" si="77"/>
        <v>Met</v>
      </c>
      <c r="BG117" s="637">
        <f>VLOOKUP(A117,'42. SEA or LEA Worksheet'!$A$4:$AM$324,36,0)</f>
        <v>0</v>
      </c>
      <c r="BH117" s="638" t="str">
        <f t="shared" si="70"/>
        <v>Did not Meet</v>
      </c>
      <c r="BI117" s="639"/>
      <c r="BJ117" s="637">
        <f>VLOOKUP(A117,'42. SEA or LEA Worksheet'!$A$4:$AM$324,38,0)</f>
        <v>11202283.43</v>
      </c>
      <c r="BK117" s="638" t="str">
        <f t="shared" si="71"/>
        <v>Met</v>
      </c>
      <c r="BM117" s="631">
        <f>VLOOKUP(A117,'42. SEA or LEA Worksheet'!$A$4:$AL$324,36,0)/VLOOKUP(A117,'42. SEA or LEA Worksheet'!$A$4:$AL$324,35,0)</f>
        <v>0</v>
      </c>
      <c r="BN117" s="632" t="str">
        <f t="shared" si="72"/>
        <v>Met</v>
      </c>
      <c r="BP117" s="631">
        <f>VLOOKUP(A117,'42. SEA or LEA Worksheet'!$A$4:$AL$324,38,0)/VLOOKUP(A117,'42. SEA or LEA Worksheet'!$A$4:$AL$324,35,0)</f>
        <v>13383.851170848267</v>
      </c>
      <c r="BQ117" s="632" t="str">
        <f t="shared" si="73"/>
        <v>Met</v>
      </c>
      <c r="BS117" s="620" t="str">
        <f t="shared" si="78"/>
        <v>Met</v>
      </c>
    </row>
    <row r="118" spans="1:71" x14ac:dyDescent="0.25">
      <c r="A118" s="343" t="s">
        <v>417</v>
      </c>
      <c r="B118" s="510" t="s">
        <v>941</v>
      </c>
      <c r="C118" s="511"/>
      <c r="D118" s="444">
        <v>2562038.54</v>
      </c>
      <c r="E118" s="343" t="s">
        <v>835</v>
      </c>
      <c r="F118" s="511"/>
      <c r="G118" s="444">
        <v>25533545.07</v>
      </c>
      <c r="H118" s="343" t="s">
        <v>835</v>
      </c>
      <c r="I118" s="511"/>
      <c r="J118" s="444">
        <v>1086.5303392705682</v>
      </c>
      <c r="K118" s="343" t="s">
        <v>835</v>
      </c>
      <c r="L118" s="511"/>
      <c r="M118" s="444">
        <v>10828.475432569974</v>
      </c>
      <c r="N118" s="343" t="s">
        <v>856</v>
      </c>
      <c r="O118" s="511"/>
      <c r="P118" s="512" t="str">
        <f t="shared" si="79"/>
        <v>Met</v>
      </c>
      <c r="Q118" s="511"/>
      <c r="R118" s="444">
        <f>VLOOKUP(A118,'2020-21'!$A$6:$F$319,6,0)</f>
        <v>2473460.41</v>
      </c>
      <c r="S118" s="513" t="str">
        <f t="shared" si="38"/>
        <v>Did not Meet</v>
      </c>
      <c r="U118" s="444">
        <f>VLOOKUP(A118,'2020-21'!$A$6:$G$319,7,0)</f>
        <v>26802692.989999998</v>
      </c>
      <c r="V118" s="513" t="str">
        <f t="shared" si="39"/>
        <v>Met</v>
      </c>
      <c r="X118" s="444">
        <f>VLOOKUP(A118,'2020-21'!$A$6:$F$319,6,0)/VLOOKUP(A118,'42. SEA or LEA Worksheet'!$A$4:$T$324,20,0)</f>
        <v>1111.6676</v>
      </c>
      <c r="Y118" s="513" t="str">
        <f t="shared" si="40"/>
        <v>Met</v>
      </c>
      <c r="AA118" s="444">
        <f>VLOOKUP(A118,'42. SEA or LEA Worksheet'!$A$4:$W$324,23,0)/VLOOKUP(compliance!A118,'42. SEA or LEA Worksheet'!$A$4:$T$324,20,0)</f>
        <v>12046.154152808987</v>
      </c>
      <c r="AB118" s="513" t="str">
        <f t="shared" si="41"/>
        <v>Met</v>
      </c>
      <c r="AD118" s="512" t="str">
        <f t="shared" si="67"/>
        <v>Met</v>
      </c>
      <c r="AF118" s="444">
        <f>VLOOKUP(A118,'42. SEA or LEA Worksheet'!$A$4:$Z$324,26,0)</f>
        <v>3293872.64</v>
      </c>
      <c r="AG118" s="513" t="str">
        <f t="shared" si="43"/>
        <v>Met</v>
      </c>
      <c r="AI118" s="444">
        <f>VLOOKUP(A118,'42. SEA or LEA Worksheet'!$A$4:$AB$324,28,0)</f>
        <v>26673594.300000001</v>
      </c>
      <c r="AJ118" s="513" t="str">
        <f t="shared" si="44"/>
        <v>Did not Meet</v>
      </c>
      <c r="AL118" s="444">
        <f>VLOOKUP(compliance!A118,'42. SEA or LEA Worksheet'!$A$4:$AB$324,26,0)/VLOOKUP(compliance!A118,'42. SEA or LEA Worksheet'!$A$4:$Y$324,25,0)</f>
        <v>1414.28623443538</v>
      </c>
      <c r="AM118" s="513" t="str">
        <f t="shared" si="45"/>
        <v>Met</v>
      </c>
      <c r="AO118" s="444">
        <f>VLOOKUP(A118,'42. SEA or LEA Worksheet'!$A$4:$AB$324,28,0)/VLOOKUP(compliance!A118,'42. SEA or LEA Worksheet'!$A$4:$Y$324,25,0)</f>
        <v>11452.809918419924</v>
      </c>
      <c r="AP118" s="513" t="str">
        <f t="shared" si="46"/>
        <v>Did not Meet</v>
      </c>
      <c r="AR118" s="512" t="str">
        <f t="shared" si="68"/>
        <v>Met</v>
      </c>
      <c r="AT118" s="444">
        <f>VLOOKUP(A118,'42. SEA or LEA Worksheet'!$A$4:$AE$324,31,0)</f>
        <v>3170664.87</v>
      </c>
      <c r="AU118" s="513" t="str">
        <f t="shared" si="75"/>
        <v>Did not Meet</v>
      </c>
      <c r="AW118" s="444">
        <f>VLOOKUP(A118,'42. SEA or LEA Worksheet'!$A$4:$AG$324,33,0)</f>
        <v>30902540.880000003</v>
      </c>
      <c r="AX118" s="513" t="str">
        <f t="shared" si="64"/>
        <v>Met</v>
      </c>
      <c r="AZ118" s="444">
        <f>VLOOKUP(A118,'42. SEA or LEA Worksheet'!$A$4:$AG$324,31,0)/VLOOKUP(A118,'42. SEA or LEA Worksheet'!$A$4:$AD$324,30,0)</f>
        <v>1229.4163900736721</v>
      </c>
      <c r="BA118" s="513" t="str">
        <f t="shared" si="76"/>
        <v>Did not Meet</v>
      </c>
      <c r="BC118" s="444">
        <f>VLOOKUP(A118,'42. SEA or LEA Worksheet'!$A$4:$AG$324,33,0)/VLOOKUP(A118,'42. SEA or LEA Worksheet'!$A$4:$AD$324,30,0)</f>
        <v>11982.373354013185</v>
      </c>
      <c r="BD118" s="513" t="str">
        <f t="shared" si="65"/>
        <v>Met</v>
      </c>
      <c r="BF118" s="512" t="str">
        <f t="shared" si="77"/>
        <v>Met</v>
      </c>
      <c r="BG118" s="637">
        <f>VLOOKUP(A118,'42. SEA or LEA Worksheet'!$A$4:$AM$324,36,0)</f>
        <v>1745640.61</v>
      </c>
      <c r="BH118" s="638" t="str">
        <f t="shared" si="70"/>
        <v>Did not Meet</v>
      </c>
      <c r="BI118" s="639"/>
      <c r="BJ118" s="637">
        <f>VLOOKUP(A118,'42. SEA or LEA Worksheet'!$A$4:$AM$324,38,0)</f>
        <v>33290420.939999998</v>
      </c>
      <c r="BK118" s="638" t="str">
        <f t="shared" si="71"/>
        <v>Met</v>
      </c>
      <c r="BM118" s="631">
        <f>VLOOKUP(A118,'42. SEA or LEA Worksheet'!$A$4:$AL$324,36,0)/VLOOKUP(A118,'42. SEA or LEA Worksheet'!$A$4:$AL$324,35,0)</f>
        <v>644.38560723514217</v>
      </c>
      <c r="BN118" s="632" t="str">
        <f t="shared" si="72"/>
        <v>Met</v>
      </c>
      <c r="BP118" s="631">
        <f>VLOOKUP(A118,'42. SEA or LEA Worksheet'!$A$4:$AL$324,38,0)/VLOOKUP(A118,'42. SEA or LEA Worksheet'!$A$4:$AL$324,35,0)</f>
        <v>12288.822790697674</v>
      </c>
      <c r="BQ118" s="632" t="str">
        <f t="shared" si="73"/>
        <v>Met</v>
      </c>
      <c r="BS118" s="620" t="str">
        <f t="shared" si="78"/>
        <v>Met</v>
      </c>
    </row>
    <row r="119" spans="1:71" x14ac:dyDescent="0.25">
      <c r="A119" s="343" t="s">
        <v>419</v>
      </c>
      <c r="B119" s="510" t="s">
        <v>942</v>
      </c>
      <c r="C119" s="511"/>
      <c r="D119" s="444">
        <v>13824192.48</v>
      </c>
      <c r="E119" s="343" t="s">
        <v>835</v>
      </c>
      <c r="F119" s="511"/>
      <c r="G119" s="444">
        <v>49325158.140000001</v>
      </c>
      <c r="H119" s="343" t="s">
        <v>835</v>
      </c>
      <c r="I119" s="511"/>
      <c r="J119" s="444">
        <v>4600.3968319467558</v>
      </c>
      <c r="K119" s="343" t="s">
        <v>835</v>
      </c>
      <c r="L119" s="511"/>
      <c r="M119" s="444">
        <v>16414.362109816971</v>
      </c>
      <c r="N119" s="343" t="s">
        <v>856</v>
      </c>
      <c r="O119" s="511"/>
      <c r="P119" s="512" t="str">
        <f t="shared" si="79"/>
        <v>Met</v>
      </c>
      <c r="Q119" s="511"/>
      <c r="R119" s="444">
        <f>VLOOKUP(A119,'2020-21'!$A$6:$F$319,6,0)</f>
        <v>15912635.1</v>
      </c>
      <c r="S119" s="513" t="str">
        <f t="shared" si="38"/>
        <v>Met</v>
      </c>
      <c r="U119" s="444">
        <f>VLOOKUP(A119,'2020-21'!$A$6:$G$319,7,0)</f>
        <v>56736612.880000003</v>
      </c>
      <c r="V119" s="513" t="str">
        <f t="shared" si="39"/>
        <v>Met</v>
      </c>
      <c r="X119" s="444">
        <f>VLOOKUP(A119,'2020-21'!$A$6:$F$319,6,0)/VLOOKUP(A119,'42. SEA or LEA Worksheet'!$A$4:$T$324,20,0)</f>
        <v>5525.2205208333335</v>
      </c>
      <c r="Y119" s="513" t="str">
        <f t="shared" si="40"/>
        <v>Met</v>
      </c>
      <c r="AA119" s="444">
        <f>VLOOKUP(A119,'42. SEA or LEA Worksheet'!$A$4:$W$324,23,0)/VLOOKUP(compliance!A119,'42. SEA or LEA Worksheet'!$A$4:$T$324,20,0)</f>
        <v>19700.212805555555</v>
      </c>
      <c r="AB119" s="513" t="str">
        <f t="shared" si="41"/>
        <v>Met</v>
      </c>
      <c r="AD119" s="512" t="str">
        <f t="shared" si="67"/>
        <v>Met</v>
      </c>
      <c r="AF119" s="444">
        <f>VLOOKUP(A119,'42. SEA or LEA Worksheet'!$A$4:$Z$324,26,0)</f>
        <v>17103903.690000001</v>
      </c>
      <c r="AG119" s="513" t="str">
        <f t="shared" si="43"/>
        <v>Met</v>
      </c>
      <c r="AI119" s="444">
        <f>VLOOKUP(A119,'42. SEA or LEA Worksheet'!$A$4:$AB$324,28,0)</f>
        <v>57924904.390000001</v>
      </c>
      <c r="AJ119" s="513" t="str">
        <f t="shared" si="44"/>
        <v>Met</v>
      </c>
      <c r="AL119" s="444">
        <f>VLOOKUP(compliance!A119,'42. SEA or LEA Worksheet'!$A$4:$AB$324,26,0)/VLOOKUP(compliance!A119,'42. SEA or LEA Worksheet'!$A$4:$Y$324,25,0)</f>
        <v>5961.625545486233</v>
      </c>
      <c r="AM119" s="513" t="str">
        <f t="shared" si="45"/>
        <v>Met</v>
      </c>
      <c r="AO119" s="444">
        <f>VLOOKUP(A119,'42. SEA or LEA Worksheet'!$A$4:$AB$324,28,0)/VLOOKUP(compliance!A119,'42. SEA or LEA Worksheet'!$A$4:$Y$324,25,0)</f>
        <v>20189.928333914257</v>
      </c>
      <c r="AP119" s="513" t="str">
        <f t="shared" si="46"/>
        <v>Met</v>
      </c>
      <c r="AR119" s="512" t="str">
        <f t="shared" si="68"/>
        <v>Met</v>
      </c>
      <c r="AT119" s="444">
        <f>VLOOKUP(A119,'42. SEA or LEA Worksheet'!$A$4:$AE$324,31,0)</f>
        <v>19000996.949999999</v>
      </c>
      <c r="AU119" s="513" t="str">
        <f t="shared" si="75"/>
        <v>Met</v>
      </c>
      <c r="AW119" s="444">
        <f>VLOOKUP(A119,'42. SEA or LEA Worksheet'!$A$4:$AG$324,33,0)</f>
        <v>67503136.780000001</v>
      </c>
      <c r="AX119" s="513" t="str">
        <f t="shared" si="64"/>
        <v>Met</v>
      </c>
      <c r="AZ119" s="444">
        <f>VLOOKUP(A119,'42. SEA or LEA Worksheet'!$A$4:$AG$324,31,0)/VLOOKUP(A119,'42. SEA or LEA Worksheet'!$A$4:$AD$324,30,0)</f>
        <v>6101.7973506743738</v>
      </c>
      <c r="BA119" s="513" t="str">
        <f t="shared" si="76"/>
        <v>Met</v>
      </c>
      <c r="BC119" s="444">
        <f>VLOOKUP(A119,'42. SEA or LEA Worksheet'!$A$4:$AG$324,33,0)/VLOOKUP(A119,'42. SEA or LEA Worksheet'!$A$4:$AD$324,30,0)</f>
        <v>21677.307893384714</v>
      </c>
      <c r="BD119" s="513" t="str">
        <f t="shared" si="65"/>
        <v>Met</v>
      </c>
      <c r="BF119" s="512" t="str">
        <f t="shared" si="77"/>
        <v>Met</v>
      </c>
      <c r="BG119" s="637">
        <f>VLOOKUP(A119,'42. SEA or LEA Worksheet'!$A$4:$AM$324,36,0)</f>
        <v>23873444.32</v>
      </c>
      <c r="BH119" s="638" t="str">
        <f t="shared" si="70"/>
        <v>Met</v>
      </c>
      <c r="BI119" s="639"/>
      <c r="BJ119" s="637">
        <f>VLOOKUP(A119,'42. SEA or LEA Worksheet'!$A$4:$AM$324,38,0)</f>
        <v>82204316.579999998</v>
      </c>
      <c r="BK119" s="638" t="str">
        <f t="shared" si="71"/>
        <v>Met</v>
      </c>
      <c r="BM119" s="631">
        <f>VLOOKUP(A119,'42. SEA or LEA Worksheet'!$A$4:$AL$324,36,0)/VLOOKUP(A119,'42. SEA or LEA Worksheet'!$A$4:$AL$324,35,0)</f>
        <v>7056.8856990836539</v>
      </c>
      <c r="BN119" s="632" t="str">
        <f t="shared" si="72"/>
        <v>Met</v>
      </c>
      <c r="BP119" s="631">
        <f>VLOOKUP(A119,'42. SEA or LEA Worksheet'!$A$4:$AL$324,38,0)/VLOOKUP(A119,'42. SEA or LEA Worksheet'!$A$4:$AL$324,35,0)</f>
        <v>24299.236352349984</v>
      </c>
      <c r="BQ119" s="632" t="str">
        <f t="shared" si="73"/>
        <v>Met</v>
      </c>
      <c r="BS119" s="620" t="str">
        <f t="shared" si="78"/>
        <v>Met</v>
      </c>
    </row>
    <row r="120" spans="1:71" x14ac:dyDescent="0.25">
      <c r="A120" s="343" t="s">
        <v>421</v>
      </c>
      <c r="B120" s="510" t="s">
        <v>943</v>
      </c>
      <c r="C120" s="511"/>
      <c r="D120" s="444">
        <v>0</v>
      </c>
      <c r="E120" s="343" t="s">
        <v>856</v>
      </c>
      <c r="F120" s="511"/>
      <c r="G120" s="444">
        <v>1226364.78</v>
      </c>
      <c r="H120" s="343" t="s">
        <v>835</v>
      </c>
      <c r="I120" s="511"/>
      <c r="J120" s="444">
        <v>0</v>
      </c>
      <c r="K120" s="343" t="s">
        <v>856</v>
      </c>
      <c r="L120" s="511"/>
      <c r="M120" s="444">
        <v>8230.6361073825501</v>
      </c>
      <c r="N120" s="343" t="s">
        <v>856</v>
      </c>
      <c r="O120" s="511"/>
      <c r="P120" s="512" t="str">
        <f t="shared" si="79"/>
        <v>Met</v>
      </c>
      <c r="Q120" s="511"/>
      <c r="R120" s="444">
        <f>VLOOKUP(A120,'2020-21'!$A$6:$F$319,6,0)</f>
        <v>0</v>
      </c>
      <c r="S120" s="513" t="str">
        <f t="shared" si="38"/>
        <v>Met</v>
      </c>
      <c r="U120" s="444">
        <f>VLOOKUP(A120,'2020-21'!$A$6:$G$319,7,0)</f>
        <v>1429631.72</v>
      </c>
      <c r="V120" s="513" t="str">
        <f t="shared" si="39"/>
        <v>Met</v>
      </c>
      <c r="X120" s="444">
        <f>VLOOKUP(A120,'2020-21'!$A$6:$F$319,6,0)/VLOOKUP(A120,'42. SEA or LEA Worksheet'!$A$4:$T$324,20,0)</f>
        <v>0</v>
      </c>
      <c r="Y120" s="513" t="str">
        <f t="shared" si="40"/>
        <v>Met</v>
      </c>
      <c r="AA120" s="444">
        <f>VLOOKUP(A120,'42. SEA or LEA Worksheet'!$A$4:$W$324,23,0)/VLOOKUP(compliance!A120,'42. SEA or LEA Worksheet'!$A$4:$T$324,20,0)</f>
        <v>9343.9981699346408</v>
      </c>
      <c r="AB120" s="513" t="str">
        <f t="shared" si="41"/>
        <v>Met</v>
      </c>
      <c r="AD120" s="512" t="str">
        <f t="shared" si="67"/>
        <v>Met</v>
      </c>
      <c r="AF120" s="444">
        <f>VLOOKUP(A120,'42. SEA or LEA Worksheet'!$A$4:$Z$324,26,0)</f>
        <v>0</v>
      </c>
      <c r="AG120" s="513" t="str">
        <f t="shared" si="43"/>
        <v>Met</v>
      </c>
      <c r="AI120" s="444">
        <f>VLOOKUP(A120,'42. SEA or LEA Worksheet'!$A$4:$AB$324,28,0)</f>
        <v>1363041.61</v>
      </c>
      <c r="AJ120" s="513" t="str">
        <f t="shared" si="44"/>
        <v>Did not Meet</v>
      </c>
      <c r="AL120" s="444">
        <f>VLOOKUP(compliance!A120,'42. SEA or LEA Worksheet'!$A$4:$AB$324,26,0)/VLOOKUP(compliance!A120,'42. SEA or LEA Worksheet'!$A$4:$Y$324,25,0)</f>
        <v>0</v>
      </c>
      <c r="AM120" s="513" t="str">
        <f t="shared" si="45"/>
        <v>Met</v>
      </c>
      <c r="AO120" s="444">
        <f>VLOOKUP(A120,'42. SEA or LEA Worksheet'!$A$4:$AB$324,28,0)/VLOOKUP(compliance!A120,'42. SEA or LEA Worksheet'!$A$4:$Y$324,25,0)</f>
        <v>9147.9302684563772</v>
      </c>
      <c r="AP120" s="513" t="str">
        <f t="shared" si="46"/>
        <v>Did not Meet</v>
      </c>
      <c r="AR120" s="512" t="str">
        <f t="shared" si="68"/>
        <v>Met</v>
      </c>
      <c r="AT120" s="444">
        <f>VLOOKUP(A120,'42. SEA or LEA Worksheet'!$A$4:$AE$324,31,0)</f>
        <v>0</v>
      </c>
      <c r="AU120" s="513" t="str">
        <f t="shared" si="75"/>
        <v>Met</v>
      </c>
      <c r="AW120" s="444">
        <f>VLOOKUP(A120,'42. SEA or LEA Worksheet'!$A$4:$AG$324,33,0)</f>
        <v>1478814.34</v>
      </c>
      <c r="AX120" s="513" t="str">
        <f t="shared" ref="AX120:AX151" si="80">IF(AW120&gt;=AI120,"Met","Did not Meet")</f>
        <v>Met</v>
      </c>
      <c r="AZ120" s="444">
        <f>VLOOKUP(A120,'42. SEA or LEA Worksheet'!$A$4:$AG$324,31,0)/VLOOKUP(A120,'42. SEA or LEA Worksheet'!$A$4:$AD$324,30,0)</f>
        <v>0</v>
      </c>
      <c r="BA120" s="513" t="str">
        <f t="shared" si="76"/>
        <v>Met</v>
      </c>
      <c r="BC120" s="444">
        <f>VLOOKUP(A120,'42. SEA or LEA Worksheet'!$A$4:$AG$324,33,0)/VLOOKUP(A120,'42. SEA or LEA Worksheet'!$A$4:$AD$324,30,0)</f>
        <v>9858.7622666666666</v>
      </c>
      <c r="BD120" s="513" t="str">
        <f t="shared" ref="BD120:BD151" si="81">IF(BC120&gt;=AO120,"Met","Did not Meet")</f>
        <v>Met</v>
      </c>
      <c r="BF120" s="512" t="str">
        <f t="shared" si="77"/>
        <v>Met</v>
      </c>
      <c r="BG120" s="637">
        <f>VLOOKUP(A120,'42. SEA or LEA Worksheet'!$A$4:$AM$324,36,0)</f>
        <v>0</v>
      </c>
      <c r="BH120" s="638" t="str">
        <f t="shared" si="70"/>
        <v>Met</v>
      </c>
      <c r="BI120" s="639"/>
      <c r="BJ120" s="637">
        <f>VLOOKUP(A120,'42. SEA or LEA Worksheet'!$A$4:$AM$324,38,0)</f>
        <v>1597249.57</v>
      </c>
      <c r="BK120" s="638" t="str">
        <f t="shared" si="71"/>
        <v>Met</v>
      </c>
      <c r="BM120" s="631">
        <f>VLOOKUP(A120,'42. SEA or LEA Worksheet'!$A$4:$AL$324,36,0)/VLOOKUP(A120,'42. SEA or LEA Worksheet'!$A$4:$AL$324,35,0)</f>
        <v>0</v>
      </c>
      <c r="BN120" s="632" t="str">
        <f t="shared" si="72"/>
        <v>Met</v>
      </c>
      <c r="BP120" s="631">
        <f>VLOOKUP(A120,'42. SEA or LEA Worksheet'!$A$4:$AL$324,38,0)/VLOOKUP(A120,'42. SEA or LEA Worksheet'!$A$4:$AL$324,35,0)</f>
        <v>11328.011134751774</v>
      </c>
      <c r="BQ120" s="632" t="str">
        <f t="shared" si="73"/>
        <v>Met</v>
      </c>
      <c r="BS120" s="620" t="str">
        <f t="shared" si="78"/>
        <v>Met</v>
      </c>
    </row>
    <row r="121" spans="1:71" x14ac:dyDescent="0.25">
      <c r="A121" s="343" t="s">
        <v>423</v>
      </c>
      <c r="B121" s="510" t="s">
        <v>944</v>
      </c>
      <c r="C121" s="511"/>
      <c r="D121" s="444">
        <v>0</v>
      </c>
      <c r="E121" s="343" t="s">
        <v>856</v>
      </c>
      <c r="F121" s="511"/>
      <c r="G121" s="444">
        <v>2094399.88</v>
      </c>
      <c r="H121" s="343" t="s">
        <v>835</v>
      </c>
      <c r="I121" s="511"/>
      <c r="J121" s="444">
        <v>0</v>
      </c>
      <c r="K121" s="343" t="s">
        <v>856</v>
      </c>
      <c r="L121" s="511"/>
      <c r="M121" s="444">
        <v>10685.713673469387</v>
      </c>
      <c r="N121" s="343" t="s">
        <v>856</v>
      </c>
      <c r="O121" s="511"/>
      <c r="P121" s="512" t="str">
        <f t="shared" si="79"/>
        <v>Met</v>
      </c>
      <c r="Q121" s="511"/>
      <c r="R121" s="444">
        <f>VLOOKUP(A121,'2020-21'!$A$6:$F$319,6,0)</f>
        <v>0</v>
      </c>
      <c r="S121" s="513" t="str">
        <f t="shared" si="38"/>
        <v>Met</v>
      </c>
      <c r="U121" s="444">
        <f>VLOOKUP(A121,'2020-21'!$A$6:$G$319,7,0)</f>
        <v>2037964.32</v>
      </c>
      <c r="V121" s="513" t="str">
        <f t="shared" si="39"/>
        <v>Did not Meet</v>
      </c>
      <c r="X121" s="444">
        <f>VLOOKUP(A121,'2020-21'!$A$6:$F$319,6,0)/VLOOKUP(A121,'42. SEA or LEA Worksheet'!$A$4:$T$324,20,0)</f>
        <v>0</v>
      </c>
      <c r="Y121" s="513" t="str">
        <f t="shared" si="40"/>
        <v>Met</v>
      </c>
      <c r="AA121" s="444">
        <f>VLOOKUP(A121,'42. SEA or LEA Worksheet'!$A$4:$W$324,23,0)/VLOOKUP(compliance!A121,'42. SEA or LEA Worksheet'!$A$4:$T$324,20,0)</f>
        <v>11136.417049180329</v>
      </c>
      <c r="AB121" s="513" t="str">
        <f t="shared" si="41"/>
        <v>Met</v>
      </c>
      <c r="AD121" s="512" t="str">
        <f t="shared" si="67"/>
        <v>Met</v>
      </c>
      <c r="AF121" s="444">
        <f>VLOOKUP(A121,'42. SEA or LEA Worksheet'!$A$4:$Z$324,26,0)</f>
        <v>0</v>
      </c>
      <c r="AG121" s="513" t="str">
        <f t="shared" si="43"/>
        <v>Met</v>
      </c>
      <c r="AI121" s="444">
        <f>VLOOKUP(A121,'42. SEA or LEA Worksheet'!$A$4:$AB$324,28,0)</f>
        <v>1747505.62</v>
      </c>
      <c r="AJ121" s="513" t="str">
        <f t="shared" si="44"/>
        <v>Did not Meet</v>
      </c>
      <c r="AL121" s="444">
        <f>VLOOKUP(compliance!A121,'42. SEA or LEA Worksheet'!$A$4:$AB$324,26,0)/VLOOKUP(compliance!A121,'42. SEA or LEA Worksheet'!$A$4:$Y$324,25,0)</f>
        <v>0</v>
      </c>
      <c r="AM121" s="513" t="str">
        <f t="shared" si="45"/>
        <v>Met</v>
      </c>
      <c r="AO121" s="444">
        <f>VLOOKUP(A121,'42. SEA or LEA Worksheet'!$A$4:$AB$324,28,0)/VLOOKUP(compliance!A121,'42. SEA or LEA Worksheet'!$A$4:$Y$324,25,0)</f>
        <v>9497.3131521739142</v>
      </c>
      <c r="AP121" s="513" t="str">
        <f t="shared" si="46"/>
        <v>Did not Meet</v>
      </c>
      <c r="AR121" s="512" t="str">
        <f t="shared" si="68"/>
        <v>Met</v>
      </c>
      <c r="AT121" s="444">
        <f>VLOOKUP(A121,'42. SEA or LEA Worksheet'!$A$4:$AE$324,31,0)</f>
        <v>0</v>
      </c>
      <c r="AU121" s="513" t="str">
        <f t="shared" si="75"/>
        <v>Met</v>
      </c>
      <c r="AW121" s="444">
        <f>VLOOKUP(A121,'42. SEA or LEA Worksheet'!$A$4:$AG$324,33,0)</f>
        <v>2068990.74</v>
      </c>
      <c r="AX121" s="513" t="str">
        <f t="shared" si="80"/>
        <v>Met</v>
      </c>
      <c r="AZ121" s="444">
        <f>VLOOKUP(A121,'42. SEA or LEA Worksheet'!$A$4:$AG$324,31,0)/VLOOKUP(A121,'42. SEA or LEA Worksheet'!$A$4:$AD$324,30,0)</f>
        <v>0</v>
      </c>
      <c r="BA121" s="513" t="str">
        <f t="shared" si="76"/>
        <v>Met</v>
      </c>
      <c r="BC121" s="444">
        <f>VLOOKUP(A121,'42. SEA or LEA Worksheet'!$A$4:$AG$324,33,0)/VLOOKUP(A121,'42. SEA or LEA Worksheet'!$A$4:$AD$324,30,0)</f>
        <v>12099.361052631579</v>
      </c>
      <c r="BD121" s="513" t="str">
        <f t="shared" si="81"/>
        <v>Met</v>
      </c>
      <c r="BF121" s="512" t="str">
        <f t="shared" si="77"/>
        <v>Met</v>
      </c>
      <c r="BG121" s="637">
        <f>VLOOKUP(A121,'42. SEA or LEA Worksheet'!$A$4:$AM$324,36,0)</f>
        <v>0</v>
      </c>
      <c r="BH121" s="638" t="str">
        <f t="shared" si="70"/>
        <v>Met</v>
      </c>
      <c r="BI121" s="639"/>
      <c r="BJ121" s="637">
        <f>VLOOKUP(A121,'42. SEA or LEA Worksheet'!$A$4:$AM$324,38,0)</f>
        <v>2188627.11</v>
      </c>
      <c r="BK121" s="638" t="str">
        <f t="shared" si="71"/>
        <v>Met</v>
      </c>
      <c r="BM121" s="631">
        <f>VLOOKUP(A121,'42. SEA or LEA Worksheet'!$A$4:$AL$324,36,0)/VLOOKUP(A121,'42. SEA or LEA Worksheet'!$A$4:$AL$324,35,0)</f>
        <v>0</v>
      </c>
      <c r="BN121" s="632" t="str">
        <f t="shared" si="72"/>
        <v>Met</v>
      </c>
      <c r="BP121" s="631">
        <f>VLOOKUP(A121,'42. SEA or LEA Worksheet'!$A$4:$AL$324,38,0)/VLOOKUP(A121,'42. SEA or LEA Worksheet'!$A$4:$AL$324,35,0)</f>
        <v>11519.090052631578</v>
      </c>
      <c r="BQ121" s="632" t="str">
        <f t="shared" si="73"/>
        <v>Met</v>
      </c>
      <c r="BS121" s="620" t="str">
        <f t="shared" si="78"/>
        <v>Met</v>
      </c>
    </row>
    <row r="122" spans="1:71" x14ac:dyDescent="0.25">
      <c r="A122" s="343" t="s">
        <v>425</v>
      </c>
      <c r="B122" s="510" t="s">
        <v>945</v>
      </c>
      <c r="C122" s="511"/>
      <c r="D122" s="444">
        <v>0</v>
      </c>
      <c r="E122" s="343" t="s">
        <v>835</v>
      </c>
      <c r="F122" s="511"/>
      <c r="G122" s="444">
        <v>1003300.09</v>
      </c>
      <c r="H122" s="343" t="s">
        <v>835</v>
      </c>
      <c r="I122" s="511"/>
      <c r="J122" s="444">
        <v>0</v>
      </c>
      <c r="K122" s="343" t="s">
        <v>835</v>
      </c>
      <c r="L122" s="511"/>
      <c r="M122" s="444">
        <v>9555.2389523809525</v>
      </c>
      <c r="N122" s="343" t="s">
        <v>856</v>
      </c>
      <c r="O122" s="511"/>
      <c r="P122" s="512" t="str">
        <f t="shared" si="79"/>
        <v>Met</v>
      </c>
      <c r="Q122" s="511"/>
      <c r="R122" s="444">
        <f>VLOOKUP(A122,'2020-21'!$A$6:$F$319,6,0)</f>
        <v>0</v>
      </c>
      <c r="S122" s="513" t="str">
        <f t="shared" si="38"/>
        <v>Met</v>
      </c>
      <c r="U122" s="444">
        <f>VLOOKUP(A122,'2020-21'!$A$6:$G$319,7,0)</f>
        <v>1010854.24</v>
      </c>
      <c r="V122" s="513" t="str">
        <f t="shared" si="39"/>
        <v>Met</v>
      </c>
      <c r="X122" s="444">
        <f>VLOOKUP(A122,'2020-21'!$A$6:$F$319,6,0)/VLOOKUP(A122,'42. SEA or LEA Worksheet'!$A$4:$T$324,20,0)</f>
        <v>0</v>
      </c>
      <c r="Y122" s="513" t="str">
        <f t="shared" si="40"/>
        <v>Met</v>
      </c>
      <c r="AA122" s="444">
        <f>VLOOKUP(A122,'42. SEA or LEA Worksheet'!$A$4:$W$324,23,0)/VLOOKUP(compliance!A122,'42. SEA or LEA Worksheet'!$A$4:$T$324,20,0)</f>
        <v>10640.57094736842</v>
      </c>
      <c r="AB122" s="513" t="str">
        <f t="shared" si="41"/>
        <v>Met</v>
      </c>
      <c r="AD122" s="512" t="str">
        <f t="shared" si="67"/>
        <v>Met</v>
      </c>
      <c r="AF122" s="444">
        <f>VLOOKUP(A122,'42. SEA or LEA Worksheet'!$A$4:$Z$324,26,0)</f>
        <v>0</v>
      </c>
      <c r="AG122" s="513" t="str">
        <f t="shared" si="43"/>
        <v>Met</v>
      </c>
      <c r="AI122" s="444">
        <f>VLOOKUP(A122,'42. SEA or LEA Worksheet'!$A$4:$AB$324,28,0)</f>
        <v>1177933.48</v>
      </c>
      <c r="AJ122" s="513" t="str">
        <f t="shared" si="44"/>
        <v>Met</v>
      </c>
      <c r="AL122" s="444">
        <f>VLOOKUP(compliance!A122,'42. SEA or LEA Worksheet'!$A$4:$AB$324,26,0)/VLOOKUP(compliance!A122,'42. SEA or LEA Worksheet'!$A$4:$Y$324,25,0)</f>
        <v>0</v>
      </c>
      <c r="AM122" s="513" t="str">
        <f t="shared" si="45"/>
        <v>Met</v>
      </c>
      <c r="AO122" s="444">
        <f>VLOOKUP(A122,'42. SEA or LEA Worksheet'!$A$4:$AB$324,28,0)/VLOOKUP(compliance!A122,'42. SEA or LEA Worksheet'!$A$4:$Y$324,25,0)</f>
        <v>13696.900930232558</v>
      </c>
      <c r="AP122" s="513" t="str">
        <f t="shared" si="46"/>
        <v>Met</v>
      </c>
      <c r="AR122" s="512" t="str">
        <f t="shared" si="68"/>
        <v>Met</v>
      </c>
      <c r="AT122" s="444">
        <f>VLOOKUP(A122,'42. SEA or LEA Worksheet'!$A$4:$AE$324,31,0)</f>
        <v>0</v>
      </c>
      <c r="AU122" s="513" t="str">
        <f t="shared" si="75"/>
        <v>Met</v>
      </c>
      <c r="AW122" s="444">
        <f>VLOOKUP(A122,'42. SEA or LEA Worksheet'!$A$4:$AG$324,33,0)</f>
        <v>1038962.42</v>
      </c>
      <c r="AX122" s="513" t="str">
        <f t="shared" si="80"/>
        <v>Did not Meet</v>
      </c>
      <c r="AZ122" s="444">
        <f>VLOOKUP(A122,'42. SEA or LEA Worksheet'!$A$4:$AG$324,31,0)/VLOOKUP(A122,'42. SEA or LEA Worksheet'!$A$4:$AD$324,30,0)</f>
        <v>0</v>
      </c>
      <c r="BA122" s="513" t="str">
        <f t="shared" si="76"/>
        <v>Met</v>
      </c>
      <c r="BC122" s="444">
        <f>VLOOKUP(A122,'42. SEA or LEA Worksheet'!$A$4:$AG$324,33,0)/VLOOKUP(A122,'42. SEA or LEA Worksheet'!$A$4:$AD$324,30,0)</f>
        <v>13493.018441558443</v>
      </c>
      <c r="BD122" s="513" t="str">
        <f t="shared" si="81"/>
        <v>Did not Meet</v>
      </c>
      <c r="BF122" s="512" t="str">
        <f t="shared" si="77"/>
        <v>Met</v>
      </c>
      <c r="BG122" s="637">
        <f>VLOOKUP(A122,'42. SEA or LEA Worksheet'!$A$4:$AM$324,36,0)</f>
        <v>0</v>
      </c>
      <c r="BH122" s="638" t="str">
        <f t="shared" si="70"/>
        <v>Met</v>
      </c>
      <c r="BI122" s="639"/>
      <c r="BJ122" s="637">
        <f>VLOOKUP(A122,'42. SEA or LEA Worksheet'!$A$4:$AM$324,38,0)</f>
        <v>1032011.6</v>
      </c>
      <c r="BK122" s="638" t="str">
        <f t="shared" si="71"/>
        <v>Did not Meet</v>
      </c>
      <c r="BM122" s="631">
        <f>VLOOKUP(A122,'42. SEA or LEA Worksheet'!$A$4:$AL$324,36,0)/VLOOKUP(A122,'42. SEA or LEA Worksheet'!$A$4:$AL$324,35,0)</f>
        <v>0</v>
      </c>
      <c r="BN122" s="632" t="str">
        <f t="shared" si="72"/>
        <v>Met</v>
      </c>
      <c r="BP122" s="631">
        <f>VLOOKUP(A122,'42. SEA or LEA Worksheet'!$A$4:$AL$324,38,0)/VLOOKUP(A122,'42. SEA or LEA Worksheet'!$A$4:$AL$324,35,0)</f>
        <v>13760.154666666667</v>
      </c>
      <c r="BQ122" s="632" t="str">
        <f t="shared" si="73"/>
        <v>Met</v>
      </c>
      <c r="BS122" s="620" t="str">
        <f t="shared" si="78"/>
        <v>Met</v>
      </c>
    </row>
    <row r="123" spans="1:71" x14ac:dyDescent="0.25">
      <c r="A123" s="343" t="s">
        <v>427</v>
      </c>
      <c r="B123" s="510" t="s">
        <v>1141</v>
      </c>
      <c r="C123" s="511"/>
      <c r="D123" s="444">
        <v>0</v>
      </c>
      <c r="E123" s="343" t="s">
        <v>1151</v>
      </c>
      <c r="F123" s="511"/>
      <c r="G123" s="444">
        <v>65254.04</v>
      </c>
      <c r="H123" s="343" t="s">
        <v>1151</v>
      </c>
      <c r="I123" s="511"/>
      <c r="J123" s="444">
        <v>0</v>
      </c>
      <c r="K123" s="343" t="s">
        <v>1151</v>
      </c>
      <c r="L123" s="511"/>
      <c r="M123" s="444">
        <v>8156.7550000000001</v>
      </c>
      <c r="N123" s="343" t="s">
        <v>1151</v>
      </c>
      <c r="O123" s="511"/>
      <c r="P123" s="512" t="s">
        <v>819</v>
      </c>
      <c r="Q123" s="511"/>
      <c r="R123" s="444">
        <f>VLOOKUP(A123,'2020-21'!$A$6:$F$319,6,0)</f>
        <v>0</v>
      </c>
      <c r="S123" s="513" t="str">
        <f t="shared" si="38"/>
        <v>Met</v>
      </c>
      <c r="U123" s="444">
        <f>VLOOKUP(A123,'2020-21'!$A$6:$G$319,7,0)</f>
        <v>77443.41</v>
      </c>
      <c r="V123" s="513" t="str">
        <f t="shared" si="39"/>
        <v>Met</v>
      </c>
      <c r="X123" s="444">
        <v>0</v>
      </c>
      <c r="Y123" s="513" t="str">
        <f t="shared" si="40"/>
        <v>Met</v>
      </c>
      <c r="AA123" s="444">
        <f>VLOOKUP(A123,'42. SEA or LEA Worksheet'!$A$4:$W$324,23,0)/VLOOKUP(compliance!A123,'42. SEA or LEA Worksheet'!$A$4:$T$324,20,0)</f>
        <v>15488.682000000001</v>
      </c>
      <c r="AB123" s="513" t="str">
        <f t="shared" si="41"/>
        <v>Met</v>
      </c>
      <c r="AD123" s="512" t="str">
        <f t="shared" si="67"/>
        <v>Met</v>
      </c>
      <c r="AF123" s="444">
        <f>VLOOKUP(A123,'42. SEA or LEA Worksheet'!$A$4:$Z$324,26,0)</f>
        <v>0</v>
      </c>
      <c r="AG123" s="513" t="str">
        <f t="shared" si="43"/>
        <v>Met</v>
      </c>
      <c r="AI123" s="444">
        <f>VLOOKUP(A123,'42. SEA or LEA Worksheet'!$A$4:$AB$324,28,0)</f>
        <v>124227.42</v>
      </c>
      <c r="AJ123" s="513" t="str">
        <f t="shared" si="44"/>
        <v>Met</v>
      </c>
      <c r="AL123" s="444">
        <f>VLOOKUP(compliance!A123,'42. SEA or LEA Worksheet'!$A$4:$AB$324,26,0)/VLOOKUP(compliance!A123,'42. SEA or LEA Worksheet'!$A$4:$Y$324,25,0)</f>
        <v>0</v>
      </c>
      <c r="AM123" s="513" t="str">
        <f t="shared" si="45"/>
        <v>Met</v>
      </c>
      <c r="AO123" s="444">
        <f>VLOOKUP(A123,'42. SEA or LEA Worksheet'!$A$4:$AB$324,28,0)/VLOOKUP(compliance!A123,'42. SEA or LEA Worksheet'!$A$4:$Y$324,25,0)</f>
        <v>10352.285</v>
      </c>
      <c r="AP123" s="513" t="str">
        <f t="shared" si="46"/>
        <v>Did not Meet</v>
      </c>
      <c r="AR123" s="512" t="str">
        <f t="shared" si="68"/>
        <v>Met</v>
      </c>
      <c r="AT123" s="444">
        <f>VLOOKUP(A123,'42. SEA or LEA Worksheet'!$A$4:$AE$324,31,0)</f>
        <v>0</v>
      </c>
      <c r="AU123" s="513" t="str">
        <f t="shared" si="75"/>
        <v>Met</v>
      </c>
      <c r="AW123" s="444">
        <f>VLOOKUP(A123,'42. SEA or LEA Worksheet'!$A$4:$AG$324,33,0)</f>
        <v>137146.62</v>
      </c>
      <c r="AX123" s="513" t="str">
        <f t="shared" si="80"/>
        <v>Met</v>
      </c>
      <c r="AZ123" s="444">
        <f>VLOOKUP(A123,'42. SEA or LEA Worksheet'!$A$4:$AG$324,31,0)/VLOOKUP(A123,'42. SEA or LEA Worksheet'!$A$4:$AD$324,30,0)</f>
        <v>0</v>
      </c>
      <c r="BA123" s="513" t="str">
        <f t="shared" si="76"/>
        <v>Met</v>
      </c>
      <c r="BC123" s="444">
        <f>VLOOKUP(A123,'42. SEA or LEA Worksheet'!$A$4:$AG$324,33,0)/VLOOKUP(A123,'42. SEA or LEA Worksheet'!$A$4:$AD$324,30,0)</f>
        <v>9143.1080000000002</v>
      </c>
      <c r="BD123" s="513" t="str">
        <f t="shared" si="81"/>
        <v>Did not Meet</v>
      </c>
      <c r="BF123" s="512" t="str">
        <f t="shared" si="77"/>
        <v>Met</v>
      </c>
      <c r="BG123" s="637">
        <f>VLOOKUP(A123,'42. SEA or LEA Worksheet'!$A$4:$AM$324,36,0)</f>
        <v>0</v>
      </c>
      <c r="BH123" s="638" t="str">
        <f t="shared" si="70"/>
        <v>Met</v>
      </c>
      <c r="BI123" s="639"/>
      <c r="BJ123" s="637">
        <f>VLOOKUP(A123,'42. SEA or LEA Worksheet'!$A$4:$AM$324,38,0)</f>
        <v>130111.31</v>
      </c>
      <c r="BK123" s="638" t="str">
        <f t="shared" si="71"/>
        <v>Did not Meet</v>
      </c>
      <c r="BM123" s="631">
        <f>VLOOKUP(A123,'42. SEA or LEA Worksheet'!$A$4:$AL$324,36,0)/VLOOKUP(A123,'42. SEA or LEA Worksheet'!$A$4:$AL$324,35,0)</f>
        <v>0</v>
      </c>
      <c r="BN123" s="632" t="str">
        <f t="shared" si="72"/>
        <v>Met</v>
      </c>
      <c r="BP123" s="631">
        <f>VLOOKUP(A123,'42. SEA or LEA Worksheet'!$A$4:$AL$324,38,0)/VLOOKUP(A123,'42. SEA or LEA Worksheet'!$A$4:$AL$324,35,0)</f>
        <v>13011.130999999999</v>
      </c>
      <c r="BQ123" s="632" t="str">
        <f t="shared" si="73"/>
        <v>Met</v>
      </c>
      <c r="BS123" s="620" t="str">
        <f t="shared" si="78"/>
        <v>Met</v>
      </c>
    </row>
    <row r="124" spans="1:71" x14ac:dyDescent="0.25">
      <c r="A124" s="343" t="s">
        <v>429</v>
      </c>
      <c r="B124" s="510" t="s">
        <v>946</v>
      </c>
      <c r="C124" s="511"/>
      <c r="D124" s="444">
        <v>198620.5</v>
      </c>
      <c r="E124" s="343" t="s">
        <v>856</v>
      </c>
      <c r="F124" s="511"/>
      <c r="G124" s="444">
        <v>2705269.16</v>
      </c>
      <c r="H124" s="343" t="s">
        <v>835</v>
      </c>
      <c r="I124" s="511"/>
      <c r="J124" s="444">
        <v>959.51932367149755</v>
      </c>
      <c r="K124" s="343" t="s">
        <v>856</v>
      </c>
      <c r="L124" s="511"/>
      <c r="M124" s="444">
        <v>13068.933140096618</v>
      </c>
      <c r="N124" s="343" t="s">
        <v>835</v>
      </c>
      <c r="O124" s="511"/>
      <c r="P124" s="512" t="str">
        <f>IF(AND(E124="Did not Meet",H124="Did not Meet",K124="Did not Meet", N124="Did not Meet"),"Did not Meet","Met")</f>
        <v>Met</v>
      </c>
      <c r="Q124" s="511"/>
      <c r="R124" s="444">
        <f>VLOOKUP(A124,'2020-21'!$A$6:$F$319,6,0)</f>
        <v>0</v>
      </c>
      <c r="S124" s="513" t="str">
        <f t="shared" si="38"/>
        <v>Did not Meet</v>
      </c>
      <c r="U124" s="444">
        <f>VLOOKUP(A124,'2020-21'!$A$6:$G$319,7,0)</f>
        <v>2692562.08</v>
      </c>
      <c r="V124" s="513" t="str">
        <f t="shared" si="39"/>
        <v>Did not Meet</v>
      </c>
      <c r="X124" s="444">
        <f>VLOOKUP(A124,'2020-21'!$A$6:$F$319,6,0)/VLOOKUP(A124,'42. SEA or LEA Worksheet'!$A$4:$T$324,20,0)</f>
        <v>0</v>
      </c>
      <c r="Y124" s="513" t="str">
        <f t="shared" si="40"/>
        <v>Did not Meet</v>
      </c>
      <c r="AA124" s="444">
        <f>VLOOKUP(A124,'42. SEA or LEA Worksheet'!$A$4:$W$324,23,0)/VLOOKUP(compliance!A124,'42. SEA or LEA Worksheet'!$A$4:$T$324,20,0)</f>
        <v>12238.918545454546</v>
      </c>
      <c r="AB124" s="513" t="str">
        <f t="shared" si="41"/>
        <v>Did not Meet</v>
      </c>
      <c r="AD124" s="512" t="str">
        <f t="shared" si="67"/>
        <v>Did not Meet</v>
      </c>
      <c r="AF124" s="444">
        <f>VLOOKUP(A124,'42. SEA or LEA Worksheet'!$A$4:$Z$324,26,0)</f>
        <v>268730.81</v>
      </c>
      <c r="AG124" s="513" t="str">
        <f t="shared" si="43"/>
        <v>Met</v>
      </c>
      <c r="AI124" s="444">
        <f>VLOOKUP(A124,'42. SEA or LEA Worksheet'!$A$4:$AB$324,28,0)</f>
        <v>3102472.85</v>
      </c>
      <c r="AJ124" s="513" t="str">
        <f t="shared" si="44"/>
        <v>Met</v>
      </c>
      <c r="AL124" s="444">
        <f>VLOOKUP(compliance!A124,'42. SEA or LEA Worksheet'!$A$4:$AB$324,26,0)/VLOOKUP(compliance!A124,'42. SEA or LEA Worksheet'!$A$4:$Y$324,25,0)</f>
        <v>1199.6911160714285</v>
      </c>
      <c r="AM124" s="513" t="str">
        <f t="shared" si="45"/>
        <v>Met</v>
      </c>
      <c r="AO124" s="444">
        <f>VLOOKUP(A124,'42. SEA or LEA Worksheet'!$A$4:$AB$324,28,0)/VLOOKUP(compliance!A124,'42. SEA or LEA Worksheet'!$A$4:$Y$324,25,0)</f>
        <v>13850.325223214286</v>
      </c>
      <c r="AP124" s="513" t="str">
        <f t="shared" si="46"/>
        <v>Met</v>
      </c>
      <c r="AR124" s="512" t="str">
        <f t="shared" si="68"/>
        <v>Met</v>
      </c>
      <c r="AT124" s="444">
        <f>VLOOKUP(A124,'42. SEA or LEA Worksheet'!$A$4:$AE$324,31,0)</f>
        <v>596008.34</v>
      </c>
      <c r="AU124" s="513" t="str">
        <f t="shared" si="75"/>
        <v>Met</v>
      </c>
      <c r="AW124" s="444">
        <f>VLOOKUP(A124,'42. SEA or LEA Worksheet'!$A$4:$AG$324,33,0)</f>
        <v>3960886.6599999997</v>
      </c>
      <c r="AX124" s="513" t="str">
        <f t="shared" si="80"/>
        <v>Met</v>
      </c>
      <c r="AZ124" s="444">
        <f>VLOOKUP(A124,'42. SEA or LEA Worksheet'!$A$4:$AG$324,31,0)/VLOOKUP(A124,'42. SEA or LEA Worksheet'!$A$4:$AD$324,30,0)</f>
        <v>2274.8409923664121</v>
      </c>
      <c r="BA124" s="513" t="str">
        <f t="shared" si="76"/>
        <v>Met</v>
      </c>
      <c r="BC124" s="444">
        <f>VLOOKUP(A124,'42. SEA or LEA Worksheet'!$A$4:$AG$324,33,0)/VLOOKUP(A124,'42. SEA or LEA Worksheet'!$A$4:$AD$324,30,0)</f>
        <v>15117.888015267174</v>
      </c>
      <c r="BD124" s="513" t="str">
        <f t="shared" si="81"/>
        <v>Met</v>
      </c>
      <c r="BF124" s="512" t="str">
        <f t="shared" si="77"/>
        <v>Met</v>
      </c>
      <c r="BG124" s="637">
        <f>VLOOKUP(A124,'42. SEA or LEA Worksheet'!$A$4:$AM$324,36,0)</f>
        <v>0</v>
      </c>
      <c r="BH124" s="638" t="str">
        <f t="shared" si="70"/>
        <v>Did not Meet</v>
      </c>
      <c r="BI124" s="639"/>
      <c r="BJ124" s="637">
        <f>VLOOKUP(A124,'42. SEA or LEA Worksheet'!$A$4:$AM$324,38,0)</f>
        <v>3964469.33</v>
      </c>
      <c r="BK124" s="638" t="str">
        <f t="shared" si="71"/>
        <v>Met</v>
      </c>
      <c r="BM124" s="631">
        <f>VLOOKUP(A124,'42. SEA or LEA Worksheet'!$A$4:$AL$324,36,0)/VLOOKUP(A124,'42. SEA or LEA Worksheet'!$A$4:$AL$324,35,0)</f>
        <v>0</v>
      </c>
      <c r="BN124" s="632" t="str">
        <f t="shared" si="72"/>
        <v>Met</v>
      </c>
      <c r="BP124" s="631">
        <f>VLOOKUP(A124,'42. SEA or LEA Worksheet'!$A$4:$AL$324,38,0)/VLOOKUP(A124,'42. SEA or LEA Worksheet'!$A$4:$AL$324,35,0)</f>
        <v>14848.199737827716</v>
      </c>
      <c r="BQ124" s="632" t="str">
        <f t="shared" si="73"/>
        <v>Met</v>
      </c>
      <c r="BS124" s="620" t="str">
        <f t="shared" si="78"/>
        <v>Met</v>
      </c>
    </row>
    <row r="125" spans="1:71" x14ac:dyDescent="0.25">
      <c r="A125" s="343" t="s">
        <v>431</v>
      </c>
      <c r="B125" s="510" t="s">
        <v>947</v>
      </c>
      <c r="C125" s="511"/>
      <c r="D125" s="444">
        <v>148346.5</v>
      </c>
      <c r="E125" s="343" t="s">
        <v>856</v>
      </c>
      <c r="F125" s="511"/>
      <c r="G125" s="444">
        <v>1215148.6200000001</v>
      </c>
      <c r="H125" s="343" t="s">
        <v>835</v>
      </c>
      <c r="I125" s="511"/>
      <c r="J125" s="444">
        <v>1386.4158878504672</v>
      </c>
      <c r="K125" s="343" t="s">
        <v>856</v>
      </c>
      <c r="L125" s="511"/>
      <c r="M125" s="444">
        <v>11356.529158878506</v>
      </c>
      <c r="N125" s="343" t="s">
        <v>856</v>
      </c>
      <c r="O125" s="511"/>
      <c r="P125" s="512" t="str">
        <f>IF(AND(E125="Did not Meet",H125="Did not Meet",K125="Did not Meet", N125="Did not Meet"),"Did not Meet","Met")</f>
        <v>Met</v>
      </c>
      <c r="Q125" s="511"/>
      <c r="R125" s="444">
        <f>VLOOKUP(A125,'2020-21'!$A$6:$F$319,6,0)</f>
        <v>71427.87</v>
      </c>
      <c r="S125" s="513" t="str">
        <f t="shared" si="38"/>
        <v>Did not Meet</v>
      </c>
      <c r="U125" s="444">
        <f>VLOOKUP(A125,'2020-21'!$A$6:$G$319,7,0)</f>
        <v>1087971.71</v>
      </c>
      <c r="V125" s="513" t="str">
        <f t="shared" si="39"/>
        <v>Did not Meet</v>
      </c>
      <c r="X125" s="444">
        <f>VLOOKUP(A125,'2020-21'!$A$6:$F$319,6,0)/VLOOKUP(A125,'42. SEA or LEA Worksheet'!$A$4:$T$324,20,0)</f>
        <v>776.38989130434777</v>
      </c>
      <c r="Y125" s="513" t="str">
        <f t="shared" si="40"/>
        <v>Did not Meet</v>
      </c>
      <c r="AA125" s="444">
        <f>VLOOKUP(A125,'42. SEA or LEA Worksheet'!$A$4:$W$324,23,0)/VLOOKUP(compliance!A125,'42. SEA or LEA Worksheet'!$A$4:$T$324,20,0)</f>
        <v>11825.779456521739</v>
      </c>
      <c r="AB125" s="513" t="str">
        <f t="shared" si="41"/>
        <v>Met</v>
      </c>
      <c r="AD125" s="512" t="str">
        <f t="shared" si="67"/>
        <v>Met</v>
      </c>
      <c r="AF125" s="444">
        <f>VLOOKUP(A125,'42. SEA or LEA Worksheet'!$A$4:$Z$324,26,0)</f>
        <v>39521</v>
      </c>
      <c r="AG125" s="513" t="str">
        <f t="shared" si="43"/>
        <v>Did not Meet</v>
      </c>
      <c r="AI125" s="444">
        <f>VLOOKUP(A125,'42. SEA or LEA Worksheet'!$A$4:$AB$324,28,0)</f>
        <v>1166340.3700000001</v>
      </c>
      <c r="AJ125" s="513" t="str">
        <f t="shared" si="44"/>
        <v>Met</v>
      </c>
      <c r="AL125" s="444">
        <f>VLOOKUP(compliance!A125,'42. SEA or LEA Worksheet'!$A$4:$AB$324,26,0)/VLOOKUP(compliance!A125,'42. SEA or LEA Worksheet'!$A$4:$Y$324,25,0)</f>
        <v>429.57608695652175</v>
      </c>
      <c r="AM125" s="513" t="str">
        <f t="shared" si="45"/>
        <v>Did not Meet</v>
      </c>
      <c r="AO125" s="444">
        <f>VLOOKUP(A125,'42. SEA or LEA Worksheet'!$A$4:$AB$324,28,0)/VLOOKUP(compliance!A125,'42. SEA or LEA Worksheet'!$A$4:$Y$324,25,0)</f>
        <v>12677.612717391306</v>
      </c>
      <c r="AP125" s="513" t="str">
        <f t="shared" si="46"/>
        <v>Met</v>
      </c>
      <c r="AR125" s="512" t="str">
        <f t="shared" si="68"/>
        <v>Met</v>
      </c>
      <c r="AT125" s="444">
        <f>VLOOKUP(A125,'42. SEA or LEA Worksheet'!$A$4:$AE$324,31,0)</f>
        <v>42185.13</v>
      </c>
      <c r="AU125" s="513" t="str">
        <f t="shared" si="75"/>
        <v>Met</v>
      </c>
      <c r="AW125" s="444">
        <f>VLOOKUP(A125,'42. SEA or LEA Worksheet'!$A$4:$AG$324,33,0)</f>
        <v>1395353.95</v>
      </c>
      <c r="AX125" s="513" t="str">
        <f t="shared" si="80"/>
        <v>Met</v>
      </c>
      <c r="AZ125" s="444">
        <f>VLOOKUP(A125,'42. SEA or LEA Worksheet'!$A$4:$AG$324,31,0)/VLOOKUP(A125,'42. SEA or LEA Worksheet'!$A$4:$AD$324,30,0)</f>
        <v>468.72366666666665</v>
      </c>
      <c r="BA125" s="513" t="str">
        <f t="shared" si="76"/>
        <v>Met</v>
      </c>
      <c r="BC125" s="444">
        <f>VLOOKUP(A125,'42. SEA or LEA Worksheet'!$A$4:$AG$324,33,0)/VLOOKUP(A125,'42. SEA or LEA Worksheet'!$A$4:$AD$324,30,0)</f>
        <v>15503.932777777778</v>
      </c>
      <c r="BD125" s="513" t="str">
        <f t="shared" si="81"/>
        <v>Met</v>
      </c>
      <c r="BF125" s="512" t="str">
        <f t="shared" si="77"/>
        <v>Met</v>
      </c>
      <c r="BG125" s="637">
        <f>VLOOKUP(A125,'42. SEA or LEA Worksheet'!$A$4:$AM$324,36,0)</f>
        <v>41782.959999999999</v>
      </c>
      <c r="BH125" s="638" t="str">
        <f t="shared" si="70"/>
        <v>Did not Meet</v>
      </c>
      <c r="BI125" s="639"/>
      <c r="BJ125" s="637">
        <f>VLOOKUP(A125,'42. SEA or LEA Worksheet'!$A$4:$AM$324,38,0)</f>
        <v>1424765.25</v>
      </c>
      <c r="BK125" s="638" t="str">
        <f t="shared" si="71"/>
        <v>Met</v>
      </c>
      <c r="BM125" s="631">
        <f>VLOOKUP(A125,'42. SEA or LEA Worksheet'!$A$4:$AL$324,36,0)/VLOOKUP(A125,'42. SEA or LEA Worksheet'!$A$4:$AL$324,35,0)</f>
        <v>454.16260869565218</v>
      </c>
      <c r="BN125" s="632" t="str">
        <f t="shared" si="72"/>
        <v>Met</v>
      </c>
      <c r="BP125" s="631">
        <f>VLOOKUP(A125,'42. SEA or LEA Worksheet'!$A$4:$AL$324,38,0)/VLOOKUP(A125,'42. SEA or LEA Worksheet'!$A$4:$AL$324,35,0)</f>
        <v>15486.578804347826</v>
      </c>
      <c r="BQ125" s="632" t="str">
        <f t="shared" si="73"/>
        <v>Met</v>
      </c>
      <c r="BS125" s="620" t="str">
        <f t="shared" si="78"/>
        <v>Met</v>
      </c>
    </row>
    <row r="126" spans="1:71" x14ac:dyDescent="0.25">
      <c r="A126" s="343" t="s">
        <v>433</v>
      </c>
      <c r="B126" s="510" t="s">
        <v>1142</v>
      </c>
      <c r="C126" s="511"/>
      <c r="D126" s="444">
        <v>0</v>
      </c>
      <c r="E126" s="343" t="s">
        <v>856</v>
      </c>
      <c r="F126" s="511"/>
      <c r="G126" s="444">
        <v>140008.98000000001</v>
      </c>
      <c r="H126" s="343" t="s">
        <v>835</v>
      </c>
      <c r="I126" s="511"/>
      <c r="J126" s="444">
        <v>0</v>
      </c>
      <c r="K126" s="343" t="s">
        <v>856</v>
      </c>
      <c r="L126" s="511"/>
      <c r="M126" s="444">
        <v>14000.898000000001</v>
      </c>
      <c r="N126" s="343" t="s">
        <v>856</v>
      </c>
      <c r="O126" s="511"/>
      <c r="P126" s="512" t="str">
        <f>IF(AND(E126="Did not Meet",H126="Did not Meet",K126="Did not Meet", N126="Did not Meet"),"Did not Meet","Met")</f>
        <v>Met</v>
      </c>
      <c r="Q126" s="511"/>
      <c r="R126" s="444">
        <f>VLOOKUP(A126,'2020-21'!$A$6:$F$319,6,0)</f>
        <v>0</v>
      </c>
      <c r="S126" s="513" t="str">
        <f t="shared" si="38"/>
        <v>Met</v>
      </c>
      <c r="U126" s="444">
        <f>VLOOKUP(A126,'2020-21'!$A$6:$G$319,7,0)</f>
        <v>171868.16</v>
      </c>
      <c r="V126" s="513" t="str">
        <f t="shared" si="39"/>
        <v>Met</v>
      </c>
      <c r="X126" s="444">
        <f>VLOOKUP(A126,'2020-21'!$A$6:$F$319,6,0)/VLOOKUP(A126,'42. SEA or LEA Worksheet'!$A$4:$T$324,20,0)</f>
        <v>0</v>
      </c>
      <c r="Y126" s="513" t="str">
        <f t="shared" si="40"/>
        <v>Met</v>
      </c>
      <c r="AA126" s="444">
        <f>VLOOKUP(A126,'42. SEA or LEA Worksheet'!$A$4:$W$324,23,0)/VLOOKUP(compliance!A126,'42. SEA or LEA Worksheet'!$A$4:$T$324,20,0)</f>
        <v>17186.815999999999</v>
      </c>
      <c r="AB126" s="513" t="str">
        <f t="shared" si="41"/>
        <v>Met</v>
      </c>
      <c r="AD126" s="512" t="str">
        <f t="shared" si="67"/>
        <v>Met</v>
      </c>
      <c r="AF126" s="444">
        <f>VLOOKUP(A126,'42. SEA or LEA Worksheet'!$A$4:$Z$324,26,0)</f>
        <v>0</v>
      </c>
      <c r="AG126" s="513" t="str">
        <f t="shared" si="43"/>
        <v>Met</v>
      </c>
      <c r="AI126" s="444">
        <f>VLOOKUP(A126,'42. SEA or LEA Worksheet'!$A$4:$AB$324,28,0)</f>
        <v>133159.66</v>
      </c>
      <c r="AJ126" s="513" t="str">
        <f t="shared" si="44"/>
        <v>Did not Meet</v>
      </c>
      <c r="AL126" s="444">
        <f>VLOOKUP(compliance!A126,'42. SEA or LEA Worksheet'!$A$4:$AB$324,26,0)/VLOOKUP(compliance!A126,'42. SEA or LEA Worksheet'!$A$4:$Y$324,25,0)</f>
        <v>0</v>
      </c>
      <c r="AM126" s="513" t="str">
        <f t="shared" si="45"/>
        <v>Met</v>
      </c>
      <c r="AO126" s="444">
        <f>VLOOKUP(A126,'42. SEA or LEA Worksheet'!$A$4:$AB$324,28,0)/VLOOKUP(compliance!A126,'42. SEA or LEA Worksheet'!$A$4:$Y$324,25,0)</f>
        <v>11096.638333333334</v>
      </c>
      <c r="AP126" s="513" t="str">
        <f t="shared" si="46"/>
        <v>Did not Meet</v>
      </c>
      <c r="AR126" s="512" t="str">
        <f t="shared" si="68"/>
        <v>Met</v>
      </c>
      <c r="AT126" s="444">
        <f>VLOOKUP(A126,'42. SEA or LEA Worksheet'!$A$4:$AE$324,31,0)</f>
        <v>0</v>
      </c>
      <c r="AU126" s="513" t="str">
        <f t="shared" si="75"/>
        <v>Met</v>
      </c>
      <c r="AW126" s="444">
        <f>VLOOKUP(A126,'42. SEA or LEA Worksheet'!$A$4:$AG$324,33,0)</f>
        <v>147758.25</v>
      </c>
      <c r="AX126" s="513" t="str">
        <f t="shared" si="80"/>
        <v>Met</v>
      </c>
      <c r="AZ126" s="444">
        <f>VLOOKUP(A126,'42. SEA or LEA Worksheet'!$A$4:$AG$324,31,0)/VLOOKUP(A126,'42. SEA or LEA Worksheet'!$A$4:$AD$324,30,0)</f>
        <v>0</v>
      </c>
      <c r="BA126" s="513" t="str">
        <f t="shared" si="76"/>
        <v>Met</v>
      </c>
      <c r="BC126" s="444">
        <f>VLOOKUP(A126,'42. SEA or LEA Worksheet'!$A$4:$AG$324,33,0)/VLOOKUP(A126,'42. SEA or LEA Worksheet'!$A$4:$AD$324,30,0)</f>
        <v>9234.890625</v>
      </c>
      <c r="BD126" s="513" t="str">
        <f t="shared" si="81"/>
        <v>Did not Meet</v>
      </c>
      <c r="BF126" s="512" t="str">
        <f t="shared" si="77"/>
        <v>Met</v>
      </c>
      <c r="BG126" s="637">
        <f>VLOOKUP(A126,'42. SEA or LEA Worksheet'!$A$4:$AM$324,36,0)</f>
        <v>46183.07</v>
      </c>
      <c r="BH126" s="638" t="str">
        <f t="shared" si="70"/>
        <v>Met</v>
      </c>
      <c r="BI126" s="639"/>
      <c r="BJ126" s="637">
        <f>VLOOKUP(A126,'42. SEA or LEA Worksheet'!$A$4:$AM$324,38,0)</f>
        <v>174143.42</v>
      </c>
      <c r="BK126" s="638" t="str">
        <f t="shared" si="71"/>
        <v>Met</v>
      </c>
      <c r="BM126" s="631">
        <f>VLOOKUP(A126,'42. SEA or LEA Worksheet'!$A$4:$AL$324,36,0)/VLOOKUP(A126,'42. SEA or LEA Worksheet'!$A$4:$AL$324,35,0)</f>
        <v>4198.4609090909089</v>
      </c>
      <c r="BN126" s="632" t="str">
        <f t="shared" si="72"/>
        <v>Met</v>
      </c>
      <c r="BP126" s="631">
        <f>VLOOKUP(A126,'42. SEA or LEA Worksheet'!$A$4:$AL$324,38,0)/VLOOKUP(A126,'42. SEA or LEA Worksheet'!$A$4:$AL$324,35,0)</f>
        <v>15831.220000000001</v>
      </c>
      <c r="BQ126" s="632" t="str">
        <f t="shared" si="73"/>
        <v>Met</v>
      </c>
      <c r="BS126" s="620" t="str">
        <f t="shared" si="78"/>
        <v>Met</v>
      </c>
    </row>
    <row r="127" spans="1:71" x14ac:dyDescent="0.25">
      <c r="A127" s="343" t="s">
        <v>435</v>
      </c>
      <c r="B127" s="510" t="s">
        <v>948</v>
      </c>
      <c r="C127" s="511"/>
      <c r="D127" s="444">
        <v>422162.77</v>
      </c>
      <c r="E127" s="343" t="s">
        <v>835</v>
      </c>
      <c r="F127" s="511"/>
      <c r="G127" s="444">
        <v>1756338.66</v>
      </c>
      <c r="H127" s="343" t="s">
        <v>835</v>
      </c>
      <c r="I127" s="511"/>
      <c r="J127" s="444">
        <v>3015.4483571428573</v>
      </c>
      <c r="K127" s="343" t="s">
        <v>835</v>
      </c>
      <c r="L127" s="511"/>
      <c r="M127" s="444">
        <v>12545.276142857143</v>
      </c>
      <c r="N127" s="343" t="s">
        <v>835</v>
      </c>
      <c r="O127" s="511"/>
      <c r="P127" s="512" t="str">
        <f>IF(AND(E127="Did not Meet",H127="Did not Meet",K127="Did not Meet", N127="Did not Meet"),"Did not Meet","Met")</f>
        <v>Met</v>
      </c>
      <c r="Q127" s="511"/>
      <c r="R127" s="444">
        <f>VLOOKUP(A127,'2020-21'!$A$6:$F$319,6,0)</f>
        <v>221633.47</v>
      </c>
      <c r="S127" s="513" t="str">
        <f t="shared" si="38"/>
        <v>Did not Meet</v>
      </c>
      <c r="U127" s="444">
        <f>VLOOKUP(A127,'2020-21'!$A$6:$G$319,7,0)</f>
        <v>1574890.71</v>
      </c>
      <c r="V127" s="513" t="str">
        <f t="shared" si="39"/>
        <v>Did not Meet</v>
      </c>
      <c r="X127" s="444">
        <f>VLOOKUP(A127,'2020-21'!$A$6:$F$319,6,0)/VLOOKUP(A127,'42. SEA or LEA Worksheet'!$A$4:$T$324,20,0)</f>
        <v>1691.8585496183207</v>
      </c>
      <c r="Y127" s="513" t="str">
        <f t="shared" si="40"/>
        <v>Did not Meet</v>
      </c>
      <c r="AA127" s="444">
        <f>VLOOKUP(A127,'42. SEA or LEA Worksheet'!$A$4:$W$324,23,0)/VLOOKUP(compliance!A127,'42. SEA or LEA Worksheet'!$A$4:$T$324,20,0)</f>
        <v>12022.066488549617</v>
      </c>
      <c r="AB127" s="513" t="str">
        <f t="shared" si="41"/>
        <v>Did not Meet</v>
      </c>
      <c r="AD127" s="512" t="str">
        <f t="shared" si="67"/>
        <v>Did not Meet</v>
      </c>
      <c r="AF127" s="444">
        <f>VLOOKUP(A127,'42. SEA or LEA Worksheet'!$A$4:$Z$324,26,0)</f>
        <v>229758.88</v>
      </c>
      <c r="AG127" s="513" t="str">
        <f t="shared" si="43"/>
        <v>Met</v>
      </c>
      <c r="AI127" s="444">
        <f>VLOOKUP(A127,'42. SEA or LEA Worksheet'!$A$4:$AB$324,28,0)</f>
        <v>1582877.17</v>
      </c>
      <c r="AJ127" s="513" t="str">
        <f t="shared" si="44"/>
        <v>Met</v>
      </c>
      <c r="AL127" s="444">
        <f>VLOOKUP(compliance!A127,'42. SEA or LEA Worksheet'!$A$4:$AB$324,26,0)/VLOOKUP(compliance!A127,'42. SEA or LEA Worksheet'!$A$4:$Y$324,25,0)</f>
        <v>1714.6185074626867</v>
      </c>
      <c r="AM127" s="513" t="str">
        <f t="shared" si="45"/>
        <v>Met</v>
      </c>
      <c r="AO127" s="444">
        <f>VLOOKUP(A127,'42. SEA or LEA Worksheet'!$A$4:$AB$324,28,0)/VLOOKUP(compliance!A127,'42. SEA or LEA Worksheet'!$A$4:$Y$324,25,0)</f>
        <v>11812.516194029849</v>
      </c>
      <c r="AP127" s="513" t="str">
        <f t="shared" si="46"/>
        <v>Did not Meet</v>
      </c>
      <c r="AR127" s="512" t="str">
        <f t="shared" si="68"/>
        <v>Met</v>
      </c>
      <c r="AT127" s="444">
        <f>VLOOKUP(A127,'42. SEA or LEA Worksheet'!$A$4:$AE$324,31,0)</f>
        <v>324764.90999999997</v>
      </c>
      <c r="AU127" s="513" t="str">
        <f t="shared" si="75"/>
        <v>Met</v>
      </c>
      <c r="AW127" s="444">
        <f>VLOOKUP(A127,'42. SEA or LEA Worksheet'!$A$4:$AG$324,33,0)</f>
        <v>1708943.91</v>
      </c>
      <c r="AX127" s="513" t="str">
        <f t="shared" si="80"/>
        <v>Met</v>
      </c>
      <c r="AZ127" s="444">
        <f>VLOOKUP(A127,'42. SEA or LEA Worksheet'!$A$4:$AG$324,31,0)/VLOOKUP(A127,'42. SEA or LEA Worksheet'!$A$4:$AD$324,30,0)</f>
        <v>2387.9772794117644</v>
      </c>
      <c r="BA127" s="513" t="str">
        <f t="shared" si="76"/>
        <v>Met</v>
      </c>
      <c r="BC127" s="444">
        <f>VLOOKUP(A127,'42. SEA or LEA Worksheet'!$A$4:$AG$324,33,0)/VLOOKUP(A127,'42. SEA or LEA Worksheet'!$A$4:$AD$324,30,0)</f>
        <v>12565.764044117646</v>
      </c>
      <c r="BD127" s="513" t="str">
        <f t="shared" si="81"/>
        <v>Met</v>
      </c>
      <c r="BF127" s="512" t="str">
        <f t="shared" si="77"/>
        <v>Met</v>
      </c>
      <c r="BG127" s="637">
        <f>VLOOKUP(A127,'42. SEA or LEA Worksheet'!$A$4:$AM$324,36,0)</f>
        <v>261706.75</v>
      </c>
      <c r="BH127" s="638" t="str">
        <f t="shared" si="70"/>
        <v>Did not Meet</v>
      </c>
      <c r="BI127" s="639"/>
      <c r="BJ127" s="637">
        <f>VLOOKUP(A127,'42. SEA or LEA Worksheet'!$A$4:$AM$324,38,0)</f>
        <v>2007244.48</v>
      </c>
      <c r="BK127" s="638" t="str">
        <f t="shared" si="71"/>
        <v>Met</v>
      </c>
      <c r="BM127" s="631">
        <f>VLOOKUP(A127,'42. SEA or LEA Worksheet'!$A$4:$AL$324,36,0)/VLOOKUP(A127,'42. SEA or LEA Worksheet'!$A$4:$AL$324,35,0)</f>
        <v>1938.5685185185184</v>
      </c>
      <c r="BN127" s="632" t="str">
        <f t="shared" si="72"/>
        <v>Met</v>
      </c>
      <c r="BP127" s="631">
        <f>VLOOKUP(A127,'42. SEA or LEA Worksheet'!$A$4:$AL$324,38,0)/VLOOKUP(A127,'42. SEA or LEA Worksheet'!$A$4:$AL$324,35,0)</f>
        <v>14868.47762962963</v>
      </c>
      <c r="BQ127" s="632" t="str">
        <f t="shared" si="73"/>
        <v>Met</v>
      </c>
      <c r="BS127" s="620" t="str">
        <f t="shared" si="78"/>
        <v>Met</v>
      </c>
    </row>
    <row r="128" spans="1:71" x14ac:dyDescent="0.25">
      <c r="A128" s="343" t="s">
        <v>437</v>
      </c>
      <c r="B128" s="510" t="s">
        <v>1143</v>
      </c>
      <c r="C128" s="511"/>
      <c r="D128" s="444">
        <v>0</v>
      </c>
      <c r="E128" s="343" t="s">
        <v>1151</v>
      </c>
      <c r="F128" s="511"/>
      <c r="G128" s="444">
        <v>343584.66</v>
      </c>
      <c r="H128" s="343" t="s">
        <v>1151</v>
      </c>
      <c r="I128" s="511"/>
      <c r="J128" s="444">
        <v>0</v>
      </c>
      <c r="K128" s="343" t="s">
        <v>1151</v>
      </c>
      <c r="L128" s="511"/>
      <c r="M128" s="444">
        <v>9041.701578947368</v>
      </c>
      <c r="N128" s="343" t="s">
        <v>1151</v>
      </c>
      <c r="O128" s="511"/>
      <c r="P128" s="512" t="s">
        <v>819</v>
      </c>
      <c r="Q128" s="511"/>
      <c r="R128" s="444">
        <f>VLOOKUP(A128,'2020-21'!$A$6:$F$319,6,0)</f>
        <v>0</v>
      </c>
      <c r="S128" s="513" t="str">
        <f t="shared" si="38"/>
        <v>Met</v>
      </c>
      <c r="U128" s="444">
        <f>VLOOKUP(A128,'2020-21'!$A$6:$G$319,7,0)</f>
        <v>293938.23</v>
      </c>
      <c r="V128" s="513" t="str">
        <f t="shared" si="39"/>
        <v>Did not Meet</v>
      </c>
      <c r="X128" s="444">
        <v>0</v>
      </c>
      <c r="Y128" s="513" t="str">
        <f t="shared" si="40"/>
        <v>Met</v>
      </c>
      <c r="AA128" s="444">
        <f>VLOOKUP(A128,'42. SEA or LEA Worksheet'!$A$4:$W$324,23,0)/VLOOKUP(compliance!A128,'42. SEA or LEA Worksheet'!$A$4:$T$324,20,0)</f>
        <v>10135.801034482758</v>
      </c>
      <c r="AB128" s="513" t="str">
        <f t="shared" si="41"/>
        <v>Met</v>
      </c>
      <c r="AD128" s="512" t="str">
        <f t="shared" si="67"/>
        <v>Met</v>
      </c>
      <c r="AF128" s="444">
        <f>VLOOKUP(A128,'42. SEA or LEA Worksheet'!$A$4:$Z$324,26,0)</f>
        <v>0</v>
      </c>
      <c r="AG128" s="513" t="str">
        <f t="shared" si="43"/>
        <v>Met</v>
      </c>
      <c r="AI128" s="444">
        <f>VLOOKUP(A128,'42. SEA or LEA Worksheet'!$A$4:$AB$324,28,0)</f>
        <v>318397.19</v>
      </c>
      <c r="AJ128" s="513" t="str">
        <f t="shared" si="44"/>
        <v>Met</v>
      </c>
      <c r="AL128" s="444">
        <f>VLOOKUP(compliance!A128,'42. SEA or LEA Worksheet'!$A$4:$AB$324,26,0)/VLOOKUP(compliance!A128,'42. SEA or LEA Worksheet'!$A$4:$Y$324,25,0)</f>
        <v>0</v>
      </c>
      <c r="AM128" s="513" t="str">
        <f t="shared" si="45"/>
        <v>Met</v>
      </c>
      <c r="AO128" s="444">
        <f>VLOOKUP(A128,'42. SEA or LEA Worksheet'!$A$4:$AB$324,28,0)/VLOOKUP(compliance!A128,'42. SEA or LEA Worksheet'!$A$4:$Y$324,25,0)</f>
        <v>9949.9121875000001</v>
      </c>
      <c r="AP128" s="513" t="str">
        <f t="shared" si="46"/>
        <v>Did not Meet</v>
      </c>
      <c r="AR128" s="512" t="str">
        <f t="shared" si="68"/>
        <v>Met</v>
      </c>
      <c r="AT128" s="444">
        <f>VLOOKUP(A128,'42. SEA or LEA Worksheet'!$A$4:$AE$324,31,0)</f>
        <v>0</v>
      </c>
      <c r="AU128" s="513" t="str">
        <f t="shared" si="75"/>
        <v>Met</v>
      </c>
      <c r="AW128" s="444">
        <f>VLOOKUP(A128,'42. SEA or LEA Worksheet'!$A$4:$AG$324,33,0)</f>
        <v>355505.91999999998</v>
      </c>
      <c r="AX128" s="513" t="str">
        <f t="shared" si="80"/>
        <v>Met</v>
      </c>
      <c r="AZ128" s="444">
        <f>VLOOKUP(A128,'42. SEA or LEA Worksheet'!$A$4:$AG$324,31,0)/VLOOKUP(A128,'42. SEA or LEA Worksheet'!$A$4:$AD$324,30,0)</f>
        <v>0</v>
      </c>
      <c r="BA128" s="513" t="str">
        <f t="shared" si="76"/>
        <v>Met</v>
      </c>
      <c r="BC128" s="444">
        <f>VLOOKUP(A128,'42. SEA or LEA Worksheet'!$A$4:$AG$324,33,0)/VLOOKUP(A128,'42. SEA or LEA Worksheet'!$A$4:$AD$324,30,0)</f>
        <v>11109.56</v>
      </c>
      <c r="BD128" s="513" t="str">
        <f t="shared" si="81"/>
        <v>Met</v>
      </c>
      <c r="BF128" s="512" t="str">
        <f t="shared" si="77"/>
        <v>Met</v>
      </c>
      <c r="BG128" s="637">
        <f>VLOOKUP(A128,'42. SEA or LEA Worksheet'!$A$4:$AM$324,36,0)</f>
        <v>0</v>
      </c>
      <c r="BH128" s="638" t="str">
        <f t="shared" si="70"/>
        <v>Met</v>
      </c>
      <c r="BI128" s="639"/>
      <c r="BJ128" s="637">
        <f>VLOOKUP(A128,'42. SEA or LEA Worksheet'!$A$4:$AM$324,38,0)</f>
        <v>459621.51</v>
      </c>
      <c r="BK128" s="638" t="str">
        <f t="shared" si="71"/>
        <v>Met</v>
      </c>
      <c r="BM128" s="631">
        <f>VLOOKUP(A128,'42. SEA or LEA Worksheet'!$A$4:$AL$324,36,0)/VLOOKUP(A128,'42. SEA or LEA Worksheet'!$A$4:$AL$324,35,0)</f>
        <v>0</v>
      </c>
      <c r="BN128" s="632" t="str">
        <f t="shared" si="72"/>
        <v>Met</v>
      </c>
      <c r="BP128" s="631">
        <f>VLOOKUP(A128,'42. SEA or LEA Worksheet'!$A$4:$AL$324,38,0)/VLOOKUP(A128,'42. SEA or LEA Worksheet'!$A$4:$AL$324,35,0)</f>
        <v>12095.302894736842</v>
      </c>
      <c r="BQ128" s="632" t="str">
        <f t="shared" si="73"/>
        <v>Met</v>
      </c>
      <c r="BS128" s="620" t="str">
        <f t="shared" si="78"/>
        <v>Met</v>
      </c>
    </row>
    <row r="129" spans="1:71" x14ac:dyDescent="0.25">
      <c r="A129" s="343" t="s">
        <v>439</v>
      </c>
      <c r="B129" s="510" t="s">
        <v>949</v>
      </c>
      <c r="C129" s="511"/>
      <c r="D129" s="444">
        <v>0</v>
      </c>
      <c r="E129" s="343" t="s">
        <v>856</v>
      </c>
      <c r="F129" s="511"/>
      <c r="G129" s="444">
        <v>17511941.649999999</v>
      </c>
      <c r="H129" s="343" t="s">
        <v>835</v>
      </c>
      <c r="I129" s="511"/>
      <c r="J129" s="444">
        <v>0</v>
      </c>
      <c r="K129" s="343" t="s">
        <v>856</v>
      </c>
      <c r="L129" s="511"/>
      <c r="M129" s="444">
        <v>11690.214719626167</v>
      </c>
      <c r="N129" s="343" t="s">
        <v>835</v>
      </c>
      <c r="O129" s="511"/>
      <c r="P129" s="512" t="str">
        <f t="shared" ref="P129:P137" si="82">IF(AND(E129="Did not Meet",H129="Did not Meet",K129="Did not Meet", N129="Did not Meet"),"Did not Meet","Met")</f>
        <v>Met</v>
      </c>
      <c r="Q129" s="511"/>
      <c r="R129" s="444">
        <f>VLOOKUP(A129,'2020-21'!$A$6:$F$319,6,0)</f>
        <v>0</v>
      </c>
      <c r="S129" s="513" t="str">
        <f t="shared" si="38"/>
        <v>Met</v>
      </c>
      <c r="U129" s="444">
        <f>VLOOKUP(A129,'2020-21'!$A$6:$G$319,7,0)</f>
        <v>18207624.390000001</v>
      </c>
      <c r="V129" s="513" t="str">
        <f t="shared" si="39"/>
        <v>Met</v>
      </c>
      <c r="X129" s="444">
        <f>VLOOKUP(A129,'2020-21'!$A$6:$F$319,6,0)/VLOOKUP(A129,'42. SEA or LEA Worksheet'!$A$4:$T$324,20,0)</f>
        <v>0</v>
      </c>
      <c r="Y129" s="513" t="str">
        <f t="shared" si="40"/>
        <v>Met</v>
      </c>
      <c r="AA129" s="444">
        <f>VLOOKUP(A129,'42. SEA or LEA Worksheet'!$A$4:$W$324,23,0)/VLOOKUP(compliance!A129,'42. SEA or LEA Worksheet'!$A$4:$T$324,20,0)</f>
        <v>13309.666951754387</v>
      </c>
      <c r="AB129" s="513" t="str">
        <f t="shared" si="41"/>
        <v>Met</v>
      </c>
      <c r="AD129" s="512" t="str">
        <f t="shared" si="67"/>
        <v>Met</v>
      </c>
      <c r="AF129" s="444">
        <f>VLOOKUP(A129,'42. SEA or LEA Worksheet'!$A$4:$Z$324,26,0)</f>
        <v>0</v>
      </c>
      <c r="AG129" s="513" t="str">
        <f t="shared" si="43"/>
        <v>Met</v>
      </c>
      <c r="AI129" s="444">
        <f>VLOOKUP(A129,'42. SEA or LEA Worksheet'!$A$4:$AB$324,28,0)</f>
        <v>19564225.460000001</v>
      </c>
      <c r="AJ129" s="513" t="str">
        <f t="shared" si="44"/>
        <v>Met</v>
      </c>
      <c r="AL129" s="444">
        <f>VLOOKUP(compliance!A129,'42. SEA or LEA Worksheet'!$A$4:$AB$324,26,0)/VLOOKUP(compliance!A129,'42. SEA or LEA Worksheet'!$A$4:$Y$324,25,0)</f>
        <v>0</v>
      </c>
      <c r="AM129" s="513" t="str">
        <f t="shared" si="45"/>
        <v>Met</v>
      </c>
      <c r="AO129" s="444">
        <f>VLOOKUP(A129,'42. SEA or LEA Worksheet'!$A$4:$AB$324,28,0)/VLOOKUP(compliance!A129,'42. SEA or LEA Worksheet'!$A$4:$Y$324,25,0)</f>
        <v>14187.255591007977</v>
      </c>
      <c r="AP129" s="513" t="str">
        <f t="shared" si="46"/>
        <v>Met</v>
      </c>
      <c r="AR129" s="512" t="str">
        <f t="shared" si="68"/>
        <v>Met</v>
      </c>
      <c r="AT129" s="444">
        <f>VLOOKUP(A129,'42. SEA or LEA Worksheet'!$A$4:$AE$324,31,0)</f>
        <v>0</v>
      </c>
      <c r="AU129" s="513" t="str">
        <f t="shared" si="75"/>
        <v>Met</v>
      </c>
      <c r="AW129" s="444">
        <f>VLOOKUP(A129,'42. SEA or LEA Worksheet'!$A$4:$AG$324,33,0)</f>
        <v>22996544.960000001</v>
      </c>
      <c r="AX129" s="513" t="str">
        <f t="shared" si="80"/>
        <v>Met</v>
      </c>
      <c r="AZ129" s="444">
        <f>VLOOKUP(A129,'42. SEA or LEA Worksheet'!$A$4:$AG$324,31,0)/VLOOKUP(A129,'42. SEA or LEA Worksheet'!$A$4:$AD$324,30,0)</f>
        <v>0</v>
      </c>
      <c r="BA129" s="513" t="str">
        <f t="shared" si="76"/>
        <v>Met</v>
      </c>
      <c r="BC129" s="444">
        <f>VLOOKUP(A129,'42. SEA or LEA Worksheet'!$A$4:$AG$324,33,0)/VLOOKUP(A129,'42. SEA or LEA Worksheet'!$A$4:$AD$324,30,0)</f>
        <v>15300.429115103128</v>
      </c>
      <c r="BD129" s="513" t="str">
        <f t="shared" si="81"/>
        <v>Met</v>
      </c>
      <c r="BF129" s="512" t="str">
        <f t="shared" si="77"/>
        <v>Met</v>
      </c>
      <c r="BG129" s="637">
        <f>VLOOKUP(A129,'42. SEA or LEA Worksheet'!$A$4:$AM$324,36,0)</f>
        <v>0</v>
      </c>
      <c r="BH129" s="638" t="str">
        <f t="shared" si="70"/>
        <v>Met</v>
      </c>
      <c r="BI129" s="639"/>
      <c r="BJ129" s="637">
        <f>VLOOKUP(A129,'42. SEA or LEA Worksheet'!$A$4:$AM$324,38,0)</f>
        <v>25284066.960000001</v>
      </c>
      <c r="BK129" s="638" t="str">
        <f t="shared" si="71"/>
        <v>Met</v>
      </c>
      <c r="BM129" s="631">
        <f>VLOOKUP(A129,'42. SEA or LEA Worksheet'!$A$4:$AL$324,36,0)/VLOOKUP(A129,'42. SEA or LEA Worksheet'!$A$4:$AL$324,35,0)</f>
        <v>0</v>
      </c>
      <c r="BN129" s="632" t="str">
        <f t="shared" si="72"/>
        <v>Met</v>
      </c>
      <c r="BP129" s="631">
        <f>VLOOKUP(A129,'42. SEA or LEA Worksheet'!$A$4:$AL$324,38,0)/VLOOKUP(A129,'42. SEA or LEA Worksheet'!$A$4:$AL$324,35,0)</f>
        <v>15792.671430356027</v>
      </c>
      <c r="BQ129" s="632" t="str">
        <f t="shared" si="73"/>
        <v>Met</v>
      </c>
      <c r="BS129" s="620" t="str">
        <f t="shared" si="78"/>
        <v>Met</v>
      </c>
    </row>
    <row r="130" spans="1:71" x14ac:dyDescent="0.25">
      <c r="A130" s="343" t="s">
        <v>441</v>
      </c>
      <c r="B130" s="510" t="s">
        <v>950</v>
      </c>
      <c r="C130" s="511"/>
      <c r="D130" s="444">
        <v>11202590.439999999</v>
      </c>
      <c r="E130" s="343" t="s">
        <v>856</v>
      </c>
      <c r="F130" s="511"/>
      <c r="G130" s="444">
        <v>55670861.909999996</v>
      </c>
      <c r="H130" s="343" t="s">
        <v>835</v>
      </c>
      <c r="I130" s="511"/>
      <c r="J130" s="444">
        <v>3433.2180324854426</v>
      </c>
      <c r="K130" s="343" t="s">
        <v>856</v>
      </c>
      <c r="L130" s="511"/>
      <c r="M130" s="444">
        <v>17061.250968433957</v>
      </c>
      <c r="N130" s="343" t="s">
        <v>835</v>
      </c>
      <c r="O130" s="511"/>
      <c r="P130" s="512" t="str">
        <f t="shared" si="82"/>
        <v>Met</v>
      </c>
      <c r="Q130" s="511"/>
      <c r="R130" s="444">
        <f>VLOOKUP(A130,'2020-21'!$A$6:$F$319,6,0)</f>
        <v>16568439.699999999</v>
      </c>
      <c r="S130" s="513" t="str">
        <f t="shared" si="38"/>
        <v>Met</v>
      </c>
      <c r="U130" s="444">
        <f>VLOOKUP(A130,'2020-21'!$A$6:$G$319,7,0)</f>
        <v>60845384.929999992</v>
      </c>
      <c r="V130" s="513" t="str">
        <f t="shared" si="39"/>
        <v>Met</v>
      </c>
      <c r="X130" s="444">
        <f>VLOOKUP(A130,'2020-21'!$A$6:$F$319,6,0)/VLOOKUP(A130,'42. SEA or LEA Worksheet'!$A$4:$T$324,20,0)</f>
        <v>5234.8940600315955</v>
      </c>
      <c r="Y130" s="513" t="str">
        <f t="shared" si="40"/>
        <v>Met</v>
      </c>
      <c r="AA130" s="444">
        <f>VLOOKUP(A130,'42. SEA or LEA Worksheet'!$A$4:$W$324,23,0)/VLOOKUP(compliance!A130,'42. SEA or LEA Worksheet'!$A$4:$T$324,20,0)</f>
        <v>19224.45021484992</v>
      </c>
      <c r="AB130" s="513" t="str">
        <f t="shared" si="41"/>
        <v>Met</v>
      </c>
      <c r="AD130" s="512" t="str">
        <f t="shared" si="67"/>
        <v>Met</v>
      </c>
      <c r="AF130" s="444">
        <f>VLOOKUP(A130,'42. SEA or LEA Worksheet'!$A$4:$Z$324,26,0)</f>
        <v>18282455.539999999</v>
      </c>
      <c r="AG130" s="513" t="str">
        <f t="shared" si="43"/>
        <v>Met</v>
      </c>
      <c r="AI130" s="444">
        <f>VLOOKUP(A130,'42. SEA or LEA Worksheet'!$A$4:$AB$324,28,0)</f>
        <v>61794927.839999996</v>
      </c>
      <c r="AJ130" s="513" t="str">
        <f t="shared" si="44"/>
        <v>Met</v>
      </c>
      <c r="AL130" s="444">
        <f>VLOOKUP(compliance!A130,'42. SEA or LEA Worksheet'!$A$4:$AB$324,26,0)/VLOOKUP(compliance!A130,'42. SEA or LEA Worksheet'!$A$4:$Y$324,25,0)</f>
        <v>6197.4425559322035</v>
      </c>
      <c r="AM130" s="513" t="str">
        <f t="shared" si="45"/>
        <v>Met</v>
      </c>
      <c r="AO130" s="444">
        <f>VLOOKUP(A130,'42. SEA or LEA Worksheet'!$A$4:$AB$324,28,0)/VLOOKUP(compliance!A130,'42. SEA or LEA Worksheet'!$A$4:$Y$324,25,0)</f>
        <v>20947.433166101695</v>
      </c>
      <c r="AP130" s="513" t="str">
        <f t="shared" si="46"/>
        <v>Met</v>
      </c>
      <c r="AR130" s="512" t="str">
        <f t="shared" si="68"/>
        <v>Met</v>
      </c>
      <c r="AT130" s="444">
        <f>VLOOKUP(A130,'42. SEA or LEA Worksheet'!$A$4:$AE$324,31,0)</f>
        <v>20982205.399999999</v>
      </c>
      <c r="AU130" s="513" t="str">
        <f t="shared" si="75"/>
        <v>Met</v>
      </c>
      <c r="AW130" s="444">
        <f>VLOOKUP(A130,'42. SEA or LEA Worksheet'!$A$4:$AG$324,33,0)</f>
        <v>67756586.030000001</v>
      </c>
      <c r="AX130" s="513" t="str">
        <f t="shared" si="80"/>
        <v>Met</v>
      </c>
      <c r="AZ130" s="444">
        <f>VLOOKUP(A130,'42. SEA or LEA Worksheet'!$A$4:$AG$324,31,0)/VLOOKUP(A130,'42. SEA or LEA Worksheet'!$A$4:$AD$324,30,0)</f>
        <v>7318.5229856993365</v>
      </c>
      <c r="BA130" s="513" t="str">
        <f t="shared" si="76"/>
        <v>Met</v>
      </c>
      <c r="BC130" s="444">
        <f>VLOOKUP(A130,'42. SEA or LEA Worksheet'!$A$4:$AG$324,33,0)/VLOOKUP(A130,'42. SEA or LEA Worksheet'!$A$4:$AD$324,30,0)</f>
        <v>23633.270327868853</v>
      </c>
      <c r="BD130" s="513" t="str">
        <f t="shared" si="81"/>
        <v>Met</v>
      </c>
      <c r="BF130" s="512" t="str">
        <f>IF(AND(AU130="Did not Meet",AX130="Did not Meet", BA130="Did not Meet",BD130="Did not Meet",),"Did not Meet","Met")</f>
        <v>Met</v>
      </c>
      <c r="BG130" s="637">
        <f>VLOOKUP(A130,'42. SEA or LEA Worksheet'!$A$4:$AM$324,36,0)</f>
        <v>18486487.039999999</v>
      </c>
      <c r="BH130" s="638" t="str">
        <f t="shared" si="70"/>
        <v>Did not Meet</v>
      </c>
      <c r="BI130" s="639"/>
      <c r="BJ130" s="637">
        <f>VLOOKUP(A130,'42. SEA or LEA Worksheet'!$A$4:$AM$324,38,0)</f>
        <v>71841407.780000001</v>
      </c>
      <c r="BK130" s="638" t="str">
        <f t="shared" si="71"/>
        <v>Met</v>
      </c>
      <c r="BM130" s="631">
        <f>VLOOKUP(A130,'42. SEA or LEA Worksheet'!$A$4:$AL$324,36,0)/VLOOKUP(A130,'42. SEA or LEA Worksheet'!$A$4:$AL$324,35,0)</f>
        <v>6560.1444428672812</v>
      </c>
      <c r="BN130" s="632" t="str">
        <f t="shared" si="72"/>
        <v>Met</v>
      </c>
      <c r="BP130" s="631">
        <f>VLOOKUP(A130,'42. SEA or LEA Worksheet'!$A$4:$AL$324,38,0)/VLOOKUP(A130,'42. SEA or LEA Worksheet'!$A$4:$AL$324,35,0)</f>
        <v>25493.757196593328</v>
      </c>
      <c r="BQ130" s="632" t="str">
        <f t="shared" si="73"/>
        <v>Met</v>
      </c>
      <c r="BS130" s="620" t="str">
        <f>IF(AND(BH130="Did not Meet",BK130="Did not Meet", BN130="Did not Meet",BQ130="Did not Meet",),"Did not Meet","Met")</f>
        <v>Met</v>
      </c>
    </row>
    <row r="131" spans="1:71" x14ac:dyDescent="0.25">
      <c r="A131" s="343" t="s">
        <v>443</v>
      </c>
      <c r="B131" s="510" t="s">
        <v>951</v>
      </c>
      <c r="C131" s="511"/>
      <c r="D131" s="444">
        <v>0</v>
      </c>
      <c r="E131" s="343" t="s">
        <v>856</v>
      </c>
      <c r="F131" s="511"/>
      <c r="G131" s="444">
        <v>4777121.9000000004</v>
      </c>
      <c r="H131" s="343" t="s">
        <v>835</v>
      </c>
      <c r="I131" s="511"/>
      <c r="J131" s="444">
        <v>0</v>
      </c>
      <c r="K131" s="343" t="s">
        <v>856</v>
      </c>
      <c r="L131" s="511"/>
      <c r="M131" s="444">
        <v>11737.400245700246</v>
      </c>
      <c r="N131" s="343" t="s">
        <v>835</v>
      </c>
      <c r="O131" s="511"/>
      <c r="P131" s="512" t="str">
        <f t="shared" si="82"/>
        <v>Met</v>
      </c>
      <c r="Q131" s="511"/>
      <c r="R131" s="444">
        <f>VLOOKUP(A131,'2020-21'!$A$6:$F$319,6,0)</f>
        <v>0</v>
      </c>
      <c r="S131" s="513" t="str">
        <f t="shared" si="38"/>
        <v>Met</v>
      </c>
      <c r="U131" s="444">
        <f>VLOOKUP(A131,'2020-21'!$A$6:$G$319,7,0)</f>
        <v>4869218.3099999996</v>
      </c>
      <c r="V131" s="513" t="str">
        <f t="shared" si="39"/>
        <v>Met</v>
      </c>
      <c r="X131" s="444">
        <f>VLOOKUP(A131,'2020-21'!$A$6:$F$319,6,0)/VLOOKUP(A131,'42. SEA or LEA Worksheet'!$A$4:$T$324,20,0)</f>
        <v>0</v>
      </c>
      <c r="Y131" s="513" t="str">
        <f t="shared" si="40"/>
        <v>Met</v>
      </c>
      <c r="AA131" s="444">
        <f>VLOOKUP(A131,'42. SEA or LEA Worksheet'!$A$4:$W$324,23,0)/VLOOKUP(compliance!A131,'42. SEA or LEA Worksheet'!$A$4:$T$324,20,0)</f>
        <v>12713.363733681461</v>
      </c>
      <c r="AB131" s="513" t="str">
        <f t="shared" si="41"/>
        <v>Met</v>
      </c>
      <c r="AD131" s="512" t="str">
        <f t="shared" si="67"/>
        <v>Met</v>
      </c>
      <c r="AF131" s="444">
        <f>VLOOKUP(A131,'42. SEA or LEA Worksheet'!$A$4:$Z$324,26,0)</f>
        <v>12420.97</v>
      </c>
      <c r="AG131" s="513" t="str">
        <f t="shared" si="43"/>
        <v>Met</v>
      </c>
      <c r="AI131" s="444">
        <f>VLOOKUP(A131,'42. SEA or LEA Worksheet'!$A$4:$AB$324,28,0)</f>
        <v>5203026.5599999996</v>
      </c>
      <c r="AJ131" s="513" t="str">
        <f t="shared" si="44"/>
        <v>Met</v>
      </c>
      <c r="AL131" s="444">
        <f>VLOOKUP(compliance!A131,'42. SEA or LEA Worksheet'!$A$4:$AB$324,26,0)/VLOOKUP(compliance!A131,'42. SEA or LEA Worksheet'!$A$4:$Y$324,25,0)</f>
        <v>29.088922716627632</v>
      </c>
      <c r="AM131" s="513" t="str">
        <f t="shared" si="45"/>
        <v>Met</v>
      </c>
      <c r="AO131" s="444">
        <f>VLOOKUP(A131,'42. SEA or LEA Worksheet'!$A$4:$AB$324,28,0)/VLOOKUP(compliance!A131,'42. SEA or LEA Worksheet'!$A$4:$Y$324,25,0)</f>
        <v>12185.073911007024</v>
      </c>
      <c r="AP131" s="513" t="str">
        <f t="shared" si="46"/>
        <v>Did not Meet</v>
      </c>
      <c r="AR131" s="512" t="str">
        <f t="shared" si="68"/>
        <v>Met</v>
      </c>
      <c r="AT131" s="444">
        <f>VLOOKUP(A131,'42. SEA or LEA Worksheet'!$A$4:$AE$324,31,0)</f>
        <v>200000</v>
      </c>
      <c r="AU131" s="513" t="str">
        <f t="shared" si="75"/>
        <v>Met</v>
      </c>
      <c r="AW131" s="444">
        <f>VLOOKUP(A131,'42. SEA or LEA Worksheet'!$A$4:$AG$324,33,0)</f>
        <v>5512822.5700000003</v>
      </c>
      <c r="AX131" s="513" t="str">
        <f t="shared" si="80"/>
        <v>Met</v>
      </c>
      <c r="AZ131" s="444">
        <f>VLOOKUP(A131,'42. SEA or LEA Worksheet'!$A$4:$AG$324,31,0)/VLOOKUP(A131,'42. SEA or LEA Worksheet'!$A$4:$AD$324,30,0)</f>
        <v>433.83947939262475</v>
      </c>
      <c r="BA131" s="513" t="str">
        <f t="shared" si="76"/>
        <v>Met</v>
      </c>
      <c r="BC131" s="444">
        <f>VLOOKUP(A131,'42. SEA or LEA Worksheet'!$A$4:$AG$324,33,0)/VLOOKUP(A131,'42. SEA or LEA Worksheet'!$A$4:$AD$324,30,0)</f>
        <v>11958.400368763558</v>
      </c>
      <c r="BD131" s="513" t="str">
        <f t="shared" si="81"/>
        <v>Did not Meet</v>
      </c>
      <c r="BF131" s="512" t="str">
        <f t="shared" ref="BF131:BF137" si="83">IF(AND(AU131="Did not Meet",AX131="Did not Meet", BA131="Did not Meet",BD131="Did not Meet"),"Did not Meet","Met")</f>
        <v>Met</v>
      </c>
      <c r="BG131" s="637">
        <f>VLOOKUP(A131,'42. SEA or LEA Worksheet'!$A$4:$AM$324,36,0)</f>
        <v>1113383.8</v>
      </c>
      <c r="BH131" s="638" t="str">
        <f t="shared" si="70"/>
        <v>Met</v>
      </c>
      <c r="BI131" s="639"/>
      <c r="BJ131" s="637">
        <f>VLOOKUP(A131,'42. SEA or LEA Worksheet'!$A$4:$AM$324,38,0)</f>
        <v>7880209.5</v>
      </c>
      <c r="BK131" s="638" t="str">
        <f t="shared" si="71"/>
        <v>Met</v>
      </c>
      <c r="BM131" s="631">
        <f>VLOOKUP(A131,'42. SEA or LEA Worksheet'!$A$4:$AL$324,36,0)/VLOOKUP(A131,'42. SEA or LEA Worksheet'!$A$4:$AL$324,35,0)</f>
        <v>2249.2602020202021</v>
      </c>
      <c r="BN131" s="632" t="str">
        <f t="shared" si="72"/>
        <v>Met</v>
      </c>
      <c r="BP131" s="631">
        <f>VLOOKUP(A131,'42. SEA or LEA Worksheet'!$A$4:$AL$324,38,0)/VLOOKUP(A131,'42. SEA or LEA Worksheet'!$A$4:$AL$324,35,0)</f>
        <v>15919.615151515152</v>
      </c>
      <c r="BQ131" s="632" t="str">
        <f t="shared" si="73"/>
        <v>Met</v>
      </c>
      <c r="BS131" s="620" t="str">
        <f t="shared" ref="BS131:BS137" si="84">IF(AND(BH131="Did not Meet",BK131="Did not Meet", BN131="Did not Meet",BQ131="Did not Meet"),"Did not Meet","Met")</f>
        <v>Met</v>
      </c>
    </row>
    <row r="132" spans="1:71" x14ac:dyDescent="0.25">
      <c r="A132" s="343" t="s">
        <v>445</v>
      </c>
      <c r="B132" s="510" t="s">
        <v>952</v>
      </c>
      <c r="C132" s="511"/>
      <c r="D132" s="444">
        <v>0</v>
      </c>
      <c r="E132" s="343" t="s">
        <v>835</v>
      </c>
      <c r="F132" s="511"/>
      <c r="G132" s="444">
        <v>75408.52</v>
      </c>
      <c r="H132" s="343" t="s">
        <v>880</v>
      </c>
      <c r="I132" s="511"/>
      <c r="J132" s="444">
        <v>0</v>
      </c>
      <c r="K132" s="343" t="s">
        <v>835</v>
      </c>
      <c r="L132" s="511"/>
      <c r="M132" s="444">
        <v>8378.7244444444441</v>
      </c>
      <c r="N132" s="343" t="s">
        <v>856</v>
      </c>
      <c r="O132" s="511"/>
      <c r="P132" s="512" t="str">
        <f t="shared" si="82"/>
        <v>Met</v>
      </c>
      <c r="Q132" s="511"/>
      <c r="R132" s="444">
        <f>VLOOKUP(A132,'2020-21'!$A$6:$F$319,6,0)</f>
        <v>0</v>
      </c>
      <c r="S132" s="513" t="str">
        <f t="shared" si="38"/>
        <v>Met</v>
      </c>
      <c r="U132" s="444">
        <f>VLOOKUP(A132,'2020-21'!$A$6:$G$319,7,0)</f>
        <v>107231.62</v>
      </c>
      <c r="V132" s="513" t="str">
        <f t="shared" si="39"/>
        <v>Met</v>
      </c>
      <c r="X132" s="444">
        <f>VLOOKUP(A132,'2020-21'!$A$6:$F$319,6,0)/VLOOKUP(A132,'42. SEA or LEA Worksheet'!$A$4:$T$324,20,0)</f>
        <v>0</v>
      </c>
      <c r="Y132" s="513" t="str">
        <f t="shared" si="40"/>
        <v>Met</v>
      </c>
      <c r="AA132" s="444">
        <f>VLOOKUP(A132,'42. SEA or LEA Worksheet'!$A$4:$W$324,23,0)/VLOOKUP(compliance!A132,'42. SEA or LEA Worksheet'!$A$4:$T$324,20,0)</f>
        <v>13403.952499999999</v>
      </c>
      <c r="AB132" s="513" t="str">
        <f t="shared" si="41"/>
        <v>Met</v>
      </c>
      <c r="AD132" s="512" t="str">
        <f t="shared" ref="AD132:AD163" si="85">IF(AND(S132="Did not Meet",V132="Did not Meet", Y132="Did not Meet",AB132="Did not Meet"),"Did not Meet","Met")</f>
        <v>Met</v>
      </c>
      <c r="AF132" s="444">
        <f>VLOOKUP(A132,'42. SEA or LEA Worksheet'!$A$4:$Z$324,26,0)</f>
        <v>0</v>
      </c>
      <c r="AG132" s="513" t="str">
        <f t="shared" si="43"/>
        <v>Met</v>
      </c>
      <c r="AI132" s="444">
        <f>VLOOKUP(A132,'42. SEA or LEA Worksheet'!$A$4:$AB$324,28,0)</f>
        <v>107862.55</v>
      </c>
      <c r="AJ132" s="513" t="str">
        <f t="shared" si="44"/>
        <v>Met</v>
      </c>
      <c r="AL132" s="444">
        <f>VLOOKUP(compliance!A132,'42. SEA or LEA Worksheet'!$A$4:$AB$324,26,0)/VLOOKUP(compliance!A132,'42. SEA or LEA Worksheet'!$A$4:$Y$324,25,0)</f>
        <v>0</v>
      </c>
      <c r="AM132" s="513" t="str">
        <f t="shared" si="45"/>
        <v>Met</v>
      </c>
      <c r="AO132" s="444">
        <f>VLOOKUP(A132,'42. SEA or LEA Worksheet'!$A$4:$AB$324,28,0)/VLOOKUP(compliance!A132,'42. SEA or LEA Worksheet'!$A$4:$Y$324,25,0)</f>
        <v>13482.81875</v>
      </c>
      <c r="AP132" s="513" t="str">
        <f t="shared" si="46"/>
        <v>Met</v>
      </c>
      <c r="AR132" s="512" t="str">
        <f t="shared" ref="AR132:AR163" si="86">IF(AND(AG132="Did not Meet",AJ132="Did not Meet", AM132="Did not Meet",AP132="Did not Meet"),"Did not Meet","Met")</f>
        <v>Met</v>
      </c>
      <c r="AT132" s="444">
        <f>VLOOKUP(A132,'42. SEA or LEA Worksheet'!$A$4:$AE$324,31,0)</f>
        <v>0</v>
      </c>
      <c r="AU132" s="513" t="str">
        <f t="shared" si="75"/>
        <v>Met</v>
      </c>
      <c r="AW132" s="444">
        <f>VLOOKUP(A132,'42. SEA or LEA Worksheet'!$A$4:$AG$324,33,0)</f>
        <v>101835.61</v>
      </c>
      <c r="AX132" s="513" t="str">
        <f t="shared" si="80"/>
        <v>Did not Meet</v>
      </c>
      <c r="AZ132" s="444">
        <f>VLOOKUP(A132,'42. SEA or LEA Worksheet'!$A$4:$AG$324,31,0)/VLOOKUP(A132,'42. SEA or LEA Worksheet'!$A$4:$AD$324,30,0)</f>
        <v>0</v>
      </c>
      <c r="BA132" s="513" t="str">
        <f t="shared" si="76"/>
        <v>Met</v>
      </c>
      <c r="BC132" s="444">
        <f>VLOOKUP(A132,'42. SEA or LEA Worksheet'!$A$4:$AG$324,33,0)/VLOOKUP(A132,'42. SEA or LEA Worksheet'!$A$4:$AD$324,30,0)</f>
        <v>14547.944285714286</v>
      </c>
      <c r="BD132" s="513" t="str">
        <f t="shared" si="81"/>
        <v>Met</v>
      </c>
      <c r="BF132" s="512" t="str">
        <f t="shared" si="83"/>
        <v>Met</v>
      </c>
      <c r="BG132" s="637">
        <f>VLOOKUP(A132,'42. SEA or LEA Worksheet'!$A$4:$AM$324,36,0)</f>
        <v>0</v>
      </c>
      <c r="BH132" s="638" t="str">
        <f t="shared" ref="BH132:BH163" si="87">IF(BG132&gt;=AT132,"Met","Did not Meet")</f>
        <v>Met</v>
      </c>
      <c r="BI132" s="639"/>
      <c r="BJ132" s="637">
        <f>VLOOKUP(A132,'42. SEA or LEA Worksheet'!$A$4:$AM$324,38,0)</f>
        <v>102257.92</v>
      </c>
      <c r="BK132" s="638" t="str">
        <f t="shared" ref="BK132:BK163" si="88">IF(BJ132&gt;=AW132,"Met","Did not Meet")</f>
        <v>Met</v>
      </c>
      <c r="BM132" s="631">
        <f>VLOOKUP(A132,'42. SEA or LEA Worksheet'!$A$4:$AL$324,36,0)/VLOOKUP(A132,'42. SEA or LEA Worksheet'!$A$4:$AL$324,35,0)</f>
        <v>0</v>
      </c>
      <c r="BN132" s="632" t="str">
        <f t="shared" ref="BN132:BN163" si="89">IF(BM132&gt;=AY132,"Met","Did not Meet")</f>
        <v>Met</v>
      </c>
      <c r="BP132" s="631">
        <f>VLOOKUP(A132,'42. SEA or LEA Worksheet'!$A$4:$AL$324,38,0)/VLOOKUP(A132,'42. SEA or LEA Worksheet'!$A$4:$AL$324,35,0)</f>
        <v>17042.986666666668</v>
      </c>
      <c r="BQ132" s="632" t="str">
        <f t="shared" ref="BQ132:BQ163" si="90">IF(BP132&gt;=BB132,"Met","Did not Meet")</f>
        <v>Met</v>
      </c>
      <c r="BS132" s="620" t="str">
        <f t="shared" si="84"/>
        <v>Met</v>
      </c>
    </row>
    <row r="133" spans="1:71" x14ac:dyDescent="0.25">
      <c r="A133" s="343" t="s">
        <v>447</v>
      </c>
      <c r="B133" s="510" t="s">
        <v>953</v>
      </c>
      <c r="C133" s="511"/>
      <c r="D133" s="444">
        <v>0</v>
      </c>
      <c r="E133" s="343" t="s">
        <v>856</v>
      </c>
      <c r="F133" s="511"/>
      <c r="G133" s="444">
        <v>593652.18999999994</v>
      </c>
      <c r="H133" s="343" t="s">
        <v>835</v>
      </c>
      <c r="I133" s="511"/>
      <c r="J133" s="444">
        <v>0</v>
      </c>
      <c r="K133" s="343" t="s">
        <v>856</v>
      </c>
      <c r="L133" s="511"/>
      <c r="M133" s="444">
        <v>8361.2984507042238</v>
      </c>
      <c r="N133" s="343" t="s">
        <v>856</v>
      </c>
      <c r="O133" s="511"/>
      <c r="P133" s="512" t="str">
        <f t="shared" si="82"/>
        <v>Met</v>
      </c>
      <c r="Q133" s="511"/>
      <c r="R133" s="444">
        <f>VLOOKUP(A133,'2020-21'!$A$6:$F$319,6,0)</f>
        <v>0</v>
      </c>
      <c r="S133" s="513" t="str">
        <f t="shared" si="38"/>
        <v>Met</v>
      </c>
      <c r="U133" s="444">
        <f>VLOOKUP(A133,'2020-21'!$A$6:$G$319,7,0)</f>
        <v>583885.38</v>
      </c>
      <c r="V133" s="513" t="str">
        <f t="shared" si="39"/>
        <v>Did not Meet</v>
      </c>
      <c r="X133" s="444">
        <f>VLOOKUP(A133,'2020-21'!$A$6:$F$319,6,0)/VLOOKUP(A133,'42. SEA or LEA Worksheet'!$A$4:$T$324,20,0)</f>
        <v>0</v>
      </c>
      <c r="Y133" s="513" t="str">
        <f t="shared" si="40"/>
        <v>Met</v>
      </c>
      <c r="AA133" s="444">
        <f>VLOOKUP(A133,'42. SEA or LEA Worksheet'!$A$4:$W$324,23,0)/VLOOKUP(compliance!A133,'42. SEA or LEA Worksheet'!$A$4:$T$324,20,0)</f>
        <v>9268.0219047619048</v>
      </c>
      <c r="AB133" s="513" t="str">
        <f t="shared" si="41"/>
        <v>Met</v>
      </c>
      <c r="AD133" s="512" t="str">
        <f t="shared" si="85"/>
        <v>Met</v>
      </c>
      <c r="AF133" s="444">
        <f>VLOOKUP(A133,'42. SEA or LEA Worksheet'!$A$4:$Z$324,26,0)</f>
        <v>0</v>
      </c>
      <c r="AG133" s="513" t="str">
        <f t="shared" si="43"/>
        <v>Met</v>
      </c>
      <c r="AI133" s="444">
        <f>VLOOKUP(A133,'42. SEA or LEA Worksheet'!$A$4:$AB$324,28,0)</f>
        <v>665758.9</v>
      </c>
      <c r="AJ133" s="513" t="str">
        <f t="shared" si="44"/>
        <v>Met</v>
      </c>
      <c r="AL133" s="444">
        <f>VLOOKUP(compliance!A133,'42. SEA or LEA Worksheet'!$A$4:$AB$324,26,0)/VLOOKUP(compliance!A133,'42. SEA or LEA Worksheet'!$A$4:$Y$324,25,0)</f>
        <v>0</v>
      </c>
      <c r="AM133" s="513" t="str">
        <f t="shared" si="45"/>
        <v>Met</v>
      </c>
      <c r="AO133" s="444">
        <f>VLOOKUP(A133,'42. SEA or LEA Worksheet'!$A$4:$AB$324,28,0)/VLOOKUP(compliance!A133,'42. SEA or LEA Worksheet'!$A$4:$Y$324,25,0)</f>
        <v>9936.7000000000007</v>
      </c>
      <c r="AP133" s="513" t="str">
        <f t="shared" si="46"/>
        <v>Met</v>
      </c>
      <c r="AR133" s="512" t="str">
        <f t="shared" si="86"/>
        <v>Met</v>
      </c>
      <c r="AT133" s="444">
        <f>VLOOKUP(A133,'42. SEA or LEA Worksheet'!$A$4:$AE$324,31,0)</f>
        <v>0</v>
      </c>
      <c r="AU133" s="513" t="str">
        <f t="shared" si="75"/>
        <v>Met</v>
      </c>
      <c r="AW133" s="444">
        <f>VLOOKUP(A133,'42. SEA or LEA Worksheet'!$A$4:$AG$324,33,0)</f>
        <v>705262.54</v>
      </c>
      <c r="AX133" s="513" t="str">
        <f t="shared" si="80"/>
        <v>Met</v>
      </c>
      <c r="AZ133" s="444">
        <f>VLOOKUP(A133,'42. SEA or LEA Worksheet'!$A$4:$AG$324,31,0)/VLOOKUP(A133,'42. SEA or LEA Worksheet'!$A$4:$AD$324,30,0)</f>
        <v>0</v>
      </c>
      <c r="BA133" s="513" t="str">
        <f t="shared" si="76"/>
        <v>Met</v>
      </c>
      <c r="BC133" s="444">
        <f>VLOOKUP(A133,'42. SEA or LEA Worksheet'!$A$4:$AG$324,33,0)/VLOOKUP(A133,'42. SEA or LEA Worksheet'!$A$4:$AD$324,30,0)</f>
        <v>10685.796060606061</v>
      </c>
      <c r="BD133" s="513" t="str">
        <f t="shared" si="81"/>
        <v>Met</v>
      </c>
      <c r="BF133" s="512" t="str">
        <f t="shared" si="83"/>
        <v>Met</v>
      </c>
      <c r="BG133" s="637">
        <f>VLOOKUP(A133,'42. SEA or LEA Worksheet'!$A$4:$AM$324,36,0)</f>
        <v>0</v>
      </c>
      <c r="BH133" s="638" t="str">
        <f t="shared" si="87"/>
        <v>Met</v>
      </c>
      <c r="BI133" s="639"/>
      <c r="BJ133" s="637">
        <f>VLOOKUP(A133,'42. SEA or LEA Worksheet'!$A$4:$AM$324,38,0)</f>
        <v>806370.81</v>
      </c>
      <c r="BK133" s="638" t="str">
        <f t="shared" si="88"/>
        <v>Met</v>
      </c>
      <c r="BM133" s="631">
        <f>VLOOKUP(A133,'42. SEA or LEA Worksheet'!$A$4:$AL$324,36,0)/VLOOKUP(A133,'42. SEA or LEA Worksheet'!$A$4:$AL$324,35,0)</f>
        <v>0</v>
      </c>
      <c r="BN133" s="632" t="str">
        <f t="shared" si="89"/>
        <v>Met</v>
      </c>
      <c r="BP133" s="631">
        <f>VLOOKUP(A133,'42. SEA or LEA Worksheet'!$A$4:$AL$324,38,0)/VLOOKUP(A133,'42. SEA or LEA Worksheet'!$A$4:$AL$324,35,0)</f>
        <v>13219.193606557377</v>
      </c>
      <c r="BQ133" s="632" t="str">
        <f t="shared" si="90"/>
        <v>Met</v>
      </c>
      <c r="BS133" s="620" t="str">
        <f t="shared" si="84"/>
        <v>Met</v>
      </c>
    </row>
    <row r="134" spans="1:71" x14ac:dyDescent="0.25">
      <c r="A134" s="343" t="s">
        <v>449</v>
      </c>
      <c r="B134" s="510" t="s">
        <v>954</v>
      </c>
      <c r="C134" s="511"/>
      <c r="D134" s="444">
        <v>0</v>
      </c>
      <c r="E134" s="343" t="s">
        <v>835</v>
      </c>
      <c r="F134" s="511"/>
      <c r="G134" s="444">
        <v>274894.51</v>
      </c>
      <c r="H134" s="343" t="s">
        <v>835</v>
      </c>
      <c r="I134" s="511"/>
      <c r="J134" s="444">
        <v>0</v>
      </c>
      <c r="K134" s="343" t="s">
        <v>835</v>
      </c>
      <c r="L134" s="511"/>
      <c r="M134" s="444">
        <v>10572.86576923077</v>
      </c>
      <c r="N134" s="343" t="s">
        <v>835</v>
      </c>
      <c r="O134" s="511"/>
      <c r="P134" s="512" t="str">
        <f t="shared" si="82"/>
        <v>Met</v>
      </c>
      <c r="Q134" s="511"/>
      <c r="R134" s="444">
        <f>VLOOKUP(A134,'2020-21'!$A$6:$F$319,6,0)</f>
        <v>0</v>
      </c>
      <c r="S134" s="513" t="str">
        <f t="shared" ref="S134:S197" si="91">IF(R134&gt;=D134,"Met","Did not Meet")</f>
        <v>Met</v>
      </c>
      <c r="U134" s="444">
        <f>VLOOKUP(A134,'2020-21'!$A$6:$G$319,7,0)</f>
        <v>218222.54</v>
      </c>
      <c r="V134" s="513" t="str">
        <f t="shared" ref="V134:V197" si="92">IF(U134&gt;=G134,"Met","Did not Meet")</f>
        <v>Did not Meet</v>
      </c>
      <c r="X134" s="444">
        <f>VLOOKUP(A134,'2020-21'!$A$6:$F$319,6,0)/VLOOKUP(A134,'42. SEA or LEA Worksheet'!$A$4:$T$324,20,0)</f>
        <v>0</v>
      </c>
      <c r="Y134" s="513" t="str">
        <f t="shared" ref="Y134:Y197" si="93">IF(X134&gt;=J134,"Met","Did not Meet")</f>
        <v>Met</v>
      </c>
      <c r="AA134" s="444">
        <f>VLOOKUP(A134,'42. SEA or LEA Worksheet'!$A$4:$W$324,23,0)/VLOOKUP(compliance!A134,'42. SEA or LEA Worksheet'!$A$4:$T$324,20,0)</f>
        <v>10391.549523809525</v>
      </c>
      <c r="AB134" s="513" t="str">
        <f t="shared" ref="AB134:AB197" si="94">IF(AA134&gt;=M134,"Met","Did not Meet")</f>
        <v>Did not Meet</v>
      </c>
      <c r="AD134" s="512" t="str">
        <f t="shared" si="85"/>
        <v>Met</v>
      </c>
      <c r="AF134" s="444">
        <f>VLOOKUP(A134,'42. SEA or LEA Worksheet'!$A$4:$Z$324,26,0)</f>
        <v>0</v>
      </c>
      <c r="AG134" s="513" t="str">
        <f t="shared" ref="AG134:AG197" si="95">IF(AF134&gt;=R134,"Met","Did not Meet")</f>
        <v>Met</v>
      </c>
      <c r="AI134" s="444">
        <f>VLOOKUP(A134,'42. SEA or LEA Worksheet'!$A$4:$AB$324,28,0)</f>
        <v>245895.23</v>
      </c>
      <c r="AJ134" s="513" t="str">
        <f t="shared" ref="AJ134:AJ197" si="96">IF(AI134&gt;=U134,"Met","Did not Meet")</f>
        <v>Met</v>
      </c>
      <c r="AL134" s="444">
        <f>VLOOKUP(compliance!A134,'42. SEA or LEA Worksheet'!$A$4:$AB$324,26,0)/VLOOKUP(compliance!A134,'42. SEA or LEA Worksheet'!$A$4:$Y$324,25,0)</f>
        <v>0</v>
      </c>
      <c r="AM134" s="513" t="str">
        <f t="shared" ref="AM134:AM197" si="97">IF(AL134&gt;=X134,"Met","Did not Meet")</f>
        <v>Met</v>
      </c>
      <c r="AO134" s="444">
        <f>VLOOKUP(A134,'42. SEA or LEA Worksheet'!$A$4:$AB$324,28,0)/VLOOKUP(compliance!A134,'42. SEA or LEA Worksheet'!$A$4:$Y$324,25,0)</f>
        <v>12941.854210526317</v>
      </c>
      <c r="AP134" s="513" t="str">
        <f t="shared" ref="AP134:AP197" si="98">IF(AO134&gt;=AA134,"Met","Did not Meet")</f>
        <v>Met</v>
      </c>
      <c r="AR134" s="512" t="str">
        <f t="shared" si="86"/>
        <v>Met</v>
      </c>
      <c r="AT134" s="444">
        <f>VLOOKUP(A134,'42. SEA or LEA Worksheet'!$A$4:$AE$324,31,0)</f>
        <v>33453.199999999997</v>
      </c>
      <c r="AU134" s="513" t="str">
        <f t="shared" si="75"/>
        <v>Met</v>
      </c>
      <c r="AW134" s="444">
        <f>VLOOKUP(A134,'42. SEA or LEA Worksheet'!$A$4:$AG$324,33,0)</f>
        <v>346682.33</v>
      </c>
      <c r="AX134" s="513" t="str">
        <f t="shared" si="80"/>
        <v>Met</v>
      </c>
      <c r="AZ134" s="444">
        <f>VLOOKUP(A134,'42. SEA or LEA Worksheet'!$A$4:$AG$324,31,0)/VLOOKUP(A134,'42. SEA or LEA Worksheet'!$A$4:$AD$324,30,0)</f>
        <v>1338.1279999999999</v>
      </c>
      <c r="BA134" s="513" t="str">
        <f t="shared" si="76"/>
        <v>Met</v>
      </c>
      <c r="BC134" s="444">
        <f>VLOOKUP(A134,'42. SEA or LEA Worksheet'!$A$4:$AG$324,33,0)/VLOOKUP(A134,'42. SEA or LEA Worksheet'!$A$4:$AD$324,30,0)</f>
        <v>13867.2932</v>
      </c>
      <c r="BD134" s="513" t="str">
        <f t="shared" si="81"/>
        <v>Met</v>
      </c>
      <c r="BF134" s="512" t="str">
        <f t="shared" si="83"/>
        <v>Met</v>
      </c>
      <c r="BG134" s="637">
        <f>VLOOKUP(A134,'42. SEA or LEA Worksheet'!$A$4:$AM$324,36,0)</f>
        <v>63764.39</v>
      </c>
      <c r="BH134" s="638" t="str">
        <f t="shared" si="87"/>
        <v>Met</v>
      </c>
      <c r="BI134" s="639"/>
      <c r="BJ134" s="637">
        <f>VLOOKUP(A134,'42. SEA or LEA Worksheet'!$A$4:$AM$324,38,0)</f>
        <v>282661.95</v>
      </c>
      <c r="BK134" s="638" t="str">
        <f t="shared" si="88"/>
        <v>Did not Meet</v>
      </c>
      <c r="BM134" s="631">
        <f>VLOOKUP(A134,'42. SEA or LEA Worksheet'!$A$4:$AL$324,36,0)/VLOOKUP(A134,'42. SEA or LEA Worksheet'!$A$4:$AL$324,35,0)</f>
        <v>3356.0205263157895</v>
      </c>
      <c r="BN134" s="632" t="str">
        <f t="shared" si="89"/>
        <v>Met</v>
      </c>
      <c r="BP134" s="631">
        <f>VLOOKUP(A134,'42. SEA or LEA Worksheet'!$A$4:$AL$324,38,0)/VLOOKUP(A134,'42. SEA or LEA Worksheet'!$A$4:$AL$324,35,0)</f>
        <v>14876.944736842106</v>
      </c>
      <c r="BQ134" s="632" t="str">
        <f t="shared" si="90"/>
        <v>Met</v>
      </c>
      <c r="BS134" s="620" t="str">
        <f t="shared" si="84"/>
        <v>Met</v>
      </c>
    </row>
    <row r="135" spans="1:71" x14ac:dyDescent="0.25">
      <c r="A135" s="343" t="s">
        <v>451</v>
      </c>
      <c r="B135" s="510" t="s">
        <v>955</v>
      </c>
      <c r="C135" s="511"/>
      <c r="D135" s="444">
        <v>796109.94</v>
      </c>
      <c r="E135" s="343" t="s">
        <v>856</v>
      </c>
      <c r="F135" s="511"/>
      <c r="G135" s="444">
        <v>12937863.799999999</v>
      </c>
      <c r="H135" s="343" t="s">
        <v>835</v>
      </c>
      <c r="I135" s="511"/>
      <c r="J135" s="444">
        <v>689.27267532467522</v>
      </c>
      <c r="K135" s="343" t="s">
        <v>856</v>
      </c>
      <c r="L135" s="511"/>
      <c r="M135" s="444">
        <v>11201.613679653679</v>
      </c>
      <c r="N135" s="343" t="s">
        <v>856</v>
      </c>
      <c r="O135" s="511"/>
      <c r="P135" s="512" t="str">
        <f t="shared" si="82"/>
        <v>Met</v>
      </c>
      <c r="Q135" s="511"/>
      <c r="R135" s="444">
        <f>VLOOKUP(A135,'2020-21'!$A$6:$F$319,6,0)</f>
        <v>797084.6</v>
      </c>
      <c r="S135" s="513" t="str">
        <f t="shared" si="91"/>
        <v>Met</v>
      </c>
      <c r="U135" s="444">
        <f>VLOOKUP(A135,'2020-21'!$A$6:$G$319,7,0)</f>
        <v>12497562.08</v>
      </c>
      <c r="V135" s="513" t="str">
        <f t="shared" si="92"/>
        <v>Did not Meet</v>
      </c>
      <c r="X135" s="444">
        <f>VLOOKUP(A135,'2020-21'!$A$6:$F$319,6,0)/VLOOKUP(A135,'42. SEA or LEA Worksheet'!$A$4:$T$324,20,0)</f>
        <v>714.23351254480281</v>
      </c>
      <c r="Y135" s="513" t="str">
        <f t="shared" si="93"/>
        <v>Met</v>
      </c>
      <c r="AA135" s="444">
        <f>VLOOKUP(A135,'42. SEA or LEA Worksheet'!$A$4:$W$324,23,0)/VLOOKUP(compliance!A135,'42. SEA or LEA Worksheet'!$A$4:$T$324,20,0)</f>
        <v>11198.532329749103</v>
      </c>
      <c r="AB135" s="513" t="str">
        <f t="shared" si="94"/>
        <v>Did not Meet</v>
      </c>
      <c r="AD135" s="512" t="str">
        <f t="shared" si="85"/>
        <v>Met</v>
      </c>
      <c r="AF135" s="444">
        <f>VLOOKUP(A135,'42. SEA or LEA Worksheet'!$A$4:$Z$324,26,0)</f>
        <v>1383615.22</v>
      </c>
      <c r="AG135" s="513" t="str">
        <f t="shared" si="95"/>
        <v>Met</v>
      </c>
      <c r="AI135" s="444">
        <f>VLOOKUP(A135,'42. SEA or LEA Worksheet'!$A$4:$AB$324,28,0)</f>
        <v>12870158.23</v>
      </c>
      <c r="AJ135" s="513" t="str">
        <f t="shared" si="96"/>
        <v>Met</v>
      </c>
      <c r="AL135" s="444">
        <f>VLOOKUP(compliance!A135,'42. SEA or LEA Worksheet'!$A$4:$AB$324,26,0)/VLOOKUP(compliance!A135,'42. SEA or LEA Worksheet'!$A$4:$Y$324,25,0)</f>
        <v>1275.2214009216589</v>
      </c>
      <c r="AM135" s="513" t="str">
        <f t="shared" si="97"/>
        <v>Met</v>
      </c>
      <c r="AO135" s="444">
        <f>VLOOKUP(A135,'42. SEA or LEA Worksheet'!$A$4:$AB$324,28,0)/VLOOKUP(compliance!A135,'42. SEA or LEA Worksheet'!$A$4:$Y$324,25,0)</f>
        <v>11861.896986175116</v>
      </c>
      <c r="AP135" s="513" t="str">
        <f t="shared" si="98"/>
        <v>Met</v>
      </c>
      <c r="AR135" s="512" t="str">
        <f t="shared" si="86"/>
        <v>Met</v>
      </c>
      <c r="AT135" s="444">
        <f>VLOOKUP(A135,'42. SEA or LEA Worksheet'!$A$4:$AE$324,31,0)</f>
        <v>1418114.18</v>
      </c>
      <c r="AU135" s="513" t="str">
        <f t="shared" ref="AU135:AU157" si="99">IF(AT135&gt;=AF135,"Met","Did not Meet")</f>
        <v>Met</v>
      </c>
      <c r="AW135" s="444">
        <f>VLOOKUP(A135,'42. SEA or LEA Worksheet'!$A$4:$AG$324,33,0)</f>
        <v>14325330.789999999</v>
      </c>
      <c r="AX135" s="513" t="str">
        <f t="shared" si="80"/>
        <v>Met</v>
      </c>
      <c r="AZ135" s="444">
        <f>VLOOKUP(A135,'42. SEA or LEA Worksheet'!$A$4:$AG$324,31,0)/VLOOKUP(A135,'42. SEA or LEA Worksheet'!$A$4:$AD$324,30,0)</f>
        <v>1185.7141973244147</v>
      </c>
      <c r="BA135" s="513" t="str">
        <f t="shared" ref="BA135:BA157" si="100">IF(AZ135&gt;=AL135,"Met","Did not Meet")</f>
        <v>Did not Meet</v>
      </c>
      <c r="BC135" s="444">
        <f>VLOOKUP(A135,'42. SEA or LEA Worksheet'!$A$4:$AG$324,33,0)/VLOOKUP(A135,'42. SEA or LEA Worksheet'!$A$4:$AD$324,30,0)</f>
        <v>11977.701329431437</v>
      </c>
      <c r="BD135" s="513" t="str">
        <f t="shared" si="81"/>
        <v>Met</v>
      </c>
      <c r="BF135" s="512" t="str">
        <f t="shared" si="83"/>
        <v>Met</v>
      </c>
      <c r="BG135" s="637">
        <f>VLOOKUP(A135,'42. SEA or LEA Worksheet'!$A$4:$AM$324,36,0)</f>
        <v>804735.03</v>
      </c>
      <c r="BH135" s="638" t="str">
        <f t="shared" si="87"/>
        <v>Did not Meet</v>
      </c>
      <c r="BI135" s="639"/>
      <c r="BJ135" s="637">
        <f>VLOOKUP(A135,'42. SEA or LEA Worksheet'!$A$4:$AM$324,38,0)</f>
        <v>15078009.039999999</v>
      </c>
      <c r="BK135" s="638" t="str">
        <f t="shared" si="88"/>
        <v>Met</v>
      </c>
      <c r="BM135" s="631">
        <f>VLOOKUP(A135,'42. SEA or LEA Worksheet'!$A$4:$AL$324,36,0)/VLOOKUP(A135,'42. SEA or LEA Worksheet'!$A$4:$AL$324,35,0)</f>
        <v>668.94017456359109</v>
      </c>
      <c r="BN135" s="632" t="str">
        <f t="shared" si="89"/>
        <v>Met</v>
      </c>
      <c r="BP135" s="631">
        <f>VLOOKUP(A135,'42. SEA or LEA Worksheet'!$A$4:$AL$324,38,0)/VLOOKUP(A135,'42. SEA or LEA Worksheet'!$A$4:$AL$324,35,0)</f>
        <v>12533.673349958437</v>
      </c>
      <c r="BQ135" s="632" t="str">
        <f t="shared" si="90"/>
        <v>Met</v>
      </c>
      <c r="BS135" s="620" t="str">
        <f t="shared" si="84"/>
        <v>Met</v>
      </c>
    </row>
    <row r="136" spans="1:71" x14ac:dyDescent="0.25">
      <c r="A136" s="343" t="s">
        <v>453</v>
      </c>
      <c r="B136" s="510" t="s">
        <v>956</v>
      </c>
      <c r="C136" s="511"/>
      <c r="D136" s="444">
        <v>63143.54</v>
      </c>
      <c r="E136" s="343" t="s">
        <v>835</v>
      </c>
      <c r="F136" s="511"/>
      <c r="G136" s="444">
        <v>183427.44</v>
      </c>
      <c r="H136" s="343" t="s">
        <v>835</v>
      </c>
      <c r="I136" s="511"/>
      <c r="J136" s="444">
        <v>4857.1953846153847</v>
      </c>
      <c r="K136" s="343" t="s">
        <v>835</v>
      </c>
      <c r="L136" s="511"/>
      <c r="M136" s="444">
        <v>14109.803076923077</v>
      </c>
      <c r="N136" s="343" t="s">
        <v>835</v>
      </c>
      <c r="O136" s="511"/>
      <c r="P136" s="512" t="str">
        <f t="shared" si="82"/>
        <v>Met</v>
      </c>
      <c r="Q136" s="511"/>
      <c r="R136" s="444">
        <f>VLOOKUP(A136,'2020-21'!$A$6:$F$319,6,0)</f>
        <v>0</v>
      </c>
      <c r="S136" s="513" t="str">
        <f t="shared" si="91"/>
        <v>Did not Meet</v>
      </c>
      <c r="U136" s="444">
        <f>VLOOKUP(A136,'2020-21'!$A$6:$G$319,7,0)</f>
        <v>210160.43</v>
      </c>
      <c r="V136" s="513" t="str">
        <f t="shared" si="92"/>
        <v>Met</v>
      </c>
      <c r="X136" s="444">
        <f>VLOOKUP(A136,'2020-21'!$A$6:$F$319,6,0)/VLOOKUP(A136,'42. SEA or LEA Worksheet'!$A$4:$T$324,20,0)</f>
        <v>0</v>
      </c>
      <c r="Y136" s="513" t="str">
        <f t="shared" si="93"/>
        <v>Did not Meet</v>
      </c>
      <c r="AA136" s="444">
        <f>VLOOKUP(A136,'42. SEA or LEA Worksheet'!$A$4:$W$324,23,0)/VLOOKUP(compliance!A136,'42. SEA or LEA Worksheet'!$A$4:$T$324,20,0)</f>
        <v>19105.493636363637</v>
      </c>
      <c r="AB136" s="513" t="str">
        <f t="shared" si="94"/>
        <v>Met</v>
      </c>
      <c r="AD136" s="512" t="str">
        <f t="shared" si="85"/>
        <v>Met</v>
      </c>
      <c r="AF136" s="444">
        <f>VLOOKUP(A136,'42. SEA or LEA Worksheet'!$A$4:$Z$324,26,0)</f>
        <v>0</v>
      </c>
      <c r="AG136" s="513" t="str">
        <f t="shared" si="95"/>
        <v>Met</v>
      </c>
      <c r="AI136" s="444">
        <f>VLOOKUP(A136,'42. SEA or LEA Worksheet'!$A$4:$AB$324,28,0)</f>
        <v>265588.53999999998</v>
      </c>
      <c r="AJ136" s="513" t="str">
        <f t="shared" si="96"/>
        <v>Met</v>
      </c>
      <c r="AL136" s="444">
        <f>VLOOKUP(compliance!A136,'42. SEA or LEA Worksheet'!$A$4:$AB$324,26,0)/VLOOKUP(compliance!A136,'42. SEA or LEA Worksheet'!$A$4:$Y$324,25,0)</f>
        <v>0</v>
      </c>
      <c r="AM136" s="513" t="str">
        <f t="shared" si="97"/>
        <v>Met</v>
      </c>
      <c r="AO136" s="444">
        <f>VLOOKUP(A136,'42. SEA or LEA Worksheet'!$A$4:$AB$324,28,0)/VLOOKUP(compliance!A136,'42. SEA or LEA Worksheet'!$A$4:$Y$324,25,0)</f>
        <v>14754.918888888888</v>
      </c>
      <c r="AP136" s="513" t="str">
        <f t="shared" si="98"/>
        <v>Did not Meet</v>
      </c>
      <c r="AR136" s="512" t="str">
        <f t="shared" si="86"/>
        <v>Met</v>
      </c>
      <c r="AT136" s="444">
        <f>VLOOKUP(A136,'42. SEA or LEA Worksheet'!$A$4:$AE$324,31,0)</f>
        <v>0</v>
      </c>
      <c r="AU136" s="513" t="str">
        <f t="shared" si="99"/>
        <v>Met</v>
      </c>
      <c r="AW136" s="444">
        <f>VLOOKUP(A136,'42. SEA or LEA Worksheet'!$A$4:$AG$324,33,0)</f>
        <v>302067.34000000003</v>
      </c>
      <c r="AX136" s="513" t="str">
        <f t="shared" si="80"/>
        <v>Met</v>
      </c>
      <c r="AZ136" s="444">
        <f>VLOOKUP(A136,'42. SEA or LEA Worksheet'!$A$4:$AG$324,31,0)/VLOOKUP(A136,'42. SEA or LEA Worksheet'!$A$4:$AD$324,30,0)</f>
        <v>0</v>
      </c>
      <c r="BA136" s="513" t="str">
        <f t="shared" si="100"/>
        <v>Met</v>
      </c>
      <c r="BC136" s="444">
        <f>VLOOKUP(A136,'42. SEA or LEA Worksheet'!$A$4:$AG$324,33,0)/VLOOKUP(A136,'42. SEA or LEA Worksheet'!$A$4:$AD$324,30,0)</f>
        <v>20137.822666666667</v>
      </c>
      <c r="BD136" s="513" t="str">
        <f t="shared" si="81"/>
        <v>Met</v>
      </c>
      <c r="BF136" s="512" t="str">
        <f t="shared" si="83"/>
        <v>Met</v>
      </c>
      <c r="BG136" s="637">
        <f>VLOOKUP(A136,'42. SEA or LEA Worksheet'!$A$4:$AM$324,36,0)</f>
        <v>0</v>
      </c>
      <c r="BH136" s="638" t="str">
        <f t="shared" si="87"/>
        <v>Met</v>
      </c>
      <c r="BI136" s="639"/>
      <c r="BJ136" s="637">
        <f>VLOOKUP(A136,'42. SEA or LEA Worksheet'!$A$4:$AM$324,38,0)</f>
        <v>324872.23</v>
      </c>
      <c r="BK136" s="638" t="str">
        <f t="shared" si="88"/>
        <v>Met</v>
      </c>
      <c r="BM136" s="631">
        <f>VLOOKUP(A136,'42. SEA or LEA Worksheet'!$A$4:$AL$324,36,0)/VLOOKUP(A136,'42. SEA or LEA Worksheet'!$A$4:$AL$324,35,0)</f>
        <v>0</v>
      </c>
      <c r="BN136" s="632" t="str">
        <f t="shared" si="89"/>
        <v>Met</v>
      </c>
      <c r="BP136" s="631">
        <f>VLOOKUP(A136,'42. SEA or LEA Worksheet'!$A$4:$AL$324,38,0)/VLOOKUP(A136,'42. SEA or LEA Worksheet'!$A$4:$AL$324,35,0)</f>
        <v>20304.514374999999</v>
      </c>
      <c r="BQ136" s="632" t="str">
        <f t="shared" si="90"/>
        <v>Met</v>
      </c>
      <c r="BS136" s="620" t="str">
        <f t="shared" si="84"/>
        <v>Met</v>
      </c>
    </row>
    <row r="137" spans="1:71" x14ac:dyDescent="0.25">
      <c r="A137" s="343" t="s">
        <v>455</v>
      </c>
      <c r="B137" s="510" t="s">
        <v>957</v>
      </c>
      <c r="C137" s="511"/>
      <c r="D137" s="444">
        <v>0</v>
      </c>
      <c r="E137" s="343" t="s">
        <v>856</v>
      </c>
      <c r="F137" s="511"/>
      <c r="G137" s="444">
        <v>775130.16</v>
      </c>
      <c r="H137" s="343" t="s">
        <v>835</v>
      </c>
      <c r="I137" s="511"/>
      <c r="J137" s="444">
        <v>0</v>
      </c>
      <c r="K137" s="343" t="s">
        <v>856</v>
      </c>
      <c r="L137" s="511"/>
      <c r="M137" s="444">
        <v>16850.655652173915</v>
      </c>
      <c r="N137" s="343" t="s">
        <v>835</v>
      </c>
      <c r="O137" s="511"/>
      <c r="P137" s="512" t="str">
        <f t="shared" si="82"/>
        <v>Met</v>
      </c>
      <c r="Q137" s="511"/>
      <c r="R137" s="444">
        <f>VLOOKUP(A137,'2020-21'!$A$6:$F$319,6,0)</f>
        <v>0</v>
      </c>
      <c r="S137" s="513" t="str">
        <f t="shared" si="91"/>
        <v>Met</v>
      </c>
      <c r="U137" s="444">
        <f>VLOOKUP(A137,'2020-21'!$A$6:$G$319,7,0)</f>
        <v>642169.52</v>
      </c>
      <c r="V137" s="513" t="str">
        <f t="shared" si="92"/>
        <v>Did not Meet</v>
      </c>
      <c r="X137" s="444">
        <f>VLOOKUP(A137,'2020-21'!$A$6:$F$319,6,0)/VLOOKUP(A137,'42. SEA or LEA Worksheet'!$A$4:$T$324,20,0)</f>
        <v>0</v>
      </c>
      <c r="Y137" s="513" t="str">
        <f t="shared" si="93"/>
        <v>Met</v>
      </c>
      <c r="AA137" s="444">
        <f>VLOOKUP(A137,'42. SEA or LEA Worksheet'!$A$4:$W$324,23,0)/VLOOKUP(compliance!A137,'42. SEA or LEA Worksheet'!$A$4:$T$324,20,0)</f>
        <v>16054.238000000001</v>
      </c>
      <c r="AB137" s="513" t="str">
        <f t="shared" si="94"/>
        <v>Did not Meet</v>
      </c>
      <c r="AD137" s="512" t="str">
        <f t="shared" si="85"/>
        <v>Met</v>
      </c>
      <c r="AF137" s="444">
        <f>VLOOKUP(A137,'42. SEA or LEA Worksheet'!$A$4:$Z$324,26,0)</f>
        <v>0</v>
      </c>
      <c r="AG137" s="513" t="str">
        <f t="shared" si="95"/>
        <v>Met</v>
      </c>
      <c r="AI137" s="444">
        <f>VLOOKUP(A137,'42. SEA or LEA Worksheet'!$A$4:$AB$324,28,0)</f>
        <v>722190.53</v>
      </c>
      <c r="AJ137" s="513" t="str">
        <f t="shared" si="96"/>
        <v>Met</v>
      </c>
      <c r="AL137" s="444">
        <f>VLOOKUP(compliance!A137,'42. SEA or LEA Worksheet'!$A$4:$AB$324,26,0)/VLOOKUP(compliance!A137,'42. SEA or LEA Worksheet'!$A$4:$Y$324,25,0)</f>
        <v>0</v>
      </c>
      <c r="AM137" s="513" t="str">
        <f t="shared" si="97"/>
        <v>Met</v>
      </c>
      <c r="AO137" s="444">
        <f>VLOOKUP(A137,'42. SEA or LEA Worksheet'!$A$4:$AB$324,28,0)/VLOOKUP(compliance!A137,'42. SEA or LEA Worksheet'!$A$4:$Y$324,25,0)</f>
        <v>16048.678444444446</v>
      </c>
      <c r="AP137" s="513" t="str">
        <f t="shared" si="98"/>
        <v>Did not Meet</v>
      </c>
      <c r="AR137" s="512" t="str">
        <f t="shared" si="86"/>
        <v>Met</v>
      </c>
      <c r="AT137" s="444">
        <f>VLOOKUP(A137,'42. SEA or LEA Worksheet'!$A$4:$AE$324,31,0)</f>
        <v>0</v>
      </c>
      <c r="AU137" s="513" t="str">
        <f t="shared" si="99"/>
        <v>Met</v>
      </c>
      <c r="AW137" s="444">
        <f>VLOOKUP(A137,'42. SEA or LEA Worksheet'!$A$4:$AG$324,33,0)</f>
        <v>831686.91</v>
      </c>
      <c r="AX137" s="513" t="str">
        <f t="shared" si="80"/>
        <v>Met</v>
      </c>
      <c r="AZ137" s="444">
        <f>VLOOKUP(A137,'42. SEA or LEA Worksheet'!$A$4:$AG$324,31,0)/VLOOKUP(A137,'42. SEA or LEA Worksheet'!$A$4:$AD$324,30,0)</f>
        <v>0</v>
      </c>
      <c r="BA137" s="513" t="str">
        <f t="shared" si="100"/>
        <v>Met</v>
      </c>
      <c r="BC137" s="444">
        <f>VLOOKUP(A137,'42. SEA or LEA Worksheet'!$A$4:$AG$324,33,0)/VLOOKUP(A137,'42. SEA or LEA Worksheet'!$A$4:$AD$324,30,0)</f>
        <v>15993.979038461539</v>
      </c>
      <c r="BD137" s="513" t="str">
        <f t="shared" si="81"/>
        <v>Did not Meet</v>
      </c>
      <c r="BF137" s="512" t="str">
        <f t="shared" si="83"/>
        <v>Met</v>
      </c>
      <c r="BG137" s="637">
        <f>VLOOKUP(A137,'42. SEA or LEA Worksheet'!$A$4:$AM$324,36,0)</f>
        <v>0</v>
      </c>
      <c r="BH137" s="638" t="str">
        <f t="shared" si="87"/>
        <v>Met</v>
      </c>
      <c r="BI137" s="639"/>
      <c r="BJ137" s="637">
        <f>VLOOKUP(A137,'42. SEA or LEA Worksheet'!$A$4:$AM$324,38,0)</f>
        <v>962138.77</v>
      </c>
      <c r="BK137" s="638" t="str">
        <f t="shared" si="88"/>
        <v>Met</v>
      </c>
      <c r="BM137" s="631">
        <f>VLOOKUP(A137,'42. SEA or LEA Worksheet'!$A$4:$AL$324,36,0)/VLOOKUP(A137,'42. SEA or LEA Worksheet'!$A$4:$AL$324,35,0)</f>
        <v>0</v>
      </c>
      <c r="BN137" s="632" t="str">
        <f t="shared" si="89"/>
        <v>Met</v>
      </c>
      <c r="BP137" s="631">
        <f>VLOOKUP(A137,'42. SEA or LEA Worksheet'!$A$4:$AL$324,38,0)/VLOOKUP(A137,'42. SEA or LEA Worksheet'!$A$4:$AL$324,35,0)</f>
        <v>18865.466078431375</v>
      </c>
      <c r="BQ137" s="632" t="str">
        <f t="shared" si="90"/>
        <v>Met</v>
      </c>
      <c r="BS137" s="620" t="str">
        <f t="shared" si="84"/>
        <v>Met</v>
      </c>
    </row>
    <row r="138" spans="1:71" x14ac:dyDescent="0.25">
      <c r="A138" s="536" t="s">
        <v>457</v>
      </c>
      <c r="B138" s="510" t="s">
        <v>1275</v>
      </c>
      <c r="C138" s="511"/>
      <c r="D138" s="444">
        <v>0</v>
      </c>
      <c r="F138" s="511"/>
      <c r="G138" s="444">
        <v>0</v>
      </c>
      <c r="I138" s="511"/>
      <c r="J138" s="444">
        <v>0</v>
      </c>
      <c r="L138" s="511"/>
      <c r="M138" s="444">
        <v>0</v>
      </c>
      <c r="O138" s="511"/>
      <c r="P138" s="512"/>
      <c r="Q138" s="511"/>
      <c r="R138" s="444">
        <f>VLOOKUP(A138,'2020-21'!$A$6:$F$319,6,0)</f>
        <v>0</v>
      </c>
      <c r="S138" s="513" t="str">
        <f t="shared" si="91"/>
        <v>Met</v>
      </c>
      <c r="U138" s="444">
        <f>VLOOKUP(A138,'2020-21'!$A$6:$G$319,7,0)</f>
        <v>84705.29</v>
      </c>
      <c r="V138" s="513" t="str">
        <f t="shared" si="92"/>
        <v>Met</v>
      </c>
      <c r="X138" s="444">
        <f>VLOOKUP(A138,'2020-21'!$A$6:$F$319,6,0)/VLOOKUP(A138,'42. SEA or LEA Worksheet'!$A$4:$T$324,20,0)</f>
        <v>0</v>
      </c>
      <c r="Y138" s="513" t="str">
        <f t="shared" si="93"/>
        <v>Met</v>
      </c>
      <c r="AA138" s="444">
        <f>VLOOKUP(A138,'42. SEA or LEA Worksheet'!$A$4:$W$324,23,0)/VLOOKUP(compliance!A138,'42. SEA or LEA Worksheet'!$A$4:$T$324,20,0)</f>
        <v>12100.755714285713</v>
      </c>
      <c r="AB138" s="513" t="str">
        <f t="shared" si="94"/>
        <v>Met</v>
      </c>
      <c r="AD138" s="512" t="str">
        <f t="shared" si="85"/>
        <v>Met</v>
      </c>
      <c r="AF138" s="444">
        <f>VLOOKUP(A138,'42. SEA or LEA Worksheet'!$A$4:$Z$324,26,0)</f>
        <v>9600</v>
      </c>
      <c r="AG138" s="513" t="str">
        <f t="shared" si="95"/>
        <v>Met</v>
      </c>
      <c r="AI138" s="444">
        <f>VLOOKUP(A138,'42. SEA or LEA Worksheet'!$A$4:$AB$324,28,0)</f>
        <v>84688.27</v>
      </c>
      <c r="AJ138" s="513" t="str">
        <f t="shared" si="96"/>
        <v>Did not Meet</v>
      </c>
      <c r="AL138" s="444">
        <f>VLOOKUP(compliance!A138,'42. SEA or LEA Worksheet'!$A$4:$AB$324,26,0)/VLOOKUP(compliance!A138,'42. SEA or LEA Worksheet'!$A$4:$Y$324,25,0)</f>
        <v>1371.4285714285713</v>
      </c>
      <c r="AM138" s="513" t="str">
        <f t="shared" si="97"/>
        <v>Met</v>
      </c>
      <c r="AO138" s="444">
        <f>VLOOKUP(A138,'42. SEA or LEA Worksheet'!$A$4:$AB$324,28,0)/VLOOKUP(compliance!A138,'42. SEA or LEA Worksheet'!$A$4:$Y$324,25,0)</f>
        <v>12098.324285714287</v>
      </c>
      <c r="AP138" s="513" t="str">
        <f t="shared" si="98"/>
        <v>Did not Meet</v>
      </c>
      <c r="AR138" s="512" t="str">
        <f t="shared" si="86"/>
        <v>Met</v>
      </c>
      <c r="AT138" s="444">
        <f>VLOOKUP(A138,'42. SEA or LEA Worksheet'!$A$4:$AE$324,31,0)</f>
        <v>15300</v>
      </c>
      <c r="AU138" s="513" t="str">
        <f t="shared" si="99"/>
        <v>Met</v>
      </c>
      <c r="AW138" s="444">
        <f>VLOOKUP(A138,'42. SEA or LEA Worksheet'!$A$4:$AG$324,33,0)</f>
        <v>87776.19</v>
      </c>
      <c r="AX138" s="513" t="str">
        <f t="shared" si="80"/>
        <v>Met</v>
      </c>
      <c r="AZ138" s="444">
        <f>VLOOKUP(A138,'42. SEA or LEA Worksheet'!$A$4:$AG$324,31,0)/VLOOKUP(A138,'42. SEA or LEA Worksheet'!$A$4:$AD$324,30,0)</f>
        <v>1700</v>
      </c>
      <c r="BA138" s="513" t="str">
        <f t="shared" si="100"/>
        <v>Met</v>
      </c>
      <c r="BC138" s="444">
        <f>VLOOKUP(A138,'42. SEA or LEA Worksheet'!$A$4:$AG$324,33,0)/VLOOKUP(A138,'42. SEA or LEA Worksheet'!$A$4:$AD$324,30,0)</f>
        <v>9752.91</v>
      </c>
      <c r="BD138" s="513" t="str">
        <f t="shared" si="81"/>
        <v>Did not Meet</v>
      </c>
      <c r="BF138" s="512" t="str">
        <f>IF(AND(AU138="Did not Meet",AX138="Did not Meet", BA138="Did not Meet",BD138="Did not Meet",),"Did not Meet","Met")</f>
        <v>Met</v>
      </c>
      <c r="BG138" s="637">
        <f>VLOOKUP(A138,'42. SEA or LEA Worksheet'!$A$4:$AM$324,36,0)</f>
        <v>0</v>
      </c>
      <c r="BH138" s="638" t="str">
        <f t="shared" si="87"/>
        <v>Did not Meet</v>
      </c>
      <c r="BI138" s="639"/>
      <c r="BJ138" s="637">
        <f>VLOOKUP(A138,'42. SEA or LEA Worksheet'!$A$4:$AM$324,38,0)</f>
        <v>82357.789999999994</v>
      </c>
      <c r="BK138" s="638" t="str">
        <f t="shared" si="88"/>
        <v>Did not Meet</v>
      </c>
      <c r="BM138" s="631">
        <f>VLOOKUP(A138,'42. SEA or LEA Worksheet'!$A$4:$AL$324,36,0)/VLOOKUP(A138,'42. SEA or LEA Worksheet'!$A$4:$AL$324,35,0)</f>
        <v>0</v>
      </c>
      <c r="BN138" s="632" t="str">
        <f t="shared" si="89"/>
        <v>Met</v>
      </c>
      <c r="BP138" s="631">
        <f>VLOOKUP(A138,'42. SEA or LEA Worksheet'!$A$4:$AL$324,38,0)/VLOOKUP(A138,'42. SEA or LEA Worksheet'!$A$4:$AL$324,35,0)</f>
        <v>20589.447499999998</v>
      </c>
      <c r="BQ138" s="632" t="str">
        <f t="shared" si="90"/>
        <v>Met</v>
      </c>
      <c r="BS138" s="620" t="str">
        <f>IF(AND(BH138="Did not Meet",BK138="Did not Meet", BN138="Did not Meet",BQ138="Did not Meet",),"Did not Meet","Met")</f>
        <v>Met</v>
      </c>
    </row>
    <row r="139" spans="1:71" x14ac:dyDescent="0.25">
      <c r="A139" s="343" t="s">
        <v>458</v>
      </c>
      <c r="B139" s="510" t="s">
        <v>958</v>
      </c>
      <c r="C139" s="511"/>
      <c r="D139" s="444">
        <v>0</v>
      </c>
      <c r="E139" s="343" t="s">
        <v>835</v>
      </c>
      <c r="F139" s="511"/>
      <c r="G139" s="444">
        <v>322509.59000000003</v>
      </c>
      <c r="H139" s="343" t="s">
        <v>856</v>
      </c>
      <c r="I139" s="511"/>
      <c r="J139" s="444">
        <v>0</v>
      </c>
      <c r="K139" s="343" t="s">
        <v>835</v>
      </c>
      <c r="L139" s="511"/>
      <c r="M139" s="444">
        <v>8716.4754054054065</v>
      </c>
      <c r="N139" s="343" t="s">
        <v>856</v>
      </c>
      <c r="O139" s="511"/>
      <c r="P139" s="512" t="str">
        <f t="shared" ref="P139:P170" si="101">IF(AND(E139="Did not Meet",H139="Did not Meet",K139="Did not Meet", N139="Did not Meet"),"Did not Meet","Met")</f>
        <v>Met</v>
      </c>
      <c r="Q139" s="511"/>
      <c r="R139" s="444">
        <f>VLOOKUP(A139,'2020-21'!$A$6:$F$319,6,0)</f>
        <v>0</v>
      </c>
      <c r="S139" s="513" t="str">
        <f t="shared" si="91"/>
        <v>Met</v>
      </c>
      <c r="U139" s="444">
        <f>VLOOKUP(A139,'2020-21'!$A$6:$G$319,7,0)</f>
        <v>0</v>
      </c>
      <c r="V139" s="513" t="str">
        <f t="shared" si="92"/>
        <v>Did not Meet</v>
      </c>
      <c r="X139" s="444">
        <v>0</v>
      </c>
      <c r="Y139" s="513" t="str">
        <f t="shared" si="93"/>
        <v>Met</v>
      </c>
      <c r="AA139" s="444">
        <f>VLOOKUP(A139,'42. SEA or LEA Worksheet'!$A$4:$W$324,23,0)/VLOOKUP(compliance!A139,'42. SEA or LEA Worksheet'!$A$4:$T$324,20,0)</f>
        <v>0</v>
      </c>
      <c r="AB139" s="513" t="str">
        <f t="shared" si="94"/>
        <v>Did not Meet</v>
      </c>
      <c r="AD139" s="512" t="str">
        <f t="shared" si="85"/>
        <v>Met</v>
      </c>
      <c r="AF139" s="444">
        <f>VLOOKUP(A139,'42. SEA or LEA Worksheet'!$A$4:$Z$324,26,0)</f>
        <v>0</v>
      </c>
      <c r="AG139" s="513" t="str">
        <f t="shared" si="95"/>
        <v>Met</v>
      </c>
      <c r="AI139" s="444">
        <f>VLOOKUP(A139,'42. SEA or LEA Worksheet'!$A$4:$AB$324,28,0)</f>
        <v>394620.45</v>
      </c>
      <c r="AJ139" s="513" t="str">
        <f t="shared" si="96"/>
        <v>Met</v>
      </c>
      <c r="AL139" s="444">
        <f>VLOOKUP(compliance!A139,'42. SEA or LEA Worksheet'!$A$4:$AB$324,26,0)/VLOOKUP(compliance!A139,'42. SEA or LEA Worksheet'!$A$4:$Y$324,25,0)</f>
        <v>0</v>
      </c>
      <c r="AM139" s="513" t="str">
        <f t="shared" si="97"/>
        <v>Met</v>
      </c>
      <c r="AO139" s="444">
        <f>VLOOKUP(A139,'42. SEA or LEA Worksheet'!$A$4:$AB$324,28,0)/VLOOKUP(compliance!A139,'42. SEA or LEA Worksheet'!$A$4:$Y$324,25,0)</f>
        <v>9177.2197674418603</v>
      </c>
      <c r="AP139" s="513" t="str">
        <f t="shared" si="98"/>
        <v>Met</v>
      </c>
      <c r="AR139" s="512" t="str">
        <f t="shared" si="86"/>
        <v>Met</v>
      </c>
      <c r="AT139" s="444">
        <f>VLOOKUP(A139,'42. SEA or LEA Worksheet'!$A$4:$AE$324,31,0)</f>
        <v>0</v>
      </c>
      <c r="AU139" s="513" t="str">
        <f t="shared" si="99"/>
        <v>Met</v>
      </c>
      <c r="AW139" s="444">
        <f>VLOOKUP(A139,'42. SEA or LEA Worksheet'!$A$4:$AG$324,33,0)</f>
        <v>387242.04</v>
      </c>
      <c r="AX139" s="513" t="str">
        <f t="shared" si="80"/>
        <v>Did not Meet</v>
      </c>
      <c r="AZ139" s="444">
        <f>VLOOKUP(A139,'42. SEA or LEA Worksheet'!$A$4:$AG$324,31,0)/VLOOKUP(A139,'42. SEA or LEA Worksheet'!$A$4:$AD$324,30,0)</f>
        <v>0</v>
      </c>
      <c r="BA139" s="513" t="str">
        <f t="shared" si="100"/>
        <v>Met</v>
      </c>
      <c r="BC139" s="444">
        <f>VLOOKUP(A139,'42. SEA or LEA Worksheet'!$A$4:$AG$324,33,0)/VLOOKUP(A139,'42. SEA or LEA Worksheet'!$A$4:$AD$324,30,0)</f>
        <v>9929.2830769230768</v>
      </c>
      <c r="BD139" s="513" t="str">
        <f t="shared" si="81"/>
        <v>Met</v>
      </c>
      <c r="BF139" s="512" t="str">
        <f t="shared" ref="BF139:BF149" si="102">IF(AND(AU139="Did not Meet",AX139="Did not Meet", BA139="Did not Meet",BD139="Did not Meet"),"Did not Meet","Met")</f>
        <v>Met</v>
      </c>
      <c r="BG139" s="637">
        <f>VLOOKUP(A139,'42. SEA or LEA Worksheet'!$A$4:$AM$324,36,0)</f>
        <v>0</v>
      </c>
      <c r="BH139" s="638" t="str">
        <f t="shared" si="87"/>
        <v>Met</v>
      </c>
      <c r="BI139" s="639"/>
      <c r="BJ139" s="637">
        <f>VLOOKUP(A139,'42. SEA or LEA Worksheet'!$A$4:$AM$324,38,0)</f>
        <v>389579.89</v>
      </c>
      <c r="BK139" s="638" t="str">
        <f t="shared" si="88"/>
        <v>Met</v>
      </c>
      <c r="BM139" s="631">
        <f>VLOOKUP(A139,'42. SEA or LEA Worksheet'!$A$4:$AL$324,36,0)/VLOOKUP(A139,'42. SEA or LEA Worksheet'!$A$4:$AL$324,35,0)</f>
        <v>0</v>
      </c>
      <c r="BN139" s="632" t="str">
        <f t="shared" si="89"/>
        <v>Met</v>
      </c>
      <c r="BP139" s="631">
        <f>VLOOKUP(A139,'42. SEA or LEA Worksheet'!$A$4:$AL$324,38,0)/VLOOKUP(A139,'42. SEA or LEA Worksheet'!$A$4:$AL$324,35,0)</f>
        <v>12174.3715625</v>
      </c>
      <c r="BQ139" s="632" t="str">
        <f t="shared" si="90"/>
        <v>Met</v>
      </c>
      <c r="BS139" s="620" t="str">
        <f t="shared" ref="BS139:BS149" si="103">IF(AND(BH139="Did not Meet",BK139="Did not Meet", BN139="Did not Meet",BQ139="Did not Meet"),"Did not Meet","Met")</f>
        <v>Met</v>
      </c>
    </row>
    <row r="140" spans="1:71" x14ac:dyDescent="0.25">
      <c r="A140" s="343" t="s">
        <v>460</v>
      </c>
      <c r="B140" s="510" t="s">
        <v>959</v>
      </c>
      <c r="C140" s="511"/>
      <c r="D140" s="444">
        <v>593697.55000000005</v>
      </c>
      <c r="E140" s="343" t="s">
        <v>835</v>
      </c>
      <c r="F140" s="511"/>
      <c r="G140" s="444">
        <v>6853695.3999999994</v>
      </c>
      <c r="H140" s="343" t="s">
        <v>835</v>
      </c>
      <c r="I140" s="511"/>
      <c r="J140" s="444">
        <v>1063.9741039426524</v>
      </c>
      <c r="K140" s="343" t="s">
        <v>835</v>
      </c>
      <c r="L140" s="511"/>
      <c r="M140" s="444">
        <v>12282.608243727598</v>
      </c>
      <c r="N140" s="343" t="s">
        <v>856</v>
      </c>
      <c r="O140" s="511"/>
      <c r="P140" s="512" t="str">
        <f t="shared" si="101"/>
        <v>Met</v>
      </c>
      <c r="Q140" s="511"/>
      <c r="R140" s="444">
        <f>VLOOKUP(A140,'2020-21'!$A$6:$F$319,6,0)</f>
        <v>420060</v>
      </c>
      <c r="S140" s="513" t="str">
        <f t="shared" si="91"/>
        <v>Did not Meet</v>
      </c>
      <c r="U140" s="444">
        <f>VLOOKUP(A140,'2020-21'!$A$6:$G$319,7,0)</f>
        <v>7268205.7000000002</v>
      </c>
      <c r="V140" s="513" t="str">
        <f t="shared" si="92"/>
        <v>Met</v>
      </c>
      <c r="X140" s="444">
        <f>VLOOKUP(A140,'2020-21'!$A$6:$F$319,6,0)/VLOOKUP(A140,'42. SEA or LEA Worksheet'!$A$4:$T$324,20,0)</f>
        <v>859.01840490797542</v>
      </c>
      <c r="Y140" s="513" t="str">
        <f t="shared" si="93"/>
        <v>Did not Meet</v>
      </c>
      <c r="AA140" s="444">
        <f>VLOOKUP(A140,'42. SEA or LEA Worksheet'!$A$4:$W$324,23,0)/VLOOKUP(compliance!A140,'42. SEA or LEA Worksheet'!$A$4:$T$324,20,0)</f>
        <v>14863.406339468303</v>
      </c>
      <c r="AB140" s="513" t="str">
        <f t="shared" si="94"/>
        <v>Met</v>
      </c>
      <c r="AD140" s="512" t="str">
        <f t="shared" si="85"/>
        <v>Met</v>
      </c>
      <c r="AF140" s="444">
        <f>VLOOKUP(A140,'42. SEA or LEA Worksheet'!$A$4:$Z$324,26,0)</f>
        <v>500000</v>
      </c>
      <c r="AG140" s="513" t="str">
        <f t="shared" si="95"/>
        <v>Met</v>
      </c>
      <c r="AI140" s="444">
        <f>VLOOKUP(A140,'42. SEA or LEA Worksheet'!$A$4:$AB$324,28,0)</f>
        <v>7196496.3499999996</v>
      </c>
      <c r="AJ140" s="513" t="str">
        <f t="shared" si="96"/>
        <v>Did not Meet</v>
      </c>
      <c r="AL140" s="444">
        <f>VLOOKUP(compliance!A140,'42. SEA or LEA Worksheet'!$A$4:$AB$324,26,0)/VLOOKUP(compliance!A140,'42. SEA or LEA Worksheet'!$A$4:$Y$324,25,0)</f>
        <v>1000</v>
      </c>
      <c r="AM140" s="513" t="str">
        <f t="shared" si="97"/>
        <v>Met</v>
      </c>
      <c r="AO140" s="444">
        <f>VLOOKUP(A140,'42. SEA or LEA Worksheet'!$A$4:$AB$324,28,0)/VLOOKUP(compliance!A140,'42. SEA or LEA Worksheet'!$A$4:$Y$324,25,0)</f>
        <v>14392.992699999999</v>
      </c>
      <c r="AP140" s="513" t="str">
        <f t="shared" si="98"/>
        <v>Did not Meet</v>
      </c>
      <c r="AR140" s="512" t="str">
        <f t="shared" si="86"/>
        <v>Met</v>
      </c>
      <c r="AT140" s="444">
        <f>VLOOKUP(A140,'42. SEA or LEA Worksheet'!$A$4:$AE$324,31,0)</f>
        <v>508984.02</v>
      </c>
      <c r="AU140" s="513" t="str">
        <f t="shared" si="99"/>
        <v>Met</v>
      </c>
      <c r="AW140" s="444">
        <f>VLOOKUP(A140,'42. SEA or LEA Worksheet'!$A$4:$AG$324,33,0)</f>
        <v>7347093.0299999993</v>
      </c>
      <c r="AX140" s="513" t="str">
        <f t="shared" si="80"/>
        <v>Met</v>
      </c>
      <c r="AZ140" s="444">
        <f>VLOOKUP(A140,'42. SEA or LEA Worksheet'!$A$4:$AG$324,31,0)/VLOOKUP(A140,'42. SEA or LEA Worksheet'!$A$4:$AD$324,30,0)</f>
        <v>976.93669865642994</v>
      </c>
      <c r="BA140" s="513" t="str">
        <f t="shared" si="100"/>
        <v>Did not Meet</v>
      </c>
      <c r="BC140" s="444">
        <f>VLOOKUP(A140,'42. SEA or LEA Worksheet'!$A$4:$AG$324,33,0)/VLOOKUP(A140,'42. SEA or LEA Worksheet'!$A$4:$AD$324,30,0)</f>
        <v>14101.906007677542</v>
      </c>
      <c r="BD140" s="513" t="str">
        <f t="shared" si="81"/>
        <v>Did not Meet</v>
      </c>
      <c r="BF140" s="512" t="str">
        <f t="shared" si="102"/>
        <v>Met</v>
      </c>
      <c r="BG140" s="637">
        <f>VLOOKUP(A140,'42. SEA or LEA Worksheet'!$A$4:$AM$324,36,0)</f>
        <v>577357.54</v>
      </c>
      <c r="BH140" s="638" t="str">
        <f t="shared" si="87"/>
        <v>Met</v>
      </c>
      <c r="BI140" s="639"/>
      <c r="BJ140" s="637">
        <f>VLOOKUP(A140,'42. SEA or LEA Worksheet'!$A$4:$AM$324,38,0)</f>
        <v>7847170.0099999998</v>
      </c>
      <c r="BK140" s="638" t="str">
        <f t="shared" si="88"/>
        <v>Met</v>
      </c>
      <c r="BM140" s="631">
        <f>VLOOKUP(A140,'42. SEA or LEA Worksheet'!$A$4:$AL$324,36,0)/VLOOKUP(A140,'42. SEA or LEA Worksheet'!$A$4:$AL$324,35,0)</f>
        <v>1093.4801893939396</v>
      </c>
      <c r="BN140" s="632" t="str">
        <f t="shared" si="89"/>
        <v>Met</v>
      </c>
      <c r="BP140" s="631">
        <f>VLOOKUP(A140,'42. SEA or LEA Worksheet'!$A$4:$AL$324,38,0)/VLOOKUP(A140,'42. SEA or LEA Worksheet'!$A$4:$AL$324,35,0)</f>
        <v>14862.064412878788</v>
      </c>
      <c r="BQ140" s="632" t="str">
        <f t="shared" si="90"/>
        <v>Met</v>
      </c>
      <c r="BS140" s="620" t="str">
        <f t="shared" si="103"/>
        <v>Met</v>
      </c>
    </row>
    <row r="141" spans="1:71" x14ac:dyDescent="0.25">
      <c r="A141" s="343" t="s">
        <v>462</v>
      </c>
      <c r="B141" s="510" t="s">
        <v>960</v>
      </c>
      <c r="C141" s="511"/>
      <c r="D141" s="444">
        <v>0</v>
      </c>
      <c r="E141" s="343" t="s">
        <v>835</v>
      </c>
      <c r="F141" s="511"/>
      <c r="G141" s="444">
        <v>983612.71</v>
      </c>
      <c r="H141" s="343" t="s">
        <v>835</v>
      </c>
      <c r="I141" s="511"/>
      <c r="J141" s="444">
        <v>0</v>
      </c>
      <c r="K141" s="343" t="s">
        <v>835</v>
      </c>
      <c r="L141" s="511"/>
      <c r="M141" s="444">
        <v>9935.4819191919196</v>
      </c>
      <c r="N141" s="343" t="s">
        <v>856</v>
      </c>
      <c r="O141" s="511"/>
      <c r="P141" s="512" t="str">
        <f t="shared" si="101"/>
        <v>Met</v>
      </c>
      <c r="Q141" s="511"/>
      <c r="R141" s="444">
        <f>VLOOKUP(A141,'2020-21'!$A$6:$F$319,6,0)</f>
        <v>0</v>
      </c>
      <c r="S141" s="513" t="str">
        <f t="shared" si="91"/>
        <v>Met</v>
      </c>
      <c r="U141" s="444">
        <f>VLOOKUP(A141,'2020-21'!$A$6:$G$319,7,0)</f>
        <v>964019.18</v>
      </c>
      <c r="V141" s="513" t="str">
        <f t="shared" si="92"/>
        <v>Did not Meet</v>
      </c>
      <c r="X141" s="444">
        <f>VLOOKUP(A141,'2020-21'!$A$6:$F$319,6,0)/VLOOKUP(A141,'42. SEA or LEA Worksheet'!$A$4:$T$324,20,0)</f>
        <v>0</v>
      </c>
      <c r="Y141" s="513" t="str">
        <f t="shared" si="93"/>
        <v>Met</v>
      </c>
      <c r="AA141" s="444">
        <f>VLOOKUP(A141,'42. SEA or LEA Worksheet'!$A$4:$W$324,23,0)/VLOOKUP(compliance!A141,'42. SEA or LEA Worksheet'!$A$4:$T$324,20,0)</f>
        <v>10255.523191489363</v>
      </c>
      <c r="AB141" s="513" t="str">
        <f t="shared" si="94"/>
        <v>Met</v>
      </c>
      <c r="AD141" s="512" t="str">
        <f t="shared" si="85"/>
        <v>Met</v>
      </c>
      <c r="AF141" s="444">
        <f>VLOOKUP(A141,'42. SEA or LEA Worksheet'!$A$4:$Z$324,26,0)</f>
        <v>0</v>
      </c>
      <c r="AG141" s="513" t="str">
        <f t="shared" si="95"/>
        <v>Met</v>
      </c>
      <c r="AI141" s="444">
        <f>VLOOKUP(A141,'42. SEA or LEA Worksheet'!$A$4:$AB$324,28,0)</f>
        <v>834437.66</v>
      </c>
      <c r="AJ141" s="513" t="str">
        <f t="shared" si="96"/>
        <v>Did not Meet</v>
      </c>
      <c r="AL141" s="444">
        <f>VLOOKUP(compliance!A141,'42. SEA or LEA Worksheet'!$A$4:$AB$324,26,0)/VLOOKUP(compliance!A141,'42. SEA or LEA Worksheet'!$A$4:$Y$324,25,0)</f>
        <v>0</v>
      </c>
      <c r="AM141" s="513" t="str">
        <f t="shared" si="97"/>
        <v>Met</v>
      </c>
      <c r="AO141" s="444">
        <f>VLOOKUP(A141,'42. SEA or LEA Worksheet'!$A$4:$AB$324,28,0)/VLOOKUP(compliance!A141,'42. SEA or LEA Worksheet'!$A$4:$Y$324,25,0)</f>
        <v>9482.2461363636376</v>
      </c>
      <c r="AP141" s="513" t="str">
        <f t="shared" si="98"/>
        <v>Did not Meet</v>
      </c>
      <c r="AR141" s="512" t="str">
        <f t="shared" si="86"/>
        <v>Met</v>
      </c>
      <c r="AT141" s="444">
        <f>VLOOKUP(A141,'42. SEA or LEA Worksheet'!$A$4:$AE$324,31,0)</f>
        <v>0</v>
      </c>
      <c r="AU141" s="513" t="str">
        <f t="shared" si="99"/>
        <v>Met</v>
      </c>
      <c r="AW141" s="444">
        <f>VLOOKUP(A141,'42. SEA or LEA Worksheet'!$A$4:$AG$324,33,0)</f>
        <v>1025727.43</v>
      </c>
      <c r="AX141" s="513" t="str">
        <f t="shared" si="80"/>
        <v>Met</v>
      </c>
      <c r="AZ141" s="444">
        <f>VLOOKUP(A141,'42. SEA or LEA Worksheet'!$A$4:$AG$324,31,0)/VLOOKUP(A141,'42. SEA or LEA Worksheet'!$A$4:$AD$324,30,0)</f>
        <v>0</v>
      </c>
      <c r="BA141" s="513" t="str">
        <f t="shared" si="100"/>
        <v>Met</v>
      </c>
      <c r="BC141" s="444">
        <f>VLOOKUP(A141,'42. SEA or LEA Worksheet'!$A$4:$AG$324,33,0)/VLOOKUP(A141,'42. SEA or LEA Worksheet'!$A$4:$AD$324,30,0)</f>
        <v>12508.871097560976</v>
      </c>
      <c r="BD141" s="513" t="str">
        <f t="shared" si="81"/>
        <v>Met</v>
      </c>
      <c r="BF141" s="512" t="str">
        <f t="shared" si="102"/>
        <v>Met</v>
      </c>
      <c r="BG141" s="637">
        <f>VLOOKUP(A141,'42. SEA or LEA Worksheet'!$A$4:$AM$324,36,0)</f>
        <v>0</v>
      </c>
      <c r="BH141" s="638" t="str">
        <f t="shared" si="87"/>
        <v>Met</v>
      </c>
      <c r="BI141" s="639"/>
      <c r="BJ141" s="637">
        <f>VLOOKUP(A141,'42. SEA or LEA Worksheet'!$A$4:$AM$324,38,0)</f>
        <v>894608.58</v>
      </c>
      <c r="BK141" s="638" t="str">
        <f t="shared" si="88"/>
        <v>Did not Meet</v>
      </c>
      <c r="BM141" s="631">
        <f>VLOOKUP(A141,'42. SEA or LEA Worksheet'!$A$4:$AL$324,36,0)/VLOOKUP(A141,'42. SEA or LEA Worksheet'!$A$4:$AL$324,35,0)</f>
        <v>0</v>
      </c>
      <c r="BN141" s="632" t="str">
        <f t="shared" si="89"/>
        <v>Met</v>
      </c>
      <c r="BP141" s="631">
        <f>VLOOKUP(A141,'42. SEA or LEA Worksheet'!$A$4:$AL$324,38,0)/VLOOKUP(A141,'42. SEA or LEA Worksheet'!$A$4:$AL$324,35,0)</f>
        <v>10524.80682352941</v>
      </c>
      <c r="BQ141" s="632" t="str">
        <f t="shared" si="90"/>
        <v>Met</v>
      </c>
      <c r="BS141" s="620" t="str">
        <f t="shared" si="103"/>
        <v>Met</v>
      </c>
    </row>
    <row r="142" spans="1:71" x14ac:dyDescent="0.25">
      <c r="A142" s="343" t="s">
        <v>464</v>
      </c>
      <c r="B142" s="510" t="s">
        <v>961</v>
      </c>
      <c r="C142" s="511"/>
      <c r="D142" s="444">
        <v>17751.3</v>
      </c>
      <c r="E142" s="343" t="s">
        <v>856</v>
      </c>
      <c r="F142" s="511"/>
      <c r="G142" s="444">
        <v>121530</v>
      </c>
      <c r="H142" s="343" t="s">
        <v>835</v>
      </c>
      <c r="I142" s="511"/>
      <c r="J142" s="444">
        <v>1479.2749999999999</v>
      </c>
      <c r="K142" s="343" t="s">
        <v>856</v>
      </c>
      <c r="L142" s="511"/>
      <c r="M142" s="444">
        <v>10127.5</v>
      </c>
      <c r="N142" s="343" t="s">
        <v>835</v>
      </c>
      <c r="O142" s="511"/>
      <c r="P142" s="512" t="str">
        <f t="shared" si="101"/>
        <v>Met</v>
      </c>
      <c r="Q142" s="511"/>
      <c r="R142" s="444">
        <f>VLOOKUP(A142,'2020-21'!$A$6:$F$319,6,0)</f>
        <v>0</v>
      </c>
      <c r="S142" s="513" t="str">
        <f t="shared" si="91"/>
        <v>Did not Meet</v>
      </c>
      <c r="U142" s="444">
        <f>VLOOKUP(A142,'2020-21'!$A$6:$G$319,7,0)</f>
        <v>102490.89</v>
      </c>
      <c r="V142" s="513" t="str">
        <f t="shared" si="92"/>
        <v>Did not Meet</v>
      </c>
      <c r="X142" s="444">
        <f>VLOOKUP(A142,'2020-21'!$A$6:$F$319,6,0)/VLOOKUP(A142,'42. SEA or LEA Worksheet'!$A$4:$T$324,20,0)</f>
        <v>0</v>
      </c>
      <c r="Y142" s="513" t="str">
        <f t="shared" si="93"/>
        <v>Did not Meet</v>
      </c>
      <c r="AA142" s="444">
        <f>VLOOKUP(A142,'42. SEA or LEA Worksheet'!$A$4:$W$324,23,0)/VLOOKUP(compliance!A142,'42. SEA or LEA Worksheet'!$A$4:$T$324,20,0)</f>
        <v>8540.9074999999993</v>
      </c>
      <c r="AB142" s="513" t="str">
        <f t="shared" si="94"/>
        <v>Did not Meet</v>
      </c>
      <c r="AD142" s="512" t="str">
        <f t="shared" si="85"/>
        <v>Did not Meet</v>
      </c>
      <c r="AF142" s="444">
        <f>VLOOKUP(A142,'42. SEA or LEA Worksheet'!$A$4:$Z$324,26,0)</f>
        <v>17498.89</v>
      </c>
      <c r="AG142" s="513" t="str">
        <f t="shared" si="95"/>
        <v>Met</v>
      </c>
      <c r="AI142" s="444">
        <f>VLOOKUP(A142,'42. SEA or LEA Worksheet'!$A$4:$AB$324,28,0)</f>
        <v>111110.26</v>
      </c>
      <c r="AJ142" s="513" t="str">
        <f t="shared" si="96"/>
        <v>Met</v>
      </c>
      <c r="AL142" s="444">
        <f>VLOOKUP(compliance!A142,'42. SEA or LEA Worksheet'!$A$4:$AB$324,26,0)/VLOOKUP(compliance!A142,'42. SEA or LEA Worksheet'!$A$4:$Y$324,25,0)</f>
        <v>1749.8889999999999</v>
      </c>
      <c r="AM142" s="513" t="str">
        <f t="shared" si="97"/>
        <v>Met</v>
      </c>
      <c r="AO142" s="444">
        <f>VLOOKUP(A142,'42. SEA or LEA Worksheet'!$A$4:$AB$324,28,0)/VLOOKUP(compliance!A142,'42. SEA or LEA Worksheet'!$A$4:$Y$324,25,0)</f>
        <v>11111.026</v>
      </c>
      <c r="AP142" s="513" t="str">
        <f t="shared" si="98"/>
        <v>Met</v>
      </c>
      <c r="AR142" s="512" t="str">
        <f t="shared" si="86"/>
        <v>Met</v>
      </c>
      <c r="AT142" s="444">
        <f>VLOOKUP(A142,'42. SEA or LEA Worksheet'!$A$4:$AE$324,31,0)</f>
        <v>3441.29</v>
      </c>
      <c r="AU142" s="513" t="str">
        <f t="shared" si="99"/>
        <v>Did not Meet</v>
      </c>
      <c r="AW142" s="444">
        <f>VLOOKUP(A142,'42. SEA or LEA Worksheet'!$A$4:$AG$324,33,0)</f>
        <v>118456.40999999999</v>
      </c>
      <c r="AX142" s="513" t="str">
        <f t="shared" si="80"/>
        <v>Met</v>
      </c>
      <c r="AZ142" s="444">
        <f>VLOOKUP(A142,'42. SEA or LEA Worksheet'!$A$4:$AG$324,31,0)/VLOOKUP(A142,'42. SEA or LEA Worksheet'!$A$4:$AD$324,30,0)</f>
        <v>344.12900000000002</v>
      </c>
      <c r="BA142" s="513" t="str">
        <f t="shared" si="100"/>
        <v>Did not Meet</v>
      </c>
      <c r="BC142" s="444">
        <f>VLOOKUP(A142,'42. SEA or LEA Worksheet'!$A$4:$AG$324,33,0)/VLOOKUP(A142,'42. SEA or LEA Worksheet'!$A$4:$AD$324,30,0)</f>
        <v>11845.641</v>
      </c>
      <c r="BD142" s="513" t="str">
        <f t="shared" si="81"/>
        <v>Met</v>
      </c>
      <c r="BF142" s="512" t="str">
        <f t="shared" si="102"/>
        <v>Met</v>
      </c>
      <c r="BG142" s="637">
        <f>VLOOKUP(A142,'42. SEA or LEA Worksheet'!$A$4:$AM$324,36,0)</f>
        <v>1622.12</v>
      </c>
      <c r="BH142" s="638" t="str">
        <f t="shared" si="87"/>
        <v>Did not Meet</v>
      </c>
      <c r="BI142" s="639"/>
      <c r="BJ142" s="637">
        <f>VLOOKUP(A142,'42. SEA or LEA Worksheet'!$A$4:$AM$324,38,0)</f>
        <v>150186.5</v>
      </c>
      <c r="BK142" s="638" t="str">
        <f t="shared" si="88"/>
        <v>Met</v>
      </c>
      <c r="BM142" s="631">
        <f>VLOOKUP(A142,'42. SEA or LEA Worksheet'!$A$4:$AL$324,36,0)/VLOOKUP(A142,'42. SEA or LEA Worksheet'!$A$4:$AL$324,35,0)</f>
        <v>115.86571428571428</v>
      </c>
      <c r="BN142" s="632" t="str">
        <f t="shared" si="89"/>
        <v>Met</v>
      </c>
      <c r="BP142" s="631">
        <f>VLOOKUP(A142,'42. SEA or LEA Worksheet'!$A$4:$AL$324,38,0)/VLOOKUP(A142,'42. SEA or LEA Worksheet'!$A$4:$AL$324,35,0)</f>
        <v>10727.607142857143</v>
      </c>
      <c r="BQ142" s="632" t="str">
        <f t="shared" si="90"/>
        <v>Met</v>
      </c>
      <c r="BS142" s="620" t="str">
        <f t="shared" si="103"/>
        <v>Met</v>
      </c>
    </row>
    <row r="143" spans="1:71" x14ac:dyDescent="0.25">
      <c r="A143" s="343" t="s">
        <v>466</v>
      </c>
      <c r="B143" s="510" t="s">
        <v>962</v>
      </c>
      <c r="C143" s="511"/>
      <c r="D143" s="444">
        <v>0</v>
      </c>
      <c r="E143" s="343" t="s">
        <v>856</v>
      </c>
      <c r="F143" s="511"/>
      <c r="G143" s="444">
        <v>750822.66</v>
      </c>
      <c r="H143" s="343" t="s">
        <v>835</v>
      </c>
      <c r="I143" s="511"/>
      <c r="J143" s="444">
        <v>0</v>
      </c>
      <c r="K143" s="343" t="s">
        <v>856</v>
      </c>
      <c r="L143" s="511"/>
      <c r="M143" s="444">
        <v>9156.3739024390252</v>
      </c>
      <c r="N143" s="343" t="s">
        <v>835</v>
      </c>
      <c r="O143" s="511"/>
      <c r="P143" s="512" t="str">
        <f t="shared" si="101"/>
        <v>Met</v>
      </c>
      <c r="Q143" s="511"/>
      <c r="R143" s="444">
        <f>VLOOKUP(A143,'2020-21'!$A$6:$F$319,6,0)</f>
        <v>14741.86</v>
      </c>
      <c r="S143" s="513" t="str">
        <f t="shared" si="91"/>
        <v>Met</v>
      </c>
      <c r="U143" s="444">
        <f>VLOOKUP(A143,'2020-21'!$A$6:$G$319,7,0)</f>
        <v>816198.2</v>
      </c>
      <c r="V143" s="513" t="str">
        <f t="shared" si="92"/>
        <v>Met</v>
      </c>
      <c r="X143" s="444">
        <f>VLOOKUP(A143,'2020-21'!$A$6:$F$319,6,0)/VLOOKUP(A143,'42. SEA or LEA Worksheet'!$A$4:$T$324,20,0)</f>
        <v>175.49833333333333</v>
      </c>
      <c r="Y143" s="513" t="str">
        <f t="shared" si="93"/>
        <v>Met</v>
      </c>
      <c r="AA143" s="444">
        <f>VLOOKUP(A143,'42. SEA or LEA Worksheet'!$A$4:$W$324,23,0)/VLOOKUP(compliance!A143,'42. SEA or LEA Worksheet'!$A$4:$T$324,20,0)</f>
        <v>9716.6452380952378</v>
      </c>
      <c r="AB143" s="513" t="str">
        <f t="shared" si="94"/>
        <v>Met</v>
      </c>
      <c r="AD143" s="512" t="str">
        <f t="shared" si="85"/>
        <v>Met</v>
      </c>
      <c r="AF143" s="444">
        <f>VLOOKUP(A143,'42. SEA or LEA Worksheet'!$A$4:$Z$324,26,0)</f>
        <v>59016.43</v>
      </c>
      <c r="AG143" s="513" t="str">
        <f t="shared" si="95"/>
        <v>Met</v>
      </c>
      <c r="AI143" s="444">
        <f>VLOOKUP(A143,'42. SEA or LEA Worksheet'!$A$4:$AB$324,28,0)</f>
        <v>831739.35000000009</v>
      </c>
      <c r="AJ143" s="513" t="str">
        <f t="shared" si="96"/>
        <v>Met</v>
      </c>
      <c r="AL143" s="444">
        <f>VLOOKUP(compliance!A143,'42. SEA or LEA Worksheet'!$A$4:$AB$324,26,0)/VLOOKUP(compliance!A143,'42. SEA or LEA Worksheet'!$A$4:$Y$324,25,0)</f>
        <v>776.53197368421058</v>
      </c>
      <c r="AM143" s="513" t="str">
        <f t="shared" si="97"/>
        <v>Met</v>
      </c>
      <c r="AO143" s="444">
        <f>VLOOKUP(A143,'42. SEA or LEA Worksheet'!$A$4:$AB$324,28,0)/VLOOKUP(compliance!A143,'42. SEA or LEA Worksheet'!$A$4:$Y$324,25,0)</f>
        <v>10943.938815789475</v>
      </c>
      <c r="AP143" s="513" t="str">
        <f t="shared" si="98"/>
        <v>Met</v>
      </c>
      <c r="AR143" s="512" t="str">
        <f t="shared" si="86"/>
        <v>Met</v>
      </c>
      <c r="AT143" s="444">
        <f>VLOOKUP(A143,'42. SEA or LEA Worksheet'!$A$4:$AE$324,31,0)</f>
        <v>42563.75</v>
      </c>
      <c r="AU143" s="513" t="str">
        <f t="shared" si="99"/>
        <v>Did not Meet</v>
      </c>
      <c r="AW143" s="444">
        <f>VLOOKUP(A143,'42. SEA or LEA Worksheet'!$A$4:$AG$324,33,0)</f>
        <v>939365.29</v>
      </c>
      <c r="AX143" s="513" t="str">
        <f t="shared" si="80"/>
        <v>Met</v>
      </c>
      <c r="AZ143" s="444">
        <f>VLOOKUP(A143,'42. SEA or LEA Worksheet'!$A$4:$AG$324,31,0)/VLOOKUP(A143,'42. SEA or LEA Worksheet'!$A$4:$AD$324,30,0)</f>
        <v>506.71130952380952</v>
      </c>
      <c r="BA143" s="513" t="str">
        <f t="shared" si="100"/>
        <v>Did not Meet</v>
      </c>
      <c r="BC143" s="444">
        <f>VLOOKUP(A143,'42. SEA or LEA Worksheet'!$A$4:$AG$324,33,0)/VLOOKUP(A143,'42. SEA or LEA Worksheet'!$A$4:$AD$324,30,0)</f>
        <v>11182.92011904762</v>
      </c>
      <c r="BD143" s="513" t="str">
        <f t="shared" si="81"/>
        <v>Met</v>
      </c>
      <c r="BF143" s="512" t="str">
        <f t="shared" si="102"/>
        <v>Met</v>
      </c>
      <c r="BG143" s="637">
        <f>VLOOKUP(A143,'42. SEA or LEA Worksheet'!$A$4:$AM$324,36,0)</f>
        <v>0</v>
      </c>
      <c r="BH143" s="638" t="str">
        <f t="shared" si="87"/>
        <v>Did not Meet</v>
      </c>
      <c r="BI143" s="639"/>
      <c r="BJ143" s="637">
        <f>VLOOKUP(A143,'42. SEA or LEA Worksheet'!$A$4:$AM$324,38,0)</f>
        <v>934345.42</v>
      </c>
      <c r="BK143" s="638" t="str">
        <f t="shared" si="88"/>
        <v>Did not Meet</v>
      </c>
      <c r="BM143" s="631">
        <f>VLOOKUP(A143,'42. SEA or LEA Worksheet'!$A$4:$AL$324,36,0)/VLOOKUP(A143,'42. SEA or LEA Worksheet'!$A$4:$AL$324,35,0)</f>
        <v>0</v>
      </c>
      <c r="BN143" s="632" t="str">
        <f t="shared" si="89"/>
        <v>Met</v>
      </c>
      <c r="BP143" s="631">
        <f>VLOOKUP(A143,'42. SEA or LEA Worksheet'!$A$4:$AL$324,38,0)/VLOOKUP(A143,'42. SEA or LEA Worksheet'!$A$4:$AL$324,35,0)</f>
        <v>11123.159761904762</v>
      </c>
      <c r="BQ143" s="632" t="str">
        <f t="shared" si="90"/>
        <v>Met</v>
      </c>
      <c r="BS143" s="620" t="str">
        <f t="shared" si="103"/>
        <v>Met</v>
      </c>
    </row>
    <row r="144" spans="1:71" x14ac:dyDescent="0.25">
      <c r="A144" s="343" t="s">
        <v>468</v>
      </c>
      <c r="B144" s="510" t="s">
        <v>963</v>
      </c>
      <c r="C144" s="511"/>
      <c r="D144" s="444">
        <v>0</v>
      </c>
      <c r="E144" s="343" t="s">
        <v>856</v>
      </c>
      <c r="F144" s="511"/>
      <c r="G144" s="444">
        <v>2287396.6</v>
      </c>
      <c r="H144" s="343" t="s">
        <v>835</v>
      </c>
      <c r="I144" s="511"/>
      <c r="J144" s="444">
        <v>0</v>
      </c>
      <c r="K144" s="343" t="s">
        <v>856</v>
      </c>
      <c r="L144" s="511"/>
      <c r="M144" s="444">
        <v>8257.749458483755</v>
      </c>
      <c r="N144" s="343" t="s">
        <v>835</v>
      </c>
      <c r="O144" s="511"/>
      <c r="P144" s="512" t="str">
        <f t="shared" si="101"/>
        <v>Met</v>
      </c>
      <c r="Q144" s="511"/>
      <c r="R144" s="444">
        <f>VLOOKUP(A144,'2020-21'!$A$6:$F$319,6,0)</f>
        <v>0</v>
      </c>
      <c r="S144" s="513" t="str">
        <f t="shared" si="91"/>
        <v>Met</v>
      </c>
      <c r="U144" s="444">
        <f>VLOOKUP(A144,'2020-21'!$A$6:$G$319,7,0)</f>
        <v>2774889.7</v>
      </c>
      <c r="V144" s="513" t="str">
        <f t="shared" si="92"/>
        <v>Met</v>
      </c>
      <c r="X144" s="444">
        <f>VLOOKUP(A144,'2020-21'!$A$6:$F$319,6,0)/VLOOKUP(A144,'42. SEA or LEA Worksheet'!$A$4:$T$324,20,0)</f>
        <v>0</v>
      </c>
      <c r="Y144" s="513" t="str">
        <f t="shared" si="93"/>
        <v>Met</v>
      </c>
      <c r="AA144" s="444">
        <f>VLOOKUP(A144,'42. SEA or LEA Worksheet'!$A$4:$W$324,23,0)/VLOOKUP(compliance!A144,'42. SEA or LEA Worksheet'!$A$4:$T$324,20,0)</f>
        <v>8951.257096774194</v>
      </c>
      <c r="AB144" s="513" t="str">
        <f t="shared" si="94"/>
        <v>Met</v>
      </c>
      <c r="AD144" s="512" t="str">
        <f t="shared" si="85"/>
        <v>Met</v>
      </c>
      <c r="AF144" s="444">
        <f>VLOOKUP(A144,'42. SEA or LEA Worksheet'!$A$4:$Z$324,26,0)</f>
        <v>0</v>
      </c>
      <c r="AG144" s="513" t="str">
        <f t="shared" si="95"/>
        <v>Met</v>
      </c>
      <c r="AI144" s="444">
        <f>VLOOKUP(A144,'42. SEA or LEA Worksheet'!$A$4:$AB$324,28,0)</f>
        <v>1707691.13</v>
      </c>
      <c r="AJ144" s="513" t="str">
        <f t="shared" si="96"/>
        <v>Did not Meet</v>
      </c>
      <c r="AL144" s="444">
        <f>VLOOKUP(compliance!A144,'42. SEA or LEA Worksheet'!$A$4:$AB$324,26,0)/VLOOKUP(compliance!A144,'42. SEA or LEA Worksheet'!$A$4:$Y$324,25,0)</f>
        <v>0</v>
      </c>
      <c r="AM144" s="513" t="str">
        <f t="shared" si="97"/>
        <v>Met</v>
      </c>
      <c r="AO144" s="444">
        <f>VLOOKUP(A144,'42. SEA or LEA Worksheet'!$A$4:$AB$324,28,0)/VLOOKUP(compliance!A144,'42. SEA or LEA Worksheet'!$A$4:$Y$324,25,0)</f>
        <v>6970.16787755102</v>
      </c>
      <c r="AP144" s="513" t="str">
        <f t="shared" si="98"/>
        <v>Did not Meet</v>
      </c>
      <c r="AR144" s="512" t="str">
        <f t="shared" si="86"/>
        <v>Met</v>
      </c>
      <c r="AT144" s="444">
        <f>VLOOKUP(A144,'42. SEA or LEA Worksheet'!$A$4:$AE$324,31,0)</f>
        <v>0</v>
      </c>
      <c r="AU144" s="513" t="str">
        <f t="shared" si="99"/>
        <v>Met</v>
      </c>
      <c r="AW144" s="444">
        <f>VLOOKUP(A144,'42. SEA or LEA Worksheet'!$A$4:$AG$324,33,0)</f>
        <v>1432694.86</v>
      </c>
      <c r="AX144" s="513" t="str">
        <f t="shared" si="80"/>
        <v>Did not Meet</v>
      </c>
      <c r="AZ144" s="444">
        <f>VLOOKUP(A144,'42. SEA or LEA Worksheet'!$A$4:$AG$324,31,0)/VLOOKUP(A144,'42. SEA or LEA Worksheet'!$A$4:$AD$324,30,0)</f>
        <v>0</v>
      </c>
      <c r="BA144" s="513" t="str">
        <f t="shared" si="100"/>
        <v>Met</v>
      </c>
      <c r="BC144" s="444">
        <f>VLOOKUP(A144,'42. SEA or LEA Worksheet'!$A$4:$AG$324,33,0)/VLOOKUP(A144,'42. SEA or LEA Worksheet'!$A$4:$AD$324,30,0)</f>
        <v>8527.9455952380958</v>
      </c>
      <c r="BD144" s="513" t="str">
        <f t="shared" si="81"/>
        <v>Met</v>
      </c>
      <c r="BF144" s="512" t="str">
        <f t="shared" si="102"/>
        <v>Met</v>
      </c>
      <c r="BG144" s="637">
        <f>VLOOKUP(A144,'42. SEA or LEA Worksheet'!$A$4:$AM$324,36,0)</f>
        <v>0</v>
      </c>
      <c r="BH144" s="638" t="str">
        <f t="shared" si="87"/>
        <v>Met</v>
      </c>
      <c r="BI144" s="639"/>
      <c r="BJ144" s="637">
        <f>VLOOKUP(A144,'42. SEA or LEA Worksheet'!$A$4:$AM$324,38,0)</f>
        <v>1491887.55</v>
      </c>
      <c r="BK144" s="638" t="str">
        <f t="shared" si="88"/>
        <v>Met</v>
      </c>
      <c r="BM144" s="631">
        <f>VLOOKUP(A144,'42. SEA or LEA Worksheet'!$A$4:$AL$324,36,0)/VLOOKUP(A144,'42. SEA or LEA Worksheet'!$A$4:$AL$324,35,0)</f>
        <v>0</v>
      </c>
      <c r="BN144" s="632" t="str">
        <f t="shared" si="89"/>
        <v>Met</v>
      </c>
      <c r="BP144" s="631">
        <f>VLOOKUP(A144,'42. SEA or LEA Worksheet'!$A$4:$AL$324,38,0)/VLOOKUP(A144,'42. SEA or LEA Worksheet'!$A$4:$AL$324,35,0)</f>
        <v>10360.330208333333</v>
      </c>
      <c r="BQ144" s="632" t="str">
        <f t="shared" si="90"/>
        <v>Met</v>
      </c>
      <c r="BS144" s="620" t="str">
        <f t="shared" si="103"/>
        <v>Met</v>
      </c>
    </row>
    <row r="145" spans="1:71" x14ac:dyDescent="0.25">
      <c r="A145" s="343" t="s">
        <v>470</v>
      </c>
      <c r="B145" s="510" t="s">
        <v>964</v>
      </c>
      <c r="C145" s="511"/>
      <c r="D145" s="444">
        <v>0</v>
      </c>
      <c r="E145" s="343" t="s">
        <v>856</v>
      </c>
      <c r="F145" s="511"/>
      <c r="G145" s="444">
        <v>630322.47</v>
      </c>
      <c r="H145" s="343" t="s">
        <v>856</v>
      </c>
      <c r="I145" s="511"/>
      <c r="J145" s="444">
        <v>0</v>
      </c>
      <c r="K145" s="343" t="s">
        <v>856</v>
      </c>
      <c r="L145" s="511"/>
      <c r="M145" s="444">
        <v>8186.0061038961039</v>
      </c>
      <c r="N145" s="343" t="s">
        <v>835</v>
      </c>
      <c r="O145" s="511"/>
      <c r="P145" s="512" t="str">
        <f t="shared" si="101"/>
        <v>Met</v>
      </c>
      <c r="Q145" s="511"/>
      <c r="R145" s="444">
        <f>VLOOKUP(A145,'2020-21'!$A$6:$F$319,6,0)</f>
        <v>700</v>
      </c>
      <c r="S145" s="513" t="str">
        <f t="shared" si="91"/>
        <v>Met</v>
      </c>
      <c r="U145" s="444">
        <f>VLOOKUP(A145,'2020-21'!$A$6:$G$319,7,0)</f>
        <v>521263.03</v>
      </c>
      <c r="V145" s="513" t="str">
        <f t="shared" si="92"/>
        <v>Did not Meet</v>
      </c>
      <c r="X145" s="444">
        <f>VLOOKUP(A145,'2020-21'!$A$6:$F$319,6,0)/VLOOKUP(A145,'42. SEA or LEA Worksheet'!$A$4:$T$324,20,0)</f>
        <v>8.8607594936708853</v>
      </c>
      <c r="Y145" s="513" t="str">
        <f t="shared" si="93"/>
        <v>Met</v>
      </c>
      <c r="AA145" s="444">
        <f>VLOOKUP(A145,'42. SEA or LEA Worksheet'!$A$4:$W$324,23,0)/VLOOKUP(compliance!A145,'42. SEA or LEA Worksheet'!$A$4:$T$324,20,0)</f>
        <v>6598.2662025316458</v>
      </c>
      <c r="AB145" s="513" t="str">
        <f t="shared" si="94"/>
        <v>Did not Meet</v>
      </c>
      <c r="AD145" s="512" t="str">
        <f t="shared" si="85"/>
        <v>Met</v>
      </c>
      <c r="AF145" s="444">
        <f>VLOOKUP(A145,'42. SEA or LEA Worksheet'!$A$4:$Z$324,26,0)</f>
        <v>700</v>
      </c>
      <c r="AG145" s="513" t="str">
        <f t="shared" si="95"/>
        <v>Met</v>
      </c>
      <c r="AI145" s="444">
        <f>VLOOKUP(A145,'42. SEA or LEA Worksheet'!$A$4:$AB$324,28,0)</f>
        <v>526784.93999999994</v>
      </c>
      <c r="AJ145" s="513" t="str">
        <f t="shared" si="96"/>
        <v>Met</v>
      </c>
      <c r="AL145" s="444">
        <f>VLOOKUP(compliance!A145,'42. SEA or LEA Worksheet'!$A$4:$AB$324,26,0)/VLOOKUP(compliance!A145,'42. SEA or LEA Worksheet'!$A$4:$Y$324,25,0)</f>
        <v>9.7222222222222214</v>
      </c>
      <c r="AM145" s="513" t="str">
        <f t="shared" si="97"/>
        <v>Met</v>
      </c>
      <c r="AO145" s="444">
        <f>VLOOKUP(A145,'42. SEA or LEA Worksheet'!$A$4:$AB$324,28,0)/VLOOKUP(compliance!A145,'42. SEA or LEA Worksheet'!$A$4:$Y$324,25,0)</f>
        <v>7316.4574999999995</v>
      </c>
      <c r="AP145" s="513" t="str">
        <f t="shared" si="98"/>
        <v>Met</v>
      </c>
      <c r="AR145" s="512" t="str">
        <f t="shared" si="86"/>
        <v>Met</v>
      </c>
      <c r="AT145" s="444">
        <f>VLOOKUP(A145,'42. SEA or LEA Worksheet'!$A$4:$AE$324,31,0)</f>
        <v>0</v>
      </c>
      <c r="AU145" s="513" t="str">
        <f t="shared" si="99"/>
        <v>Did not Meet</v>
      </c>
      <c r="AW145" s="444">
        <f>VLOOKUP(A145,'42. SEA or LEA Worksheet'!$A$4:$AG$324,33,0)</f>
        <v>590069.82999999996</v>
      </c>
      <c r="AX145" s="513" t="str">
        <f t="shared" si="80"/>
        <v>Met</v>
      </c>
      <c r="AZ145" s="444">
        <f>VLOOKUP(A145,'42. SEA or LEA Worksheet'!$A$4:$AG$324,31,0)/VLOOKUP(A145,'42. SEA or LEA Worksheet'!$A$4:$AD$324,30,0)</f>
        <v>0</v>
      </c>
      <c r="BA145" s="513" t="str">
        <f t="shared" si="100"/>
        <v>Did not Meet</v>
      </c>
      <c r="BC145" s="444">
        <f>VLOOKUP(A145,'42. SEA or LEA Worksheet'!$A$4:$AG$324,33,0)/VLOOKUP(A145,'42. SEA or LEA Worksheet'!$A$4:$AD$324,30,0)</f>
        <v>7375.8728749999991</v>
      </c>
      <c r="BD145" s="513" t="str">
        <f t="shared" si="81"/>
        <v>Met</v>
      </c>
      <c r="BF145" s="512" t="str">
        <f t="shared" si="102"/>
        <v>Met</v>
      </c>
      <c r="BG145" s="637">
        <f>VLOOKUP(A145,'42. SEA or LEA Worksheet'!$A$4:$AM$324,36,0)</f>
        <v>0</v>
      </c>
      <c r="BH145" s="638" t="str">
        <f t="shared" si="87"/>
        <v>Met</v>
      </c>
      <c r="BI145" s="639"/>
      <c r="BJ145" s="637">
        <f>VLOOKUP(A145,'42. SEA or LEA Worksheet'!$A$4:$AM$324,38,0)</f>
        <v>790546.73</v>
      </c>
      <c r="BK145" s="638" t="str">
        <f t="shared" si="88"/>
        <v>Met</v>
      </c>
      <c r="BM145" s="631">
        <f>VLOOKUP(A145,'42. SEA or LEA Worksheet'!$A$4:$AL$324,36,0)/VLOOKUP(A145,'42. SEA or LEA Worksheet'!$A$4:$AL$324,35,0)</f>
        <v>0</v>
      </c>
      <c r="BN145" s="632" t="str">
        <f t="shared" si="89"/>
        <v>Met</v>
      </c>
      <c r="BP145" s="631">
        <f>VLOOKUP(A145,'42. SEA or LEA Worksheet'!$A$4:$AL$324,38,0)/VLOOKUP(A145,'42. SEA or LEA Worksheet'!$A$4:$AL$324,35,0)</f>
        <v>15810.934600000001</v>
      </c>
      <c r="BQ145" s="632" t="str">
        <f t="shared" si="90"/>
        <v>Met</v>
      </c>
      <c r="BS145" s="620" t="str">
        <f t="shared" si="103"/>
        <v>Met</v>
      </c>
    </row>
    <row r="146" spans="1:71" x14ac:dyDescent="0.25">
      <c r="A146" s="343" t="s">
        <v>472</v>
      </c>
      <c r="B146" s="510" t="s">
        <v>965</v>
      </c>
      <c r="C146" s="511"/>
      <c r="D146" s="444">
        <v>0</v>
      </c>
      <c r="E146" s="343" t="s">
        <v>856</v>
      </c>
      <c r="F146" s="511"/>
      <c r="G146" s="444">
        <v>22504973.34</v>
      </c>
      <c r="H146" s="343" t="s">
        <v>835</v>
      </c>
      <c r="I146" s="511"/>
      <c r="J146" s="444">
        <v>0</v>
      </c>
      <c r="K146" s="343" t="s">
        <v>856</v>
      </c>
      <c r="L146" s="511"/>
      <c r="M146" s="444">
        <v>12671.719222972974</v>
      </c>
      <c r="N146" s="343" t="s">
        <v>835</v>
      </c>
      <c r="O146" s="511"/>
      <c r="P146" s="512" t="str">
        <f t="shared" si="101"/>
        <v>Met</v>
      </c>
      <c r="Q146" s="511"/>
      <c r="R146" s="444">
        <f>VLOOKUP(A146,'2020-21'!$A$6:$F$319,6,0)</f>
        <v>0</v>
      </c>
      <c r="S146" s="513" t="str">
        <f t="shared" si="91"/>
        <v>Met</v>
      </c>
      <c r="U146" s="444">
        <f>VLOOKUP(A146,'2020-21'!$A$6:$G$319,7,0)</f>
        <v>24185096.239999998</v>
      </c>
      <c r="V146" s="513" t="str">
        <f t="shared" si="92"/>
        <v>Met</v>
      </c>
      <c r="X146" s="444">
        <f>VLOOKUP(A146,'2020-21'!$A$6:$F$319,6,0)/VLOOKUP(A146,'42. SEA or LEA Worksheet'!$A$4:$T$324,20,0)</f>
        <v>0</v>
      </c>
      <c r="Y146" s="513" t="str">
        <f t="shared" si="93"/>
        <v>Met</v>
      </c>
      <c r="AA146" s="444">
        <f>VLOOKUP(A146,'42. SEA or LEA Worksheet'!$A$4:$W$324,23,0)/VLOOKUP(compliance!A146,'42. SEA or LEA Worksheet'!$A$4:$T$324,20,0)</f>
        <v>14126.808551401868</v>
      </c>
      <c r="AB146" s="513" t="str">
        <f t="shared" si="94"/>
        <v>Met</v>
      </c>
      <c r="AD146" s="512" t="str">
        <f t="shared" si="85"/>
        <v>Met</v>
      </c>
      <c r="AF146" s="444">
        <f>VLOOKUP(A146,'42. SEA or LEA Worksheet'!$A$4:$Z$324,26,0)</f>
        <v>0</v>
      </c>
      <c r="AG146" s="513" t="str">
        <f t="shared" si="95"/>
        <v>Met</v>
      </c>
      <c r="AI146" s="444">
        <f>VLOOKUP(A146,'42. SEA or LEA Worksheet'!$A$4:$AB$324,28,0)</f>
        <v>25578647.300000001</v>
      </c>
      <c r="AJ146" s="513" t="str">
        <f t="shared" si="96"/>
        <v>Met</v>
      </c>
      <c r="AL146" s="444">
        <f>VLOOKUP(compliance!A146,'42. SEA or LEA Worksheet'!$A$4:$AB$324,26,0)/VLOOKUP(compliance!A146,'42. SEA or LEA Worksheet'!$A$4:$Y$324,25,0)</f>
        <v>0</v>
      </c>
      <c r="AM146" s="513" t="str">
        <f t="shared" si="97"/>
        <v>Met</v>
      </c>
      <c r="AO146" s="444">
        <f>VLOOKUP(A146,'42. SEA or LEA Worksheet'!$A$4:$AB$324,28,0)/VLOOKUP(compliance!A146,'42. SEA or LEA Worksheet'!$A$4:$Y$324,25,0)</f>
        <v>15596.736158536585</v>
      </c>
      <c r="AP146" s="513" t="str">
        <f t="shared" si="98"/>
        <v>Met</v>
      </c>
      <c r="AR146" s="512" t="str">
        <f t="shared" si="86"/>
        <v>Met</v>
      </c>
      <c r="AT146" s="444">
        <f>VLOOKUP(A146,'42. SEA or LEA Worksheet'!$A$4:$AE$324,31,0)</f>
        <v>0</v>
      </c>
      <c r="AU146" s="513" t="str">
        <f t="shared" si="99"/>
        <v>Met</v>
      </c>
      <c r="AW146" s="444">
        <f>VLOOKUP(A146,'42. SEA or LEA Worksheet'!$A$4:$AG$324,33,0)</f>
        <v>27608337.300000001</v>
      </c>
      <c r="AX146" s="513" t="str">
        <f t="shared" si="80"/>
        <v>Met</v>
      </c>
      <c r="AZ146" s="444">
        <f>VLOOKUP(A146,'42. SEA or LEA Worksheet'!$A$4:$AG$324,31,0)/VLOOKUP(A146,'42. SEA or LEA Worksheet'!$A$4:$AD$324,30,0)</f>
        <v>0</v>
      </c>
      <c r="BA146" s="513" t="str">
        <f t="shared" si="100"/>
        <v>Met</v>
      </c>
      <c r="BC146" s="444">
        <f>VLOOKUP(A146,'42. SEA or LEA Worksheet'!$A$4:$AG$324,33,0)/VLOOKUP(A146,'42. SEA or LEA Worksheet'!$A$4:$AD$324,30,0)</f>
        <v>16492.435663082437</v>
      </c>
      <c r="BD146" s="513" t="str">
        <f t="shared" si="81"/>
        <v>Met</v>
      </c>
      <c r="BF146" s="512" t="str">
        <f t="shared" si="102"/>
        <v>Met</v>
      </c>
      <c r="BG146" s="637">
        <f>VLOOKUP(A146,'42. SEA or LEA Worksheet'!$A$4:$AM$324,36,0)</f>
        <v>0</v>
      </c>
      <c r="BH146" s="638" t="str">
        <f t="shared" si="87"/>
        <v>Met</v>
      </c>
      <c r="BI146" s="639"/>
      <c r="BJ146" s="637">
        <f>VLOOKUP(A146,'42. SEA or LEA Worksheet'!$A$4:$AM$324,38,0)</f>
        <v>30056351.68</v>
      </c>
      <c r="BK146" s="638" t="str">
        <f t="shared" si="88"/>
        <v>Met</v>
      </c>
      <c r="BM146" s="631">
        <f>VLOOKUP(A146,'42. SEA or LEA Worksheet'!$A$4:$AL$324,36,0)/VLOOKUP(A146,'42. SEA or LEA Worksheet'!$A$4:$AL$324,35,0)</f>
        <v>0</v>
      </c>
      <c r="BN146" s="632" t="str">
        <f t="shared" si="89"/>
        <v>Met</v>
      </c>
      <c r="BP146" s="631">
        <f>VLOOKUP(A146,'42. SEA or LEA Worksheet'!$A$4:$AL$324,38,0)/VLOOKUP(A146,'42. SEA or LEA Worksheet'!$A$4:$AL$324,35,0)</f>
        <v>17827.017603795968</v>
      </c>
      <c r="BQ146" s="632" t="str">
        <f t="shared" si="90"/>
        <v>Met</v>
      </c>
      <c r="BS146" s="620" t="str">
        <f t="shared" si="103"/>
        <v>Met</v>
      </c>
    </row>
    <row r="147" spans="1:71" x14ac:dyDescent="0.25">
      <c r="A147" s="343" t="s">
        <v>474</v>
      </c>
      <c r="B147" s="510" t="s">
        <v>966</v>
      </c>
      <c r="C147" s="511"/>
      <c r="D147" s="444">
        <v>0</v>
      </c>
      <c r="E147" s="343" t="s">
        <v>856</v>
      </c>
      <c r="F147" s="511"/>
      <c r="G147" s="444">
        <v>675594.49</v>
      </c>
      <c r="H147" s="343" t="s">
        <v>835</v>
      </c>
      <c r="I147" s="511"/>
      <c r="J147" s="444">
        <v>0</v>
      </c>
      <c r="K147" s="343" t="s">
        <v>856</v>
      </c>
      <c r="L147" s="511"/>
      <c r="M147" s="444">
        <v>9129.6552702702702</v>
      </c>
      <c r="N147" s="343" t="s">
        <v>856</v>
      </c>
      <c r="O147" s="511"/>
      <c r="P147" s="512" t="str">
        <f t="shared" si="101"/>
        <v>Met</v>
      </c>
      <c r="Q147" s="511"/>
      <c r="R147" s="444">
        <f>VLOOKUP(A147,'2020-21'!$A$6:$F$319,6,0)</f>
        <v>0</v>
      </c>
      <c r="S147" s="513" t="str">
        <f t="shared" si="91"/>
        <v>Met</v>
      </c>
      <c r="U147" s="444">
        <f>VLOOKUP(A147,'2020-21'!$A$6:$G$319,7,0)</f>
        <v>654811.34</v>
      </c>
      <c r="V147" s="513" t="str">
        <f t="shared" si="92"/>
        <v>Did not Meet</v>
      </c>
      <c r="X147" s="444">
        <f>VLOOKUP(A147,'2020-21'!$A$6:$F$319,6,0)/VLOOKUP(A147,'42. SEA or LEA Worksheet'!$A$4:$T$324,20,0)</f>
        <v>0</v>
      </c>
      <c r="Y147" s="513" t="str">
        <f t="shared" si="93"/>
        <v>Met</v>
      </c>
      <c r="AA147" s="444">
        <f>VLOOKUP(A147,'42. SEA or LEA Worksheet'!$A$4:$W$324,23,0)/VLOOKUP(compliance!A147,'42. SEA or LEA Worksheet'!$A$4:$T$324,20,0)</f>
        <v>9222.6949295774648</v>
      </c>
      <c r="AB147" s="513" t="str">
        <f t="shared" si="94"/>
        <v>Met</v>
      </c>
      <c r="AD147" s="512" t="str">
        <f t="shared" si="85"/>
        <v>Met</v>
      </c>
      <c r="AF147" s="444">
        <f>VLOOKUP(A147,'42. SEA or LEA Worksheet'!$A$4:$Z$324,26,0)</f>
        <v>0</v>
      </c>
      <c r="AG147" s="513" t="str">
        <f t="shared" si="95"/>
        <v>Met</v>
      </c>
      <c r="AI147" s="444">
        <f>VLOOKUP(A147,'42. SEA or LEA Worksheet'!$A$4:$AB$324,28,0)</f>
        <v>737918.47</v>
      </c>
      <c r="AJ147" s="513" t="str">
        <f t="shared" si="96"/>
        <v>Met</v>
      </c>
      <c r="AL147" s="444">
        <f>VLOOKUP(compliance!A147,'42. SEA or LEA Worksheet'!$A$4:$AB$324,26,0)/VLOOKUP(compliance!A147,'42. SEA or LEA Worksheet'!$A$4:$Y$324,25,0)</f>
        <v>0</v>
      </c>
      <c r="AM147" s="513" t="str">
        <f t="shared" si="97"/>
        <v>Met</v>
      </c>
      <c r="AO147" s="444">
        <f>VLOOKUP(A147,'42. SEA or LEA Worksheet'!$A$4:$AB$324,28,0)/VLOOKUP(compliance!A147,'42. SEA or LEA Worksheet'!$A$4:$Y$324,25,0)</f>
        <v>11180.582878787878</v>
      </c>
      <c r="AP147" s="513" t="str">
        <f t="shared" si="98"/>
        <v>Met</v>
      </c>
      <c r="AR147" s="512" t="str">
        <f t="shared" si="86"/>
        <v>Met</v>
      </c>
      <c r="AT147" s="444">
        <f>VLOOKUP(A147,'42. SEA or LEA Worksheet'!$A$4:$AE$324,31,0)</f>
        <v>0</v>
      </c>
      <c r="AU147" s="513" t="str">
        <f t="shared" si="99"/>
        <v>Met</v>
      </c>
      <c r="AW147" s="444">
        <f>VLOOKUP(A147,'42. SEA or LEA Worksheet'!$A$4:$AG$324,33,0)</f>
        <v>926746.27</v>
      </c>
      <c r="AX147" s="513" t="str">
        <f t="shared" si="80"/>
        <v>Met</v>
      </c>
      <c r="AZ147" s="444">
        <f>VLOOKUP(A147,'42. SEA or LEA Worksheet'!$A$4:$AG$324,31,0)/VLOOKUP(A147,'42. SEA or LEA Worksheet'!$A$4:$AD$324,30,0)</f>
        <v>0</v>
      </c>
      <c r="BA147" s="513" t="str">
        <f t="shared" si="100"/>
        <v>Met</v>
      </c>
      <c r="BC147" s="444">
        <f>VLOOKUP(A147,'42. SEA or LEA Worksheet'!$A$4:$AG$324,33,0)/VLOOKUP(A147,'42. SEA or LEA Worksheet'!$A$4:$AD$324,30,0)</f>
        <v>15445.771166666667</v>
      </c>
      <c r="BD147" s="513" t="str">
        <f t="shared" si="81"/>
        <v>Met</v>
      </c>
      <c r="BF147" s="512" t="str">
        <f t="shared" si="102"/>
        <v>Met</v>
      </c>
      <c r="BG147" s="637">
        <f>VLOOKUP(A147,'42. SEA or LEA Worksheet'!$A$4:$AM$324,36,0)</f>
        <v>0</v>
      </c>
      <c r="BH147" s="638" t="str">
        <f t="shared" si="87"/>
        <v>Met</v>
      </c>
      <c r="BI147" s="639"/>
      <c r="BJ147" s="637">
        <f>VLOOKUP(A147,'42. SEA or LEA Worksheet'!$A$4:$AM$324,38,0)</f>
        <v>889843.49</v>
      </c>
      <c r="BK147" s="638" t="str">
        <f t="shared" si="88"/>
        <v>Did not Meet</v>
      </c>
      <c r="BM147" s="631">
        <f>VLOOKUP(A147,'42. SEA or LEA Worksheet'!$A$4:$AL$324,36,0)/VLOOKUP(A147,'42. SEA or LEA Worksheet'!$A$4:$AL$324,35,0)</f>
        <v>0</v>
      </c>
      <c r="BN147" s="632" t="str">
        <f t="shared" si="89"/>
        <v>Met</v>
      </c>
      <c r="BP147" s="631">
        <f>VLOOKUP(A147,'42. SEA or LEA Worksheet'!$A$4:$AL$324,38,0)/VLOOKUP(A147,'42. SEA or LEA Worksheet'!$A$4:$AL$324,35,0)</f>
        <v>13281.246119402986</v>
      </c>
      <c r="BQ147" s="632" t="str">
        <f t="shared" si="90"/>
        <v>Met</v>
      </c>
      <c r="BS147" s="620" t="str">
        <f t="shared" si="103"/>
        <v>Met</v>
      </c>
    </row>
    <row r="148" spans="1:71" x14ac:dyDescent="0.25">
      <c r="A148" s="343" t="s">
        <v>476</v>
      </c>
      <c r="B148" s="510" t="s">
        <v>967</v>
      </c>
      <c r="C148" s="511"/>
      <c r="D148" s="444">
        <v>424386</v>
      </c>
      <c r="E148" s="343" t="s">
        <v>856</v>
      </c>
      <c r="F148" s="511"/>
      <c r="G148" s="444">
        <v>16165743.15</v>
      </c>
      <c r="H148" s="343" t="s">
        <v>835</v>
      </c>
      <c r="I148" s="511"/>
      <c r="J148" s="444">
        <v>297.60589060308553</v>
      </c>
      <c r="K148" s="343" t="s">
        <v>856</v>
      </c>
      <c r="L148" s="511"/>
      <c r="M148" s="444">
        <v>11336.4257713885</v>
      </c>
      <c r="N148" s="343" t="s">
        <v>856</v>
      </c>
      <c r="O148" s="511"/>
      <c r="P148" s="512" t="str">
        <f t="shared" si="101"/>
        <v>Met</v>
      </c>
      <c r="Q148" s="511"/>
      <c r="R148" s="444">
        <f>VLOOKUP(A148,'2020-21'!$A$6:$F$319,6,0)</f>
        <v>510840.32000000001</v>
      </c>
      <c r="S148" s="513" t="str">
        <f t="shared" si="91"/>
        <v>Met</v>
      </c>
      <c r="U148" s="444">
        <f>VLOOKUP(A148,'2020-21'!$A$6:$G$319,7,0)</f>
        <v>16263778.939999999</v>
      </c>
      <c r="V148" s="513" t="str">
        <f t="shared" si="92"/>
        <v>Met</v>
      </c>
      <c r="X148" s="444">
        <f>VLOOKUP(A148,'2020-21'!$A$6:$F$319,6,0)/VLOOKUP(A148,'42. SEA or LEA Worksheet'!$A$4:$T$324,20,0)</f>
        <v>378.96166172106825</v>
      </c>
      <c r="Y148" s="513" t="str">
        <f t="shared" si="93"/>
        <v>Met</v>
      </c>
      <c r="AA148" s="444">
        <f>VLOOKUP(A148,'42. SEA or LEA Worksheet'!$A$4:$W$324,23,0)/VLOOKUP(compliance!A148,'42. SEA or LEA Worksheet'!$A$4:$T$324,20,0)</f>
        <v>12065.117908011869</v>
      </c>
      <c r="AB148" s="513" t="str">
        <f t="shared" si="94"/>
        <v>Met</v>
      </c>
      <c r="AD148" s="512" t="str">
        <f t="shared" si="85"/>
        <v>Met</v>
      </c>
      <c r="AF148" s="444">
        <f>VLOOKUP(A148,'42. SEA or LEA Worksheet'!$A$4:$Z$324,26,0)</f>
        <v>306210.32</v>
      </c>
      <c r="AG148" s="513" t="str">
        <f t="shared" si="95"/>
        <v>Did not Meet</v>
      </c>
      <c r="AI148" s="444">
        <f>VLOOKUP(A148,'42. SEA or LEA Worksheet'!$A$4:$AB$324,28,0)</f>
        <v>18053732.469999999</v>
      </c>
      <c r="AJ148" s="513" t="str">
        <f t="shared" si="96"/>
        <v>Met</v>
      </c>
      <c r="AL148" s="444">
        <f>VLOOKUP(compliance!A148,'42. SEA or LEA Worksheet'!$A$4:$AB$324,26,0)/VLOOKUP(compliance!A148,'42. SEA or LEA Worksheet'!$A$4:$Y$324,25,0)</f>
        <v>213.68480111653872</v>
      </c>
      <c r="AM148" s="513" t="str">
        <f t="shared" si="97"/>
        <v>Did not Meet</v>
      </c>
      <c r="AO148" s="444">
        <f>VLOOKUP(A148,'42. SEA or LEA Worksheet'!$A$4:$AB$324,28,0)/VLOOKUP(compliance!A148,'42. SEA or LEA Worksheet'!$A$4:$Y$324,25,0)</f>
        <v>12598.557201674806</v>
      </c>
      <c r="AP148" s="513" t="str">
        <f t="shared" si="98"/>
        <v>Met</v>
      </c>
      <c r="AR148" s="512" t="str">
        <f t="shared" si="86"/>
        <v>Met</v>
      </c>
      <c r="AT148" s="444">
        <f>VLOOKUP(A148,'42. SEA or LEA Worksheet'!$A$4:$AE$324,31,0)</f>
        <v>198207.6</v>
      </c>
      <c r="AU148" s="513" t="str">
        <f t="shared" si="99"/>
        <v>Did not Meet</v>
      </c>
      <c r="AW148" s="444">
        <f>VLOOKUP(A148,'42. SEA or LEA Worksheet'!$A$4:$AG$324,33,0)</f>
        <v>19790218.620000001</v>
      </c>
      <c r="AX148" s="513" t="str">
        <f t="shared" si="80"/>
        <v>Met</v>
      </c>
      <c r="AZ148" s="444">
        <f>VLOOKUP(A148,'42. SEA or LEA Worksheet'!$A$4:$AG$324,31,0)/VLOOKUP(A148,'42. SEA or LEA Worksheet'!$A$4:$AD$324,30,0)</f>
        <v>132.05036642238508</v>
      </c>
      <c r="BA148" s="513" t="str">
        <f t="shared" si="100"/>
        <v>Did not Meet</v>
      </c>
      <c r="BC148" s="444">
        <f>VLOOKUP(A148,'42. SEA or LEA Worksheet'!$A$4:$AG$324,33,0)/VLOOKUP(A148,'42. SEA or LEA Worksheet'!$A$4:$AD$324,30,0)</f>
        <v>13184.689287141906</v>
      </c>
      <c r="BD148" s="513" t="str">
        <f t="shared" si="81"/>
        <v>Met</v>
      </c>
      <c r="BF148" s="512" t="str">
        <f t="shared" si="102"/>
        <v>Met</v>
      </c>
      <c r="BG148" s="637">
        <f>VLOOKUP(A148,'42. SEA or LEA Worksheet'!$A$4:$AM$324,36,0)</f>
        <v>267631.71999999997</v>
      </c>
      <c r="BH148" s="638" t="str">
        <f t="shared" si="87"/>
        <v>Met</v>
      </c>
      <c r="BI148" s="639"/>
      <c r="BJ148" s="637">
        <f>VLOOKUP(A148,'42. SEA or LEA Worksheet'!$A$4:$AM$324,38,0)</f>
        <v>22929618.469999999</v>
      </c>
      <c r="BK148" s="638" t="str">
        <f t="shared" si="88"/>
        <v>Met</v>
      </c>
      <c r="BM148" s="631">
        <f>VLOOKUP(A148,'42. SEA or LEA Worksheet'!$A$4:$AL$324,36,0)/VLOOKUP(A148,'42. SEA or LEA Worksheet'!$A$4:$AL$324,35,0)</f>
        <v>160.45067146282972</v>
      </c>
      <c r="BN148" s="632" t="str">
        <f t="shared" si="89"/>
        <v>Met</v>
      </c>
      <c r="BP148" s="631">
        <f>VLOOKUP(A148,'42. SEA or LEA Worksheet'!$A$4:$AL$324,38,0)/VLOOKUP(A148,'42. SEA or LEA Worksheet'!$A$4:$AL$324,35,0)</f>
        <v>13746.773663069544</v>
      </c>
      <c r="BQ148" s="632" t="str">
        <f t="shared" si="90"/>
        <v>Met</v>
      </c>
      <c r="BS148" s="620" t="str">
        <f t="shared" si="103"/>
        <v>Met</v>
      </c>
    </row>
    <row r="149" spans="1:71" x14ac:dyDescent="0.25">
      <c r="A149" s="343" t="s">
        <v>478</v>
      </c>
      <c r="B149" s="510" t="s">
        <v>968</v>
      </c>
      <c r="C149" s="511"/>
      <c r="D149" s="444">
        <v>0</v>
      </c>
      <c r="E149" s="343" t="s">
        <v>856</v>
      </c>
      <c r="F149" s="511"/>
      <c r="G149" s="444">
        <v>2550131.86</v>
      </c>
      <c r="H149" s="343" t="s">
        <v>835</v>
      </c>
      <c r="I149" s="511"/>
      <c r="J149" s="444">
        <v>0</v>
      </c>
      <c r="K149" s="343" t="s">
        <v>856</v>
      </c>
      <c r="L149" s="511"/>
      <c r="M149" s="444">
        <v>10944.771931330471</v>
      </c>
      <c r="N149" s="343" t="s">
        <v>835</v>
      </c>
      <c r="O149" s="511"/>
      <c r="P149" s="512" t="str">
        <f t="shared" si="101"/>
        <v>Met</v>
      </c>
      <c r="Q149" s="511"/>
      <c r="R149" s="444">
        <f>VLOOKUP(A149,'2020-21'!$A$6:$F$319,6,0)</f>
        <v>0</v>
      </c>
      <c r="S149" s="513" t="str">
        <f t="shared" si="91"/>
        <v>Met</v>
      </c>
      <c r="U149" s="444">
        <f>VLOOKUP(A149,'2020-21'!$A$6:$G$319,7,0)</f>
        <v>2546085.09</v>
      </c>
      <c r="V149" s="513" t="str">
        <f t="shared" si="92"/>
        <v>Did not Meet</v>
      </c>
      <c r="X149" s="444">
        <f>VLOOKUP(A149,'2020-21'!$A$6:$F$319,6,0)/VLOOKUP(A149,'42. SEA or LEA Worksheet'!$A$4:$T$324,20,0)</f>
        <v>0</v>
      </c>
      <c r="Y149" s="513" t="str">
        <f t="shared" si="93"/>
        <v>Met</v>
      </c>
      <c r="AA149" s="444">
        <f>VLOOKUP(A149,'42. SEA or LEA Worksheet'!$A$4:$W$324,23,0)/VLOOKUP(compliance!A149,'42. SEA or LEA Worksheet'!$A$4:$T$324,20,0)</f>
        <v>11679.289403669723</v>
      </c>
      <c r="AB149" s="513" t="str">
        <f t="shared" si="94"/>
        <v>Met</v>
      </c>
      <c r="AD149" s="512" t="str">
        <f t="shared" si="85"/>
        <v>Met</v>
      </c>
      <c r="AF149" s="444">
        <f>VLOOKUP(A149,'42. SEA or LEA Worksheet'!$A$4:$Z$324,26,0)</f>
        <v>0</v>
      </c>
      <c r="AG149" s="513" t="str">
        <f t="shared" si="95"/>
        <v>Met</v>
      </c>
      <c r="AI149" s="444">
        <f>VLOOKUP(A149,'42. SEA or LEA Worksheet'!$A$4:$AB$324,28,0)</f>
        <v>2656672.02</v>
      </c>
      <c r="AJ149" s="513" t="str">
        <f t="shared" si="96"/>
        <v>Met</v>
      </c>
      <c r="AL149" s="444">
        <f>VLOOKUP(compliance!A149,'42. SEA or LEA Worksheet'!$A$4:$AB$324,26,0)/VLOOKUP(compliance!A149,'42. SEA or LEA Worksheet'!$A$4:$Y$324,25,0)</f>
        <v>0</v>
      </c>
      <c r="AM149" s="513" t="str">
        <f t="shared" si="97"/>
        <v>Met</v>
      </c>
      <c r="AO149" s="444">
        <f>VLOOKUP(A149,'42. SEA or LEA Worksheet'!$A$4:$AB$324,28,0)/VLOOKUP(compliance!A149,'42. SEA or LEA Worksheet'!$A$4:$Y$324,25,0)</f>
        <v>10418.321647058823</v>
      </c>
      <c r="AP149" s="513" t="str">
        <f t="shared" si="98"/>
        <v>Did not Meet</v>
      </c>
      <c r="AR149" s="512" t="str">
        <f t="shared" si="86"/>
        <v>Met</v>
      </c>
      <c r="AT149" s="444">
        <f>VLOOKUP(A149,'42. SEA or LEA Worksheet'!$A$4:$AE$324,31,0)</f>
        <v>0</v>
      </c>
      <c r="AU149" s="513" t="str">
        <f t="shared" si="99"/>
        <v>Met</v>
      </c>
      <c r="AW149" s="444">
        <f>VLOOKUP(A149,'42. SEA or LEA Worksheet'!$A$4:$AG$324,33,0)</f>
        <v>2780463.14</v>
      </c>
      <c r="AX149" s="513" t="str">
        <f t="shared" si="80"/>
        <v>Met</v>
      </c>
      <c r="AZ149" s="444">
        <f>VLOOKUP(A149,'42. SEA or LEA Worksheet'!$A$4:$AG$324,31,0)/VLOOKUP(A149,'42. SEA or LEA Worksheet'!$A$4:$AD$324,30,0)</f>
        <v>0</v>
      </c>
      <c r="BA149" s="513" t="str">
        <f t="shared" si="100"/>
        <v>Met</v>
      </c>
      <c r="BC149" s="444">
        <f>VLOOKUP(A149,'42. SEA or LEA Worksheet'!$A$4:$AG$324,33,0)/VLOOKUP(A149,'42. SEA or LEA Worksheet'!$A$4:$AD$324,30,0)</f>
        <v>11121.852560000001</v>
      </c>
      <c r="BD149" s="513" t="str">
        <f t="shared" si="81"/>
        <v>Met</v>
      </c>
      <c r="BF149" s="512" t="str">
        <f t="shared" si="102"/>
        <v>Met</v>
      </c>
      <c r="BG149" s="637">
        <f>VLOOKUP(A149,'42. SEA or LEA Worksheet'!$A$4:$AM$324,36,0)</f>
        <v>224497.36</v>
      </c>
      <c r="BH149" s="638" t="str">
        <f t="shared" si="87"/>
        <v>Met</v>
      </c>
      <c r="BI149" s="639"/>
      <c r="BJ149" s="637">
        <f>VLOOKUP(A149,'42. SEA or LEA Worksheet'!$A$4:$AM$324,38,0)</f>
        <v>3035450.81</v>
      </c>
      <c r="BK149" s="638" t="str">
        <f t="shared" si="88"/>
        <v>Met</v>
      </c>
      <c r="BM149" s="631">
        <f>VLOOKUP(A149,'42. SEA or LEA Worksheet'!$A$4:$AL$324,36,0)/VLOOKUP(A149,'42. SEA or LEA Worksheet'!$A$4:$AL$324,35,0)</f>
        <v>971.85004329004323</v>
      </c>
      <c r="BN149" s="632" t="str">
        <f t="shared" si="89"/>
        <v>Met</v>
      </c>
      <c r="BP149" s="631">
        <f>VLOOKUP(A149,'42. SEA or LEA Worksheet'!$A$4:$AL$324,38,0)/VLOOKUP(A149,'42. SEA or LEA Worksheet'!$A$4:$AL$324,35,0)</f>
        <v>13140.479696969696</v>
      </c>
      <c r="BQ149" s="632" t="str">
        <f t="shared" si="90"/>
        <v>Met</v>
      </c>
      <c r="BS149" s="620" t="str">
        <f t="shared" si="103"/>
        <v>Met</v>
      </c>
    </row>
    <row r="150" spans="1:71" x14ac:dyDescent="0.25">
      <c r="A150" s="343" t="s">
        <v>480</v>
      </c>
      <c r="B150" s="510" t="s">
        <v>969</v>
      </c>
      <c r="C150" s="511"/>
      <c r="D150" s="444">
        <v>3414061.92</v>
      </c>
      <c r="E150" s="343" t="s">
        <v>835</v>
      </c>
      <c r="F150" s="511"/>
      <c r="G150" s="444">
        <v>8866840.4800000004</v>
      </c>
      <c r="H150" s="343" t="s">
        <v>835</v>
      </c>
      <c r="I150" s="511"/>
      <c r="J150" s="444">
        <v>7794.6619178082192</v>
      </c>
      <c r="K150" s="343" t="s">
        <v>835</v>
      </c>
      <c r="L150" s="511"/>
      <c r="M150" s="444">
        <v>20243.92803652968</v>
      </c>
      <c r="N150" s="343" t="s">
        <v>835</v>
      </c>
      <c r="O150" s="511"/>
      <c r="P150" s="512" t="str">
        <f t="shared" si="101"/>
        <v>Met</v>
      </c>
      <c r="Q150" s="511"/>
      <c r="R150" s="444">
        <f>VLOOKUP(A150,'2020-21'!$A$6:$F$319,6,0)</f>
        <v>3070846.16</v>
      </c>
      <c r="S150" s="513" t="str">
        <f t="shared" si="91"/>
        <v>Did not Meet</v>
      </c>
      <c r="U150" s="444">
        <f>VLOOKUP(A150,'2020-21'!$A$6:$G$319,7,0)</f>
        <v>9678495.0800000001</v>
      </c>
      <c r="V150" s="513" t="str">
        <f t="shared" si="92"/>
        <v>Met</v>
      </c>
      <c r="X150" s="444">
        <f>VLOOKUP(A150,'2020-21'!$A$6:$F$319,6,0)/VLOOKUP(A150,'42. SEA or LEA Worksheet'!$A$4:$T$324,20,0)</f>
        <v>7311.5384761904761</v>
      </c>
      <c r="Y150" s="513" t="str">
        <f t="shared" si="93"/>
        <v>Did not Meet</v>
      </c>
      <c r="AA150" s="444">
        <f>VLOOKUP(A150,'42. SEA or LEA Worksheet'!$A$4:$W$324,23,0)/VLOOKUP(compliance!A150,'42. SEA or LEA Worksheet'!$A$4:$T$324,20,0)</f>
        <v>23044.035904761906</v>
      </c>
      <c r="AB150" s="513" t="str">
        <f t="shared" si="94"/>
        <v>Met</v>
      </c>
      <c r="AD150" s="512" t="str">
        <f t="shared" si="85"/>
        <v>Met</v>
      </c>
      <c r="AF150" s="444">
        <f>VLOOKUP(A150,'42. SEA or LEA Worksheet'!$A$4:$Z$324,26,0)</f>
        <v>4310769.83</v>
      </c>
      <c r="AG150" s="513" t="str">
        <f t="shared" si="95"/>
        <v>Met</v>
      </c>
      <c r="AI150" s="444">
        <f>VLOOKUP(A150,'42. SEA or LEA Worksheet'!$A$4:$AB$324,28,0)</f>
        <v>10418458.050000001</v>
      </c>
      <c r="AJ150" s="513" t="str">
        <f t="shared" si="96"/>
        <v>Met</v>
      </c>
      <c r="AL150" s="444">
        <f>VLOOKUP(compliance!A150,'42. SEA or LEA Worksheet'!$A$4:$AB$324,26,0)/VLOOKUP(compliance!A150,'42. SEA or LEA Worksheet'!$A$4:$Y$324,25,0)</f>
        <v>10565.612328431373</v>
      </c>
      <c r="AM150" s="513" t="str">
        <f t="shared" si="97"/>
        <v>Met</v>
      </c>
      <c r="AO150" s="444">
        <f>VLOOKUP(A150,'42. SEA or LEA Worksheet'!$A$4:$AB$324,28,0)/VLOOKUP(compliance!A150,'42. SEA or LEA Worksheet'!$A$4:$Y$324,25,0)</f>
        <v>25535.436397058824</v>
      </c>
      <c r="AP150" s="513" t="str">
        <f t="shared" si="98"/>
        <v>Met</v>
      </c>
      <c r="AR150" s="512" t="str">
        <f t="shared" si="86"/>
        <v>Met</v>
      </c>
      <c r="AT150" s="444">
        <f>VLOOKUP(A150,'42. SEA or LEA Worksheet'!$A$4:$AE$324,31,0)</f>
        <v>2843528.76</v>
      </c>
      <c r="AU150" s="513" t="str">
        <f t="shared" si="99"/>
        <v>Did not Meet</v>
      </c>
      <c r="AW150" s="444">
        <f>VLOOKUP(A150,'42. SEA or LEA Worksheet'!$A$4:$AG$324,33,0)</f>
        <v>10772801.6</v>
      </c>
      <c r="AX150" s="513" t="str">
        <f t="shared" si="80"/>
        <v>Met</v>
      </c>
      <c r="AZ150" s="444">
        <f>VLOOKUP(A150,'42. SEA or LEA Worksheet'!$A$4:$AG$324,31,0)/VLOOKUP(A150,'42. SEA or LEA Worksheet'!$A$4:$AD$324,30,0)</f>
        <v>6506.930800915331</v>
      </c>
      <c r="BA150" s="513" t="str">
        <f t="shared" si="100"/>
        <v>Did not Meet</v>
      </c>
      <c r="BC150" s="444">
        <f>VLOOKUP(A150,'42. SEA or LEA Worksheet'!$A$4:$AG$324,33,0)/VLOOKUP(A150,'42. SEA or LEA Worksheet'!$A$4:$AD$324,30,0)</f>
        <v>24651.719908466817</v>
      </c>
      <c r="BD150" s="513" t="str">
        <f t="shared" si="81"/>
        <v>Did not Meet</v>
      </c>
      <c r="BF150" s="512" t="str">
        <f>IF(AND(AU150="Did not Meet",AX150="Did not Meet", BA150="Did not Meet",BD150="Did not Meet",),"Did not Meet","Met")</f>
        <v>Met</v>
      </c>
      <c r="BG150" s="637">
        <f>VLOOKUP(A150,'42. SEA or LEA Worksheet'!$A$4:$AM$324,36,0)</f>
        <v>1407552.53</v>
      </c>
      <c r="BH150" s="638" t="str">
        <f t="shared" si="87"/>
        <v>Did not Meet</v>
      </c>
      <c r="BI150" s="639"/>
      <c r="BJ150" s="637">
        <f>VLOOKUP(A150,'42. SEA or LEA Worksheet'!$A$4:$AM$324,38,0)</f>
        <v>13071221.969999999</v>
      </c>
      <c r="BK150" s="638" t="str">
        <f t="shared" si="88"/>
        <v>Met</v>
      </c>
      <c r="BM150" s="631">
        <f>VLOOKUP(A150,'42. SEA or LEA Worksheet'!$A$4:$AL$324,36,0)/VLOOKUP(A150,'42. SEA or LEA Worksheet'!$A$4:$AL$324,35,0)</f>
        <v>3148.887091722595</v>
      </c>
      <c r="BN150" s="632" t="str">
        <f t="shared" si="89"/>
        <v>Met</v>
      </c>
      <c r="BP150" s="631">
        <f>VLOOKUP(A150,'42. SEA or LEA Worksheet'!$A$4:$AL$324,38,0)/VLOOKUP(A150,'42. SEA or LEA Worksheet'!$A$4:$AL$324,35,0)</f>
        <v>29242.107315436238</v>
      </c>
      <c r="BQ150" s="632" t="str">
        <f t="shared" si="90"/>
        <v>Met</v>
      </c>
      <c r="BS150" s="620" t="str">
        <f>IF(AND(BH150="Did not Meet",BK150="Did not Meet", BN150="Did not Meet",BQ150="Did not Meet",),"Did not Meet","Met")</f>
        <v>Met</v>
      </c>
    </row>
    <row r="151" spans="1:71" x14ac:dyDescent="0.25">
      <c r="A151" s="343" t="s">
        <v>482</v>
      </c>
      <c r="B151" s="510" t="s">
        <v>970</v>
      </c>
      <c r="C151" s="511"/>
      <c r="D151" s="444">
        <v>0</v>
      </c>
      <c r="E151" s="343" t="s">
        <v>835</v>
      </c>
      <c r="F151" s="511"/>
      <c r="G151" s="444">
        <v>2520018.25</v>
      </c>
      <c r="H151" s="343" t="s">
        <v>835</v>
      </c>
      <c r="I151" s="511"/>
      <c r="J151" s="444">
        <v>0</v>
      </c>
      <c r="K151" s="343" t="s">
        <v>835</v>
      </c>
      <c r="L151" s="511"/>
      <c r="M151" s="444">
        <v>12475.337871287129</v>
      </c>
      <c r="N151" s="343" t="s">
        <v>835</v>
      </c>
      <c r="O151" s="511"/>
      <c r="P151" s="512" t="str">
        <f t="shared" si="101"/>
        <v>Met</v>
      </c>
      <c r="Q151" s="511"/>
      <c r="R151" s="444">
        <f>VLOOKUP(A151,'2020-21'!$A$6:$F$319,6,0)</f>
        <v>0</v>
      </c>
      <c r="S151" s="513" t="str">
        <f t="shared" si="91"/>
        <v>Met</v>
      </c>
      <c r="U151" s="444">
        <f>VLOOKUP(A151,'2020-21'!$A$6:$G$319,7,0)</f>
        <v>2729302.84</v>
      </c>
      <c r="V151" s="513" t="str">
        <f t="shared" si="92"/>
        <v>Met</v>
      </c>
      <c r="X151" s="444">
        <f>VLOOKUP(A151,'2020-21'!$A$6:$F$319,6,0)/VLOOKUP(A151,'42. SEA or LEA Worksheet'!$A$4:$T$324,20,0)</f>
        <v>0</v>
      </c>
      <c r="Y151" s="513" t="str">
        <f t="shared" si="93"/>
        <v>Met</v>
      </c>
      <c r="AA151" s="444">
        <f>VLOOKUP(A151,'42. SEA or LEA Worksheet'!$A$4:$W$324,23,0)/VLOOKUP(compliance!A151,'42. SEA or LEA Worksheet'!$A$4:$T$324,20,0)</f>
        <v>13185.037874396134</v>
      </c>
      <c r="AB151" s="513" t="str">
        <f t="shared" si="94"/>
        <v>Met</v>
      </c>
      <c r="AD151" s="512" t="str">
        <f t="shared" si="85"/>
        <v>Met</v>
      </c>
      <c r="AF151" s="444">
        <f>VLOOKUP(A151,'42. SEA or LEA Worksheet'!$A$4:$Z$324,26,0)</f>
        <v>0</v>
      </c>
      <c r="AG151" s="513" t="str">
        <f t="shared" si="95"/>
        <v>Met</v>
      </c>
      <c r="AI151" s="444">
        <f>VLOOKUP(A151,'42. SEA or LEA Worksheet'!$A$4:$AB$324,28,0)</f>
        <v>3120520.56</v>
      </c>
      <c r="AJ151" s="513" t="str">
        <f t="shared" si="96"/>
        <v>Met</v>
      </c>
      <c r="AL151" s="444">
        <f>VLOOKUP(compliance!A151,'42. SEA or LEA Worksheet'!$A$4:$AB$324,26,0)/VLOOKUP(compliance!A151,'42. SEA or LEA Worksheet'!$A$4:$Y$324,25,0)</f>
        <v>0</v>
      </c>
      <c r="AM151" s="513" t="str">
        <f t="shared" si="97"/>
        <v>Met</v>
      </c>
      <c r="AO151" s="444">
        <f>VLOOKUP(A151,'42. SEA or LEA Worksheet'!$A$4:$AB$324,28,0)/VLOOKUP(compliance!A151,'42. SEA or LEA Worksheet'!$A$4:$Y$324,25,0)</f>
        <v>15148.158058252428</v>
      </c>
      <c r="AP151" s="513" t="str">
        <f t="shared" si="98"/>
        <v>Met</v>
      </c>
      <c r="AR151" s="512" t="str">
        <f t="shared" si="86"/>
        <v>Met</v>
      </c>
      <c r="AT151" s="444">
        <f>VLOOKUP(A151,'42. SEA or LEA Worksheet'!$A$4:$AE$324,31,0)</f>
        <v>0</v>
      </c>
      <c r="AU151" s="513" t="str">
        <f t="shared" si="99"/>
        <v>Met</v>
      </c>
      <c r="AW151" s="444">
        <f>VLOOKUP(A151,'42. SEA or LEA Worksheet'!$A$4:$AG$324,33,0)</f>
        <v>3435325.78</v>
      </c>
      <c r="AX151" s="513" t="str">
        <f t="shared" si="80"/>
        <v>Met</v>
      </c>
      <c r="AZ151" s="444">
        <f>VLOOKUP(A151,'42. SEA or LEA Worksheet'!$A$4:$AG$324,31,0)/VLOOKUP(A151,'42. SEA or LEA Worksheet'!$A$4:$AD$324,30,0)</f>
        <v>0</v>
      </c>
      <c r="BA151" s="513" t="str">
        <f t="shared" si="100"/>
        <v>Met</v>
      </c>
      <c r="BC151" s="444">
        <f>VLOOKUP(A151,'42. SEA or LEA Worksheet'!$A$4:$AG$324,33,0)/VLOOKUP(A151,'42. SEA or LEA Worksheet'!$A$4:$AD$324,30,0)</f>
        <v>15978.259441860464</v>
      </c>
      <c r="BD151" s="513" t="str">
        <f t="shared" si="81"/>
        <v>Met</v>
      </c>
      <c r="BF151" s="512" t="str">
        <f t="shared" ref="BF151:BF159" si="104">IF(AND(AU151="Did not Meet",AX151="Did not Meet", BA151="Did not Meet",BD151="Did not Meet"),"Did not Meet","Met")</f>
        <v>Met</v>
      </c>
      <c r="BG151" s="637">
        <f>VLOOKUP(A151,'42. SEA or LEA Worksheet'!$A$4:$AM$324,36,0)</f>
        <v>0</v>
      </c>
      <c r="BH151" s="638" t="str">
        <f t="shared" si="87"/>
        <v>Met</v>
      </c>
      <c r="BI151" s="639"/>
      <c r="BJ151" s="637">
        <f>VLOOKUP(A151,'42. SEA or LEA Worksheet'!$A$4:$AM$324,38,0)</f>
        <v>3959247.49</v>
      </c>
      <c r="BK151" s="638" t="str">
        <f t="shared" si="88"/>
        <v>Met</v>
      </c>
      <c r="BM151" s="631">
        <f>VLOOKUP(A151,'42. SEA or LEA Worksheet'!$A$4:$AL$324,36,0)/VLOOKUP(A151,'42. SEA or LEA Worksheet'!$A$4:$AL$324,35,0)</f>
        <v>0</v>
      </c>
      <c r="BN151" s="632" t="str">
        <f t="shared" si="89"/>
        <v>Met</v>
      </c>
      <c r="BP151" s="631">
        <f>VLOOKUP(A151,'42. SEA or LEA Worksheet'!$A$4:$AL$324,38,0)/VLOOKUP(A151,'42. SEA or LEA Worksheet'!$A$4:$AL$324,35,0)</f>
        <v>17139.599523809524</v>
      </c>
      <c r="BQ151" s="632" t="str">
        <f t="shared" si="90"/>
        <v>Met</v>
      </c>
      <c r="BS151" s="620" t="str">
        <f t="shared" ref="BS151:BS159" si="105">IF(AND(BH151="Did not Meet",BK151="Did not Meet", BN151="Did not Meet",BQ151="Did not Meet"),"Did not Meet","Met")</f>
        <v>Met</v>
      </c>
    </row>
    <row r="152" spans="1:71" x14ac:dyDescent="0.25">
      <c r="A152" s="343" t="s">
        <v>484</v>
      </c>
      <c r="B152" s="510" t="s">
        <v>971</v>
      </c>
      <c r="C152" s="511"/>
      <c r="D152" s="444">
        <v>0</v>
      </c>
      <c r="E152" s="343" t="s">
        <v>856</v>
      </c>
      <c r="F152" s="511"/>
      <c r="G152" s="444">
        <v>747286.38</v>
      </c>
      <c r="H152" s="343" t="s">
        <v>835</v>
      </c>
      <c r="I152" s="511"/>
      <c r="J152" s="444">
        <v>0</v>
      </c>
      <c r="K152" s="343" t="s">
        <v>856</v>
      </c>
      <c r="L152" s="511"/>
      <c r="M152" s="444">
        <v>9225.7577777777769</v>
      </c>
      <c r="N152" s="343" t="s">
        <v>835</v>
      </c>
      <c r="O152" s="511"/>
      <c r="P152" s="512" t="str">
        <f t="shared" si="101"/>
        <v>Met</v>
      </c>
      <c r="Q152" s="511"/>
      <c r="R152" s="444">
        <f>VLOOKUP(A152,'2020-21'!$A$6:$F$319,6,0)</f>
        <v>0</v>
      </c>
      <c r="S152" s="513" t="str">
        <f t="shared" si="91"/>
        <v>Met</v>
      </c>
      <c r="U152" s="444">
        <f>VLOOKUP(A152,'2020-21'!$A$6:$G$319,7,0)</f>
        <v>810324.99</v>
      </c>
      <c r="V152" s="513" t="str">
        <f t="shared" si="92"/>
        <v>Met</v>
      </c>
      <c r="X152" s="444">
        <v>0</v>
      </c>
      <c r="Y152" s="513" t="str">
        <f t="shared" si="93"/>
        <v>Met</v>
      </c>
      <c r="AA152" s="444">
        <f>VLOOKUP(A152,'42. SEA or LEA Worksheet'!$A$4:$W$324,23,0)/VLOOKUP(compliance!A152,'42. SEA or LEA Worksheet'!$A$4:$T$324,20,0)</f>
        <v>9646.7260714285712</v>
      </c>
      <c r="AB152" s="513" t="str">
        <f t="shared" si="94"/>
        <v>Met</v>
      </c>
      <c r="AD152" s="512" t="str">
        <f t="shared" si="85"/>
        <v>Met</v>
      </c>
      <c r="AF152" s="444">
        <f>VLOOKUP(A152,'42. SEA or LEA Worksheet'!$A$4:$Z$324,26,0)</f>
        <v>0</v>
      </c>
      <c r="AG152" s="513" t="str">
        <f t="shared" si="95"/>
        <v>Met</v>
      </c>
      <c r="AI152" s="444">
        <f>VLOOKUP(A152,'42. SEA or LEA Worksheet'!$A$4:$AB$324,28,0)</f>
        <v>790090.73</v>
      </c>
      <c r="AJ152" s="513" t="str">
        <f t="shared" si="96"/>
        <v>Did not Meet</v>
      </c>
      <c r="AL152" s="444">
        <f>VLOOKUP(compliance!A152,'42. SEA or LEA Worksheet'!$A$4:$AB$324,26,0)/VLOOKUP(compliance!A152,'42. SEA or LEA Worksheet'!$A$4:$Y$324,25,0)</f>
        <v>0</v>
      </c>
      <c r="AM152" s="513" t="str">
        <f t="shared" si="97"/>
        <v>Met</v>
      </c>
      <c r="AO152" s="444">
        <f>VLOOKUP(A152,'42. SEA or LEA Worksheet'!$A$4:$AB$324,28,0)/VLOOKUP(compliance!A152,'42. SEA or LEA Worksheet'!$A$4:$Y$324,25,0)</f>
        <v>9405.8420238095241</v>
      </c>
      <c r="AP152" s="513" t="str">
        <f t="shared" si="98"/>
        <v>Did not Meet</v>
      </c>
      <c r="AR152" s="512" t="str">
        <f t="shared" si="86"/>
        <v>Met</v>
      </c>
      <c r="AT152" s="444">
        <f>VLOOKUP(A152,'42. SEA or LEA Worksheet'!$A$4:$AE$324,31,0)</f>
        <v>0</v>
      </c>
      <c r="AU152" s="513" t="str">
        <f t="shared" si="99"/>
        <v>Met</v>
      </c>
      <c r="AW152" s="444">
        <f>VLOOKUP(A152,'42. SEA or LEA Worksheet'!$A$4:$AG$324,33,0)</f>
        <v>752709.09</v>
      </c>
      <c r="AX152" s="513" t="str">
        <f t="shared" ref="AX152:AX157" si="106">IF(AW152&gt;=AI152,"Met","Did not Meet")</f>
        <v>Did not Meet</v>
      </c>
      <c r="AZ152" s="444">
        <f>VLOOKUP(A152,'42. SEA or LEA Worksheet'!$A$4:$AG$324,31,0)/VLOOKUP(A152,'42. SEA or LEA Worksheet'!$A$4:$AD$324,30,0)</f>
        <v>0</v>
      </c>
      <c r="BA152" s="513" t="str">
        <f t="shared" si="100"/>
        <v>Met</v>
      </c>
      <c r="BC152" s="444">
        <f>VLOOKUP(A152,'42. SEA or LEA Worksheet'!$A$4:$AG$324,33,0)/VLOOKUP(A152,'42. SEA or LEA Worksheet'!$A$4:$AD$324,30,0)</f>
        <v>10752.986999999999</v>
      </c>
      <c r="BD152" s="513" t="str">
        <f t="shared" ref="BD152:BD157" si="107">IF(BC152&gt;=AO152,"Met","Did not Meet")</f>
        <v>Met</v>
      </c>
      <c r="BF152" s="512" t="str">
        <f t="shared" si="104"/>
        <v>Met</v>
      </c>
      <c r="BG152" s="637">
        <f>VLOOKUP(A152,'42. SEA or LEA Worksheet'!$A$4:$AM$324,36,0)</f>
        <v>0</v>
      </c>
      <c r="BH152" s="638" t="str">
        <f t="shared" si="87"/>
        <v>Met</v>
      </c>
      <c r="BI152" s="639"/>
      <c r="BJ152" s="637">
        <f>VLOOKUP(A152,'42. SEA or LEA Worksheet'!$A$4:$AM$324,38,0)</f>
        <v>1076260.6100000001</v>
      </c>
      <c r="BK152" s="638" t="str">
        <f t="shared" si="88"/>
        <v>Met</v>
      </c>
      <c r="BM152" s="631">
        <f>VLOOKUP(A152,'42. SEA or LEA Worksheet'!$A$4:$AL$324,36,0)/VLOOKUP(A152,'42. SEA or LEA Worksheet'!$A$4:$AL$324,35,0)</f>
        <v>0</v>
      </c>
      <c r="BN152" s="632" t="str">
        <f t="shared" si="89"/>
        <v>Met</v>
      </c>
      <c r="BP152" s="631">
        <f>VLOOKUP(A152,'42. SEA or LEA Worksheet'!$A$4:$AL$324,38,0)/VLOOKUP(A152,'42. SEA or LEA Worksheet'!$A$4:$AL$324,35,0)</f>
        <v>11698.48489130435</v>
      </c>
      <c r="BQ152" s="632" t="str">
        <f t="shared" si="90"/>
        <v>Met</v>
      </c>
      <c r="BS152" s="620" t="str">
        <f t="shared" si="105"/>
        <v>Met</v>
      </c>
    </row>
    <row r="153" spans="1:71" x14ac:dyDescent="0.25">
      <c r="A153" s="343" t="s">
        <v>486</v>
      </c>
      <c r="B153" s="510" t="s">
        <v>972</v>
      </c>
      <c r="C153" s="511"/>
      <c r="D153" s="444">
        <v>0</v>
      </c>
      <c r="E153" s="343" t="s">
        <v>835</v>
      </c>
      <c r="F153" s="511"/>
      <c r="G153" s="444">
        <v>54677.5</v>
      </c>
      <c r="H153" s="343" t="s">
        <v>880</v>
      </c>
      <c r="I153" s="511"/>
      <c r="J153" s="444">
        <v>0</v>
      </c>
      <c r="K153" s="343" t="s">
        <v>835</v>
      </c>
      <c r="L153" s="511"/>
      <c r="M153" s="444">
        <v>7811.0714285714284</v>
      </c>
      <c r="N153" s="343" t="s">
        <v>856</v>
      </c>
      <c r="O153" s="511"/>
      <c r="P153" s="512" t="str">
        <f t="shared" si="101"/>
        <v>Met</v>
      </c>
      <c r="Q153" s="511"/>
      <c r="R153" s="444">
        <f>VLOOKUP(A153,'2020-21'!$A$6:$F$319,6,0)</f>
        <v>0</v>
      </c>
      <c r="S153" s="513" t="str">
        <f t="shared" si="91"/>
        <v>Met</v>
      </c>
      <c r="U153" s="444">
        <f>VLOOKUP(A153,'2020-21'!$A$6:$G$319,7,0)</f>
        <v>71452.929999999993</v>
      </c>
      <c r="V153" s="513" t="str">
        <f t="shared" si="92"/>
        <v>Met</v>
      </c>
      <c r="X153" s="444">
        <v>0</v>
      </c>
      <c r="Y153" s="513" t="str">
        <f t="shared" si="93"/>
        <v>Met</v>
      </c>
      <c r="AA153" s="444">
        <f>VLOOKUP(A153,'42. SEA or LEA Worksheet'!$A$4:$W$324,23,0)/VLOOKUP(compliance!A153,'42. SEA or LEA Worksheet'!$A$4:$T$324,20,0)</f>
        <v>8931.6162499999991</v>
      </c>
      <c r="AB153" s="513" t="str">
        <f t="shared" si="94"/>
        <v>Met</v>
      </c>
      <c r="AD153" s="512" t="str">
        <f t="shared" si="85"/>
        <v>Met</v>
      </c>
      <c r="AF153" s="444">
        <f>VLOOKUP(A153,'42. SEA or LEA Worksheet'!$A$4:$Z$324,26,0)</f>
        <v>0</v>
      </c>
      <c r="AG153" s="513" t="str">
        <f t="shared" si="95"/>
        <v>Met</v>
      </c>
      <c r="AI153" s="444">
        <f>VLOOKUP(A153,'42. SEA or LEA Worksheet'!$A$4:$AB$324,28,0)</f>
        <v>49519.17</v>
      </c>
      <c r="AJ153" s="513" t="str">
        <f t="shared" si="96"/>
        <v>Did not Meet</v>
      </c>
      <c r="AL153" s="444">
        <f>VLOOKUP(compliance!A153,'42. SEA or LEA Worksheet'!$A$4:$AB$324,26,0)/VLOOKUP(compliance!A153,'42. SEA or LEA Worksheet'!$A$4:$Y$324,25,0)</f>
        <v>0</v>
      </c>
      <c r="AM153" s="513" t="str">
        <f t="shared" si="97"/>
        <v>Met</v>
      </c>
      <c r="AO153" s="444">
        <f>VLOOKUP(A153,'42. SEA or LEA Worksheet'!$A$4:$AB$324,28,0)/VLOOKUP(compliance!A153,'42. SEA or LEA Worksheet'!$A$4:$Y$324,25,0)</f>
        <v>9903.8339999999989</v>
      </c>
      <c r="AP153" s="513" t="str">
        <f t="shared" si="98"/>
        <v>Met</v>
      </c>
      <c r="AR153" s="512" t="str">
        <f t="shared" si="86"/>
        <v>Met</v>
      </c>
      <c r="AT153" s="444">
        <f>VLOOKUP(A153,'42. SEA or LEA Worksheet'!$A$4:$AE$324,31,0)</f>
        <v>0</v>
      </c>
      <c r="AU153" s="513" t="str">
        <f t="shared" si="99"/>
        <v>Met</v>
      </c>
      <c r="AW153" s="444">
        <f>VLOOKUP(A153,'42. SEA or LEA Worksheet'!$A$4:$AG$324,33,0)</f>
        <v>49047.6</v>
      </c>
      <c r="AX153" s="513" t="str">
        <f t="shared" si="106"/>
        <v>Did not Meet</v>
      </c>
      <c r="AZ153" s="444">
        <f>VLOOKUP(A153,'42. SEA or LEA Worksheet'!$A$4:$AG$324,31,0)/VLOOKUP(A153,'42. SEA or LEA Worksheet'!$A$4:$AD$324,30,0)</f>
        <v>0</v>
      </c>
      <c r="BA153" s="513" t="str">
        <f t="shared" si="100"/>
        <v>Met</v>
      </c>
      <c r="BC153" s="444">
        <f>VLOOKUP(A153,'42. SEA or LEA Worksheet'!$A$4:$AG$324,33,0)/VLOOKUP(A153,'42. SEA or LEA Worksheet'!$A$4:$AD$324,30,0)</f>
        <v>9809.52</v>
      </c>
      <c r="BD153" s="513" t="str">
        <f t="shared" si="107"/>
        <v>Did not Meet</v>
      </c>
      <c r="BF153" s="512" t="str">
        <f t="shared" si="104"/>
        <v>Met</v>
      </c>
      <c r="BG153" s="637">
        <f>VLOOKUP(A153,'42. SEA or LEA Worksheet'!$A$4:$AM$324,36,0)</f>
        <v>0</v>
      </c>
      <c r="BH153" s="638" t="str">
        <f t="shared" si="87"/>
        <v>Met</v>
      </c>
      <c r="BI153" s="639"/>
      <c r="BJ153" s="637">
        <f>VLOOKUP(A153,'42. SEA or LEA Worksheet'!$A$4:$AM$324,38,0)</f>
        <v>61703.29</v>
      </c>
      <c r="BK153" s="638" t="str">
        <f t="shared" si="88"/>
        <v>Met</v>
      </c>
      <c r="BM153" s="631">
        <f>VLOOKUP(A153,'42. SEA or LEA Worksheet'!$A$4:$AL$324,36,0)/VLOOKUP(A153,'42. SEA or LEA Worksheet'!$A$4:$AL$324,35,0)</f>
        <v>0</v>
      </c>
      <c r="BN153" s="632" t="str">
        <f t="shared" si="89"/>
        <v>Met</v>
      </c>
      <c r="BP153" s="631">
        <f>VLOOKUP(A153,'42. SEA or LEA Worksheet'!$A$4:$AL$324,38,0)/VLOOKUP(A153,'42. SEA or LEA Worksheet'!$A$4:$AL$324,35,0)</f>
        <v>10283.881666666666</v>
      </c>
      <c r="BQ153" s="632" t="str">
        <f t="shared" si="90"/>
        <v>Met</v>
      </c>
      <c r="BS153" s="620" t="str">
        <f t="shared" si="105"/>
        <v>Met</v>
      </c>
    </row>
    <row r="154" spans="1:71" x14ac:dyDescent="0.25">
      <c r="A154" s="343" t="s">
        <v>488</v>
      </c>
      <c r="B154" s="510" t="s">
        <v>973</v>
      </c>
      <c r="C154" s="511"/>
      <c r="D154" s="444">
        <v>387760.62</v>
      </c>
      <c r="E154" s="343" t="s">
        <v>856</v>
      </c>
      <c r="F154" s="511"/>
      <c r="G154" s="444">
        <v>10507815.699999999</v>
      </c>
      <c r="H154" s="343" t="s">
        <v>835</v>
      </c>
      <c r="I154" s="511"/>
      <c r="J154" s="444">
        <v>468.87620314389358</v>
      </c>
      <c r="K154" s="343" t="s">
        <v>856</v>
      </c>
      <c r="L154" s="511"/>
      <c r="M154" s="444">
        <v>12705.944014510278</v>
      </c>
      <c r="N154" s="343" t="s">
        <v>835</v>
      </c>
      <c r="O154" s="511"/>
      <c r="P154" s="512" t="str">
        <f t="shared" si="101"/>
        <v>Met</v>
      </c>
      <c r="Q154" s="511"/>
      <c r="R154" s="444">
        <f>VLOOKUP(A154,'2020-21'!$A$6:$F$319,6,0)</f>
        <v>387890.37</v>
      </c>
      <c r="S154" s="513" t="str">
        <f t="shared" si="91"/>
        <v>Met</v>
      </c>
      <c r="U154" s="444">
        <f>VLOOKUP(A154,'2020-21'!$A$6:$G$319,7,0)</f>
        <v>10267580.529999999</v>
      </c>
      <c r="V154" s="513" t="str">
        <f t="shared" si="92"/>
        <v>Did not Meet</v>
      </c>
      <c r="X154" s="444">
        <f>VLOOKUP(A154,'2020-21'!$A$6:$F$319,6,0)/VLOOKUP(A154,'42. SEA or LEA Worksheet'!$A$4:$T$324,20,0)</f>
        <v>522.05971736204572</v>
      </c>
      <c r="Y154" s="513" t="str">
        <f t="shared" si="93"/>
        <v>Met</v>
      </c>
      <c r="AA154" s="444">
        <f>VLOOKUP(A154,'42. SEA or LEA Worksheet'!$A$4:$W$324,23,0)/VLOOKUP(compliance!A154,'42. SEA or LEA Worksheet'!$A$4:$T$324,20,0)</f>
        <v>13819.085504710632</v>
      </c>
      <c r="AB154" s="513" t="str">
        <f t="shared" si="94"/>
        <v>Met</v>
      </c>
      <c r="AD154" s="512" t="str">
        <f t="shared" si="85"/>
        <v>Met</v>
      </c>
      <c r="AF154" s="444">
        <f>VLOOKUP(A154,'42. SEA or LEA Worksheet'!$A$4:$Z$324,26,0)</f>
        <v>390410.91</v>
      </c>
      <c r="AG154" s="513" t="str">
        <f t="shared" si="95"/>
        <v>Met</v>
      </c>
      <c r="AI154" s="444">
        <f>VLOOKUP(A154,'42. SEA or LEA Worksheet'!$A$4:$AB$324,28,0)</f>
        <v>12494445.52</v>
      </c>
      <c r="AJ154" s="513" t="str">
        <f t="shared" si="96"/>
        <v>Met</v>
      </c>
      <c r="AL154" s="444">
        <f>VLOOKUP(compliance!A154,'42. SEA or LEA Worksheet'!$A$4:$AB$324,26,0)/VLOOKUP(compliance!A154,'42. SEA or LEA Worksheet'!$A$4:$Y$324,25,0)</f>
        <v>511.00904450261777</v>
      </c>
      <c r="AM154" s="513" t="str">
        <f t="shared" si="97"/>
        <v>Did not Meet</v>
      </c>
      <c r="AO154" s="444">
        <f>VLOOKUP(A154,'42. SEA or LEA Worksheet'!$A$4:$AB$324,28,0)/VLOOKUP(compliance!A154,'42. SEA or LEA Worksheet'!$A$4:$Y$324,25,0)</f>
        <v>16353.986282722513</v>
      </c>
      <c r="AP154" s="513" t="str">
        <f t="shared" si="98"/>
        <v>Met</v>
      </c>
      <c r="AR154" s="512" t="str">
        <f t="shared" si="86"/>
        <v>Met</v>
      </c>
      <c r="AT154" s="444">
        <f>VLOOKUP(A154,'42. SEA or LEA Worksheet'!$A$4:$AE$324,31,0)</f>
        <v>432163.92</v>
      </c>
      <c r="AU154" s="513" t="str">
        <f t="shared" si="99"/>
        <v>Met</v>
      </c>
      <c r="AW154" s="444">
        <f>VLOOKUP(A154,'42. SEA or LEA Worksheet'!$A$4:$AG$324,33,0)</f>
        <v>13535421.16</v>
      </c>
      <c r="AX154" s="513" t="str">
        <f t="shared" si="106"/>
        <v>Met</v>
      </c>
      <c r="AZ154" s="444">
        <f>VLOOKUP(A154,'42. SEA or LEA Worksheet'!$A$4:$AG$324,31,0)/VLOOKUP(A154,'42. SEA or LEA Worksheet'!$A$4:$AD$324,30,0)</f>
        <v>548.43137055837565</v>
      </c>
      <c r="BA154" s="513" t="str">
        <f t="shared" si="100"/>
        <v>Met</v>
      </c>
      <c r="BC154" s="444">
        <f>VLOOKUP(A154,'42. SEA or LEA Worksheet'!$A$4:$AG$324,33,0)/VLOOKUP(A154,'42. SEA or LEA Worksheet'!$A$4:$AD$324,30,0)</f>
        <v>17176.930406091371</v>
      </c>
      <c r="BD154" s="513" t="str">
        <f t="shared" si="107"/>
        <v>Met</v>
      </c>
      <c r="BF154" s="512" t="str">
        <f t="shared" si="104"/>
        <v>Met</v>
      </c>
      <c r="BG154" s="637">
        <f>VLOOKUP(A154,'42. SEA or LEA Worksheet'!$A$4:$AM$324,36,0)</f>
        <v>870943.83</v>
      </c>
      <c r="BH154" s="638" t="str">
        <f t="shared" si="87"/>
        <v>Met</v>
      </c>
      <c r="BI154" s="639"/>
      <c r="BJ154" s="637">
        <f>VLOOKUP(A154,'42. SEA or LEA Worksheet'!$A$4:$AM$324,38,0)</f>
        <v>15372041.35</v>
      </c>
      <c r="BK154" s="638" t="str">
        <f t="shared" si="88"/>
        <v>Met</v>
      </c>
      <c r="BM154" s="631">
        <f>VLOOKUP(A154,'42. SEA or LEA Worksheet'!$A$4:$AL$324,36,0)/VLOOKUP(A154,'42. SEA or LEA Worksheet'!$A$4:$AL$324,35,0)</f>
        <v>1079.2364684014869</v>
      </c>
      <c r="BN154" s="632" t="str">
        <f t="shared" si="89"/>
        <v>Met</v>
      </c>
      <c r="BP154" s="631">
        <f>VLOOKUP(A154,'42. SEA or LEA Worksheet'!$A$4:$AL$324,38,0)/VLOOKUP(A154,'42. SEA or LEA Worksheet'!$A$4:$AL$324,35,0)</f>
        <v>19048.37837670384</v>
      </c>
      <c r="BQ154" s="632" t="str">
        <f t="shared" si="90"/>
        <v>Met</v>
      </c>
      <c r="BS154" s="620" t="str">
        <f t="shared" si="105"/>
        <v>Met</v>
      </c>
    </row>
    <row r="155" spans="1:71" x14ac:dyDescent="0.25">
      <c r="A155" s="343" t="s">
        <v>490</v>
      </c>
      <c r="B155" s="510" t="s">
        <v>974</v>
      </c>
      <c r="C155" s="511"/>
      <c r="D155" s="444">
        <v>0</v>
      </c>
      <c r="E155" s="343" t="s">
        <v>856</v>
      </c>
      <c r="F155" s="511"/>
      <c r="G155" s="444">
        <v>2368312.31</v>
      </c>
      <c r="H155" s="343" t="s">
        <v>835</v>
      </c>
      <c r="I155" s="511"/>
      <c r="J155" s="444">
        <v>0</v>
      </c>
      <c r="K155" s="343" t="s">
        <v>856</v>
      </c>
      <c r="L155" s="511"/>
      <c r="M155" s="444">
        <v>10525.832488888889</v>
      </c>
      <c r="N155" s="343" t="s">
        <v>835</v>
      </c>
      <c r="O155" s="511"/>
      <c r="P155" s="512" t="str">
        <f t="shared" si="101"/>
        <v>Met</v>
      </c>
      <c r="Q155" s="511"/>
      <c r="R155" s="444">
        <f>VLOOKUP(A155,'2020-21'!$A$6:$F$319,6,0)</f>
        <v>0</v>
      </c>
      <c r="S155" s="513" t="str">
        <f t="shared" si="91"/>
        <v>Met</v>
      </c>
      <c r="U155" s="444">
        <f>VLOOKUP(A155,'2020-21'!$A$6:$G$319,7,0)</f>
        <v>2214285.75</v>
      </c>
      <c r="V155" s="513" t="str">
        <f t="shared" si="92"/>
        <v>Did not Meet</v>
      </c>
      <c r="X155" s="444">
        <f>VLOOKUP(A155,'2020-21'!$A$6:$F$319,6,0)/VLOOKUP(A155,'42. SEA or LEA Worksheet'!$A$4:$T$324,20,0)</f>
        <v>0</v>
      </c>
      <c r="Y155" s="513" t="str">
        <f t="shared" si="93"/>
        <v>Met</v>
      </c>
      <c r="AA155" s="444">
        <f>VLOOKUP(A155,'42. SEA or LEA Worksheet'!$A$4:$W$324,23,0)/VLOOKUP(compliance!A155,'42. SEA or LEA Worksheet'!$A$4:$T$324,20,0)</f>
        <v>10494.245260663507</v>
      </c>
      <c r="AB155" s="513" t="str">
        <f t="shared" si="94"/>
        <v>Did not Meet</v>
      </c>
      <c r="AD155" s="512" t="str">
        <f t="shared" si="85"/>
        <v>Met</v>
      </c>
      <c r="AF155" s="444">
        <f>VLOOKUP(A155,'42. SEA or LEA Worksheet'!$A$4:$Z$324,26,0)</f>
        <v>0</v>
      </c>
      <c r="AG155" s="513" t="str">
        <f t="shared" si="95"/>
        <v>Met</v>
      </c>
      <c r="AI155" s="444">
        <f>VLOOKUP(A155,'42. SEA or LEA Worksheet'!$A$4:$AB$324,28,0)</f>
        <v>2629408.61</v>
      </c>
      <c r="AJ155" s="513" t="str">
        <f t="shared" si="96"/>
        <v>Met</v>
      </c>
      <c r="AL155" s="444">
        <f>VLOOKUP(compliance!A155,'42. SEA or LEA Worksheet'!$A$4:$AB$324,26,0)/VLOOKUP(compliance!A155,'42. SEA or LEA Worksheet'!$A$4:$Y$324,25,0)</f>
        <v>0</v>
      </c>
      <c r="AM155" s="513" t="str">
        <f t="shared" si="97"/>
        <v>Met</v>
      </c>
      <c r="AO155" s="444">
        <f>VLOOKUP(A155,'42. SEA or LEA Worksheet'!$A$4:$AB$324,28,0)/VLOOKUP(compliance!A155,'42. SEA or LEA Worksheet'!$A$4:$Y$324,25,0)</f>
        <v>12006.432009132419</v>
      </c>
      <c r="AP155" s="513" t="str">
        <f t="shared" si="98"/>
        <v>Met</v>
      </c>
      <c r="AR155" s="512" t="str">
        <f t="shared" si="86"/>
        <v>Met</v>
      </c>
      <c r="AT155" s="444">
        <f>VLOOKUP(A155,'42. SEA or LEA Worksheet'!$A$4:$AE$324,31,0)</f>
        <v>186519.47</v>
      </c>
      <c r="AU155" s="513" t="str">
        <f t="shared" si="99"/>
        <v>Met</v>
      </c>
      <c r="AW155" s="444">
        <f>VLOOKUP(A155,'42. SEA or LEA Worksheet'!$A$4:$AG$324,33,0)</f>
        <v>2931470.0100000002</v>
      </c>
      <c r="AX155" s="513" t="str">
        <f t="shared" si="106"/>
        <v>Met</v>
      </c>
      <c r="AZ155" s="444">
        <f>VLOOKUP(A155,'42. SEA or LEA Worksheet'!$A$4:$AG$324,31,0)/VLOOKUP(A155,'42. SEA or LEA Worksheet'!$A$4:$AD$324,30,0)</f>
        <v>800.51274678111588</v>
      </c>
      <c r="BA155" s="513" t="str">
        <f t="shared" si="100"/>
        <v>Met</v>
      </c>
      <c r="BC155" s="444">
        <f>VLOOKUP(A155,'42. SEA or LEA Worksheet'!$A$4:$AG$324,33,0)/VLOOKUP(A155,'42. SEA or LEA Worksheet'!$A$4:$AD$324,30,0)</f>
        <v>12581.416351931332</v>
      </c>
      <c r="BD155" s="513" t="str">
        <f t="shared" si="107"/>
        <v>Met</v>
      </c>
      <c r="BF155" s="512" t="str">
        <f t="shared" si="104"/>
        <v>Met</v>
      </c>
      <c r="BG155" s="637">
        <f>VLOOKUP(A155,'42. SEA or LEA Worksheet'!$A$4:$AM$324,36,0)</f>
        <v>0</v>
      </c>
      <c r="BH155" s="638" t="str">
        <f t="shared" si="87"/>
        <v>Did not Meet</v>
      </c>
      <c r="BI155" s="639"/>
      <c r="BJ155" s="637">
        <f>VLOOKUP(A155,'42. SEA or LEA Worksheet'!$A$4:$AM$324,38,0)</f>
        <v>2938817.53</v>
      </c>
      <c r="BK155" s="638" t="str">
        <f t="shared" si="88"/>
        <v>Met</v>
      </c>
      <c r="BM155" s="631">
        <f>VLOOKUP(A155,'42. SEA or LEA Worksheet'!$A$4:$AL$324,36,0)/VLOOKUP(A155,'42. SEA or LEA Worksheet'!$A$4:$AL$324,35,0)</f>
        <v>0</v>
      </c>
      <c r="BN155" s="632" t="str">
        <f t="shared" si="89"/>
        <v>Met</v>
      </c>
      <c r="BP155" s="631">
        <f>VLOOKUP(A155,'42. SEA or LEA Worksheet'!$A$4:$AL$324,38,0)/VLOOKUP(A155,'42. SEA or LEA Worksheet'!$A$4:$AL$324,35,0)</f>
        <v>12044.334139344261</v>
      </c>
      <c r="BQ155" s="632" t="str">
        <f t="shared" si="90"/>
        <v>Met</v>
      </c>
      <c r="BS155" s="620" t="str">
        <f t="shared" si="105"/>
        <v>Met</v>
      </c>
    </row>
    <row r="156" spans="1:71" x14ac:dyDescent="0.25">
      <c r="A156" s="343" t="s">
        <v>492</v>
      </c>
      <c r="B156" s="510" t="s">
        <v>975</v>
      </c>
      <c r="C156" s="511"/>
      <c r="D156" s="444">
        <v>107013.43</v>
      </c>
      <c r="E156" s="343" t="s">
        <v>835</v>
      </c>
      <c r="F156" s="511"/>
      <c r="G156" s="444">
        <v>701723.26</v>
      </c>
      <c r="H156" s="343" t="s">
        <v>835</v>
      </c>
      <c r="I156" s="511"/>
      <c r="J156" s="444">
        <v>1813.7869491525423</v>
      </c>
      <c r="K156" s="343" t="s">
        <v>856</v>
      </c>
      <c r="L156" s="511"/>
      <c r="M156" s="444">
        <v>11893.614576271186</v>
      </c>
      <c r="N156" s="343" t="s">
        <v>835</v>
      </c>
      <c r="O156" s="511"/>
      <c r="P156" s="512" t="str">
        <f t="shared" si="101"/>
        <v>Met</v>
      </c>
      <c r="Q156" s="511"/>
      <c r="R156" s="444">
        <f>VLOOKUP(A156,'2020-21'!$A$6:$F$319,6,0)</f>
        <v>133088.54999999999</v>
      </c>
      <c r="S156" s="513" t="str">
        <f t="shared" si="91"/>
        <v>Met</v>
      </c>
      <c r="U156" s="444">
        <f>VLOOKUP(A156,'2020-21'!$A$6:$G$319,7,0)</f>
        <v>797139.24</v>
      </c>
      <c r="V156" s="513" t="str">
        <f t="shared" si="92"/>
        <v>Met</v>
      </c>
      <c r="X156" s="444">
        <f>VLOOKUP(A156,'2020-21'!$A$6:$F$319,6,0)/VLOOKUP(A156,'42. SEA or LEA Worksheet'!$A$4:$T$324,20,0)</f>
        <v>2559.395192307692</v>
      </c>
      <c r="Y156" s="513" t="str">
        <f t="shared" si="93"/>
        <v>Met</v>
      </c>
      <c r="AA156" s="444">
        <f>VLOOKUP(A156,'42. SEA or LEA Worksheet'!$A$4:$W$324,23,0)/VLOOKUP(compliance!A156,'42. SEA or LEA Worksheet'!$A$4:$T$324,20,0)</f>
        <v>15329.600769230768</v>
      </c>
      <c r="AB156" s="513" t="str">
        <f t="shared" si="94"/>
        <v>Met</v>
      </c>
      <c r="AD156" s="512" t="str">
        <f t="shared" si="85"/>
        <v>Met</v>
      </c>
      <c r="AF156" s="444">
        <f>VLOOKUP(A156,'42. SEA or LEA Worksheet'!$A$4:$Z$324,26,0)</f>
        <v>134152.26</v>
      </c>
      <c r="AG156" s="513" t="str">
        <f t="shared" si="95"/>
        <v>Met</v>
      </c>
      <c r="AI156" s="444">
        <f>VLOOKUP(A156,'42. SEA or LEA Worksheet'!$A$4:$AB$324,28,0)</f>
        <v>859826.76</v>
      </c>
      <c r="AJ156" s="513" t="str">
        <f t="shared" si="96"/>
        <v>Met</v>
      </c>
      <c r="AL156" s="444">
        <f>VLOOKUP(compliance!A156,'42. SEA or LEA Worksheet'!$A$4:$AB$324,26,0)/VLOOKUP(compliance!A156,'42. SEA or LEA Worksheet'!$A$4:$Y$324,25,0)</f>
        <v>2683.0452</v>
      </c>
      <c r="AM156" s="513" t="str">
        <f t="shared" si="97"/>
        <v>Met</v>
      </c>
      <c r="AO156" s="444">
        <f>VLOOKUP(A156,'42. SEA or LEA Worksheet'!$A$4:$AB$324,28,0)/VLOOKUP(compliance!A156,'42. SEA or LEA Worksheet'!$A$4:$Y$324,25,0)</f>
        <v>17196.535199999998</v>
      </c>
      <c r="AP156" s="513" t="str">
        <f t="shared" si="98"/>
        <v>Met</v>
      </c>
      <c r="AR156" s="512" t="str">
        <f t="shared" si="86"/>
        <v>Met</v>
      </c>
      <c r="AT156" s="444">
        <f>VLOOKUP(A156,'42. SEA or LEA Worksheet'!$A$4:$AE$324,31,0)</f>
        <v>197082.25</v>
      </c>
      <c r="AU156" s="513" t="str">
        <f t="shared" si="99"/>
        <v>Met</v>
      </c>
      <c r="AW156" s="444">
        <f>VLOOKUP(A156,'42. SEA or LEA Worksheet'!$A$4:$AG$324,33,0)</f>
        <v>879138.39</v>
      </c>
      <c r="AX156" s="513" t="str">
        <f t="shared" si="106"/>
        <v>Met</v>
      </c>
      <c r="AZ156" s="444">
        <f>VLOOKUP(A156,'42. SEA or LEA Worksheet'!$A$4:$AG$324,31,0)/VLOOKUP(A156,'42. SEA or LEA Worksheet'!$A$4:$AD$324,30,0)</f>
        <v>4193.239361702128</v>
      </c>
      <c r="BA156" s="513" t="str">
        <f t="shared" si="100"/>
        <v>Met</v>
      </c>
      <c r="BC156" s="444">
        <f>VLOOKUP(A156,'42. SEA or LEA Worksheet'!$A$4:$AG$324,33,0)/VLOOKUP(A156,'42. SEA or LEA Worksheet'!$A$4:$AD$324,30,0)</f>
        <v>18705.072127659576</v>
      </c>
      <c r="BD156" s="513" t="str">
        <f t="shared" si="107"/>
        <v>Met</v>
      </c>
      <c r="BF156" s="512" t="str">
        <f t="shared" si="104"/>
        <v>Met</v>
      </c>
      <c r="BG156" s="637">
        <f>VLOOKUP(A156,'42. SEA or LEA Worksheet'!$A$4:$AM$324,36,0)</f>
        <v>351586.52</v>
      </c>
      <c r="BH156" s="638" t="str">
        <f t="shared" si="87"/>
        <v>Met</v>
      </c>
      <c r="BI156" s="639"/>
      <c r="BJ156" s="637">
        <f>VLOOKUP(A156,'42. SEA or LEA Worksheet'!$A$4:$AM$324,38,0)</f>
        <v>1463951.97</v>
      </c>
      <c r="BK156" s="638" t="str">
        <f t="shared" si="88"/>
        <v>Met</v>
      </c>
      <c r="BM156" s="631">
        <f>VLOOKUP(A156,'42. SEA or LEA Worksheet'!$A$4:$AL$324,36,0)/VLOOKUP(A156,'42. SEA or LEA Worksheet'!$A$4:$AL$324,35,0)</f>
        <v>5959.0935593220338</v>
      </c>
      <c r="BN156" s="632" t="str">
        <f t="shared" si="89"/>
        <v>Met</v>
      </c>
      <c r="BP156" s="631">
        <f>VLOOKUP(A156,'42. SEA or LEA Worksheet'!$A$4:$AL$324,38,0)/VLOOKUP(A156,'42. SEA or LEA Worksheet'!$A$4:$AL$324,35,0)</f>
        <v>24812.745254237288</v>
      </c>
      <c r="BQ156" s="632" t="str">
        <f t="shared" si="90"/>
        <v>Met</v>
      </c>
      <c r="BS156" s="620" t="str">
        <f t="shared" si="105"/>
        <v>Met</v>
      </c>
    </row>
    <row r="157" spans="1:71" x14ac:dyDescent="0.25">
      <c r="A157" s="343" t="s">
        <v>494</v>
      </c>
      <c r="B157" s="510" t="s">
        <v>976</v>
      </c>
      <c r="C157" s="511"/>
      <c r="D157" s="444">
        <v>1640640.25</v>
      </c>
      <c r="E157" s="343" t="s">
        <v>856</v>
      </c>
      <c r="F157" s="511"/>
      <c r="G157" s="444">
        <v>12030743.720000001</v>
      </c>
      <c r="H157" s="343" t="s">
        <v>835</v>
      </c>
      <c r="I157" s="511"/>
      <c r="J157" s="444">
        <v>1388.0205160744501</v>
      </c>
      <c r="K157" s="343" t="s">
        <v>856</v>
      </c>
      <c r="L157" s="511"/>
      <c r="M157" s="444">
        <v>10178.294179357023</v>
      </c>
      <c r="N157" s="343" t="s">
        <v>835</v>
      </c>
      <c r="O157" s="511"/>
      <c r="P157" s="512" t="str">
        <f t="shared" si="101"/>
        <v>Met</v>
      </c>
      <c r="Q157" s="511"/>
      <c r="R157" s="444">
        <f>VLOOKUP(A157,'2020-21'!$A$6:$F$319,6,0)</f>
        <v>190292.56</v>
      </c>
      <c r="S157" s="513" t="str">
        <f t="shared" si="91"/>
        <v>Did not Meet</v>
      </c>
      <c r="U157" s="444">
        <f>VLOOKUP(A157,'2020-21'!$A$6:$G$319,7,0)</f>
        <v>12837099.59</v>
      </c>
      <c r="V157" s="513" t="str">
        <f t="shared" si="92"/>
        <v>Met</v>
      </c>
      <c r="X157" s="444">
        <f>VLOOKUP(A157,'2020-21'!$A$6:$F$319,6,0)/VLOOKUP(A157,'42. SEA or LEA Worksheet'!$A$4:$T$324,20,0)</f>
        <v>166.33965034965036</v>
      </c>
      <c r="Y157" s="513" t="str">
        <f t="shared" si="93"/>
        <v>Did not Meet</v>
      </c>
      <c r="AA157" s="444">
        <f>VLOOKUP(A157,'42. SEA or LEA Worksheet'!$A$4:$W$324,23,0)/VLOOKUP(compliance!A157,'42. SEA or LEA Worksheet'!$A$4:$T$324,20,0)</f>
        <v>11221.24090034965</v>
      </c>
      <c r="AB157" s="513" t="str">
        <f t="shared" si="94"/>
        <v>Met</v>
      </c>
      <c r="AD157" s="512" t="str">
        <f t="shared" si="85"/>
        <v>Met</v>
      </c>
      <c r="AF157" s="444">
        <f>VLOOKUP(A157,'42. SEA or LEA Worksheet'!$A$4:$Z$324,26,0)</f>
        <v>1338203.05</v>
      </c>
      <c r="AG157" s="513" t="str">
        <f t="shared" si="95"/>
        <v>Met</v>
      </c>
      <c r="AI157" s="444">
        <f>VLOOKUP(A157,'42. SEA or LEA Worksheet'!$A$4:$AB$324,28,0)</f>
        <v>14724653.58</v>
      </c>
      <c r="AJ157" s="513" t="str">
        <f t="shared" si="96"/>
        <v>Met</v>
      </c>
      <c r="AL157" s="444">
        <f>VLOOKUP(compliance!A157,'42. SEA or LEA Worksheet'!$A$4:$AB$324,26,0)/VLOOKUP(compliance!A157,'42. SEA or LEA Worksheet'!$A$4:$Y$324,25,0)</f>
        <v>1101.4016872427983</v>
      </c>
      <c r="AM157" s="513" t="str">
        <f t="shared" si="97"/>
        <v>Met</v>
      </c>
      <c r="AO157" s="444">
        <f>VLOOKUP(A157,'42. SEA or LEA Worksheet'!$A$4:$AB$324,28,0)/VLOOKUP(compliance!A157,'42. SEA or LEA Worksheet'!$A$4:$Y$324,25,0)</f>
        <v>12119.056444444444</v>
      </c>
      <c r="AP157" s="513" t="str">
        <f t="shared" si="98"/>
        <v>Met</v>
      </c>
      <c r="AR157" s="512" t="str">
        <f t="shared" si="86"/>
        <v>Met</v>
      </c>
      <c r="AT157" s="444">
        <f>VLOOKUP(A157,'42. SEA or LEA Worksheet'!$A$4:$AE$324,31,0)</f>
        <v>4298284.51</v>
      </c>
      <c r="AU157" s="513" t="str">
        <f t="shared" si="99"/>
        <v>Met</v>
      </c>
      <c r="AW157" s="444">
        <f>VLOOKUP(A157,'42. SEA or LEA Worksheet'!$A$4:$AG$324,33,0)</f>
        <v>16697032.77</v>
      </c>
      <c r="AX157" s="513" t="str">
        <f t="shared" si="106"/>
        <v>Met</v>
      </c>
      <c r="AZ157" s="444">
        <f>VLOOKUP(A157,'42. SEA or LEA Worksheet'!$A$4:$AG$324,31,0)/VLOOKUP(A157,'42. SEA or LEA Worksheet'!$A$4:$AD$324,30,0)</f>
        <v>3446.90016840417</v>
      </c>
      <c r="BA157" s="513" t="str">
        <f t="shared" si="100"/>
        <v>Met</v>
      </c>
      <c r="BC157" s="444">
        <f>VLOOKUP(A157,'42. SEA or LEA Worksheet'!$A$4:$AG$324,33,0)/VLOOKUP(A157,'42. SEA or LEA Worksheet'!$A$4:$AD$324,30,0)</f>
        <v>13389.761643945469</v>
      </c>
      <c r="BD157" s="513" t="str">
        <f t="shared" si="107"/>
        <v>Met</v>
      </c>
      <c r="BF157" s="512" t="str">
        <f t="shared" si="104"/>
        <v>Met</v>
      </c>
      <c r="BG157" s="637">
        <f>VLOOKUP(A157,'42. SEA or LEA Worksheet'!$A$4:$AM$324,36,0)</f>
        <v>2077255.57</v>
      </c>
      <c r="BH157" s="638" t="str">
        <f t="shared" si="87"/>
        <v>Did not Meet</v>
      </c>
      <c r="BI157" s="639"/>
      <c r="BJ157" s="637">
        <f>VLOOKUP(A157,'42. SEA or LEA Worksheet'!$A$4:$AM$324,38,0)</f>
        <v>20226635.510000002</v>
      </c>
      <c r="BK157" s="638" t="str">
        <f t="shared" si="88"/>
        <v>Met</v>
      </c>
      <c r="BM157" s="631">
        <f>VLOOKUP(A157,'42. SEA or LEA Worksheet'!$A$4:$AL$324,36,0)/VLOOKUP(A157,'42. SEA or LEA Worksheet'!$A$4:$AL$324,35,0)</f>
        <v>1478.4737153024912</v>
      </c>
      <c r="BN157" s="632" t="str">
        <f t="shared" si="89"/>
        <v>Met</v>
      </c>
      <c r="BP157" s="631">
        <f>VLOOKUP(A157,'42. SEA or LEA Worksheet'!$A$4:$AL$324,38,0)/VLOOKUP(A157,'42. SEA or LEA Worksheet'!$A$4:$AL$324,35,0)</f>
        <v>14396.181857651247</v>
      </c>
      <c r="BQ157" s="632" t="str">
        <f t="shared" si="90"/>
        <v>Met</v>
      </c>
      <c r="BS157" s="620" t="str">
        <f t="shared" si="105"/>
        <v>Met</v>
      </c>
    </row>
    <row r="158" spans="1:71" x14ac:dyDescent="0.25">
      <c r="A158" s="343" t="s">
        <v>496</v>
      </c>
      <c r="B158" s="510" t="s">
        <v>977</v>
      </c>
      <c r="C158" s="511"/>
      <c r="D158" s="444">
        <v>1248</v>
      </c>
      <c r="E158" s="343" t="s">
        <v>835</v>
      </c>
      <c r="F158" s="511"/>
      <c r="G158" s="444">
        <v>965246.15</v>
      </c>
      <c r="H158" s="343" t="s">
        <v>835</v>
      </c>
      <c r="I158" s="511"/>
      <c r="J158" s="444">
        <v>12.606060606060606</v>
      </c>
      <c r="K158" s="343" t="s">
        <v>835</v>
      </c>
      <c r="L158" s="511"/>
      <c r="M158" s="444">
        <v>9749.9611111111117</v>
      </c>
      <c r="N158" s="343" t="s">
        <v>835</v>
      </c>
      <c r="O158" s="511"/>
      <c r="P158" s="512" t="str">
        <f t="shared" si="101"/>
        <v>Met</v>
      </c>
      <c r="Q158" s="511"/>
      <c r="R158" s="444">
        <f>VLOOKUP(A158,'2020-21'!$A$6:$F$319,6,0)</f>
        <v>1300</v>
      </c>
      <c r="S158" s="513" t="str">
        <f t="shared" si="91"/>
        <v>Met</v>
      </c>
      <c r="U158" s="444">
        <f>VLOOKUP(A158,'2020-21'!$A$6:$G$319,7,0)</f>
        <v>918446.2</v>
      </c>
      <c r="V158" s="513" t="str">
        <f t="shared" si="92"/>
        <v>Did not Meet</v>
      </c>
      <c r="X158" s="444">
        <f>VLOOKUP(A158,'2020-21'!$A$6:$F$319,6,0)/VLOOKUP(A158,'42. SEA or LEA Worksheet'!$A$4:$T$324,20,0)</f>
        <v>13</v>
      </c>
      <c r="Y158" s="513" t="str">
        <f t="shared" si="93"/>
        <v>Met</v>
      </c>
      <c r="AA158" s="444">
        <f>VLOOKUP(A158,'42. SEA or LEA Worksheet'!$A$4:$W$324,23,0)/VLOOKUP(compliance!A158,'42. SEA or LEA Worksheet'!$A$4:$T$324,20,0)</f>
        <v>9184.4619999999995</v>
      </c>
      <c r="AB158" s="513" t="str">
        <f t="shared" si="94"/>
        <v>Did not Meet</v>
      </c>
      <c r="AD158" s="512" t="str">
        <f t="shared" si="85"/>
        <v>Met</v>
      </c>
      <c r="AF158" s="444">
        <f>VLOOKUP(A158,'42. SEA or LEA Worksheet'!$A$4:$Z$324,26,0)</f>
        <v>67922.23</v>
      </c>
      <c r="AG158" s="513" t="str">
        <f t="shared" si="95"/>
        <v>Met</v>
      </c>
      <c r="AI158" s="444">
        <f>VLOOKUP(A158,'42. SEA or LEA Worksheet'!$A$4:$AB$324,28,0)</f>
        <v>1123911.3799999999</v>
      </c>
      <c r="AJ158" s="513" t="str">
        <f t="shared" si="96"/>
        <v>Met</v>
      </c>
      <c r="AL158" s="444">
        <f>VLOOKUP(compliance!A158,'42. SEA or LEA Worksheet'!$A$4:$AB$324,26,0)/VLOOKUP(compliance!A158,'42. SEA or LEA Worksheet'!$A$4:$Y$324,25,0)</f>
        <v>722.57691489361696</v>
      </c>
      <c r="AM158" s="513" t="str">
        <f t="shared" si="97"/>
        <v>Met</v>
      </c>
      <c r="AO158" s="444">
        <f>VLOOKUP(A158,'42. SEA or LEA Worksheet'!$A$4:$AB$324,28,0)/VLOOKUP(compliance!A158,'42. SEA or LEA Worksheet'!$A$4:$Y$324,25,0)</f>
        <v>11956.50404255319</v>
      </c>
      <c r="AP158" s="513" t="str">
        <f t="shared" si="98"/>
        <v>Met</v>
      </c>
      <c r="AR158" s="512" t="str">
        <f t="shared" si="86"/>
        <v>Met</v>
      </c>
      <c r="AT158" s="444">
        <f>VLOOKUP(A158,'42. SEA or LEA Worksheet'!$A$4:$AE$324,31,0)</f>
        <v>38303.14</v>
      </c>
      <c r="AU158" s="513" t="s">
        <v>1453</v>
      </c>
      <c r="AW158" s="444">
        <f>VLOOKUP(A158,'42. SEA or LEA Worksheet'!$A$4:$AG$324,33,0)</f>
        <v>1049218.98</v>
      </c>
      <c r="AX158" s="513" t="s">
        <v>1453</v>
      </c>
      <c r="AZ158" s="444">
        <f>VLOOKUP(A158,'42. SEA or LEA Worksheet'!$A$4:$AG$324,31,0)/VLOOKUP(A158,'42. SEA or LEA Worksheet'!$A$4:$AD$324,30,0)</f>
        <v>371.87514563106794</v>
      </c>
      <c r="BA158" s="513" t="s">
        <v>1453</v>
      </c>
      <c r="BC158" s="444">
        <f>VLOOKUP(A158,'42. SEA or LEA Worksheet'!$A$4:$AG$324,33,0)/VLOOKUP(A158,'42. SEA or LEA Worksheet'!$A$4:$AD$324,30,0)</f>
        <v>10186.592038834951</v>
      </c>
      <c r="BD158" s="513" t="s">
        <v>1453</v>
      </c>
      <c r="BF158" s="512" t="str">
        <f t="shared" si="104"/>
        <v>Met</v>
      </c>
      <c r="BG158" s="637">
        <f>VLOOKUP(A158,'42. SEA or LEA Worksheet'!$A$4:$AM$324,36,0)</f>
        <v>67922.23</v>
      </c>
      <c r="BH158" s="638" t="str">
        <f t="shared" si="87"/>
        <v>Met</v>
      </c>
      <c r="BI158" s="639"/>
      <c r="BJ158" s="637">
        <f>VLOOKUP(A158,'42. SEA or LEA Worksheet'!$A$4:$AM$324,38,0)</f>
        <v>1782039.89</v>
      </c>
      <c r="BK158" s="638" t="str">
        <f t="shared" si="88"/>
        <v>Met</v>
      </c>
      <c r="BM158" s="631">
        <f>VLOOKUP(A158,'42. SEA or LEA Worksheet'!$A$4:$AL$324,36,0)/VLOOKUP(A158,'42. SEA or LEA Worksheet'!$A$4:$AL$324,35,0)</f>
        <v>570.77504201680665</v>
      </c>
      <c r="BN158" s="632" t="str">
        <f t="shared" si="89"/>
        <v>Met</v>
      </c>
      <c r="BP158" s="631">
        <f>VLOOKUP(A158,'42. SEA or LEA Worksheet'!$A$4:$AL$324,38,0)/VLOOKUP(A158,'42. SEA or LEA Worksheet'!$A$4:$AL$324,35,0)</f>
        <v>14975.12512605042</v>
      </c>
      <c r="BQ158" s="632" t="str">
        <f t="shared" si="90"/>
        <v>Met</v>
      </c>
      <c r="BS158" s="620" t="str">
        <f t="shared" si="105"/>
        <v>Met</v>
      </c>
    </row>
    <row r="159" spans="1:71" x14ac:dyDescent="0.25">
      <c r="A159" s="343" t="s">
        <v>498</v>
      </c>
      <c r="B159" s="510" t="s">
        <v>978</v>
      </c>
      <c r="C159" s="511"/>
      <c r="D159" s="444">
        <v>57376.58</v>
      </c>
      <c r="E159" s="343" t="s">
        <v>835</v>
      </c>
      <c r="F159" s="511"/>
      <c r="G159" s="444">
        <v>1425852.9000000001</v>
      </c>
      <c r="H159" s="343" t="s">
        <v>835</v>
      </c>
      <c r="I159" s="511"/>
      <c r="J159" s="444">
        <v>451.784094488189</v>
      </c>
      <c r="K159" s="343" t="s">
        <v>835</v>
      </c>
      <c r="L159" s="511"/>
      <c r="M159" s="444">
        <v>11227.188188976379</v>
      </c>
      <c r="N159" s="343" t="s">
        <v>835</v>
      </c>
      <c r="O159" s="511"/>
      <c r="P159" s="512" t="str">
        <f t="shared" si="101"/>
        <v>Met</v>
      </c>
      <c r="Q159" s="511"/>
      <c r="R159" s="444">
        <f>VLOOKUP(A159,'2020-21'!$A$6:$F$319,6,0)</f>
        <v>140260</v>
      </c>
      <c r="S159" s="513" t="str">
        <f t="shared" si="91"/>
        <v>Met</v>
      </c>
      <c r="U159" s="444">
        <f>VLOOKUP(A159,'2020-21'!$A$6:$G$319,7,0)</f>
        <v>1120695.96</v>
      </c>
      <c r="V159" s="513" t="str">
        <f t="shared" si="92"/>
        <v>Did not Meet</v>
      </c>
      <c r="X159" s="444">
        <f>VLOOKUP(A159,'2020-21'!$A$6:$F$319,6,0)/VLOOKUP(A159,'42. SEA or LEA Worksheet'!$A$4:$T$324,20,0)</f>
        <v>1198.8034188034187</v>
      </c>
      <c r="Y159" s="513" t="str">
        <f t="shared" si="93"/>
        <v>Met</v>
      </c>
      <c r="AA159" s="444">
        <f>VLOOKUP(A159,'42. SEA or LEA Worksheet'!$A$4:$W$324,23,0)/VLOOKUP(compliance!A159,'42. SEA or LEA Worksheet'!$A$4:$T$324,20,0)</f>
        <v>9578.5979487179484</v>
      </c>
      <c r="AB159" s="513" t="str">
        <f t="shared" si="94"/>
        <v>Did not Meet</v>
      </c>
      <c r="AD159" s="512" t="str">
        <f t="shared" si="85"/>
        <v>Met</v>
      </c>
      <c r="AF159" s="444">
        <f>VLOOKUP(A159,'42. SEA or LEA Worksheet'!$A$4:$Z$324,26,0)</f>
        <v>0</v>
      </c>
      <c r="AG159" s="513" t="str">
        <f t="shared" si="95"/>
        <v>Did not Meet</v>
      </c>
      <c r="AI159" s="444">
        <f>VLOOKUP(A159,'42. SEA or LEA Worksheet'!$A$4:$AB$324,28,0)</f>
        <v>1344889.6</v>
      </c>
      <c r="AJ159" s="513" t="str">
        <f t="shared" si="96"/>
        <v>Met</v>
      </c>
      <c r="AL159" s="444">
        <f>VLOOKUP(compliance!A159,'42. SEA or LEA Worksheet'!$A$4:$AB$324,26,0)/VLOOKUP(compliance!A159,'42. SEA or LEA Worksheet'!$A$4:$Y$324,25,0)</f>
        <v>0</v>
      </c>
      <c r="AM159" s="513" t="str">
        <f t="shared" si="97"/>
        <v>Did not Meet</v>
      </c>
      <c r="AO159" s="444">
        <f>VLOOKUP(A159,'42. SEA or LEA Worksheet'!$A$4:$AB$324,28,0)/VLOOKUP(compliance!A159,'42. SEA or LEA Worksheet'!$A$4:$Y$324,25,0)</f>
        <v>10506.95</v>
      </c>
      <c r="AP159" s="513" t="str">
        <f t="shared" si="98"/>
        <v>Met</v>
      </c>
      <c r="AR159" s="512" t="str">
        <f t="shared" si="86"/>
        <v>Met</v>
      </c>
      <c r="AT159" s="444">
        <f>VLOOKUP(A159,'42. SEA or LEA Worksheet'!$A$4:$AE$324,31,0)</f>
        <v>98765.99</v>
      </c>
      <c r="AU159" s="513" t="str">
        <f t="shared" ref="AU159:AU178" si="108">IF(AT159&gt;=AF159,"Met","Did not Meet")</f>
        <v>Met</v>
      </c>
      <c r="AW159" s="444">
        <f>VLOOKUP(A159,'42. SEA or LEA Worksheet'!$A$4:$AG$324,33,0)</f>
        <v>1465563.98</v>
      </c>
      <c r="AX159" s="513" t="str">
        <f t="shared" ref="AX159:AX190" si="109">IF(AW159&gt;=AI159,"Met","Did not Meet")</f>
        <v>Met</v>
      </c>
      <c r="AZ159" s="444">
        <f>VLOOKUP(A159,'42. SEA or LEA Worksheet'!$A$4:$AG$324,31,0)/VLOOKUP(A159,'42. SEA or LEA Worksheet'!$A$4:$AD$324,30,0)</f>
        <v>796.49991935483877</v>
      </c>
      <c r="BA159" s="513" t="str">
        <f t="shared" ref="BA159:BA190" si="110">IF(AZ159&gt;=AL159,"Met","Did not Meet")</f>
        <v>Met</v>
      </c>
      <c r="BC159" s="444">
        <f>VLOOKUP(A159,'42. SEA or LEA Worksheet'!$A$4:$AG$324,33,0)/VLOOKUP(A159,'42. SEA or LEA Worksheet'!$A$4:$AD$324,30,0)</f>
        <v>11819.064354838709</v>
      </c>
      <c r="BD159" s="513" t="str">
        <f t="shared" ref="BD159:BD190" si="111">IF(BC159&gt;=AO159,"Met","Did not Meet")</f>
        <v>Met</v>
      </c>
      <c r="BF159" s="512" t="str">
        <f t="shared" si="104"/>
        <v>Met</v>
      </c>
      <c r="BG159" s="637">
        <f>VLOOKUP(A159,'42. SEA or LEA Worksheet'!$A$4:$AM$324,36,0)</f>
        <v>28020.47</v>
      </c>
      <c r="BH159" s="638" t="str">
        <f t="shared" si="87"/>
        <v>Did not Meet</v>
      </c>
      <c r="BI159" s="639"/>
      <c r="BJ159" s="637">
        <f>VLOOKUP(A159,'42. SEA or LEA Worksheet'!$A$4:$AM$324,38,0)</f>
        <v>1555074.5999999999</v>
      </c>
      <c r="BK159" s="638" t="str">
        <f t="shared" si="88"/>
        <v>Met</v>
      </c>
      <c r="BM159" s="631">
        <f>VLOOKUP(A159,'42. SEA or LEA Worksheet'!$A$4:$AL$324,36,0)/VLOOKUP(A159,'42. SEA or LEA Worksheet'!$A$4:$AL$324,35,0)</f>
        <v>225.97153225806451</v>
      </c>
      <c r="BN159" s="632" t="str">
        <f t="shared" si="89"/>
        <v>Met</v>
      </c>
      <c r="BP159" s="631">
        <f>VLOOKUP(A159,'42. SEA or LEA Worksheet'!$A$4:$AL$324,38,0)/VLOOKUP(A159,'42. SEA or LEA Worksheet'!$A$4:$AL$324,35,0)</f>
        <v>12540.924193548386</v>
      </c>
      <c r="BQ159" s="632" t="str">
        <f t="shared" si="90"/>
        <v>Met</v>
      </c>
      <c r="BS159" s="620" t="str">
        <f t="shared" si="105"/>
        <v>Met</v>
      </c>
    </row>
    <row r="160" spans="1:71" x14ac:dyDescent="0.25">
      <c r="A160" s="343" t="s">
        <v>500</v>
      </c>
      <c r="B160" s="510" t="s">
        <v>979</v>
      </c>
      <c r="C160" s="511"/>
      <c r="D160" s="444">
        <v>768150.26</v>
      </c>
      <c r="E160" s="343" t="s">
        <v>835</v>
      </c>
      <c r="F160" s="511"/>
      <c r="G160" s="444">
        <v>4107386.46</v>
      </c>
      <c r="H160" s="343" t="s">
        <v>835</v>
      </c>
      <c r="I160" s="511"/>
      <c r="J160" s="444">
        <v>2188.4622792022792</v>
      </c>
      <c r="K160" s="343" t="s">
        <v>835</v>
      </c>
      <c r="L160" s="511"/>
      <c r="M160" s="444">
        <v>11701.955726495726</v>
      </c>
      <c r="N160" s="343" t="s">
        <v>835</v>
      </c>
      <c r="O160" s="511"/>
      <c r="P160" s="512" t="str">
        <f t="shared" si="101"/>
        <v>Met</v>
      </c>
      <c r="Q160" s="511"/>
      <c r="R160" s="444">
        <f>VLOOKUP(A160,'2020-21'!$A$6:$F$319,6,0)</f>
        <v>1018169.02</v>
      </c>
      <c r="S160" s="513" t="str">
        <f t="shared" si="91"/>
        <v>Met</v>
      </c>
      <c r="U160" s="444">
        <f>VLOOKUP(A160,'2020-21'!$A$6:$G$319,7,0)</f>
        <v>4152957.29</v>
      </c>
      <c r="V160" s="513" t="str">
        <f t="shared" si="92"/>
        <v>Met</v>
      </c>
      <c r="X160" s="444">
        <f>VLOOKUP(A160,'2020-21'!$A$6:$F$319,6,0)/VLOOKUP(A160,'42. SEA or LEA Worksheet'!$A$4:$T$324,20,0)</f>
        <v>3132.8277538461539</v>
      </c>
      <c r="Y160" s="513" t="str">
        <f t="shared" si="93"/>
        <v>Met</v>
      </c>
      <c r="AA160" s="444">
        <f>VLOOKUP(A160,'42. SEA or LEA Worksheet'!$A$4:$W$324,23,0)/VLOOKUP(compliance!A160,'42. SEA or LEA Worksheet'!$A$4:$T$324,20,0)</f>
        <v>12778.330123076923</v>
      </c>
      <c r="AB160" s="513" t="str">
        <f t="shared" si="94"/>
        <v>Met</v>
      </c>
      <c r="AD160" s="512" t="str">
        <f t="shared" si="85"/>
        <v>Met</v>
      </c>
      <c r="AF160" s="444">
        <f>VLOOKUP(A160,'42. SEA or LEA Worksheet'!$A$4:$Z$324,26,0)</f>
        <v>0</v>
      </c>
      <c r="AG160" s="513" t="str">
        <f t="shared" si="95"/>
        <v>Did not Meet</v>
      </c>
      <c r="AI160" s="444">
        <f>VLOOKUP(A160,'42. SEA or LEA Worksheet'!$A$4:$AB$324,28,0)</f>
        <v>4063540.77</v>
      </c>
      <c r="AJ160" s="513" t="str">
        <f t="shared" si="96"/>
        <v>Did not Meet</v>
      </c>
      <c r="AL160" s="444">
        <f>VLOOKUP(compliance!A160,'42. SEA or LEA Worksheet'!$A$4:$AB$324,26,0)/VLOOKUP(compliance!A160,'42. SEA or LEA Worksheet'!$A$4:$Y$324,25,0)</f>
        <v>0</v>
      </c>
      <c r="AM160" s="513" t="str">
        <f t="shared" si="97"/>
        <v>Did not Meet</v>
      </c>
      <c r="AO160" s="444">
        <f>VLOOKUP(A160,'42. SEA or LEA Worksheet'!$A$4:$AB$324,28,0)/VLOOKUP(compliance!A160,'42. SEA or LEA Worksheet'!$A$4:$Y$324,25,0)</f>
        <v>13150.617378640776</v>
      </c>
      <c r="AP160" s="513" t="str">
        <f t="shared" si="98"/>
        <v>Met</v>
      </c>
      <c r="AR160" s="512" t="str">
        <f t="shared" si="86"/>
        <v>Met</v>
      </c>
      <c r="AT160" s="444">
        <f>VLOOKUP(A160,'42. SEA or LEA Worksheet'!$A$4:$AE$324,31,0)</f>
        <v>0</v>
      </c>
      <c r="AU160" s="513" t="str">
        <f t="shared" si="108"/>
        <v>Met</v>
      </c>
      <c r="AW160" s="444">
        <f>VLOOKUP(A160,'42. SEA or LEA Worksheet'!$A$4:$AG$324,33,0)</f>
        <v>4933325.3</v>
      </c>
      <c r="AX160" s="513" t="str">
        <f t="shared" si="109"/>
        <v>Met</v>
      </c>
      <c r="AZ160" s="444">
        <f>VLOOKUP(A160,'42. SEA or LEA Worksheet'!$A$4:$AG$324,31,0)/VLOOKUP(A160,'42. SEA or LEA Worksheet'!$A$4:$AD$324,30,0)</f>
        <v>0</v>
      </c>
      <c r="BA160" s="513" t="str">
        <f t="shared" si="110"/>
        <v>Met</v>
      </c>
      <c r="BC160" s="444">
        <f>VLOOKUP(A160,'42. SEA or LEA Worksheet'!$A$4:$AG$324,33,0)/VLOOKUP(A160,'42. SEA or LEA Worksheet'!$A$4:$AD$324,30,0)</f>
        <v>15132.899693251533</v>
      </c>
      <c r="BD160" s="513" t="str">
        <f t="shared" si="111"/>
        <v>Met</v>
      </c>
      <c r="BF160" s="512" t="str">
        <f>IF(AND(AU160="Did not Meet",AX160="Did not Meet", BA160="Did not Meet",BD160="Did not Meet",),"Did not Meet","Met")</f>
        <v>Met</v>
      </c>
      <c r="BG160" s="637">
        <f>VLOOKUP(A160,'42. SEA or LEA Worksheet'!$A$4:$AM$324,36,0)</f>
        <v>0</v>
      </c>
      <c r="BH160" s="638" t="str">
        <f t="shared" si="87"/>
        <v>Met</v>
      </c>
      <c r="BI160" s="639"/>
      <c r="BJ160" s="637">
        <f>VLOOKUP(A160,'42. SEA or LEA Worksheet'!$A$4:$AM$324,38,0)</f>
        <v>5382156.2000000002</v>
      </c>
      <c r="BK160" s="638" t="str">
        <f t="shared" si="88"/>
        <v>Met</v>
      </c>
      <c r="BM160" s="631">
        <f>VLOOKUP(A160,'42. SEA or LEA Worksheet'!$A$4:$AL$324,36,0)/VLOOKUP(A160,'42. SEA or LEA Worksheet'!$A$4:$AL$324,35,0)</f>
        <v>0</v>
      </c>
      <c r="BN160" s="632" t="str">
        <f t="shared" si="89"/>
        <v>Met</v>
      </c>
      <c r="BP160" s="631">
        <f>VLOOKUP(A160,'42. SEA or LEA Worksheet'!$A$4:$AL$324,38,0)/VLOOKUP(A160,'42. SEA or LEA Worksheet'!$A$4:$AL$324,35,0)</f>
        <v>16509.681595092025</v>
      </c>
      <c r="BQ160" s="632" t="str">
        <f t="shared" si="90"/>
        <v>Met</v>
      </c>
      <c r="BS160" s="620" t="str">
        <f>IF(AND(BH160="Did not Meet",BK160="Did not Meet", BN160="Did not Meet",BQ160="Did not Meet",),"Did not Meet","Met")</f>
        <v>Met</v>
      </c>
    </row>
    <row r="161" spans="1:71" x14ac:dyDescent="0.25">
      <c r="A161" s="343" t="s">
        <v>502</v>
      </c>
      <c r="B161" s="510" t="s">
        <v>980</v>
      </c>
      <c r="C161" s="511"/>
      <c r="D161" s="444">
        <v>0</v>
      </c>
      <c r="E161" s="343" t="s">
        <v>835</v>
      </c>
      <c r="F161" s="511"/>
      <c r="G161" s="444">
        <v>76712.08</v>
      </c>
      <c r="H161" s="343" t="s">
        <v>835</v>
      </c>
      <c r="I161" s="511"/>
      <c r="J161" s="444">
        <v>0</v>
      </c>
      <c r="K161" s="343" t="s">
        <v>835</v>
      </c>
      <c r="L161" s="511"/>
      <c r="M161" s="444">
        <v>9589.01</v>
      </c>
      <c r="N161" s="343" t="s">
        <v>856</v>
      </c>
      <c r="O161" s="511"/>
      <c r="P161" s="512" t="str">
        <f t="shared" si="101"/>
        <v>Met</v>
      </c>
      <c r="Q161" s="511"/>
      <c r="R161" s="444">
        <f>VLOOKUP(A161,'2020-21'!$A$6:$F$319,6,0)</f>
        <v>0</v>
      </c>
      <c r="S161" s="513" t="str">
        <f t="shared" si="91"/>
        <v>Met</v>
      </c>
      <c r="U161" s="444">
        <f>VLOOKUP(A161,'2020-21'!$A$6:$G$319,7,0)</f>
        <v>69221.289999999994</v>
      </c>
      <c r="V161" s="513" t="str">
        <f t="shared" si="92"/>
        <v>Did not Meet</v>
      </c>
      <c r="X161" s="444">
        <v>0</v>
      </c>
      <c r="Y161" s="513" t="str">
        <f t="shared" si="93"/>
        <v>Met</v>
      </c>
      <c r="AA161" s="444">
        <f>VLOOKUP(A161,'42. SEA or LEA Worksheet'!$A$4:$W$324,23,0)/VLOOKUP(compliance!A161,'42. SEA or LEA Worksheet'!$A$4:$T$324,20,0)</f>
        <v>9888.7557142857131</v>
      </c>
      <c r="AB161" s="513" t="str">
        <f t="shared" si="94"/>
        <v>Met</v>
      </c>
      <c r="AD161" s="512" t="str">
        <f t="shared" si="85"/>
        <v>Met</v>
      </c>
      <c r="AF161" s="444">
        <f>VLOOKUP(A161,'42. SEA or LEA Worksheet'!$A$4:$Z$324,26,0)</f>
        <v>0</v>
      </c>
      <c r="AG161" s="513" t="str">
        <f t="shared" si="95"/>
        <v>Met</v>
      </c>
      <c r="AI161" s="444">
        <f>VLOOKUP(A161,'42. SEA or LEA Worksheet'!$A$4:$AB$324,28,0)</f>
        <v>43449.8</v>
      </c>
      <c r="AJ161" s="513" t="str">
        <f t="shared" si="96"/>
        <v>Did not Meet</v>
      </c>
      <c r="AL161" s="444">
        <f>VLOOKUP(compliance!A161,'42. SEA or LEA Worksheet'!$A$4:$AB$324,26,0)/VLOOKUP(compliance!A161,'42. SEA or LEA Worksheet'!$A$4:$Y$324,25,0)</f>
        <v>0</v>
      </c>
      <c r="AM161" s="513" t="str">
        <f t="shared" si="97"/>
        <v>Met</v>
      </c>
      <c r="AO161" s="444">
        <f>VLOOKUP(A161,'42. SEA or LEA Worksheet'!$A$4:$AB$324,28,0)/VLOOKUP(compliance!A161,'42. SEA or LEA Worksheet'!$A$4:$Y$324,25,0)</f>
        <v>8689.9600000000009</v>
      </c>
      <c r="AP161" s="513" t="str">
        <f t="shared" si="98"/>
        <v>Did not Meet</v>
      </c>
      <c r="AR161" s="512" t="str">
        <f t="shared" si="86"/>
        <v>Met</v>
      </c>
      <c r="AT161" s="444">
        <f>VLOOKUP(A161,'42. SEA or LEA Worksheet'!$A$4:$AE$324,31,0)</f>
        <v>0</v>
      </c>
      <c r="AU161" s="513" t="str">
        <f t="shared" si="108"/>
        <v>Met</v>
      </c>
      <c r="AW161" s="444">
        <f>VLOOKUP(A161,'42. SEA or LEA Worksheet'!$A$4:$AG$324,33,0)</f>
        <v>63155.82</v>
      </c>
      <c r="AX161" s="513" t="str">
        <f t="shared" si="109"/>
        <v>Met</v>
      </c>
      <c r="AZ161" s="444">
        <f>VLOOKUP(A161,'42. SEA or LEA Worksheet'!$A$4:$AG$324,31,0)/VLOOKUP(A161,'42. SEA or LEA Worksheet'!$A$4:$AD$324,30,0)</f>
        <v>0</v>
      </c>
      <c r="BA161" s="513" t="str">
        <f t="shared" si="110"/>
        <v>Met</v>
      </c>
      <c r="BC161" s="444">
        <f>VLOOKUP(A161,'42. SEA or LEA Worksheet'!$A$4:$AG$324,33,0)/VLOOKUP(A161,'42. SEA or LEA Worksheet'!$A$4:$AD$324,30,0)</f>
        <v>10525.97</v>
      </c>
      <c r="BD161" s="513" t="str">
        <f t="shared" si="111"/>
        <v>Met</v>
      </c>
      <c r="BF161" s="512" t="str">
        <f>IF(AND(AU161="Did not Meet",AX161="Did not Meet", BA161="Did not Meet",BD161="Did not Meet"),"Did not Meet","Met")</f>
        <v>Met</v>
      </c>
      <c r="BG161" s="637">
        <f>VLOOKUP(A161,'42. SEA or LEA Worksheet'!$A$4:$AM$324,36,0)</f>
        <v>0</v>
      </c>
      <c r="BH161" s="638" t="str">
        <f t="shared" si="87"/>
        <v>Met</v>
      </c>
      <c r="BI161" s="639"/>
      <c r="BJ161" s="637">
        <f>VLOOKUP(A161,'42. SEA or LEA Worksheet'!$A$4:$AM$324,38,0)</f>
        <v>90246.04</v>
      </c>
      <c r="BK161" s="638" t="str">
        <f t="shared" si="88"/>
        <v>Met</v>
      </c>
      <c r="BM161" s="631">
        <f>VLOOKUP(A161,'42. SEA or LEA Worksheet'!$A$4:$AL$324,36,0)/VLOOKUP(A161,'42. SEA or LEA Worksheet'!$A$4:$AL$324,35,0)</f>
        <v>0</v>
      </c>
      <c r="BN161" s="632" t="str">
        <f t="shared" si="89"/>
        <v>Met</v>
      </c>
      <c r="BP161" s="631">
        <f>VLOOKUP(A161,'42. SEA or LEA Worksheet'!$A$4:$AL$324,38,0)/VLOOKUP(A161,'42. SEA or LEA Worksheet'!$A$4:$AL$324,35,0)</f>
        <v>11280.754999999999</v>
      </c>
      <c r="BQ161" s="632" t="str">
        <f t="shared" si="90"/>
        <v>Met</v>
      </c>
      <c r="BS161" s="620" t="str">
        <f>IF(AND(BH161="Did not Meet",BK161="Did not Meet", BN161="Did not Meet",BQ161="Did not Meet"),"Did not Meet","Met")</f>
        <v>Met</v>
      </c>
    </row>
    <row r="162" spans="1:71" x14ac:dyDescent="0.25">
      <c r="A162" s="343" t="s">
        <v>504</v>
      </c>
      <c r="B162" s="510" t="s">
        <v>981</v>
      </c>
      <c r="C162" s="511"/>
      <c r="D162" s="444">
        <v>2413869.7599999998</v>
      </c>
      <c r="E162" s="343" t="s">
        <v>856</v>
      </c>
      <c r="F162" s="511"/>
      <c r="G162" s="444">
        <v>14601873.299999999</v>
      </c>
      <c r="H162" s="343" t="s">
        <v>835</v>
      </c>
      <c r="I162" s="511"/>
      <c r="J162" s="444">
        <v>2430.8859617321245</v>
      </c>
      <c r="K162" s="343" t="s">
        <v>856</v>
      </c>
      <c r="L162" s="511"/>
      <c r="M162" s="444">
        <v>14704.806948640482</v>
      </c>
      <c r="N162" s="343" t="s">
        <v>856</v>
      </c>
      <c r="O162" s="511"/>
      <c r="P162" s="512" t="str">
        <f t="shared" si="101"/>
        <v>Met</v>
      </c>
      <c r="Q162" s="511"/>
      <c r="R162" s="444">
        <f>VLOOKUP(A162,'2020-21'!$A$6:$F$319,6,0)</f>
        <v>3217002.26</v>
      </c>
      <c r="S162" s="513" t="str">
        <f t="shared" si="91"/>
        <v>Met</v>
      </c>
      <c r="U162" s="444">
        <f>VLOOKUP(A162,'2020-21'!$A$6:$G$319,7,0)</f>
        <v>14599431.970000001</v>
      </c>
      <c r="V162" s="513" t="str">
        <f t="shared" si="92"/>
        <v>Did not Meet</v>
      </c>
      <c r="X162" s="444">
        <f>VLOOKUP(A162,'2020-21'!$A$6:$F$319,6,0)/VLOOKUP(A162,'42. SEA or LEA Worksheet'!$A$4:$T$324,20,0)</f>
        <v>3361.5488610240332</v>
      </c>
      <c r="Y162" s="513" t="str">
        <f t="shared" si="93"/>
        <v>Met</v>
      </c>
      <c r="AA162" s="444">
        <f>VLOOKUP(A162,'42. SEA or LEA Worksheet'!$A$4:$W$324,23,0)/VLOOKUP(compliance!A162,'42. SEA or LEA Worksheet'!$A$4:$T$324,20,0)</f>
        <v>15255.414806687566</v>
      </c>
      <c r="AB162" s="513" t="str">
        <f t="shared" si="94"/>
        <v>Met</v>
      </c>
      <c r="AD162" s="512" t="str">
        <f t="shared" si="85"/>
        <v>Met</v>
      </c>
      <c r="AF162" s="444">
        <f>VLOOKUP(A162,'42. SEA or LEA Worksheet'!$A$4:$Z$324,26,0)</f>
        <v>4162483.84</v>
      </c>
      <c r="AG162" s="513" t="str">
        <f t="shared" si="95"/>
        <v>Met</v>
      </c>
      <c r="AI162" s="444">
        <f>VLOOKUP(A162,'42. SEA or LEA Worksheet'!$A$4:$AB$324,28,0)</f>
        <v>16051778.050000001</v>
      </c>
      <c r="AJ162" s="513" t="str">
        <f t="shared" si="96"/>
        <v>Met</v>
      </c>
      <c r="AL162" s="444">
        <f>VLOOKUP(compliance!A162,'42. SEA or LEA Worksheet'!$A$4:$AB$324,26,0)/VLOOKUP(compliance!A162,'42. SEA or LEA Worksheet'!$A$4:$Y$324,25,0)</f>
        <v>4432.8901384451547</v>
      </c>
      <c r="AM162" s="513" t="str">
        <f t="shared" si="97"/>
        <v>Met</v>
      </c>
      <c r="AO162" s="444">
        <f>VLOOKUP(A162,'42. SEA or LEA Worksheet'!$A$4:$AB$324,28,0)/VLOOKUP(compliance!A162,'42. SEA or LEA Worksheet'!$A$4:$Y$324,25,0)</f>
        <v>17094.545314164006</v>
      </c>
      <c r="AP162" s="513" t="str">
        <f t="shared" si="98"/>
        <v>Met</v>
      </c>
      <c r="AR162" s="512" t="str">
        <f t="shared" si="86"/>
        <v>Met</v>
      </c>
      <c r="AT162" s="444">
        <f>VLOOKUP(A162,'42. SEA or LEA Worksheet'!$A$4:$AE$324,31,0)</f>
        <v>4329402.57</v>
      </c>
      <c r="AU162" s="513" t="str">
        <f t="shared" si="108"/>
        <v>Met</v>
      </c>
      <c r="AW162" s="444">
        <f>VLOOKUP(A162,'42. SEA or LEA Worksheet'!$A$4:$AG$324,33,0)</f>
        <v>17726372.23</v>
      </c>
      <c r="AX162" s="513" t="str">
        <f t="shared" si="109"/>
        <v>Met</v>
      </c>
      <c r="AZ162" s="444">
        <f>VLOOKUP(A162,'42. SEA or LEA Worksheet'!$A$4:$AG$324,31,0)/VLOOKUP(A162,'42. SEA or LEA Worksheet'!$A$4:$AD$324,30,0)</f>
        <v>4519.2093632567849</v>
      </c>
      <c r="BA162" s="513" t="str">
        <f t="shared" si="110"/>
        <v>Met</v>
      </c>
      <c r="BC162" s="444">
        <f>VLOOKUP(A162,'42. SEA or LEA Worksheet'!$A$4:$AG$324,33,0)/VLOOKUP(A162,'42. SEA or LEA Worksheet'!$A$4:$AD$324,30,0)</f>
        <v>18503.520073068896</v>
      </c>
      <c r="BD162" s="513" t="str">
        <f t="shared" si="111"/>
        <v>Met</v>
      </c>
      <c r="BF162" s="512" t="str">
        <f>IF(AND(AU162="Did not Meet",AX162="Did not Meet", BA162="Did not Meet",BD162="Did not Meet",),"Did not Meet","Met")</f>
        <v>Met</v>
      </c>
      <c r="BG162" s="637">
        <f>VLOOKUP(A162,'42. SEA or LEA Worksheet'!$A$4:$AM$324,36,0)</f>
        <v>2706880.4</v>
      </c>
      <c r="BH162" s="638" t="str">
        <f t="shared" si="87"/>
        <v>Did not Meet</v>
      </c>
      <c r="BI162" s="639"/>
      <c r="BJ162" s="637">
        <f>VLOOKUP(A162,'42. SEA or LEA Worksheet'!$A$4:$AM$324,38,0)</f>
        <v>18915067.439999998</v>
      </c>
      <c r="BK162" s="638" t="str">
        <f t="shared" si="88"/>
        <v>Met</v>
      </c>
      <c r="BM162" s="631">
        <f>VLOOKUP(A162,'42. SEA or LEA Worksheet'!$A$4:$AL$324,36,0)/VLOOKUP(A162,'42. SEA or LEA Worksheet'!$A$4:$AL$324,35,0)</f>
        <v>2590.3161722488039</v>
      </c>
      <c r="BN162" s="632" t="str">
        <f t="shared" si="89"/>
        <v>Met</v>
      </c>
      <c r="BP162" s="631">
        <f>VLOOKUP(A162,'42. SEA or LEA Worksheet'!$A$4:$AL$324,38,0)/VLOOKUP(A162,'42. SEA or LEA Worksheet'!$A$4:$AL$324,35,0)</f>
        <v>18100.543004784686</v>
      </c>
      <c r="BQ162" s="632" t="str">
        <f t="shared" si="90"/>
        <v>Met</v>
      </c>
      <c r="BS162" s="620" t="str">
        <f>IF(AND(BH162="Did not Meet",BK162="Did not Meet", BN162="Did not Meet",BQ162="Did not Meet",),"Did not Meet","Met")</f>
        <v>Met</v>
      </c>
    </row>
    <row r="163" spans="1:71" x14ac:dyDescent="0.25">
      <c r="A163" s="343" t="s">
        <v>506</v>
      </c>
      <c r="B163" s="510" t="s">
        <v>982</v>
      </c>
      <c r="C163" s="511"/>
      <c r="D163" s="444">
        <v>4539126.32</v>
      </c>
      <c r="E163" s="343" t="s">
        <v>856</v>
      </c>
      <c r="F163" s="511"/>
      <c r="G163" s="444">
        <v>34033156.590000004</v>
      </c>
      <c r="H163" s="343" t="s">
        <v>835</v>
      </c>
      <c r="I163" s="511"/>
      <c r="J163" s="444">
        <v>2051.1189877993675</v>
      </c>
      <c r="K163" s="343" t="s">
        <v>856</v>
      </c>
      <c r="L163" s="511"/>
      <c r="M163" s="444">
        <v>15378.742245820154</v>
      </c>
      <c r="N163" s="343" t="s">
        <v>835</v>
      </c>
      <c r="O163" s="511"/>
      <c r="P163" s="512" t="str">
        <f t="shared" si="101"/>
        <v>Met</v>
      </c>
      <c r="Q163" s="511"/>
      <c r="R163" s="444">
        <f>VLOOKUP(A163,'2020-21'!$A$6:$F$319,6,0)</f>
        <v>6887577.9199999999</v>
      </c>
      <c r="S163" s="513" t="str">
        <f t="shared" si="91"/>
        <v>Met</v>
      </c>
      <c r="U163" s="444">
        <f>VLOOKUP(A163,'2020-21'!$A$6:$G$319,7,0)</f>
        <v>33916883.68</v>
      </c>
      <c r="V163" s="513" t="str">
        <f t="shared" si="92"/>
        <v>Did not Meet</v>
      </c>
      <c r="X163" s="444">
        <f>VLOOKUP(A163,'2020-21'!$A$6:$F$319,6,0)/VLOOKUP(A163,'42. SEA or LEA Worksheet'!$A$4:$T$324,20,0)</f>
        <v>3309.7443152330611</v>
      </c>
      <c r="Y163" s="513" t="str">
        <f t="shared" si="93"/>
        <v>Met</v>
      </c>
      <c r="AA163" s="444">
        <f>VLOOKUP(A163,'42. SEA or LEA Worksheet'!$A$4:$W$324,23,0)/VLOOKUP(compliance!A163,'42. SEA or LEA Worksheet'!$A$4:$T$324,20,0)</f>
        <v>16298.358327727054</v>
      </c>
      <c r="AB163" s="513" t="str">
        <f t="shared" si="94"/>
        <v>Met</v>
      </c>
      <c r="AD163" s="512" t="str">
        <f t="shared" si="85"/>
        <v>Met</v>
      </c>
      <c r="AF163" s="444">
        <f>VLOOKUP(A163,'42. SEA or LEA Worksheet'!$A$4:$Z$324,26,0)</f>
        <v>9472483.5199999996</v>
      </c>
      <c r="AG163" s="513" t="str">
        <f t="shared" si="95"/>
        <v>Met</v>
      </c>
      <c r="AI163" s="444">
        <f>VLOOKUP(A163,'42. SEA or LEA Worksheet'!$A$4:$AB$324,28,0)</f>
        <v>37575741.409999996</v>
      </c>
      <c r="AJ163" s="513" t="str">
        <f t="shared" si="96"/>
        <v>Met</v>
      </c>
      <c r="AL163" s="444">
        <f>VLOOKUP(compliance!A163,'42. SEA or LEA Worksheet'!$A$4:$AB$324,26,0)/VLOOKUP(compliance!A163,'42. SEA or LEA Worksheet'!$A$4:$Y$324,25,0)</f>
        <v>4428.4635437120151</v>
      </c>
      <c r="AM163" s="513" t="str">
        <f t="shared" si="97"/>
        <v>Met</v>
      </c>
      <c r="AO163" s="444">
        <f>VLOOKUP(A163,'42. SEA or LEA Worksheet'!$A$4:$AB$324,28,0)/VLOOKUP(compliance!A163,'42. SEA or LEA Worksheet'!$A$4:$Y$324,25,0)</f>
        <v>17566.966531089292</v>
      </c>
      <c r="AP163" s="513" t="str">
        <f t="shared" si="98"/>
        <v>Met</v>
      </c>
      <c r="AR163" s="512" t="str">
        <f t="shared" si="86"/>
        <v>Met</v>
      </c>
      <c r="AT163" s="444">
        <f>VLOOKUP(A163,'42. SEA or LEA Worksheet'!$A$4:$AE$324,31,0)</f>
        <v>12442712.09</v>
      </c>
      <c r="AU163" s="513" t="str">
        <f t="shared" si="108"/>
        <v>Met</v>
      </c>
      <c r="AW163" s="444">
        <f>VLOOKUP(A163,'42. SEA or LEA Worksheet'!$A$4:$AG$324,33,0)</f>
        <v>43694915.32</v>
      </c>
      <c r="AX163" s="513" t="str">
        <f t="shared" si="109"/>
        <v>Met</v>
      </c>
      <c r="AZ163" s="444">
        <f>VLOOKUP(A163,'42. SEA or LEA Worksheet'!$A$4:$AG$324,31,0)/VLOOKUP(A163,'42. SEA or LEA Worksheet'!$A$4:$AD$324,30,0)</f>
        <v>5733.9687050691246</v>
      </c>
      <c r="BA163" s="513" t="str">
        <f t="shared" si="110"/>
        <v>Met</v>
      </c>
      <c r="BC163" s="444">
        <f>VLOOKUP(A163,'42. SEA or LEA Worksheet'!$A$4:$AG$324,33,0)/VLOOKUP(A163,'42. SEA or LEA Worksheet'!$A$4:$AD$324,30,0)</f>
        <v>20135.905677419356</v>
      </c>
      <c r="BD163" s="513" t="str">
        <f t="shared" si="111"/>
        <v>Met</v>
      </c>
      <c r="BF163" s="512" t="str">
        <f>IF(AND(AU163="Did not Meet",AX163="Did not Meet", BA163="Did not Meet",BD163="Did not Meet",),"Did not Meet","Met")</f>
        <v>Met</v>
      </c>
      <c r="BG163" s="637">
        <f>VLOOKUP(A163,'42. SEA or LEA Worksheet'!$A$4:$AM$324,36,0)</f>
        <v>12223402.779999999</v>
      </c>
      <c r="BH163" s="638" t="str">
        <f t="shared" si="87"/>
        <v>Did not Meet</v>
      </c>
      <c r="BI163" s="639"/>
      <c r="BJ163" s="637">
        <f>VLOOKUP(A163,'42. SEA or LEA Worksheet'!$A$4:$AM$324,38,0)</f>
        <v>48939092.370000005</v>
      </c>
      <c r="BK163" s="638" t="str">
        <f t="shared" si="88"/>
        <v>Met</v>
      </c>
      <c r="BM163" s="631">
        <f>VLOOKUP(A163,'42. SEA or LEA Worksheet'!$A$4:$AL$324,36,0)/VLOOKUP(A163,'42. SEA or LEA Worksheet'!$A$4:$AL$324,35,0)</f>
        <v>5351.7525306479856</v>
      </c>
      <c r="BN163" s="632" t="str">
        <f t="shared" si="89"/>
        <v>Met</v>
      </c>
      <c r="BP163" s="631">
        <f>VLOOKUP(A163,'42. SEA or LEA Worksheet'!$A$4:$AL$324,38,0)/VLOOKUP(A163,'42. SEA or LEA Worksheet'!$A$4:$AL$324,35,0)</f>
        <v>21426.923104203153</v>
      </c>
      <c r="BQ163" s="632" t="str">
        <f t="shared" si="90"/>
        <v>Met</v>
      </c>
      <c r="BS163" s="620" t="str">
        <f>IF(AND(BH163="Did not Meet",BK163="Did not Meet", BN163="Did not Meet",BQ163="Did not Meet",),"Did not Meet","Met")</f>
        <v>Met</v>
      </c>
    </row>
    <row r="164" spans="1:71" x14ac:dyDescent="0.25">
      <c r="A164" s="343" t="s">
        <v>508</v>
      </c>
      <c r="B164" s="510" t="s">
        <v>983</v>
      </c>
      <c r="C164" s="511"/>
      <c r="D164" s="444">
        <v>0</v>
      </c>
      <c r="E164" s="343" t="s">
        <v>835</v>
      </c>
      <c r="F164" s="511"/>
      <c r="G164" s="444">
        <v>1530275.47</v>
      </c>
      <c r="H164" s="343" t="s">
        <v>835</v>
      </c>
      <c r="I164" s="511"/>
      <c r="J164" s="444">
        <v>0</v>
      </c>
      <c r="K164" s="343" t="s">
        <v>835</v>
      </c>
      <c r="L164" s="511"/>
      <c r="M164" s="444">
        <v>8645.6241242937849</v>
      </c>
      <c r="N164" s="343" t="s">
        <v>856</v>
      </c>
      <c r="O164" s="511"/>
      <c r="P164" s="512" t="str">
        <f t="shared" si="101"/>
        <v>Met</v>
      </c>
      <c r="Q164" s="511"/>
      <c r="R164" s="444">
        <f>VLOOKUP(A164,'2020-21'!$A$6:$F$319,6,0)</f>
        <v>0</v>
      </c>
      <c r="S164" s="513" t="str">
        <f t="shared" si="91"/>
        <v>Met</v>
      </c>
      <c r="U164" s="444">
        <f>VLOOKUP(A164,'2020-21'!$A$6:$G$319,7,0)</f>
        <v>1550306.81</v>
      </c>
      <c r="V164" s="513" t="str">
        <f t="shared" si="92"/>
        <v>Met</v>
      </c>
      <c r="X164" s="444">
        <f>VLOOKUP(A164,'2020-21'!$A$6:$F$319,6,0)/VLOOKUP(A164,'42. SEA or LEA Worksheet'!$A$4:$T$324,20,0)</f>
        <v>0</v>
      </c>
      <c r="Y164" s="513" t="str">
        <f t="shared" si="93"/>
        <v>Met</v>
      </c>
      <c r="AA164" s="444">
        <f>VLOOKUP(A164,'42. SEA or LEA Worksheet'!$A$4:$W$324,23,0)/VLOOKUP(compliance!A164,'42. SEA or LEA Worksheet'!$A$4:$T$324,20,0)</f>
        <v>9511.0847239263803</v>
      </c>
      <c r="AB164" s="513" t="str">
        <f t="shared" si="94"/>
        <v>Met</v>
      </c>
      <c r="AD164" s="512" t="str">
        <f t="shared" ref="AD164:AD195" si="112">IF(AND(S164="Did not Meet",V164="Did not Meet", Y164="Did not Meet",AB164="Did not Meet"),"Did not Meet","Met")</f>
        <v>Met</v>
      </c>
      <c r="AF164" s="444">
        <f>VLOOKUP(A164,'42. SEA or LEA Worksheet'!$A$4:$Z$324,26,0)</f>
        <v>0</v>
      </c>
      <c r="AG164" s="513" t="str">
        <f t="shared" si="95"/>
        <v>Met</v>
      </c>
      <c r="AI164" s="444">
        <f>VLOOKUP(A164,'42. SEA or LEA Worksheet'!$A$4:$AB$324,28,0)</f>
        <v>1576504.45</v>
      </c>
      <c r="AJ164" s="513" t="str">
        <f t="shared" si="96"/>
        <v>Met</v>
      </c>
      <c r="AL164" s="444">
        <f>VLOOKUP(compliance!A164,'42. SEA or LEA Worksheet'!$A$4:$AB$324,26,0)/VLOOKUP(compliance!A164,'42. SEA or LEA Worksheet'!$A$4:$Y$324,25,0)</f>
        <v>0</v>
      </c>
      <c r="AM164" s="513" t="str">
        <f t="shared" si="97"/>
        <v>Met</v>
      </c>
      <c r="AO164" s="444">
        <f>VLOOKUP(A164,'42. SEA or LEA Worksheet'!$A$4:$AB$324,28,0)/VLOOKUP(compliance!A164,'42. SEA or LEA Worksheet'!$A$4:$Y$324,25,0)</f>
        <v>9383.9550595238088</v>
      </c>
      <c r="AP164" s="513" t="str">
        <f t="shared" si="98"/>
        <v>Did not Meet</v>
      </c>
      <c r="AR164" s="512" t="str">
        <f t="shared" ref="AR164:AR195" si="113">IF(AND(AG164="Did not Meet",AJ164="Did not Meet", AM164="Did not Meet",AP164="Did not Meet"),"Did not Meet","Met")</f>
        <v>Met</v>
      </c>
      <c r="AT164" s="444">
        <f>VLOOKUP(A164,'42. SEA or LEA Worksheet'!$A$4:$AE$324,31,0)</f>
        <v>0</v>
      </c>
      <c r="AU164" s="513" t="str">
        <f t="shared" si="108"/>
        <v>Met</v>
      </c>
      <c r="AW164" s="444">
        <f>VLOOKUP(A164,'42. SEA or LEA Worksheet'!$A$4:$AG$324,33,0)</f>
        <v>1692799.14</v>
      </c>
      <c r="AX164" s="513" t="str">
        <f t="shared" si="109"/>
        <v>Met</v>
      </c>
      <c r="AZ164" s="444">
        <f>VLOOKUP(A164,'42. SEA or LEA Worksheet'!$A$4:$AG$324,31,0)/VLOOKUP(A164,'42. SEA or LEA Worksheet'!$A$4:$AD$324,30,0)</f>
        <v>0</v>
      </c>
      <c r="BA164" s="513" t="str">
        <f t="shared" si="110"/>
        <v>Met</v>
      </c>
      <c r="BC164" s="444">
        <f>VLOOKUP(A164,'42. SEA or LEA Worksheet'!$A$4:$AG$324,33,0)/VLOOKUP(A164,'42. SEA or LEA Worksheet'!$A$4:$AD$324,30,0)</f>
        <v>9199.9953260869552</v>
      </c>
      <c r="BD164" s="513" t="str">
        <f t="shared" si="111"/>
        <v>Did not Meet</v>
      </c>
      <c r="BF164" s="512" t="str">
        <f t="shared" ref="BF164:BF170" si="114">IF(AND(AU164="Did not Meet",AX164="Did not Meet", BA164="Did not Meet",BD164="Did not Meet"),"Did not Meet","Met")</f>
        <v>Met</v>
      </c>
      <c r="BG164" s="637">
        <f>VLOOKUP(A164,'42. SEA or LEA Worksheet'!$A$4:$AM$324,36,0)</f>
        <v>0</v>
      </c>
      <c r="BH164" s="638" t="str">
        <f t="shared" ref="BH164:BH195" si="115">IF(BG164&gt;=AT164,"Met","Did not Meet")</f>
        <v>Met</v>
      </c>
      <c r="BI164" s="639"/>
      <c r="BJ164" s="637">
        <f>VLOOKUP(A164,'42. SEA or LEA Worksheet'!$A$4:$AM$324,38,0)</f>
        <v>2063809.25</v>
      </c>
      <c r="BK164" s="638" t="str">
        <f t="shared" ref="BK164:BK195" si="116">IF(BJ164&gt;=AW164,"Met","Did not Meet")</f>
        <v>Met</v>
      </c>
      <c r="BM164" s="631">
        <f>VLOOKUP(A164,'42. SEA or LEA Worksheet'!$A$4:$AL$324,36,0)/VLOOKUP(A164,'42. SEA or LEA Worksheet'!$A$4:$AL$324,35,0)</f>
        <v>0</v>
      </c>
      <c r="BN164" s="632" t="str">
        <f t="shared" ref="BN164:BN195" si="117">IF(BM164&gt;=AY164,"Met","Did not Meet")</f>
        <v>Met</v>
      </c>
      <c r="BP164" s="631">
        <f>VLOOKUP(A164,'42. SEA or LEA Worksheet'!$A$4:$AL$324,38,0)/VLOOKUP(A164,'42. SEA or LEA Worksheet'!$A$4:$AL$324,35,0)</f>
        <v>10267.707711442787</v>
      </c>
      <c r="BQ164" s="632" t="str">
        <f t="shared" ref="BQ164:BQ195" si="118">IF(BP164&gt;=BB164,"Met","Did not Meet")</f>
        <v>Met</v>
      </c>
      <c r="BS164" s="620" t="str">
        <f t="shared" ref="BS164:BS170" si="119">IF(AND(BH164="Did not Meet",BK164="Did not Meet", BN164="Did not Meet",BQ164="Did not Meet"),"Did not Meet","Met")</f>
        <v>Met</v>
      </c>
    </row>
    <row r="165" spans="1:71" x14ac:dyDescent="0.25">
      <c r="A165" s="343" t="s">
        <v>510</v>
      </c>
      <c r="B165" s="510" t="s">
        <v>984</v>
      </c>
      <c r="C165" s="511"/>
      <c r="D165" s="444">
        <v>0</v>
      </c>
      <c r="E165" s="343" t="s">
        <v>856</v>
      </c>
      <c r="F165" s="511"/>
      <c r="G165" s="444">
        <v>1251895.53</v>
      </c>
      <c r="H165" s="343" t="s">
        <v>880</v>
      </c>
      <c r="I165" s="511"/>
      <c r="J165" s="444">
        <v>0</v>
      </c>
      <c r="K165" s="343" t="s">
        <v>856</v>
      </c>
      <c r="L165" s="511"/>
      <c r="M165" s="444">
        <v>12518.9553</v>
      </c>
      <c r="N165" s="343" t="s">
        <v>835</v>
      </c>
      <c r="O165" s="511"/>
      <c r="P165" s="512" t="str">
        <f t="shared" si="101"/>
        <v>Met</v>
      </c>
      <c r="Q165" s="511"/>
      <c r="R165" s="444">
        <f>VLOOKUP(A165,'2020-21'!$A$6:$F$319,6,0)</f>
        <v>0</v>
      </c>
      <c r="S165" s="513" t="str">
        <f t="shared" si="91"/>
        <v>Met</v>
      </c>
      <c r="U165" s="444">
        <f>VLOOKUP(A165,'2020-21'!$A$6:$G$319,7,0)</f>
        <v>1281510.48</v>
      </c>
      <c r="V165" s="513" t="str">
        <f t="shared" si="92"/>
        <v>Met</v>
      </c>
      <c r="X165" s="444">
        <f>VLOOKUP(A165,'2020-21'!$A$6:$F$319,6,0)/VLOOKUP(A165,'42. SEA or LEA Worksheet'!$A$4:$T$324,20,0)</f>
        <v>0</v>
      </c>
      <c r="Y165" s="513" t="str">
        <f t="shared" si="93"/>
        <v>Met</v>
      </c>
      <c r="AA165" s="444">
        <f>VLOOKUP(A165,'42. SEA or LEA Worksheet'!$A$4:$W$324,23,0)/VLOOKUP(compliance!A165,'42. SEA or LEA Worksheet'!$A$4:$T$324,20,0)</f>
        <v>14562.619090909091</v>
      </c>
      <c r="AB165" s="513" t="str">
        <f t="shared" si="94"/>
        <v>Met</v>
      </c>
      <c r="AD165" s="512" t="str">
        <f t="shared" si="112"/>
        <v>Met</v>
      </c>
      <c r="AF165" s="444">
        <f>VLOOKUP(A165,'42. SEA or LEA Worksheet'!$A$4:$Z$324,26,0)</f>
        <v>0</v>
      </c>
      <c r="AG165" s="513" t="str">
        <f t="shared" si="95"/>
        <v>Met</v>
      </c>
      <c r="AI165" s="444">
        <f>VLOOKUP(A165,'42. SEA or LEA Worksheet'!$A$4:$AB$324,28,0)</f>
        <v>1344097.65</v>
      </c>
      <c r="AJ165" s="513" t="str">
        <f t="shared" si="96"/>
        <v>Met</v>
      </c>
      <c r="AL165" s="444">
        <f>VLOOKUP(compliance!A165,'42. SEA or LEA Worksheet'!$A$4:$AB$324,26,0)/VLOOKUP(compliance!A165,'42. SEA or LEA Worksheet'!$A$4:$Y$324,25,0)</f>
        <v>0</v>
      </c>
      <c r="AM165" s="513" t="str">
        <f t="shared" si="97"/>
        <v>Met</v>
      </c>
      <c r="AO165" s="444">
        <f>VLOOKUP(A165,'42. SEA or LEA Worksheet'!$A$4:$AB$324,28,0)/VLOOKUP(compliance!A165,'42. SEA or LEA Worksheet'!$A$4:$Y$324,25,0)</f>
        <v>17232.021153846152</v>
      </c>
      <c r="AP165" s="513" t="str">
        <f t="shared" si="98"/>
        <v>Met</v>
      </c>
      <c r="AR165" s="512" t="str">
        <f t="shared" si="113"/>
        <v>Met</v>
      </c>
      <c r="AT165" s="444">
        <f>VLOOKUP(A165,'42. SEA or LEA Worksheet'!$A$4:$AE$324,31,0)</f>
        <v>0</v>
      </c>
      <c r="AU165" s="513" t="str">
        <f t="shared" si="108"/>
        <v>Met</v>
      </c>
      <c r="AW165" s="444">
        <f>VLOOKUP(A165,'42. SEA or LEA Worksheet'!$A$4:$AG$324,33,0)</f>
        <v>1488650.15</v>
      </c>
      <c r="AX165" s="513" t="str">
        <f t="shared" si="109"/>
        <v>Met</v>
      </c>
      <c r="AZ165" s="444">
        <f>VLOOKUP(A165,'42. SEA or LEA Worksheet'!$A$4:$AG$324,31,0)/VLOOKUP(A165,'42. SEA or LEA Worksheet'!$A$4:$AD$324,30,0)</f>
        <v>0</v>
      </c>
      <c r="BA165" s="513" t="str">
        <f t="shared" si="110"/>
        <v>Met</v>
      </c>
      <c r="BC165" s="444">
        <f>VLOOKUP(A165,'42. SEA or LEA Worksheet'!$A$4:$AG$324,33,0)/VLOOKUP(A165,'42. SEA or LEA Worksheet'!$A$4:$AD$324,30,0)</f>
        <v>17935.543975903613</v>
      </c>
      <c r="BD165" s="513" t="str">
        <f t="shared" si="111"/>
        <v>Met</v>
      </c>
      <c r="BF165" s="512" t="str">
        <f t="shared" si="114"/>
        <v>Met</v>
      </c>
      <c r="BG165" s="637">
        <f>VLOOKUP(A165,'42. SEA or LEA Worksheet'!$A$4:$AM$324,36,0)</f>
        <v>0</v>
      </c>
      <c r="BH165" s="638" t="str">
        <f t="shared" si="115"/>
        <v>Met</v>
      </c>
      <c r="BI165" s="639"/>
      <c r="BJ165" s="637">
        <f>VLOOKUP(A165,'42. SEA or LEA Worksheet'!$A$4:$AM$324,38,0)</f>
        <v>1503123.98</v>
      </c>
      <c r="BK165" s="638" t="str">
        <f t="shared" si="116"/>
        <v>Met</v>
      </c>
      <c r="BM165" s="631">
        <f>VLOOKUP(A165,'42. SEA or LEA Worksheet'!$A$4:$AL$324,36,0)/VLOOKUP(A165,'42. SEA or LEA Worksheet'!$A$4:$AL$324,35,0)</f>
        <v>0</v>
      </c>
      <c r="BN165" s="632" t="str">
        <f t="shared" si="117"/>
        <v>Met</v>
      </c>
      <c r="BP165" s="631">
        <f>VLOOKUP(A165,'42. SEA or LEA Worksheet'!$A$4:$AL$324,38,0)/VLOOKUP(A165,'42. SEA or LEA Worksheet'!$A$4:$AL$324,35,0)</f>
        <v>16162.623440860214</v>
      </c>
      <c r="BQ165" s="632" t="str">
        <f t="shared" si="118"/>
        <v>Met</v>
      </c>
      <c r="BS165" s="620" t="str">
        <f t="shared" si="119"/>
        <v>Met</v>
      </c>
    </row>
    <row r="166" spans="1:71" x14ac:dyDescent="0.25">
      <c r="A166" s="343" t="s">
        <v>512</v>
      </c>
      <c r="B166" s="510" t="s">
        <v>985</v>
      </c>
      <c r="C166" s="511"/>
      <c r="D166" s="444">
        <v>0</v>
      </c>
      <c r="E166" s="343" t="s">
        <v>835</v>
      </c>
      <c r="F166" s="511"/>
      <c r="G166" s="444">
        <v>472440.6</v>
      </c>
      <c r="H166" s="343" t="s">
        <v>835</v>
      </c>
      <c r="I166" s="511"/>
      <c r="J166" s="444">
        <v>0</v>
      </c>
      <c r="K166" s="343" t="s">
        <v>835</v>
      </c>
      <c r="L166" s="511"/>
      <c r="M166" s="444">
        <v>6216.3236842105262</v>
      </c>
      <c r="N166" s="343" t="s">
        <v>856</v>
      </c>
      <c r="O166" s="511"/>
      <c r="P166" s="512" t="str">
        <f t="shared" si="101"/>
        <v>Met</v>
      </c>
      <c r="Q166" s="511"/>
      <c r="R166" s="444">
        <f>VLOOKUP(A166,'2020-21'!$A$6:$F$319,6,0)</f>
        <v>0</v>
      </c>
      <c r="S166" s="513" t="str">
        <f t="shared" si="91"/>
        <v>Met</v>
      </c>
      <c r="U166" s="444">
        <f>VLOOKUP(A166,'2020-21'!$A$6:$G$319,7,0)</f>
        <v>461393.21</v>
      </c>
      <c r="V166" s="513" t="str">
        <f t="shared" si="92"/>
        <v>Did not Meet</v>
      </c>
      <c r="X166" s="444">
        <v>0</v>
      </c>
      <c r="Y166" s="513" t="str">
        <f t="shared" si="93"/>
        <v>Met</v>
      </c>
      <c r="AA166" s="444">
        <f>VLOOKUP(A166,'42. SEA or LEA Worksheet'!$A$4:$W$324,23,0)/VLOOKUP(compliance!A166,'42. SEA or LEA Worksheet'!$A$4:$T$324,20,0)</f>
        <v>9046.9256862745096</v>
      </c>
      <c r="AB166" s="513" t="str">
        <f t="shared" si="94"/>
        <v>Met</v>
      </c>
      <c r="AD166" s="512" t="str">
        <f t="shared" si="112"/>
        <v>Met</v>
      </c>
      <c r="AF166" s="444">
        <f>VLOOKUP(A166,'42. SEA or LEA Worksheet'!$A$4:$Z$324,26,0)</f>
        <v>0</v>
      </c>
      <c r="AG166" s="513" t="str">
        <f t="shared" si="95"/>
        <v>Met</v>
      </c>
      <c r="AI166" s="444">
        <f>VLOOKUP(A166,'42. SEA or LEA Worksheet'!$A$4:$AB$324,28,0)</f>
        <v>397271.53</v>
      </c>
      <c r="AJ166" s="513" t="str">
        <f t="shared" si="96"/>
        <v>Did not Meet</v>
      </c>
      <c r="AL166" s="444">
        <f>VLOOKUP(compliance!A166,'42. SEA or LEA Worksheet'!$A$4:$AB$324,26,0)/VLOOKUP(compliance!A166,'42. SEA or LEA Worksheet'!$A$4:$Y$324,25,0)</f>
        <v>0</v>
      </c>
      <c r="AM166" s="513" t="str">
        <f t="shared" si="97"/>
        <v>Met</v>
      </c>
      <c r="AO166" s="444">
        <f>VLOOKUP(A166,'42. SEA or LEA Worksheet'!$A$4:$AB$324,28,0)/VLOOKUP(compliance!A166,'42. SEA or LEA Worksheet'!$A$4:$Y$324,25,0)</f>
        <v>9028.8984090909089</v>
      </c>
      <c r="AP166" s="513" t="str">
        <f t="shared" si="98"/>
        <v>Did not Meet</v>
      </c>
      <c r="AR166" s="512" t="str">
        <f t="shared" si="113"/>
        <v>Met</v>
      </c>
      <c r="AT166" s="444">
        <f>VLOOKUP(A166,'42. SEA or LEA Worksheet'!$A$4:$AE$324,31,0)</f>
        <v>0</v>
      </c>
      <c r="AU166" s="513" t="str">
        <f t="shared" si="108"/>
        <v>Met</v>
      </c>
      <c r="AW166" s="444">
        <f>VLOOKUP(A166,'42. SEA or LEA Worksheet'!$A$4:$AG$324,33,0)</f>
        <v>460515.01</v>
      </c>
      <c r="AX166" s="513" t="str">
        <f t="shared" si="109"/>
        <v>Met</v>
      </c>
      <c r="AZ166" s="444">
        <f>VLOOKUP(A166,'42. SEA or LEA Worksheet'!$A$4:$AG$324,31,0)/VLOOKUP(A166,'42. SEA or LEA Worksheet'!$A$4:$AD$324,30,0)</f>
        <v>0</v>
      </c>
      <c r="BA166" s="513" t="str">
        <f t="shared" si="110"/>
        <v>Met</v>
      </c>
      <c r="BC166" s="444">
        <f>VLOOKUP(A166,'42. SEA or LEA Worksheet'!$A$4:$AG$324,33,0)/VLOOKUP(A166,'42. SEA or LEA Worksheet'!$A$4:$AD$324,30,0)</f>
        <v>10233.666888888889</v>
      </c>
      <c r="BD166" s="513" t="str">
        <f t="shared" si="111"/>
        <v>Met</v>
      </c>
      <c r="BF166" s="512" t="str">
        <f t="shared" si="114"/>
        <v>Met</v>
      </c>
      <c r="BG166" s="637">
        <f>VLOOKUP(A166,'42. SEA or LEA Worksheet'!$A$4:$AM$324,36,0)</f>
        <v>0</v>
      </c>
      <c r="BH166" s="638" t="str">
        <f t="shared" si="115"/>
        <v>Met</v>
      </c>
      <c r="BI166" s="639"/>
      <c r="BJ166" s="637">
        <f>VLOOKUP(A166,'42. SEA or LEA Worksheet'!$A$4:$AM$324,38,0)</f>
        <v>502293.13</v>
      </c>
      <c r="BK166" s="638" t="str">
        <f t="shared" si="116"/>
        <v>Met</v>
      </c>
      <c r="BM166" s="631">
        <f>VLOOKUP(A166,'42. SEA or LEA Worksheet'!$A$4:$AL$324,36,0)/VLOOKUP(A166,'42. SEA or LEA Worksheet'!$A$4:$AL$324,35,0)</f>
        <v>0</v>
      </c>
      <c r="BN166" s="632" t="str">
        <f t="shared" si="117"/>
        <v>Met</v>
      </c>
      <c r="BP166" s="631">
        <f>VLOOKUP(A166,'42. SEA or LEA Worksheet'!$A$4:$AL$324,38,0)/VLOOKUP(A166,'42. SEA or LEA Worksheet'!$A$4:$AL$324,35,0)</f>
        <v>11162.069555555556</v>
      </c>
      <c r="BQ166" s="632" t="str">
        <f t="shared" si="118"/>
        <v>Met</v>
      </c>
      <c r="BS166" s="620" t="str">
        <f t="shared" si="119"/>
        <v>Met</v>
      </c>
    </row>
    <row r="167" spans="1:71" x14ac:dyDescent="0.25">
      <c r="A167" s="343" t="s">
        <v>514</v>
      </c>
      <c r="B167" s="510" t="s">
        <v>986</v>
      </c>
      <c r="C167" s="511"/>
      <c r="D167" s="444">
        <v>0</v>
      </c>
      <c r="E167" s="343" t="s">
        <v>835</v>
      </c>
      <c r="F167" s="511"/>
      <c r="G167" s="444">
        <v>200104.79</v>
      </c>
      <c r="H167" s="343" t="s">
        <v>835</v>
      </c>
      <c r="I167" s="511"/>
      <c r="J167" s="444">
        <v>0</v>
      </c>
      <c r="K167" s="343" t="s">
        <v>835</v>
      </c>
      <c r="L167" s="511"/>
      <c r="M167" s="444">
        <v>6454.9932258064518</v>
      </c>
      <c r="N167" s="343" t="s">
        <v>835</v>
      </c>
      <c r="O167" s="511"/>
      <c r="P167" s="512" t="str">
        <f t="shared" si="101"/>
        <v>Met</v>
      </c>
      <c r="Q167" s="511"/>
      <c r="R167" s="444">
        <f>VLOOKUP(A167,'2020-21'!$A$6:$F$319,6,0)</f>
        <v>0</v>
      </c>
      <c r="S167" s="513" t="str">
        <f t="shared" si="91"/>
        <v>Met</v>
      </c>
      <c r="U167" s="444">
        <f>VLOOKUP(A167,'2020-21'!$A$6:$G$319,7,0)</f>
        <v>204565.61</v>
      </c>
      <c r="V167" s="513" t="str">
        <f t="shared" si="92"/>
        <v>Met</v>
      </c>
      <c r="X167" s="444">
        <f>VLOOKUP(A167,'2020-21'!$A$6:$F$319,6,0)/VLOOKUP(A167,'42. SEA or LEA Worksheet'!$A$4:$T$324,20,0)</f>
        <v>0</v>
      </c>
      <c r="Y167" s="513" t="str">
        <f t="shared" si="93"/>
        <v>Met</v>
      </c>
      <c r="AA167" s="444">
        <f>VLOOKUP(A167,'42. SEA or LEA Worksheet'!$A$4:$W$324,23,0)/VLOOKUP(compliance!A167,'42. SEA or LEA Worksheet'!$A$4:$T$324,20,0)</f>
        <v>6818.853666666666</v>
      </c>
      <c r="AB167" s="513" t="str">
        <f t="shared" si="94"/>
        <v>Met</v>
      </c>
      <c r="AD167" s="512" t="str">
        <f t="shared" si="112"/>
        <v>Met</v>
      </c>
      <c r="AF167" s="444">
        <f>VLOOKUP(A167,'42. SEA or LEA Worksheet'!$A$4:$Z$324,26,0)</f>
        <v>0</v>
      </c>
      <c r="AG167" s="513" t="str">
        <f t="shared" si="95"/>
        <v>Met</v>
      </c>
      <c r="AI167" s="444">
        <f>VLOOKUP(A167,'42. SEA or LEA Worksheet'!$A$4:$AB$324,28,0)</f>
        <v>157280.07999999999</v>
      </c>
      <c r="AJ167" s="513" t="str">
        <f t="shared" si="96"/>
        <v>Did not Meet</v>
      </c>
      <c r="AL167" s="444">
        <f>VLOOKUP(compliance!A167,'42. SEA or LEA Worksheet'!$A$4:$AB$324,26,0)/VLOOKUP(compliance!A167,'42. SEA or LEA Worksheet'!$A$4:$Y$324,25,0)</f>
        <v>0</v>
      </c>
      <c r="AM167" s="513" t="str">
        <f t="shared" si="97"/>
        <v>Met</v>
      </c>
      <c r="AO167" s="444">
        <f>VLOOKUP(A167,'42. SEA or LEA Worksheet'!$A$4:$AB$324,28,0)/VLOOKUP(compliance!A167,'42. SEA or LEA Worksheet'!$A$4:$Y$324,25,0)</f>
        <v>5617.1457142857134</v>
      </c>
      <c r="AP167" s="513" t="str">
        <f t="shared" si="98"/>
        <v>Did not Meet</v>
      </c>
      <c r="AR167" s="512" t="str">
        <f t="shared" si="113"/>
        <v>Met</v>
      </c>
      <c r="AT167" s="444">
        <f>VLOOKUP(A167,'42. SEA or LEA Worksheet'!$A$4:$AE$324,31,0)</f>
        <v>0</v>
      </c>
      <c r="AU167" s="513" t="str">
        <f t="shared" si="108"/>
        <v>Met</v>
      </c>
      <c r="AW167" s="444">
        <f>VLOOKUP(A167,'42. SEA or LEA Worksheet'!$A$4:$AG$324,33,0)</f>
        <v>205316.63</v>
      </c>
      <c r="AX167" s="513" t="str">
        <f t="shared" si="109"/>
        <v>Met</v>
      </c>
      <c r="AZ167" s="444">
        <f>VLOOKUP(A167,'42. SEA or LEA Worksheet'!$A$4:$AG$324,31,0)/VLOOKUP(A167,'42. SEA or LEA Worksheet'!$A$4:$AD$324,30,0)</f>
        <v>0</v>
      </c>
      <c r="BA167" s="513" t="str">
        <f t="shared" si="110"/>
        <v>Met</v>
      </c>
      <c r="BC167" s="444">
        <f>VLOOKUP(A167,'42. SEA or LEA Worksheet'!$A$4:$AG$324,33,0)/VLOOKUP(A167,'42. SEA or LEA Worksheet'!$A$4:$AD$324,30,0)</f>
        <v>10806.138421052632</v>
      </c>
      <c r="BD167" s="513" t="str">
        <f t="shared" si="111"/>
        <v>Met</v>
      </c>
      <c r="BF167" s="512" t="str">
        <f t="shared" si="114"/>
        <v>Met</v>
      </c>
      <c r="BG167" s="637">
        <f>VLOOKUP(A167,'42. SEA or LEA Worksheet'!$A$4:$AM$324,36,0)</f>
        <v>40651.22</v>
      </c>
      <c r="BH167" s="638" t="str">
        <f t="shared" si="115"/>
        <v>Met</v>
      </c>
      <c r="BI167" s="639"/>
      <c r="BJ167" s="637">
        <f>VLOOKUP(A167,'42. SEA or LEA Worksheet'!$A$4:$AM$324,38,0)</f>
        <v>360420.48</v>
      </c>
      <c r="BK167" s="638" t="str">
        <f t="shared" si="116"/>
        <v>Met</v>
      </c>
      <c r="BM167" s="631">
        <f>VLOOKUP(A167,'42. SEA or LEA Worksheet'!$A$4:$AL$324,36,0)/VLOOKUP(A167,'42. SEA or LEA Worksheet'!$A$4:$AL$324,35,0)</f>
        <v>1693.8008333333335</v>
      </c>
      <c r="BN167" s="632" t="str">
        <f t="shared" si="117"/>
        <v>Met</v>
      </c>
      <c r="BP167" s="631">
        <f>VLOOKUP(A167,'42. SEA or LEA Worksheet'!$A$4:$AL$324,38,0)/VLOOKUP(A167,'42. SEA or LEA Worksheet'!$A$4:$AL$324,35,0)</f>
        <v>15017.519999999999</v>
      </c>
      <c r="BQ167" s="632" t="str">
        <f t="shared" si="118"/>
        <v>Met</v>
      </c>
      <c r="BS167" s="620" t="str">
        <f t="shared" si="119"/>
        <v>Met</v>
      </c>
    </row>
    <row r="168" spans="1:71" x14ac:dyDescent="0.25">
      <c r="A168" s="343" t="s">
        <v>516</v>
      </c>
      <c r="B168" s="510" t="s">
        <v>987</v>
      </c>
      <c r="C168" s="511"/>
      <c r="D168" s="444">
        <v>0</v>
      </c>
      <c r="E168" s="343" t="s">
        <v>856</v>
      </c>
      <c r="F168" s="511"/>
      <c r="G168" s="444">
        <v>1457831.63</v>
      </c>
      <c r="H168" s="343" t="s">
        <v>835</v>
      </c>
      <c r="I168" s="511"/>
      <c r="J168" s="444">
        <v>0</v>
      </c>
      <c r="K168" s="343" t="s">
        <v>856</v>
      </c>
      <c r="L168" s="511"/>
      <c r="M168" s="444">
        <v>7966.2930601092894</v>
      </c>
      <c r="N168" s="343" t="s">
        <v>835</v>
      </c>
      <c r="O168" s="511"/>
      <c r="P168" s="512" t="str">
        <f t="shared" si="101"/>
        <v>Met</v>
      </c>
      <c r="Q168" s="511"/>
      <c r="R168" s="444">
        <f>VLOOKUP(A168,'2020-21'!$A$6:$F$319,6,0)</f>
        <v>0</v>
      </c>
      <c r="S168" s="513" t="str">
        <f t="shared" si="91"/>
        <v>Met</v>
      </c>
      <c r="U168" s="444">
        <f>VLOOKUP(A168,'2020-21'!$A$6:$G$319,7,0)</f>
        <v>1657098.57</v>
      </c>
      <c r="V168" s="513" t="str">
        <f t="shared" si="92"/>
        <v>Met</v>
      </c>
      <c r="X168" s="444">
        <f>VLOOKUP(A168,'2020-21'!$A$6:$F$319,6,0)/VLOOKUP(A168,'42. SEA or LEA Worksheet'!$A$4:$T$324,20,0)</f>
        <v>0</v>
      </c>
      <c r="Y168" s="513" t="str">
        <f t="shared" si="93"/>
        <v>Met</v>
      </c>
      <c r="AA168" s="444">
        <f>VLOOKUP(A168,'42. SEA or LEA Worksheet'!$A$4:$W$324,23,0)/VLOOKUP(compliance!A168,'42. SEA or LEA Worksheet'!$A$4:$T$324,20,0)</f>
        <v>9863.6819642857154</v>
      </c>
      <c r="AB168" s="513" t="str">
        <f t="shared" si="94"/>
        <v>Met</v>
      </c>
      <c r="AD168" s="512" t="str">
        <f t="shared" si="112"/>
        <v>Met</v>
      </c>
      <c r="AF168" s="444">
        <f>VLOOKUP(A168,'42. SEA or LEA Worksheet'!$A$4:$Z$324,26,0)</f>
        <v>0</v>
      </c>
      <c r="AG168" s="513" t="str">
        <f t="shared" si="95"/>
        <v>Met</v>
      </c>
      <c r="AI168" s="444">
        <f>VLOOKUP(A168,'42. SEA or LEA Worksheet'!$A$4:$AB$324,28,0)</f>
        <v>1998513.78</v>
      </c>
      <c r="AJ168" s="513" t="str">
        <f t="shared" si="96"/>
        <v>Met</v>
      </c>
      <c r="AL168" s="444">
        <f>VLOOKUP(compliance!A168,'42. SEA or LEA Worksheet'!$A$4:$AB$324,26,0)/VLOOKUP(compliance!A168,'42. SEA or LEA Worksheet'!$A$4:$Y$324,25,0)</f>
        <v>0</v>
      </c>
      <c r="AM168" s="513" t="str">
        <f t="shared" si="97"/>
        <v>Met</v>
      </c>
      <c r="AO168" s="444">
        <f>VLOOKUP(A168,'42. SEA or LEA Worksheet'!$A$4:$AB$324,28,0)/VLOOKUP(compliance!A168,'42. SEA or LEA Worksheet'!$A$4:$Y$324,25,0)</f>
        <v>11485.711379310345</v>
      </c>
      <c r="AP168" s="513" t="str">
        <f t="shared" si="98"/>
        <v>Met</v>
      </c>
      <c r="AR168" s="512" t="str">
        <f t="shared" si="113"/>
        <v>Met</v>
      </c>
      <c r="AT168" s="444">
        <f>VLOOKUP(A168,'42. SEA or LEA Worksheet'!$A$4:$AE$324,31,0)</f>
        <v>0</v>
      </c>
      <c r="AU168" s="513" t="str">
        <f t="shared" si="108"/>
        <v>Met</v>
      </c>
      <c r="AW168" s="444">
        <f>VLOOKUP(A168,'42. SEA or LEA Worksheet'!$A$4:$AG$324,33,0)</f>
        <v>1760535.5</v>
      </c>
      <c r="AX168" s="513" t="str">
        <f t="shared" si="109"/>
        <v>Did not Meet</v>
      </c>
      <c r="AZ168" s="444">
        <f>VLOOKUP(A168,'42. SEA or LEA Worksheet'!$A$4:$AG$324,31,0)/VLOOKUP(A168,'42. SEA or LEA Worksheet'!$A$4:$AD$324,30,0)</f>
        <v>0</v>
      </c>
      <c r="BA168" s="513" t="str">
        <f t="shared" si="110"/>
        <v>Met</v>
      </c>
      <c r="BC168" s="444">
        <f>VLOOKUP(A168,'42. SEA or LEA Worksheet'!$A$4:$AG$324,33,0)/VLOOKUP(A168,'42. SEA or LEA Worksheet'!$A$4:$AD$324,30,0)</f>
        <v>10003.042613636364</v>
      </c>
      <c r="BD168" s="513" t="str">
        <f t="shared" si="111"/>
        <v>Did not Meet</v>
      </c>
      <c r="BF168" s="512" t="str">
        <f t="shared" si="114"/>
        <v>Met</v>
      </c>
      <c r="BG168" s="637">
        <f>VLOOKUP(A168,'42. SEA or LEA Worksheet'!$A$4:$AM$324,36,0)</f>
        <v>0</v>
      </c>
      <c r="BH168" s="638" t="str">
        <f t="shared" si="115"/>
        <v>Met</v>
      </c>
      <c r="BI168" s="639"/>
      <c r="BJ168" s="637">
        <f>VLOOKUP(A168,'42. SEA or LEA Worksheet'!$A$4:$AM$324,38,0)</f>
        <v>2054458.39</v>
      </c>
      <c r="BK168" s="638" t="str">
        <f t="shared" si="116"/>
        <v>Met</v>
      </c>
      <c r="BM168" s="631">
        <f>VLOOKUP(A168,'42. SEA or LEA Worksheet'!$A$4:$AL$324,36,0)/VLOOKUP(A168,'42. SEA or LEA Worksheet'!$A$4:$AL$324,35,0)</f>
        <v>0</v>
      </c>
      <c r="BN168" s="632" t="str">
        <f t="shared" si="117"/>
        <v>Met</v>
      </c>
      <c r="BP168" s="631">
        <f>VLOOKUP(A168,'42. SEA or LEA Worksheet'!$A$4:$AL$324,38,0)/VLOOKUP(A168,'42. SEA or LEA Worksheet'!$A$4:$AL$324,35,0)</f>
        <v>10927.970159574468</v>
      </c>
      <c r="BQ168" s="632" t="str">
        <f t="shared" si="118"/>
        <v>Met</v>
      </c>
      <c r="BS168" s="620" t="str">
        <f t="shared" si="119"/>
        <v>Met</v>
      </c>
    </row>
    <row r="169" spans="1:71" x14ac:dyDescent="0.25">
      <c r="A169" s="343" t="s">
        <v>518</v>
      </c>
      <c r="B169" s="510" t="s">
        <v>988</v>
      </c>
      <c r="C169" s="511"/>
      <c r="D169" s="444">
        <v>0</v>
      </c>
      <c r="E169" s="343" t="s">
        <v>856</v>
      </c>
      <c r="F169" s="511"/>
      <c r="G169" s="444">
        <v>1850592.78</v>
      </c>
      <c r="H169" s="343" t="s">
        <v>835</v>
      </c>
      <c r="I169" s="511"/>
      <c r="J169" s="444">
        <v>0</v>
      </c>
      <c r="K169" s="343" t="s">
        <v>856</v>
      </c>
      <c r="L169" s="511"/>
      <c r="M169" s="444">
        <v>9539.1380412371127</v>
      </c>
      <c r="N169" s="343" t="s">
        <v>835</v>
      </c>
      <c r="O169" s="511"/>
      <c r="P169" s="512" t="str">
        <f t="shared" si="101"/>
        <v>Met</v>
      </c>
      <c r="Q169" s="511"/>
      <c r="R169" s="444">
        <f>VLOOKUP(A169,'2020-21'!$A$6:$F$319,6,0)</f>
        <v>0</v>
      </c>
      <c r="S169" s="513" t="str">
        <f t="shared" si="91"/>
        <v>Met</v>
      </c>
      <c r="U169" s="444">
        <f>VLOOKUP(A169,'2020-21'!$A$6:$G$319,7,0)</f>
        <v>1942455.87</v>
      </c>
      <c r="V169" s="513" t="str">
        <f t="shared" si="92"/>
        <v>Met</v>
      </c>
      <c r="X169" s="444">
        <f>VLOOKUP(A169,'2020-21'!$A$6:$F$319,6,0)/VLOOKUP(A169,'42. SEA or LEA Worksheet'!$A$4:$T$324,20,0)</f>
        <v>0</v>
      </c>
      <c r="Y169" s="513" t="str">
        <f t="shared" si="93"/>
        <v>Met</v>
      </c>
      <c r="AA169" s="444">
        <f>VLOOKUP(A169,'42. SEA or LEA Worksheet'!$A$4:$W$324,23,0)/VLOOKUP(compliance!A169,'42. SEA or LEA Worksheet'!$A$4:$T$324,20,0)</f>
        <v>9910.4891326530615</v>
      </c>
      <c r="AB169" s="513" t="str">
        <f t="shared" si="94"/>
        <v>Met</v>
      </c>
      <c r="AD169" s="512" t="str">
        <f t="shared" si="112"/>
        <v>Met</v>
      </c>
      <c r="AF169" s="444">
        <f>VLOOKUP(A169,'42. SEA or LEA Worksheet'!$A$4:$Z$324,26,0)</f>
        <v>0</v>
      </c>
      <c r="AG169" s="513" t="str">
        <f t="shared" si="95"/>
        <v>Met</v>
      </c>
      <c r="AI169" s="444">
        <f>VLOOKUP(A169,'42. SEA or LEA Worksheet'!$A$4:$AB$324,28,0)</f>
        <v>1878549.21</v>
      </c>
      <c r="AJ169" s="513" t="str">
        <f t="shared" si="96"/>
        <v>Did not Meet</v>
      </c>
      <c r="AL169" s="444">
        <f>VLOOKUP(compliance!A169,'42. SEA or LEA Worksheet'!$A$4:$AB$324,26,0)/VLOOKUP(compliance!A169,'42. SEA or LEA Worksheet'!$A$4:$Y$324,25,0)</f>
        <v>0</v>
      </c>
      <c r="AM169" s="513" t="str">
        <f t="shared" si="97"/>
        <v>Met</v>
      </c>
      <c r="AO169" s="444">
        <f>VLOOKUP(A169,'42. SEA or LEA Worksheet'!$A$4:$AB$324,28,0)/VLOOKUP(compliance!A169,'42. SEA or LEA Worksheet'!$A$4:$Y$324,25,0)</f>
        <v>9683.243350515464</v>
      </c>
      <c r="AP169" s="513" t="str">
        <f t="shared" si="98"/>
        <v>Did not Meet</v>
      </c>
      <c r="AR169" s="512" t="str">
        <f t="shared" si="113"/>
        <v>Met</v>
      </c>
      <c r="AT169" s="444">
        <f>VLOOKUP(A169,'42. SEA or LEA Worksheet'!$A$4:$AE$324,31,0)</f>
        <v>0</v>
      </c>
      <c r="AU169" s="513" t="str">
        <f t="shared" si="108"/>
        <v>Met</v>
      </c>
      <c r="AW169" s="444">
        <f>VLOOKUP(A169,'42. SEA or LEA Worksheet'!$A$4:$AG$324,33,0)</f>
        <v>2223354.5299999998</v>
      </c>
      <c r="AX169" s="513" t="str">
        <f t="shared" si="109"/>
        <v>Met</v>
      </c>
      <c r="AZ169" s="444">
        <f>VLOOKUP(A169,'42. SEA or LEA Worksheet'!$A$4:$AG$324,31,0)/VLOOKUP(A169,'42. SEA or LEA Worksheet'!$A$4:$AD$324,30,0)</f>
        <v>0</v>
      </c>
      <c r="BA169" s="513" t="str">
        <f t="shared" si="110"/>
        <v>Met</v>
      </c>
      <c r="BC169" s="444">
        <f>VLOOKUP(A169,'42. SEA or LEA Worksheet'!$A$4:$AG$324,33,0)/VLOOKUP(A169,'42. SEA or LEA Worksheet'!$A$4:$AD$324,30,0)</f>
        <v>11701.86594736842</v>
      </c>
      <c r="BD169" s="513" t="str">
        <f t="shared" si="111"/>
        <v>Met</v>
      </c>
      <c r="BF169" s="512" t="str">
        <f t="shared" si="114"/>
        <v>Met</v>
      </c>
      <c r="BG169" s="637">
        <f>VLOOKUP(A169,'42. SEA or LEA Worksheet'!$A$4:$AM$324,36,0)</f>
        <v>0</v>
      </c>
      <c r="BH169" s="638" t="str">
        <f t="shared" si="115"/>
        <v>Met</v>
      </c>
      <c r="BI169" s="639"/>
      <c r="BJ169" s="637">
        <f>VLOOKUP(A169,'42. SEA or LEA Worksheet'!$A$4:$AM$324,38,0)</f>
        <v>2382060.17</v>
      </c>
      <c r="BK169" s="638" t="str">
        <f t="shared" si="116"/>
        <v>Met</v>
      </c>
      <c r="BM169" s="631">
        <f>VLOOKUP(A169,'42. SEA or LEA Worksheet'!$A$4:$AL$324,36,0)/VLOOKUP(A169,'42. SEA or LEA Worksheet'!$A$4:$AL$324,35,0)</f>
        <v>0</v>
      </c>
      <c r="BN169" s="632" t="str">
        <f t="shared" si="117"/>
        <v>Met</v>
      </c>
      <c r="BP169" s="631">
        <f>VLOOKUP(A169,'42. SEA or LEA Worksheet'!$A$4:$AL$324,38,0)/VLOOKUP(A169,'42. SEA or LEA Worksheet'!$A$4:$AL$324,35,0)</f>
        <v>12091.675989847716</v>
      </c>
      <c r="BQ169" s="632" t="str">
        <f t="shared" si="118"/>
        <v>Met</v>
      </c>
      <c r="BS169" s="620" t="str">
        <f t="shared" si="119"/>
        <v>Met</v>
      </c>
    </row>
    <row r="170" spans="1:71" x14ac:dyDescent="0.25">
      <c r="A170" s="343" t="s">
        <v>520</v>
      </c>
      <c r="B170" s="510" t="s">
        <v>989</v>
      </c>
      <c r="C170" s="511"/>
      <c r="D170" s="444">
        <v>0</v>
      </c>
      <c r="E170" s="343" t="s">
        <v>835</v>
      </c>
      <c r="F170" s="511"/>
      <c r="G170" s="444">
        <v>3131181.12</v>
      </c>
      <c r="H170" s="343" t="s">
        <v>835</v>
      </c>
      <c r="I170" s="511"/>
      <c r="J170" s="444">
        <v>0</v>
      </c>
      <c r="K170" s="343" t="s">
        <v>835</v>
      </c>
      <c r="L170" s="511"/>
      <c r="M170" s="444">
        <v>9102.2706976744194</v>
      </c>
      <c r="N170" s="343" t="s">
        <v>856</v>
      </c>
      <c r="O170" s="511"/>
      <c r="P170" s="512" t="str">
        <f t="shared" si="101"/>
        <v>Met</v>
      </c>
      <c r="Q170" s="511"/>
      <c r="R170" s="444">
        <f>VLOOKUP(A170,'2020-21'!$A$6:$F$319,6,0)</f>
        <v>0</v>
      </c>
      <c r="S170" s="513" t="str">
        <f t="shared" si="91"/>
        <v>Met</v>
      </c>
      <c r="U170" s="444">
        <f>VLOOKUP(A170,'2020-21'!$A$6:$G$319,7,0)</f>
        <v>3125034.88</v>
      </c>
      <c r="V170" s="513" t="str">
        <f t="shared" si="92"/>
        <v>Did not Meet</v>
      </c>
      <c r="X170" s="444">
        <f>VLOOKUP(A170,'2020-21'!$A$6:$F$319,6,0)/VLOOKUP(A170,'42. SEA or LEA Worksheet'!$A$4:$T$324,20,0)</f>
        <v>0</v>
      </c>
      <c r="Y170" s="513" t="str">
        <f t="shared" si="93"/>
        <v>Met</v>
      </c>
      <c r="AA170" s="444">
        <f>VLOOKUP(A170,'42. SEA or LEA Worksheet'!$A$4:$W$324,23,0)/VLOOKUP(compliance!A170,'42. SEA or LEA Worksheet'!$A$4:$T$324,20,0)</f>
        <v>9005.8642074927957</v>
      </c>
      <c r="AB170" s="513" t="str">
        <f t="shared" si="94"/>
        <v>Did not Meet</v>
      </c>
      <c r="AD170" s="512" t="str">
        <f t="shared" si="112"/>
        <v>Met</v>
      </c>
      <c r="AF170" s="444">
        <f>VLOOKUP(A170,'42. SEA or LEA Worksheet'!$A$4:$Z$324,26,0)</f>
        <v>0</v>
      </c>
      <c r="AG170" s="513" t="str">
        <f t="shared" si="95"/>
        <v>Met</v>
      </c>
      <c r="AI170" s="444">
        <f>VLOOKUP(A170,'42. SEA or LEA Worksheet'!$A$4:$AB$324,28,0)</f>
        <v>3337088.94</v>
      </c>
      <c r="AJ170" s="513" t="str">
        <f t="shared" si="96"/>
        <v>Met</v>
      </c>
      <c r="AL170" s="444">
        <f>VLOOKUP(compliance!A170,'42. SEA or LEA Worksheet'!$A$4:$AB$324,26,0)/VLOOKUP(compliance!A170,'42. SEA or LEA Worksheet'!$A$4:$Y$324,25,0)</f>
        <v>0</v>
      </c>
      <c r="AM170" s="513" t="str">
        <f t="shared" si="97"/>
        <v>Met</v>
      </c>
      <c r="AO170" s="444">
        <f>VLOOKUP(A170,'42. SEA or LEA Worksheet'!$A$4:$AB$324,28,0)/VLOOKUP(compliance!A170,'42. SEA or LEA Worksheet'!$A$4:$Y$324,25,0)</f>
        <v>10730.189517684887</v>
      </c>
      <c r="AP170" s="513" t="str">
        <f t="shared" si="98"/>
        <v>Met</v>
      </c>
      <c r="AR170" s="512" t="str">
        <f t="shared" si="113"/>
        <v>Met</v>
      </c>
      <c r="AT170" s="444">
        <f>VLOOKUP(A170,'42. SEA or LEA Worksheet'!$A$4:$AE$324,31,0)</f>
        <v>0</v>
      </c>
      <c r="AU170" s="513" t="str">
        <f t="shared" si="108"/>
        <v>Met</v>
      </c>
      <c r="AW170" s="444">
        <f>VLOOKUP(A170,'42. SEA or LEA Worksheet'!$A$4:$AG$324,33,0)</f>
        <v>3892274.26</v>
      </c>
      <c r="AX170" s="513" t="str">
        <f t="shared" si="109"/>
        <v>Met</v>
      </c>
      <c r="AZ170" s="444">
        <f>VLOOKUP(A170,'42. SEA or LEA Worksheet'!$A$4:$AG$324,31,0)/VLOOKUP(A170,'42. SEA or LEA Worksheet'!$A$4:$AD$324,30,0)</f>
        <v>0</v>
      </c>
      <c r="BA170" s="513" t="str">
        <f t="shared" si="110"/>
        <v>Met</v>
      </c>
      <c r="BC170" s="444">
        <f>VLOOKUP(A170,'42. SEA or LEA Worksheet'!$A$4:$AG$324,33,0)/VLOOKUP(A170,'42. SEA or LEA Worksheet'!$A$4:$AD$324,30,0)</f>
        <v>12888.32536423841</v>
      </c>
      <c r="BD170" s="513" t="str">
        <f t="shared" si="111"/>
        <v>Met</v>
      </c>
      <c r="BF170" s="512" t="str">
        <f t="shared" si="114"/>
        <v>Met</v>
      </c>
      <c r="BG170" s="637">
        <f>VLOOKUP(A170,'42. SEA or LEA Worksheet'!$A$4:$AM$324,36,0)</f>
        <v>0</v>
      </c>
      <c r="BH170" s="638" t="str">
        <f t="shared" si="115"/>
        <v>Met</v>
      </c>
      <c r="BI170" s="639"/>
      <c r="BJ170" s="637">
        <f>VLOOKUP(A170,'42. SEA or LEA Worksheet'!$A$4:$AM$324,38,0)</f>
        <v>4707460.6399999997</v>
      </c>
      <c r="BK170" s="638" t="str">
        <f t="shared" si="116"/>
        <v>Met</v>
      </c>
      <c r="BM170" s="631">
        <f>VLOOKUP(A170,'42. SEA or LEA Worksheet'!$A$4:$AL$324,36,0)/VLOOKUP(A170,'42. SEA or LEA Worksheet'!$A$4:$AL$324,35,0)</f>
        <v>0</v>
      </c>
      <c r="BN170" s="632" t="str">
        <f t="shared" si="117"/>
        <v>Met</v>
      </c>
      <c r="BP170" s="631">
        <f>VLOOKUP(A170,'42. SEA or LEA Worksheet'!$A$4:$AL$324,38,0)/VLOOKUP(A170,'42. SEA or LEA Worksheet'!$A$4:$AL$324,35,0)</f>
        <v>14664.986417445481</v>
      </c>
      <c r="BQ170" s="632" t="str">
        <f t="shared" si="118"/>
        <v>Met</v>
      </c>
      <c r="BS170" s="620" t="str">
        <f t="shared" si="119"/>
        <v>Met</v>
      </c>
    </row>
    <row r="171" spans="1:71" x14ac:dyDescent="0.25">
      <c r="A171" s="343" t="s">
        <v>522</v>
      </c>
      <c r="B171" s="510" t="s">
        <v>990</v>
      </c>
      <c r="C171" s="511"/>
      <c r="D171" s="444">
        <v>136430.5</v>
      </c>
      <c r="E171" s="343" t="s">
        <v>856</v>
      </c>
      <c r="F171" s="511"/>
      <c r="G171" s="444">
        <v>1372535.95</v>
      </c>
      <c r="H171" s="343" t="s">
        <v>835</v>
      </c>
      <c r="I171" s="511"/>
      <c r="J171" s="444">
        <v>1091.444</v>
      </c>
      <c r="K171" s="343" t="s">
        <v>856</v>
      </c>
      <c r="L171" s="511"/>
      <c r="M171" s="444">
        <v>10980.2876</v>
      </c>
      <c r="N171" s="343" t="s">
        <v>835</v>
      </c>
      <c r="O171" s="511"/>
      <c r="P171" s="512" t="str">
        <f t="shared" ref="P171:P202" si="120">IF(AND(E171="Did not Meet",H171="Did not Meet",K171="Did not Meet", N171="Did not Meet"),"Did not Meet","Met")</f>
        <v>Met</v>
      </c>
      <c r="Q171" s="511"/>
      <c r="R171" s="444">
        <f>VLOOKUP(A171,'2020-21'!$A$6:$F$319,6,0)</f>
        <v>379308.32</v>
      </c>
      <c r="S171" s="513" t="str">
        <f t="shared" si="91"/>
        <v>Met</v>
      </c>
      <c r="U171" s="444">
        <f>VLOOKUP(A171,'2020-21'!$A$6:$G$319,7,0)</f>
        <v>1564894.29</v>
      </c>
      <c r="V171" s="513" t="str">
        <f t="shared" si="92"/>
        <v>Met</v>
      </c>
      <c r="X171" s="444">
        <f>VLOOKUP(A171,'2020-21'!$A$6:$F$319,6,0)/VLOOKUP(A171,'42. SEA or LEA Worksheet'!$A$4:$T$324,20,0)</f>
        <v>2986.6796850393703</v>
      </c>
      <c r="Y171" s="513" t="str">
        <f t="shared" si="93"/>
        <v>Met</v>
      </c>
      <c r="AA171" s="444">
        <f>VLOOKUP(A171,'42. SEA or LEA Worksheet'!$A$4:$W$324,23,0)/VLOOKUP(compliance!A171,'42. SEA or LEA Worksheet'!$A$4:$T$324,20,0)</f>
        <v>12322.002283464568</v>
      </c>
      <c r="AB171" s="513" t="str">
        <f t="shared" si="94"/>
        <v>Met</v>
      </c>
      <c r="AD171" s="512" t="str">
        <f t="shared" si="112"/>
        <v>Met</v>
      </c>
      <c r="AF171" s="444">
        <f>VLOOKUP(A171,'42. SEA or LEA Worksheet'!$A$4:$Z$324,26,0)</f>
        <v>225376.51</v>
      </c>
      <c r="AG171" s="513" t="str">
        <f t="shared" si="95"/>
        <v>Did not Meet</v>
      </c>
      <c r="AI171" s="444">
        <f>VLOOKUP(A171,'42. SEA or LEA Worksheet'!$A$4:$AB$324,28,0)</f>
        <v>1738023.17</v>
      </c>
      <c r="AJ171" s="513" t="str">
        <f t="shared" si="96"/>
        <v>Met</v>
      </c>
      <c r="AL171" s="444">
        <f>VLOOKUP(compliance!A171,'42. SEA or LEA Worksheet'!$A$4:$AB$324,26,0)/VLOOKUP(compliance!A171,'42. SEA or LEA Worksheet'!$A$4:$Y$324,25,0)</f>
        <v>1760.7539843750001</v>
      </c>
      <c r="AM171" s="513" t="str">
        <f t="shared" si="97"/>
        <v>Did not Meet</v>
      </c>
      <c r="AO171" s="444">
        <f>VLOOKUP(A171,'42. SEA or LEA Worksheet'!$A$4:$AB$324,28,0)/VLOOKUP(compliance!A171,'42. SEA or LEA Worksheet'!$A$4:$Y$324,25,0)</f>
        <v>13578.306015624999</v>
      </c>
      <c r="AP171" s="513" t="str">
        <f t="shared" si="98"/>
        <v>Met</v>
      </c>
      <c r="AR171" s="512" t="str">
        <f t="shared" si="113"/>
        <v>Met</v>
      </c>
      <c r="AT171" s="444">
        <f>VLOOKUP(A171,'42. SEA or LEA Worksheet'!$A$4:$AE$324,31,0)</f>
        <v>232393.44</v>
      </c>
      <c r="AU171" s="513" t="str">
        <f t="shared" si="108"/>
        <v>Met</v>
      </c>
      <c r="AW171" s="444">
        <f>VLOOKUP(A171,'42. SEA or LEA Worksheet'!$A$4:$AG$324,33,0)</f>
        <v>1639311.0899999999</v>
      </c>
      <c r="AX171" s="513" t="str">
        <f t="shared" si="109"/>
        <v>Did not Meet</v>
      </c>
      <c r="AZ171" s="444">
        <f>VLOOKUP(A171,'42. SEA or LEA Worksheet'!$A$4:$AG$324,31,0)/VLOOKUP(A171,'42. SEA or LEA Worksheet'!$A$4:$AD$324,30,0)</f>
        <v>2420.7649999999999</v>
      </c>
      <c r="BA171" s="513" t="str">
        <f t="shared" si="110"/>
        <v>Met</v>
      </c>
      <c r="BC171" s="444">
        <f>VLOOKUP(A171,'42. SEA or LEA Worksheet'!$A$4:$AG$324,33,0)/VLOOKUP(A171,'42. SEA or LEA Worksheet'!$A$4:$AD$324,30,0)</f>
        <v>17076.157187499997</v>
      </c>
      <c r="BD171" s="513" t="str">
        <f t="shared" si="111"/>
        <v>Met</v>
      </c>
      <c r="BF171" s="512" t="str">
        <f>IF(AND(AU171="Did not Meet",AX171="Did not Meet", BA171="Did not Meet",BD171="Did not Meet",),"Did not Meet","Met")</f>
        <v>Met</v>
      </c>
      <c r="BG171" s="637">
        <f>VLOOKUP(A171,'42. SEA or LEA Worksheet'!$A$4:$AM$324,36,0)</f>
        <v>319953</v>
      </c>
      <c r="BH171" s="638" t="str">
        <f t="shared" si="115"/>
        <v>Met</v>
      </c>
      <c r="BI171" s="639"/>
      <c r="BJ171" s="637">
        <f>VLOOKUP(A171,'42. SEA or LEA Worksheet'!$A$4:$AM$324,38,0)</f>
        <v>1657240.79</v>
      </c>
      <c r="BK171" s="638" t="str">
        <f t="shared" si="116"/>
        <v>Met</v>
      </c>
      <c r="BM171" s="631">
        <f>VLOOKUP(A171,'42. SEA or LEA Worksheet'!$A$4:$AL$324,36,0)/VLOOKUP(A171,'42. SEA or LEA Worksheet'!$A$4:$AL$324,35,0)</f>
        <v>2935.3486238532109</v>
      </c>
      <c r="BN171" s="632" t="str">
        <f t="shared" si="117"/>
        <v>Met</v>
      </c>
      <c r="BP171" s="631">
        <f>VLOOKUP(A171,'42. SEA or LEA Worksheet'!$A$4:$AL$324,38,0)/VLOOKUP(A171,'42. SEA or LEA Worksheet'!$A$4:$AL$324,35,0)</f>
        <v>15204.043944954128</v>
      </c>
      <c r="BQ171" s="632" t="str">
        <f t="shared" si="118"/>
        <v>Met</v>
      </c>
      <c r="BS171" s="620" t="str">
        <f>IF(AND(BH171="Did not Meet",BK171="Did not Meet", BN171="Did not Meet",BQ171="Did not Meet",),"Did not Meet","Met")</f>
        <v>Met</v>
      </c>
    </row>
    <row r="172" spans="1:71" x14ac:dyDescent="0.25">
      <c r="A172" s="343" t="s">
        <v>524</v>
      </c>
      <c r="B172" s="510" t="s">
        <v>991</v>
      </c>
      <c r="C172" s="511"/>
      <c r="D172" s="444">
        <v>0</v>
      </c>
      <c r="E172" s="343" t="s">
        <v>835</v>
      </c>
      <c r="F172" s="511"/>
      <c r="G172" s="444">
        <v>2832049.74</v>
      </c>
      <c r="H172" s="343" t="s">
        <v>835</v>
      </c>
      <c r="I172" s="511"/>
      <c r="J172" s="444">
        <v>0</v>
      </c>
      <c r="K172" s="343" t="s">
        <v>835</v>
      </c>
      <c r="L172" s="511"/>
      <c r="M172" s="444">
        <v>9346.6988118811896</v>
      </c>
      <c r="N172" s="343" t="s">
        <v>835</v>
      </c>
      <c r="O172" s="511"/>
      <c r="P172" s="512" t="str">
        <f t="shared" si="120"/>
        <v>Met</v>
      </c>
      <c r="Q172" s="511"/>
      <c r="R172" s="444">
        <f>VLOOKUP(A172,'2020-21'!$A$6:$F$319,6,0)</f>
        <v>0</v>
      </c>
      <c r="S172" s="513" t="str">
        <f t="shared" si="91"/>
        <v>Met</v>
      </c>
      <c r="U172" s="444">
        <f>VLOOKUP(A172,'2020-21'!$A$6:$G$319,7,0)</f>
        <v>3024631.78</v>
      </c>
      <c r="V172" s="513" t="str">
        <f t="shared" si="92"/>
        <v>Met</v>
      </c>
      <c r="X172" s="444">
        <f>VLOOKUP(A172,'2020-21'!$A$6:$F$319,6,0)/VLOOKUP(A172,'42. SEA or LEA Worksheet'!$A$4:$T$324,20,0)</f>
        <v>0</v>
      </c>
      <c r="Y172" s="513" t="str">
        <f t="shared" si="93"/>
        <v>Met</v>
      </c>
      <c r="AA172" s="444">
        <f>VLOOKUP(A172,'42. SEA or LEA Worksheet'!$A$4:$W$324,23,0)/VLOOKUP(compliance!A172,'42. SEA or LEA Worksheet'!$A$4:$T$324,20,0)</f>
        <v>10218.350608108107</v>
      </c>
      <c r="AB172" s="513" t="str">
        <f t="shared" si="94"/>
        <v>Met</v>
      </c>
      <c r="AD172" s="512" t="str">
        <f t="shared" si="112"/>
        <v>Met</v>
      </c>
      <c r="AF172" s="444">
        <f>VLOOKUP(A172,'42. SEA or LEA Worksheet'!$A$4:$Z$324,26,0)</f>
        <v>0</v>
      </c>
      <c r="AG172" s="513" t="str">
        <f t="shared" si="95"/>
        <v>Met</v>
      </c>
      <c r="AI172" s="444">
        <f>VLOOKUP(A172,'42. SEA or LEA Worksheet'!$A$4:$AB$324,28,0)</f>
        <v>3074610.04</v>
      </c>
      <c r="AJ172" s="513" t="str">
        <f t="shared" si="96"/>
        <v>Met</v>
      </c>
      <c r="AL172" s="444">
        <f>VLOOKUP(compliance!A172,'42. SEA or LEA Worksheet'!$A$4:$AB$324,26,0)/VLOOKUP(compliance!A172,'42. SEA or LEA Worksheet'!$A$4:$Y$324,25,0)</f>
        <v>0</v>
      </c>
      <c r="AM172" s="513" t="str">
        <f t="shared" si="97"/>
        <v>Met</v>
      </c>
      <c r="AO172" s="444">
        <f>VLOOKUP(A172,'42. SEA or LEA Worksheet'!$A$4:$AB$324,28,0)/VLOOKUP(compliance!A172,'42. SEA or LEA Worksheet'!$A$4:$Y$324,25,0)</f>
        <v>9638.2759874608146</v>
      </c>
      <c r="AP172" s="513" t="str">
        <f t="shared" si="98"/>
        <v>Did not Meet</v>
      </c>
      <c r="AR172" s="512" t="str">
        <f t="shared" si="113"/>
        <v>Met</v>
      </c>
      <c r="AT172" s="444">
        <f>VLOOKUP(A172,'42. SEA or LEA Worksheet'!$A$4:$AE$324,31,0)</f>
        <v>0</v>
      </c>
      <c r="AU172" s="513" t="str">
        <f t="shared" si="108"/>
        <v>Met</v>
      </c>
      <c r="AW172" s="444">
        <f>VLOOKUP(A172,'42. SEA or LEA Worksheet'!$A$4:$AG$324,33,0)</f>
        <v>3356460.97</v>
      </c>
      <c r="AX172" s="513" t="str">
        <f t="shared" si="109"/>
        <v>Met</v>
      </c>
      <c r="AZ172" s="444">
        <f>VLOOKUP(A172,'42. SEA or LEA Worksheet'!$A$4:$AG$324,31,0)/VLOOKUP(A172,'42. SEA or LEA Worksheet'!$A$4:$AD$324,30,0)</f>
        <v>0</v>
      </c>
      <c r="BA172" s="513" t="str">
        <f t="shared" si="110"/>
        <v>Met</v>
      </c>
      <c r="BC172" s="444">
        <f>VLOOKUP(A172,'42. SEA or LEA Worksheet'!$A$4:$AG$324,33,0)/VLOOKUP(A172,'42. SEA or LEA Worksheet'!$A$4:$AD$324,30,0)</f>
        <v>10423.791832298137</v>
      </c>
      <c r="BD172" s="513" t="str">
        <f t="shared" si="111"/>
        <v>Met</v>
      </c>
      <c r="BF172" s="512" t="str">
        <f>IF(AND(AU172="Did not Meet",AX172="Did not Meet", BA172="Did not Meet",BD172="Did not Meet"),"Did not Meet","Met")</f>
        <v>Met</v>
      </c>
      <c r="BG172" s="637">
        <f>VLOOKUP(A172,'42. SEA or LEA Worksheet'!$A$4:$AM$324,36,0)</f>
        <v>0</v>
      </c>
      <c r="BH172" s="638" t="str">
        <f t="shared" si="115"/>
        <v>Met</v>
      </c>
      <c r="BI172" s="639"/>
      <c r="BJ172" s="637">
        <f>VLOOKUP(A172,'42. SEA or LEA Worksheet'!$A$4:$AM$324,38,0)</f>
        <v>3563668.66</v>
      </c>
      <c r="BK172" s="638" t="str">
        <f t="shared" si="116"/>
        <v>Met</v>
      </c>
      <c r="BM172" s="631">
        <f>VLOOKUP(A172,'42. SEA or LEA Worksheet'!$A$4:$AL$324,36,0)/VLOOKUP(A172,'42. SEA or LEA Worksheet'!$A$4:$AL$324,35,0)</f>
        <v>0</v>
      </c>
      <c r="BN172" s="632" t="str">
        <f t="shared" si="117"/>
        <v>Met</v>
      </c>
      <c r="BP172" s="631">
        <f>VLOOKUP(A172,'42. SEA or LEA Worksheet'!$A$4:$AL$324,38,0)/VLOOKUP(A172,'42. SEA or LEA Worksheet'!$A$4:$AL$324,35,0)</f>
        <v>11349.263248407644</v>
      </c>
      <c r="BQ172" s="632" t="str">
        <f t="shared" si="118"/>
        <v>Met</v>
      </c>
      <c r="BS172" s="620" t="str">
        <f>IF(AND(BH172="Did not Meet",BK172="Did not Meet", BN172="Did not Meet",BQ172="Did not Meet"),"Did not Meet","Met")</f>
        <v>Met</v>
      </c>
    </row>
    <row r="173" spans="1:71" x14ac:dyDescent="0.25">
      <c r="A173" s="343" t="s">
        <v>526</v>
      </c>
      <c r="B173" s="510" t="s">
        <v>992</v>
      </c>
      <c r="C173" s="511"/>
      <c r="D173" s="444">
        <v>280701.33</v>
      </c>
      <c r="E173" s="343" t="s">
        <v>856</v>
      </c>
      <c r="F173" s="511"/>
      <c r="G173" s="444">
        <v>10814514.98</v>
      </c>
      <c r="H173" s="343" t="s">
        <v>835</v>
      </c>
      <c r="I173" s="511"/>
      <c r="J173" s="444">
        <v>338.60232810615202</v>
      </c>
      <c r="K173" s="343" t="s">
        <v>856</v>
      </c>
      <c r="L173" s="511"/>
      <c r="M173" s="444">
        <v>13045.253293124246</v>
      </c>
      <c r="N173" s="343" t="s">
        <v>856</v>
      </c>
      <c r="O173" s="511"/>
      <c r="P173" s="512" t="str">
        <f t="shared" si="120"/>
        <v>Met</v>
      </c>
      <c r="Q173" s="511"/>
      <c r="R173" s="444">
        <f>VLOOKUP(A173,'2020-21'!$A$6:$F$319,6,0)</f>
        <v>2015940.97</v>
      </c>
      <c r="S173" s="513" t="str">
        <f t="shared" si="91"/>
        <v>Met</v>
      </c>
      <c r="U173" s="444">
        <f>VLOOKUP(A173,'2020-21'!$A$6:$G$319,7,0)</f>
        <v>11620482.4</v>
      </c>
      <c r="V173" s="513" t="str">
        <f t="shared" si="92"/>
        <v>Met</v>
      </c>
      <c r="X173" s="444">
        <f>VLOOKUP(A173,'2020-21'!$A$6:$F$319,6,0)/VLOOKUP(A173,'42. SEA or LEA Worksheet'!$A$4:$T$324,20,0)</f>
        <v>2516.7802372034957</v>
      </c>
      <c r="Y173" s="513" t="str">
        <f t="shared" si="93"/>
        <v>Met</v>
      </c>
      <c r="AA173" s="444">
        <f>VLOOKUP(A173,'42. SEA or LEA Worksheet'!$A$4:$W$324,23,0)/VLOOKUP(compliance!A173,'42. SEA or LEA Worksheet'!$A$4:$T$324,20,0)</f>
        <v>14507.468664169788</v>
      </c>
      <c r="AB173" s="513" t="str">
        <f t="shared" si="94"/>
        <v>Met</v>
      </c>
      <c r="AD173" s="512" t="str">
        <f t="shared" si="112"/>
        <v>Met</v>
      </c>
      <c r="AF173" s="444">
        <f>VLOOKUP(A173,'42. SEA or LEA Worksheet'!$A$4:$Z$324,26,0)</f>
        <v>2766051.09</v>
      </c>
      <c r="AG173" s="513" t="str">
        <f t="shared" si="95"/>
        <v>Met</v>
      </c>
      <c r="AI173" s="444">
        <f>VLOOKUP(A173,'42. SEA or LEA Worksheet'!$A$4:$AB$324,28,0)</f>
        <v>12684813.23</v>
      </c>
      <c r="AJ173" s="513" t="str">
        <f t="shared" si="96"/>
        <v>Met</v>
      </c>
      <c r="AL173" s="444">
        <f>VLOOKUP(compliance!A173,'42. SEA or LEA Worksheet'!$A$4:$AB$324,26,0)/VLOOKUP(compliance!A173,'42. SEA or LEA Worksheet'!$A$4:$Y$324,25,0)</f>
        <v>3606.3247588005215</v>
      </c>
      <c r="AM173" s="513" t="str">
        <f t="shared" si="97"/>
        <v>Met</v>
      </c>
      <c r="AO173" s="444">
        <f>VLOOKUP(A173,'42. SEA or LEA Worksheet'!$A$4:$AB$324,28,0)/VLOOKUP(compliance!A173,'42. SEA or LEA Worksheet'!$A$4:$Y$324,25,0)</f>
        <v>16538.218031290744</v>
      </c>
      <c r="AP173" s="513" t="str">
        <f t="shared" si="98"/>
        <v>Met</v>
      </c>
      <c r="AR173" s="512" t="str">
        <f t="shared" si="113"/>
        <v>Met</v>
      </c>
      <c r="AT173" s="444">
        <f>VLOOKUP(A173,'42. SEA or LEA Worksheet'!$A$4:$AE$324,31,0)</f>
        <v>3132368.49</v>
      </c>
      <c r="AU173" s="513" t="str">
        <f t="shared" si="108"/>
        <v>Met</v>
      </c>
      <c r="AW173" s="444">
        <f>VLOOKUP(A173,'42. SEA or LEA Worksheet'!$A$4:$AG$324,33,0)</f>
        <v>13182016.640000001</v>
      </c>
      <c r="AX173" s="513" t="str">
        <f t="shared" si="109"/>
        <v>Met</v>
      </c>
      <c r="AZ173" s="444">
        <f>VLOOKUP(A173,'42. SEA or LEA Worksheet'!$A$4:$AG$324,31,0)/VLOOKUP(A173,'42. SEA or LEA Worksheet'!$A$4:$AD$324,30,0)</f>
        <v>4273.3540109140522</v>
      </c>
      <c r="BA173" s="513" t="str">
        <f t="shared" si="110"/>
        <v>Met</v>
      </c>
      <c r="BC173" s="444">
        <f>VLOOKUP(A173,'42. SEA or LEA Worksheet'!$A$4:$AG$324,33,0)/VLOOKUP(A173,'42. SEA or LEA Worksheet'!$A$4:$AD$324,30,0)</f>
        <v>17983.651623465212</v>
      </c>
      <c r="BD173" s="513" t="str">
        <f t="shared" si="111"/>
        <v>Met</v>
      </c>
      <c r="BF173" s="512" t="str">
        <f>IF(AND(AU173="Did not Meet",AX173="Did not Meet", BA173="Did not Meet",BD173="Did not Meet",),"Did not Meet","Met")</f>
        <v>Met</v>
      </c>
      <c r="BG173" s="637">
        <f>VLOOKUP(A173,'42. SEA or LEA Worksheet'!$A$4:$AM$324,36,0)</f>
        <v>3055080.52</v>
      </c>
      <c r="BH173" s="638" t="str">
        <f t="shared" si="115"/>
        <v>Did not Meet</v>
      </c>
      <c r="BI173" s="639"/>
      <c r="BJ173" s="637">
        <f>VLOOKUP(A173,'42. SEA or LEA Worksheet'!$A$4:$AM$324,38,0)</f>
        <v>14615728.549999999</v>
      </c>
      <c r="BK173" s="638" t="str">
        <f t="shared" si="116"/>
        <v>Met</v>
      </c>
      <c r="BM173" s="631">
        <f>VLOOKUP(A173,'42. SEA or LEA Worksheet'!$A$4:$AL$324,36,0)/VLOOKUP(A173,'42. SEA or LEA Worksheet'!$A$4:$AL$324,35,0)</f>
        <v>4185.0418082191782</v>
      </c>
      <c r="BN173" s="632" t="str">
        <f t="shared" si="117"/>
        <v>Met</v>
      </c>
      <c r="BP173" s="631">
        <f>VLOOKUP(A173,'42. SEA or LEA Worksheet'!$A$4:$AL$324,38,0)/VLOOKUP(A173,'42. SEA or LEA Worksheet'!$A$4:$AL$324,35,0)</f>
        <v>20021.545958904109</v>
      </c>
      <c r="BQ173" s="632" t="str">
        <f t="shared" si="118"/>
        <v>Met</v>
      </c>
      <c r="BS173" s="620" t="str">
        <f>IF(AND(BH173="Did not Meet",BK173="Did not Meet", BN173="Did not Meet",BQ173="Did not Meet",),"Did not Meet","Met")</f>
        <v>Met</v>
      </c>
    </row>
    <row r="174" spans="1:71" x14ac:dyDescent="0.25">
      <c r="A174" s="343" t="s">
        <v>528</v>
      </c>
      <c r="B174" s="510" t="s">
        <v>993</v>
      </c>
      <c r="C174" s="511"/>
      <c r="D174" s="444">
        <v>119328.49</v>
      </c>
      <c r="E174" s="343" t="s">
        <v>835</v>
      </c>
      <c r="F174" s="511"/>
      <c r="G174" s="444">
        <v>3886959.52</v>
      </c>
      <c r="H174" s="343" t="s">
        <v>835</v>
      </c>
      <c r="I174" s="511"/>
      <c r="J174" s="444">
        <v>331.46802777777782</v>
      </c>
      <c r="K174" s="343" t="s">
        <v>856</v>
      </c>
      <c r="L174" s="511"/>
      <c r="M174" s="444">
        <v>10797.109777777778</v>
      </c>
      <c r="N174" s="343" t="s">
        <v>856</v>
      </c>
      <c r="O174" s="511"/>
      <c r="P174" s="512" t="str">
        <f t="shared" si="120"/>
        <v>Met</v>
      </c>
      <c r="Q174" s="511"/>
      <c r="R174" s="444">
        <f>VLOOKUP(A174,'2020-21'!$A$6:$F$319,6,0)</f>
        <v>0</v>
      </c>
      <c r="S174" s="513" t="str">
        <f t="shared" si="91"/>
        <v>Did not Meet</v>
      </c>
      <c r="U174" s="444">
        <f>VLOOKUP(A174,'2020-21'!$A$6:$G$319,7,0)</f>
        <v>3235330.34</v>
      </c>
      <c r="V174" s="513" t="str">
        <f t="shared" si="92"/>
        <v>Did not Meet</v>
      </c>
      <c r="X174" s="444">
        <f>VLOOKUP(A174,'2020-21'!$A$6:$F$319,6,0)/VLOOKUP(A174,'42. SEA or LEA Worksheet'!$A$4:$T$324,20,0)</f>
        <v>0</v>
      </c>
      <c r="Y174" s="513" t="str">
        <f t="shared" si="93"/>
        <v>Did not Meet</v>
      </c>
      <c r="AA174" s="444">
        <f>VLOOKUP(A174,'42. SEA or LEA Worksheet'!$A$4:$W$324,23,0)/VLOOKUP(compliance!A174,'42. SEA or LEA Worksheet'!$A$4:$T$324,20,0)</f>
        <v>8559.0749735449735</v>
      </c>
      <c r="AB174" s="513" t="str">
        <f t="shared" si="94"/>
        <v>Did not Meet</v>
      </c>
      <c r="AD174" s="512" t="str">
        <f t="shared" si="112"/>
        <v>Did not Meet</v>
      </c>
      <c r="AF174" s="444">
        <f>VLOOKUP(A174,'42. SEA or LEA Worksheet'!$A$4:$Z$324,26,0)</f>
        <v>182810.25</v>
      </c>
      <c r="AG174" s="513" t="str">
        <f t="shared" si="95"/>
        <v>Met</v>
      </c>
      <c r="AI174" s="444">
        <f>VLOOKUP(A174,'42. SEA or LEA Worksheet'!$A$4:$AB$324,28,0)</f>
        <v>3866281.49</v>
      </c>
      <c r="AJ174" s="513" t="str">
        <f t="shared" si="96"/>
        <v>Met</v>
      </c>
      <c r="AL174" s="444">
        <f>VLOOKUP(compliance!A174,'42. SEA or LEA Worksheet'!$A$4:$AB$324,26,0)/VLOOKUP(compliance!A174,'42. SEA or LEA Worksheet'!$A$4:$Y$324,25,0)</f>
        <v>498.12057220708448</v>
      </c>
      <c r="AM174" s="513" t="str">
        <f t="shared" si="97"/>
        <v>Met</v>
      </c>
      <c r="AO174" s="444">
        <f>VLOOKUP(A174,'42. SEA or LEA Worksheet'!$A$4:$AB$324,28,0)/VLOOKUP(compliance!A174,'42. SEA or LEA Worksheet'!$A$4:$Y$324,25,0)</f>
        <v>10534.826948228883</v>
      </c>
      <c r="AP174" s="513" t="str">
        <f t="shared" si="98"/>
        <v>Met</v>
      </c>
      <c r="AR174" s="512" t="str">
        <f t="shared" si="113"/>
        <v>Met</v>
      </c>
      <c r="AT174" s="444">
        <f>VLOOKUP(A174,'42. SEA or LEA Worksheet'!$A$4:$AE$324,31,0)</f>
        <v>628736.22</v>
      </c>
      <c r="AU174" s="513" t="str">
        <f t="shared" si="108"/>
        <v>Met</v>
      </c>
      <c r="AW174" s="444">
        <f>VLOOKUP(A174,'42. SEA or LEA Worksheet'!$A$4:$AG$324,33,0)</f>
        <v>4522152.3600000003</v>
      </c>
      <c r="AX174" s="513" t="str">
        <f t="shared" si="109"/>
        <v>Met</v>
      </c>
      <c r="AZ174" s="444">
        <f>VLOOKUP(A174,'42. SEA or LEA Worksheet'!$A$4:$AG$324,31,0)/VLOOKUP(A174,'42. SEA or LEA Worksheet'!$A$4:$AD$324,30,0)</f>
        <v>1766.1129775280899</v>
      </c>
      <c r="BA174" s="513" t="str">
        <f t="shared" si="110"/>
        <v>Met</v>
      </c>
      <c r="BC174" s="444">
        <f>VLOOKUP(A174,'42. SEA or LEA Worksheet'!$A$4:$AG$324,33,0)/VLOOKUP(A174,'42. SEA or LEA Worksheet'!$A$4:$AD$324,30,0)</f>
        <v>12702.675168539326</v>
      </c>
      <c r="BD174" s="513" t="str">
        <f t="shared" si="111"/>
        <v>Met</v>
      </c>
      <c r="BF174" s="512" t="str">
        <f>IF(AND(AU174="Did not Meet",AX174="Did not Meet", BA174="Did not Meet",BD174="Did not Meet"),"Did not Meet","Met")</f>
        <v>Met</v>
      </c>
      <c r="BG174" s="637">
        <f>VLOOKUP(A174,'42. SEA or LEA Worksheet'!$A$4:$AM$324,36,0)</f>
        <v>57533.05</v>
      </c>
      <c r="BH174" s="638" t="str">
        <f t="shared" si="115"/>
        <v>Did not Meet</v>
      </c>
      <c r="BI174" s="639"/>
      <c r="BJ174" s="637">
        <f>VLOOKUP(A174,'42. SEA or LEA Worksheet'!$A$4:$AM$324,38,0)</f>
        <v>4957625.47</v>
      </c>
      <c r="BK174" s="638" t="str">
        <f t="shared" si="116"/>
        <v>Met</v>
      </c>
      <c r="BM174" s="631">
        <f>VLOOKUP(A174,'42. SEA or LEA Worksheet'!$A$4:$AL$324,36,0)/VLOOKUP(A174,'42. SEA or LEA Worksheet'!$A$4:$AL$324,35,0)</f>
        <v>156.76580381471391</v>
      </c>
      <c r="BN174" s="632" t="str">
        <f t="shared" si="117"/>
        <v>Met</v>
      </c>
      <c r="BP174" s="631">
        <f>VLOOKUP(A174,'42. SEA or LEA Worksheet'!$A$4:$AL$324,38,0)/VLOOKUP(A174,'42. SEA or LEA Worksheet'!$A$4:$AL$324,35,0)</f>
        <v>13508.516267029972</v>
      </c>
      <c r="BQ174" s="632" t="str">
        <f t="shared" si="118"/>
        <v>Met</v>
      </c>
      <c r="BS174" s="620" t="str">
        <f>IF(AND(BH174="Did not Meet",BK174="Did not Meet", BN174="Did not Meet",BQ174="Did not Meet"),"Did not Meet","Met")</f>
        <v>Met</v>
      </c>
    </row>
    <row r="175" spans="1:71" x14ac:dyDescent="0.25">
      <c r="A175" s="343" t="s">
        <v>530</v>
      </c>
      <c r="B175" s="510" t="s">
        <v>994</v>
      </c>
      <c r="C175" s="511"/>
      <c r="D175" s="444">
        <v>0</v>
      </c>
      <c r="E175" s="343" t="s">
        <v>835</v>
      </c>
      <c r="F175" s="511"/>
      <c r="G175" s="444">
        <v>102663.14</v>
      </c>
      <c r="H175" s="343" t="s">
        <v>835</v>
      </c>
      <c r="I175" s="511"/>
      <c r="J175" s="444">
        <v>0</v>
      </c>
      <c r="K175" s="343" t="s">
        <v>835</v>
      </c>
      <c r="L175" s="511"/>
      <c r="M175" s="444">
        <v>11407.015555555556</v>
      </c>
      <c r="N175" s="343" t="s">
        <v>835</v>
      </c>
      <c r="O175" s="511"/>
      <c r="P175" s="512" t="str">
        <f t="shared" si="120"/>
        <v>Met</v>
      </c>
      <c r="Q175" s="511"/>
      <c r="R175" s="444">
        <f>VLOOKUP(A175,'2020-21'!$A$6:$F$319,6,0)</f>
        <v>0</v>
      </c>
      <c r="S175" s="513" t="str">
        <f t="shared" si="91"/>
        <v>Met</v>
      </c>
      <c r="U175" s="444">
        <f>VLOOKUP(A175,'2020-21'!$A$6:$G$319,7,0)</f>
        <v>144878.89000000001</v>
      </c>
      <c r="V175" s="513" t="str">
        <f t="shared" si="92"/>
        <v>Met</v>
      </c>
      <c r="X175" s="444">
        <f>VLOOKUP(A175,'2020-21'!$A$6:$F$319,6,0)/VLOOKUP(A175,'42. SEA or LEA Worksheet'!$A$4:$T$324,20,0)</f>
        <v>0</v>
      </c>
      <c r="Y175" s="513" t="str">
        <f t="shared" si="93"/>
        <v>Met</v>
      </c>
      <c r="AA175" s="444">
        <f>VLOOKUP(A175,'42. SEA or LEA Worksheet'!$A$4:$W$324,23,0)/VLOOKUP(compliance!A175,'42. SEA or LEA Worksheet'!$A$4:$T$324,20,0)</f>
        <v>16097.654444444446</v>
      </c>
      <c r="AB175" s="513" t="str">
        <f t="shared" si="94"/>
        <v>Met</v>
      </c>
      <c r="AD175" s="512" t="str">
        <f t="shared" si="112"/>
        <v>Met</v>
      </c>
      <c r="AF175" s="444">
        <f>VLOOKUP(A175,'42. SEA or LEA Worksheet'!$A$4:$Z$324,26,0)</f>
        <v>0</v>
      </c>
      <c r="AG175" s="513" t="str">
        <f t="shared" si="95"/>
        <v>Met</v>
      </c>
      <c r="AI175" s="444">
        <f>VLOOKUP(A175,'42. SEA or LEA Worksheet'!$A$4:$AB$324,28,0)</f>
        <v>123529.58</v>
      </c>
      <c r="AJ175" s="513" t="str">
        <f t="shared" si="96"/>
        <v>Did not Meet</v>
      </c>
      <c r="AL175" s="444">
        <f>VLOOKUP(compliance!A175,'42. SEA or LEA Worksheet'!$A$4:$AB$324,26,0)/VLOOKUP(compliance!A175,'42. SEA or LEA Worksheet'!$A$4:$Y$324,25,0)</f>
        <v>0</v>
      </c>
      <c r="AM175" s="513" t="str">
        <f t="shared" si="97"/>
        <v>Met</v>
      </c>
      <c r="AO175" s="444">
        <f>VLOOKUP(A175,'42. SEA or LEA Worksheet'!$A$4:$AB$324,28,0)/VLOOKUP(compliance!A175,'42. SEA or LEA Worksheet'!$A$4:$Y$324,25,0)</f>
        <v>15441.1975</v>
      </c>
      <c r="AP175" s="513" t="str">
        <f t="shared" si="98"/>
        <v>Did not Meet</v>
      </c>
      <c r="AR175" s="512" t="str">
        <f t="shared" si="113"/>
        <v>Met</v>
      </c>
      <c r="AT175" s="444">
        <f>VLOOKUP(A175,'42. SEA or LEA Worksheet'!$A$4:$AE$324,31,0)</f>
        <v>0</v>
      </c>
      <c r="AU175" s="513" t="str">
        <f t="shared" si="108"/>
        <v>Met</v>
      </c>
      <c r="AW175" s="444">
        <f>VLOOKUP(A175,'42. SEA or LEA Worksheet'!$A$4:$AG$324,33,0)</f>
        <v>186675.22</v>
      </c>
      <c r="AX175" s="513" t="str">
        <f t="shared" si="109"/>
        <v>Met</v>
      </c>
      <c r="AZ175" s="444">
        <f>VLOOKUP(A175,'42. SEA or LEA Worksheet'!$A$4:$AG$324,31,0)/VLOOKUP(A175,'42. SEA or LEA Worksheet'!$A$4:$AD$324,30,0)</f>
        <v>0</v>
      </c>
      <c r="BA175" s="513" t="str">
        <f t="shared" si="110"/>
        <v>Met</v>
      </c>
      <c r="BC175" s="444">
        <f>VLOOKUP(A175,'42. SEA or LEA Worksheet'!$A$4:$AG$324,33,0)/VLOOKUP(A175,'42. SEA or LEA Worksheet'!$A$4:$AD$324,30,0)</f>
        <v>23334.4025</v>
      </c>
      <c r="BD175" s="513" t="str">
        <f t="shared" si="111"/>
        <v>Met</v>
      </c>
      <c r="BF175" s="512" t="str">
        <f>IF(AND(AU175="Did not Meet",AX175="Did not Meet", BA175="Did not Meet",BD175="Did not Meet"),"Did not Meet","Met")</f>
        <v>Met</v>
      </c>
      <c r="BG175" s="637">
        <f>VLOOKUP(A175,'42. SEA or LEA Worksheet'!$A$4:$AM$324,36,0)</f>
        <v>0</v>
      </c>
      <c r="BH175" s="638" t="str">
        <f t="shared" si="115"/>
        <v>Met</v>
      </c>
      <c r="BI175" s="639"/>
      <c r="BJ175" s="637">
        <f>VLOOKUP(A175,'42. SEA or LEA Worksheet'!$A$4:$AM$324,38,0)</f>
        <v>94312.34</v>
      </c>
      <c r="BK175" s="638" t="str">
        <f t="shared" si="116"/>
        <v>Did not Meet</v>
      </c>
      <c r="BM175" s="631">
        <f>VLOOKUP(A175,'42. SEA or LEA Worksheet'!$A$4:$AL$324,36,0)/VLOOKUP(A175,'42. SEA or LEA Worksheet'!$A$4:$AL$324,35,0)</f>
        <v>0</v>
      </c>
      <c r="BN175" s="632" t="str">
        <f t="shared" si="117"/>
        <v>Met</v>
      </c>
      <c r="BP175" s="631">
        <f>VLOOKUP(A175,'42. SEA or LEA Worksheet'!$A$4:$AL$324,38,0)/VLOOKUP(A175,'42. SEA or LEA Worksheet'!$A$4:$AL$324,35,0)</f>
        <v>15718.723333333333</v>
      </c>
      <c r="BQ175" s="632" t="str">
        <f t="shared" si="118"/>
        <v>Met</v>
      </c>
      <c r="BS175" s="620" t="str">
        <f>IF(AND(BH175="Did not Meet",BK175="Did not Meet", BN175="Did not Meet",BQ175="Did not Meet"),"Did not Meet","Met")</f>
        <v>Met</v>
      </c>
    </row>
    <row r="176" spans="1:71" x14ac:dyDescent="0.25">
      <c r="A176" s="343" t="s">
        <v>532</v>
      </c>
      <c r="B176" s="510" t="s">
        <v>995</v>
      </c>
      <c r="C176" s="511"/>
      <c r="D176" s="444">
        <v>5343990.67</v>
      </c>
      <c r="E176" s="343" t="s">
        <v>856</v>
      </c>
      <c r="F176" s="511"/>
      <c r="G176" s="444">
        <v>32277381.560000002</v>
      </c>
      <c r="H176" s="343" t="s">
        <v>835</v>
      </c>
      <c r="I176" s="511"/>
      <c r="J176" s="444">
        <v>2299.4796342512909</v>
      </c>
      <c r="K176" s="343" t="s">
        <v>856</v>
      </c>
      <c r="L176" s="511"/>
      <c r="M176" s="444">
        <v>13888.718399311532</v>
      </c>
      <c r="N176" s="343" t="s">
        <v>856</v>
      </c>
      <c r="O176" s="511"/>
      <c r="P176" s="512" t="str">
        <f t="shared" si="120"/>
        <v>Met</v>
      </c>
      <c r="Q176" s="511"/>
      <c r="R176" s="444">
        <f>VLOOKUP(A176,'2020-21'!$A$6:$F$319,6,0)</f>
        <v>7883302.9500000002</v>
      </c>
      <c r="S176" s="513" t="str">
        <f t="shared" si="91"/>
        <v>Met</v>
      </c>
      <c r="U176" s="444">
        <f>VLOOKUP(A176,'2020-21'!$A$6:$G$319,7,0)</f>
        <v>33654235.07</v>
      </c>
      <c r="V176" s="513" t="str">
        <f t="shared" si="92"/>
        <v>Met</v>
      </c>
      <c r="X176" s="444">
        <f>VLOOKUP(A176,'2020-21'!$A$6:$F$319,6,0)/VLOOKUP(A176,'42. SEA or LEA Worksheet'!$A$4:$T$324,20,0)</f>
        <v>3546.2451417004049</v>
      </c>
      <c r="Y176" s="513" t="str">
        <f t="shared" si="93"/>
        <v>Met</v>
      </c>
      <c r="AA176" s="444">
        <f>VLOOKUP(A176,'42. SEA or LEA Worksheet'!$A$4:$W$324,23,0)/VLOOKUP(compliance!A176,'42. SEA or LEA Worksheet'!$A$4:$T$324,20,0)</f>
        <v>15139.107094017094</v>
      </c>
      <c r="AB176" s="513" t="str">
        <f t="shared" si="94"/>
        <v>Met</v>
      </c>
      <c r="AD176" s="512" t="str">
        <f t="shared" si="112"/>
        <v>Met</v>
      </c>
      <c r="AF176" s="444">
        <f>VLOOKUP(A176,'42. SEA or LEA Worksheet'!$A$4:$Z$324,26,0)</f>
        <v>8701352.5800000001</v>
      </c>
      <c r="AG176" s="513" t="str">
        <f t="shared" si="95"/>
        <v>Met</v>
      </c>
      <c r="AI176" s="444">
        <f>VLOOKUP(A176,'42. SEA or LEA Worksheet'!$A$4:$AB$324,28,0)</f>
        <v>36223379.990000002</v>
      </c>
      <c r="AJ176" s="513" t="str">
        <f t="shared" si="96"/>
        <v>Met</v>
      </c>
      <c r="AL176" s="444">
        <f>VLOOKUP(compliance!A176,'42. SEA or LEA Worksheet'!$A$4:$AB$324,26,0)/VLOOKUP(compliance!A176,'42. SEA or LEA Worksheet'!$A$4:$Y$324,25,0)</f>
        <v>3798.0587429070274</v>
      </c>
      <c r="AM176" s="513" t="str">
        <f t="shared" si="97"/>
        <v>Met</v>
      </c>
      <c r="AO176" s="444">
        <f>VLOOKUP(A176,'42. SEA or LEA Worksheet'!$A$4:$AB$324,28,0)/VLOOKUP(compliance!A176,'42. SEA or LEA Worksheet'!$A$4:$Y$324,25,0)</f>
        <v>15811.165425578351</v>
      </c>
      <c r="AP176" s="513" t="str">
        <f t="shared" si="98"/>
        <v>Met</v>
      </c>
      <c r="AR176" s="512" t="str">
        <f t="shared" si="113"/>
        <v>Met</v>
      </c>
      <c r="AT176" s="444">
        <f>VLOOKUP(A176,'42. SEA or LEA Worksheet'!$A$4:$AE$324,31,0)</f>
        <v>8139338.7699999996</v>
      </c>
      <c r="AU176" s="513" t="str">
        <f t="shared" si="108"/>
        <v>Did not Meet</v>
      </c>
      <c r="AW176" s="444">
        <f>VLOOKUP(A176,'42. SEA or LEA Worksheet'!$A$4:$AG$324,33,0)</f>
        <v>40817240.43</v>
      </c>
      <c r="AX176" s="513" t="str">
        <f t="shared" si="109"/>
        <v>Met</v>
      </c>
      <c r="AZ176" s="444">
        <f>VLOOKUP(A176,'42. SEA or LEA Worksheet'!$A$4:$AG$324,31,0)/VLOOKUP(A176,'42. SEA or LEA Worksheet'!$A$4:$AD$324,30,0)</f>
        <v>3217.1299486166008</v>
      </c>
      <c r="BA176" s="513" t="str">
        <f t="shared" si="110"/>
        <v>Did not Meet</v>
      </c>
      <c r="BC176" s="444">
        <f>VLOOKUP(A176,'42. SEA or LEA Worksheet'!$A$4:$AG$324,33,0)/VLOOKUP(A176,'42. SEA or LEA Worksheet'!$A$4:$AD$324,30,0)</f>
        <v>16133.296612648221</v>
      </c>
      <c r="BD176" s="513" t="str">
        <f t="shared" si="111"/>
        <v>Met</v>
      </c>
      <c r="BF176" s="512" t="str">
        <f>IF(AND(AU176="Did not Meet",AX176="Did not Meet", BA176="Did not Meet",BD176="Did not Meet",),"Did not Meet","Met")</f>
        <v>Met</v>
      </c>
      <c r="BG176" s="637">
        <f>VLOOKUP(A176,'42. SEA or LEA Worksheet'!$A$4:$AM$324,36,0)</f>
        <v>6803023.54</v>
      </c>
      <c r="BH176" s="638" t="str">
        <f t="shared" si="115"/>
        <v>Did not Meet</v>
      </c>
      <c r="BI176" s="639"/>
      <c r="BJ176" s="637">
        <f>VLOOKUP(A176,'42. SEA or LEA Worksheet'!$A$4:$AM$324,38,0)</f>
        <v>46358850.799999997</v>
      </c>
      <c r="BK176" s="638" t="str">
        <f t="shared" si="116"/>
        <v>Met</v>
      </c>
      <c r="BM176" s="631">
        <f>VLOOKUP(A176,'42. SEA or LEA Worksheet'!$A$4:$AL$324,36,0)/VLOOKUP(A176,'42. SEA or LEA Worksheet'!$A$4:$AL$324,35,0)</f>
        <v>2495.6065810711666</v>
      </c>
      <c r="BN176" s="632" t="str">
        <f t="shared" si="117"/>
        <v>Met</v>
      </c>
      <c r="BP176" s="631">
        <f>VLOOKUP(A176,'42. SEA or LEA Worksheet'!$A$4:$AL$324,38,0)/VLOOKUP(A176,'42. SEA or LEA Worksheet'!$A$4:$AL$324,35,0)</f>
        <v>17006.181511371971</v>
      </c>
      <c r="BQ176" s="632" t="str">
        <f t="shared" si="118"/>
        <v>Met</v>
      </c>
      <c r="BS176" s="620" t="str">
        <f>IF(AND(BH176="Did not Meet",BK176="Did not Meet", BN176="Did not Meet",BQ176="Did not Meet",),"Did not Meet","Met")</f>
        <v>Met</v>
      </c>
    </row>
    <row r="177" spans="1:71" x14ac:dyDescent="0.25">
      <c r="A177" s="343" t="s">
        <v>534</v>
      </c>
      <c r="B177" s="510" t="s">
        <v>996</v>
      </c>
      <c r="C177" s="511"/>
      <c r="D177" s="444">
        <v>81890.12</v>
      </c>
      <c r="E177" s="343" t="s">
        <v>1150</v>
      </c>
      <c r="F177" s="511"/>
      <c r="G177" s="444">
        <v>327560.5</v>
      </c>
      <c r="H177" s="343" t="s">
        <v>835</v>
      </c>
      <c r="I177" s="511"/>
      <c r="J177" s="444">
        <v>3275.6047999999996</v>
      </c>
      <c r="K177" s="343" t="s">
        <v>835</v>
      </c>
      <c r="L177" s="511"/>
      <c r="M177" s="444">
        <v>13102.42</v>
      </c>
      <c r="N177" s="343" t="s">
        <v>835</v>
      </c>
      <c r="O177" s="511"/>
      <c r="P177" s="512" t="str">
        <f t="shared" si="120"/>
        <v>Met</v>
      </c>
      <c r="Q177" s="511"/>
      <c r="R177" s="444">
        <f>VLOOKUP(A177,'2020-21'!$A$6:$F$319,6,0)</f>
        <v>0</v>
      </c>
      <c r="S177" s="513" t="str">
        <f t="shared" si="91"/>
        <v>Did not Meet</v>
      </c>
      <c r="U177" s="444">
        <f>VLOOKUP(A177,'2020-21'!$A$6:$G$319,7,0)</f>
        <v>364263.52</v>
      </c>
      <c r="V177" s="513" t="str">
        <f t="shared" si="92"/>
        <v>Met</v>
      </c>
      <c r="X177" s="444">
        <f>VLOOKUP(A177,'2020-21'!$A$6:$F$319,6,0)/VLOOKUP(A177,'42. SEA or LEA Worksheet'!$A$4:$T$324,20,0)</f>
        <v>0</v>
      </c>
      <c r="Y177" s="513" t="str">
        <f t="shared" si="93"/>
        <v>Did not Meet</v>
      </c>
      <c r="AA177" s="444">
        <f>VLOOKUP(A177,'42. SEA or LEA Worksheet'!$A$4:$W$324,23,0)/VLOOKUP(compliance!A177,'42. SEA or LEA Worksheet'!$A$4:$T$324,20,0)</f>
        <v>14570.540800000001</v>
      </c>
      <c r="AB177" s="513" t="str">
        <f t="shared" si="94"/>
        <v>Met</v>
      </c>
      <c r="AD177" s="512" t="str">
        <f t="shared" si="112"/>
        <v>Met</v>
      </c>
      <c r="AF177" s="444">
        <f>VLOOKUP(A177,'42. SEA or LEA Worksheet'!$A$4:$Z$324,26,0)</f>
        <v>82000</v>
      </c>
      <c r="AG177" s="513" t="str">
        <f t="shared" si="95"/>
        <v>Met</v>
      </c>
      <c r="AI177" s="444">
        <f>VLOOKUP(A177,'42. SEA or LEA Worksheet'!$A$4:$AB$324,28,0)</f>
        <v>317405.31</v>
      </c>
      <c r="AJ177" s="513" t="str">
        <f t="shared" si="96"/>
        <v>Did not Meet</v>
      </c>
      <c r="AL177" s="444">
        <f>VLOOKUP(compliance!A177,'42. SEA or LEA Worksheet'!$A$4:$AB$324,26,0)/VLOOKUP(compliance!A177,'42. SEA or LEA Worksheet'!$A$4:$Y$324,25,0)</f>
        <v>3416.6666666666665</v>
      </c>
      <c r="AM177" s="513" t="str">
        <f t="shared" si="97"/>
        <v>Met</v>
      </c>
      <c r="AO177" s="444">
        <f>VLOOKUP(A177,'42. SEA or LEA Worksheet'!$A$4:$AB$324,28,0)/VLOOKUP(compliance!A177,'42. SEA or LEA Worksheet'!$A$4:$Y$324,25,0)</f>
        <v>13225.221250000001</v>
      </c>
      <c r="AP177" s="513" t="str">
        <f t="shared" si="98"/>
        <v>Did not Meet</v>
      </c>
      <c r="AR177" s="512" t="str">
        <f t="shared" si="113"/>
        <v>Met</v>
      </c>
      <c r="AT177" s="444">
        <f>VLOOKUP(A177,'42. SEA or LEA Worksheet'!$A$4:$AE$324,31,0)</f>
        <v>0</v>
      </c>
      <c r="AU177" s="513" t="str">
        <f t="shared" si="108"/>
        <v>Did not Meet</v>
      </c>
      <c r="AW177" s="444">
        <f>VLOOKUP(A177,'42. SEA or LEA Worksheet'!$A$4:$AG$324,33,0)</f>
        <v>329553.38</v>
      </c>
      <c r="AX177" s="513" t="str">
        <f t="shared" si="109"/>
        <v>Met</v>
      </c>
      <c r="AZ177" s="444">
        <f>VLOOKUP(A177,'42. SEA or LEA Worksheet'!$A$4:$AG$324,31,0)/VLOOKUP(A177,'42. SEA or LEA Worksheet'!$A$4:$AD$324,30,0)</f>
        <v>0</v>
      </c>
      <c r="BA177" s="513" t="str">
        <f t="shared" si="110"/>
        <v>Did not Meet</v>
      </c>
      <c r="BC177" s="444">
        <f>VLOOKUP(A177,'42. SEA or LEA Worksheet'!$A$4:$AG$324,33,0)/VLOOKUP(A177,'42. SEA or LEA Worksheet'!$A$4:$AD$324,30,0)</f>
        <v>14328.407826086957</v>
      </c>
      <c r="BD177" s="513" t="str">
        <f t="shared" si="111"/>
        <v>Met</v>
      </c>
      <c r="BF177" s="512" t="str">
        <f>IF(AND(AU177="Did not Meet",AX177="Did not Meet", BA177="Did not Meet",BD177="Did not Meet"),"Did not Meet","Met")</f>
        <v>Met</v>
      </c>
      <c r="BG177" s="637">
        <f>VLOOKUP(A177,'42. SEA or LEA Worksheet'!$A$4:$AM$324,36,0)</f>
        <v>0</v>
      </c>
      <c r="BH177" s="638" t="str">
        <f t="shared" si="115"/>
        <v>Met</v>
      </c>
      <c r="BI177" s="639"/>
      <c r="BJ177" s="637">
        <f>VLOOKUP(A177,'42. SEA or LEA Worksheet'!$A$4:$AM$324,38,0)</f>
        <v>411677.03</v>
      </c>
      <c r="BK177" s="638" t="str">
        <f t="shared" si="116"/>
        <v>Met</v>
      </c>
      <c r="BM177" s="631">
        <f>VLOOKUP(A177,'42. SEA or LEA Worksheet'!$A$4:$AL$324,36,0)/VLOOKUP(A177,'42. SEA or LEA Worksheet'!$A$4:$AL$324,35,0)</f>
        <v>0</v>
      </c>
      <c r="BN177" s="632" t="str">
        <f t="shared" si="117"/>
        <v>Met</v>
      </c>
      <c r="BP177" s="631">
        <f>VLOOKUP(A177,'42. SEA or LEA Worksheet'!$A$4:$AL$324,38,0)/VLOOKUP(A177,'42. SEA or LEA Worksheet'!$A$4:$AL$324,35,0)</f>
        <v>12475.061515151516</v>
      </c>
      <c r="BQ177" s="632" t="str">
        <f t="shared" si="118"/>
        <v>Met</v>
      </c>
      <c r="BS177" s="620" t="str">
        <f>IF(AND(BH177="Did not Meet",BK177="Did not Meet", BN177="Did not Meet",BQ177="Did not Meet"),"Did not Meet","Met")</f>
        <v>Met</v>
      </c>
    </row>
    <row r="178" spans="1:71" x14ac:dyDescent="0.25">
      <c r="A178" s="343" t="s">
        <v>536</v>
      </c>
      <c r="B178" s="510" t="s">
        <v>997</v>
      </c>
      <c r="C178" s="511"/>
      <c r="D178" s="444">
        <v>17704588.07</v>
      </c>
      <c r="E178" s="343" t="s">
        <v>835</v>
      </c>
      <c r="F178" s="511"/>
      <c r="G178" s="444">
        <v>57194950.840000004</v>
      </c>
      <c r="H178" s="343" t="s">
        <v>835</v>
      </c>
      <c r="I178" s="511"/>
      <c r="J178" s="444">
        <v>6059.0650479123888</v>
      </c>
      <c r="K178" s="343" t="s">
        <v>856</v>
      </c>
      <c r="L178" s="511"/>
      <c r="M178" s="444">
        <v>19573.905147159479</v>
      </c>
      <c r="N178" s="343" t="s">
        <v>835</v>
      </c>
      <c r="O178" s="511"/>
      <c r="P178" s="512" t="str">
        <f t="shared" si="120"/>
        <v>Met</v>
      </c>
      <c r="Q178" s="511"/>
      <c r="R178" s="444">
        <f>VLOOKUP(A178,'2020-21'!$A$6:$F$319,6,0)</f>
        <v>23176242.920000002</v>
      </c>
      <c r="S178" s="513" t="str">
        <f t="shared" si="91"/>
        <v>Met</v>
      </c>
      <c r="U178" s="444">
        <f>VLOOKUP(A178,'2020-21'!$A$6:$G$319,7,0)</f>
        <v>62078363.270000003</v>
      </c>
      <c r="V178" s="513" t="str">
        <f t="shared" si="92"/>
        <v>Met</v>
      </c>
      <c r="X178" s="444">
        <f>VLOOKUP(A178,'2020-21'!$A$6:$F$319,6,0)/VLOOKUP(A178,'42. SEA or LEA Worksheet'!$A$4:$T$324,20,0)</f>
        <v>8143.4444553759668</v>
      </c>
      <c r="Y178" s="513" t="str">
        <f t="shared" si="93"/>
        <v>Met</v>
      </c>
      <c r="AA178" s="444">
        <f>VLOOKUP(A178,'42. SEA or LEA Worksheet'!$A$4:$W$324,23,0)/VLOOKUP(compliance!A178,'42. SEA or LEA Worksheet'!$A$4:$T$324,20,0)</f>
        <v>21812.495878425863</v>
      </c>
      <c r="AB178" s="513" t="str">
        <f t="shared" si="94"/>
        <v>Met</v>
      </c>
      <c r="AD178" s="512" t="str">
        <f t="shared" si="112"/>
        <v>Met</v>
      </c>
      <c r="AF178" s="444">
        <f>VLOOKUP(A178,'42. SEA or LEA Worksheet'!$A$4:$Z$324,26,0)</f>
        <v>23642796.629999999</v>
      </c>
      <c r="AG178" s="513" t="str">
        <f t="shared" si="95"/>
        <v>Met</v>
      </c>
      <c r="AI178" s="444">
        <f>VLOOKUP(A178,'42. SEA or LEA Worksheet'!$A$4:$AB$324,28,0)</f>
        <v>63318722.200000003</v>
      </c>
      <c r="AJ178" s="513" t="str">
        <f t="shared" si="96"/>
        <v>Met</v>
      </c>
      <c r="AL178" s="444">
        <f>VLOOKUP(compliance!A178,'42. SEA or LEA Worksheet'!$A$4:$AB$324,26,0)/VLOOKUP(compliance!A178,'42. SEA or LEA Worksheet'!$A$4:$Y$324,25,0)</f>
        <v>8492.3838469827588</v>
      </c>
      <c r="AM178" s="513" t="str">
        <f t="shared" si="97"/>
        <v>Met</v>
      </c>
      <c r="AO178" s="444">
        <f>VLOOKUP(A178,'42. SEA or LEA Worksheet'!$A$4:$AB$324,28,0)/VLOOKUP(compliance!A178,'42. SEA or LEA Worksheet'!$A$4:$Y$324,25,0)</f>
        <v>22743.793893678161</v>
      </c>
      <c r="AP178" s="513" t="str">
        <f t="shared" si="98"/>
        <v>Met</v>
      </c>
      <c r="AR178" s="512" t="str">
        <f t="shared" si="113"/>
        <v>Met</v>
      </c>
      <c r="AT178" s="444">
        <f>VLOOKUP(A178,'42. SEA or LEA Worksheet'!$A$4:$AE$324,31,0)</f>
        <v>25558647.039999999</v>
      </c>
      <c r="AU178" s="513" t="str">
        <f t="shared" si="108"/>
        <v>Met</v>
      </c>
      <c r="AW178" s="444">
        <f>VLOOKUP(A178,'42. SEA or LEA Worksheet'!$A$4:$AG$324,33,0)</f>
        <v>70677710.620000005</v>
      </c>
      <c r="AX178" s="513" t="str">
        <f t="shared" si="109"/>
        <v>Met</v>
      </c>
      <c r="AZ178" s="444">
        <f>VLOOKUP(A178,'42. SEA or LEA Worksheet'!$A$4:$AG$324,31,0)/VLOOKUP(A178,'42. SEA or LEA Worksheet'!$A$4:$AD$324,30,0)</f>
        <v>8933.4662845159037</v>
      </c>
      <c r="BA178" s="513" t="str">
        <f t="shared" si="110"/>
        <v>Met</v>
      </c>
      <c r="BC178" s="444">
        <f>VLOOKUP(A178,'42. SEA or LEA Worksheet'!$A$4:$AG$324,33,0)/VLOOKUP(A178,'42. SEA or LEA Worksheet'!$A$4:$AD$324,30,0)</f>
        <v>24703.848521495984</v>
      </c>
      <c r="BD178" s="513" t="str">
        <f t="shared" si="111"/>
        <v>Met</v>
      </c>
      <c r="BF178" s="512" t="str">
        <f>IF(AND(AU178="Did not Meet",AX178="Did not Meet", BA178="Did not Meet",BD178="Did not Meet"),"Did not Meet","Met")</f>
        <v>Met</v>
      </c>
      <c r="BG178" s="637">
        <f>VLOOKUP(A178,'42. SEA or LEA Worksheet'!$A$4:$AM$324,36,0)</f>
        <v>22183770.120000001</v>
      </c>
      <c r="BH178" s="638" t="str">
        <f t="shared" si="115"/>
        <v>Did not Meet</v>
      </c>
      <c r="BI178" s="639"/>
      <c r="BJ178" s="637">
        <f>VLOOKUP(A178,'42. SEA or LEA Worksheet'!$A$4:$AM$324,38,0)</f>
        <v>75177442.310000002</v>
      </c>
      <c r="BK178" s="638" t="str">
        <f t="shared" si="116"/>
        <v>Met</v>
      </c>
      <c r="BM178" s="631">
        <f>VLOOKUP(A178,'42. SEA or LEA Worksheet'!$A$4:$AL$324,36,0)/VLOOKUP(A178,'42. SEA or LEA Worksheet'!$A$4:$AL$324,35,0)</f>
        <v>7316.5468733509242</v>
      </c>
      <c r="BN178" s="632" t="str">
        <f t="shared" si="117"/>
        <v>Met</v>
      </c>
      <c r="BP178" s="631">
        <f>VLOOKUP(A178,'42. SEA or LEA Worksheet'!$A$4:$AL$324,38,0)/VLOOKUP(A178,'42. SEA or LEA Worksheet'!$A$4:$AL$324,35,0)</f>
        <v>24794.67094656992</v>
      </c>
      <c r="BQ178" s="632" t="str">
        <f t="shared" si="118"/>
        <v>Met</v>
      </c>
      <c r="BS178" s="620" t="str">
        <f>IF(AND(BH178="Did not Meet",BK178="Did not Meet", BN178="Did not Meet",BQ178="Did not Meet"),"Did not Meet","Met")</f>
        <v>Met</v>
      </c>
    </row>
    <row r="179" spans="1:71" x14ac:dyDescent="0.25">
      <c r="A179" s="343" t="s">
        <v>538</v>
      </c>
      <c r="B179" s="510" t="s">
        <v>998</v>
      </c>
      <c r="C179" s="511"/>
      <c r="D179" s="444">
        <v>600000</v>
      </c>
      <c r="E179" s="343" t="s">
        <v>856</v>
      </c>
      <c r="F179" s="511"/>
      <c r="G179" s="444">
        <v>12523241.51</v>
      </c>
      <c r="H179" s="343" t="s">
        <v>835</v>
      </c>
      <c r="I179" s="511"/>
      <c r="J179" s="444">
        <v>589.97050147492621</v>
      </c>
      <c r="K179" s="343" t="s">
        <v>856</v>
      </c>
      <c r="L179" s="511"/>
      <c r="M179" s="444">
        <v>12313.905122910521</v>
      </c>
      <c r="N179" s="343" t="s">
        <v>856</v>
      </c>
      <c r="O179" s="511"/>
      <c r="P179" s="512" t="str">
        <f t="shared" si="120"/>
        <v>Met</v>
      </c>
      <c r="Q179" s="511"/>
      <c r="R179" s="444">
        <f>VLOOKUP(A179,'2020-21'!$A$6:$F$319,6,0)</f>
        <v>587970.02</v>
      </c>
      <c r="S179" s="513" t="str">
        <f t="shared" si="91"/>
        <v>Did not Meet</v>
      </c>
      <c r="U179" s="444">
        <f>VLOOKUP(A179,'2020-21'!$A$6:$G$319,7,0)</f>
        <v>12608255.389999999</v>
      </c>
      <c r="V179" s="513" t="str">
        <f t="shared" si="92"/>
        <v>Met</v>
      </c>
      <c r="X179" s="444">
        <f>VLOOKUP(A179,'2020-21'!$A$6:$F$319,6,0)/VLOOKUP(A179,'42. SEA or LEA Worksheet'!$A$4:$T$324,20,0)</f>
        <v>585.04479601990056</v>
      </c>
      <c r="Y179" s="513" t="str">
        <f t="shared" si="93"/>
        <v>Did not Meet</v>
      </c>
      <c r="AA179" s="444">
        <f>VLOOKUP(A179,'42. SEA or LEA Worksheet'!$A$4:$W$324,23,0)/VLOOKUP(compliance!A179,'42. SEA or LEA Worksheet'!$A$4:$T$324,20,0)</f>
        <v>12545.527751243781</v>
      </c>
      <c r="AB179" s="513" t="str">
        <f t="shared" si="94"/>
        <v>Met</v>
      </c>
      <c r="AD179" s="512" t="str">
        <f t="shared" si="112"/>
        <v>Met</v>
      </c>
      <c r="AF179" s="444">
        <f>VLOOKUP(A179,'42. SEA or LEA Worksheet'!$A$4:$Z$324,26,0)</f>
        <v>641894.31000000006</v>
      </c>
      <c r="AG179" s="513" t="str">
        <f t="shared" si="95"/>
        <v>Met</v>
      </c>
      <c r="AI179" s="444">
        <f>VLOOKUP(A179,'42. SEA or LEA Worksheet'!$A$4:$AB$324,28,0)</f>
        <v>13145837.800000001</v>
      </c>
      <c r="AJ179" s="513" t="str">
        <f t="shared" si="96"/>
        <v>Met</v>
      </c>
      <c r="AL179" s="444">
        <f>VLOOKUP(compliance!A179,'42. SEA or LEA Worksheet'!$A$4:$AB$324,26,0)/VLOOKUP(compliance!A179,'42. SEA or LEA Worksheet'!$A$4:$Y$324,25,0)</f>
        <v>635.53892079207924</v>
      </c>
      <c r="AM179" s="513" t="str">
        <f t="shared" si="97"/>
        <v>Met</v>
      </c>
      <c r="AO179" s="444">
        <f>VLOOKUP(A179,'42. SEA or LEA Worksheet'!$A$4:$AB$324,28,0)/VLOOKUP(compliance!A179,'42. SEA or LEA Worksheet'!$A$4:$Y$324,25,0)</f>
        <v>13015.68099009901</v>
      </c>
      <c r="AP179" s="513" t="str">
        <f t="shared" si="98"/>
        <v>Met</v>
      </c>
      <c r="AR179" s="512" t="str">
        <f t="shared" si="113"/>
        <v>Met</v>
      </c>
      <c r="AT179" s="444">
        <f>VLOOKUP(A179,'42. SEA or LEA Worksheet'!$A$4:$AE$324,31,0)</f>
        <v>639327.39</v>
      </c>
      <c r="AU179" s="513" t="s">
        <v>1453</v>
      </c>
      <c r="AW179" s="444">
        <f>VLOOKUP(A179,'42. SEA or LEA Worksheet'!$A$4:$AG$324,33,0)</f>
        <v>12459456.630000001</v>
      </c>
      <c r="AX179" s="513" t="str">
        <f t="shared" si="109"/>
        <v>Did not Meet</v>
      </c>
      <c r="AZ179" s="444">
        <f>VLOOKUP(A179,'42. SEA or LEA Worksheet'!$A$4:$AG$324,31,0)/VLOOKUP(A179,'42. SEA or LEA Worksheet'!$A$4:$AD$324,30,0)</f>
        <v>579.62592021758837</v>
      </c>
      <c r="BA179" s="513" t="str">
        <f t="shared" si="110"/>
        <v>Did not Meet</v>
      </c>
      <c r="BC179" s="444">
        <f>VLOOKUP(A179,'42. SEA or LEA Worksheet'!$A$4:$AG$324,33,0)/VLOOKUP(A179,'42. SEA or LEA Worksheet'!$A$4:$AD$324,30,0)</f>
        <v>11295.971559383501</v>
      </c>
      <c r="BD179" s="513" t="str">
        <f t="shared" si="111"/>
        <v>Did not Meet</v>
      </c>
      <c r="BF179" s="512" t="s">
        <v>835</v>
      </c>
      <c r="BG179" s="637">
        <f>VLOOKUP(A179,'42. SEA or LEA Worksheet'!$A$4:$AM$324,36,0)</f>
        <v>639328.39</v>
      </c>
      <c r="BH179" s="638" t="str">
        <f t="shared" si="115"/>
        <v>Met</v>
      </c>
      <c r="BI179" s="639"/>
      <c r="BJ179" s="637">
        <f>VLOOKUP(A179,'42. SEA or LEA Worksheet'!$A$4:$AM$324,38,0)</f>
        <v>17338864.109999999</v>
      </c>
      <c r="BK179" s="638" t="str">
        <f t="shared" si="116"/>
        <v>Met</v>
      </c>
      <c r="BM179" s="631">
        <f>VLOOKUP(A179,'42. SEA or LEA Worksheet'!$A$4:$AL$324,36,0)/VLOOKUP(A179,'42. SEA or LEA Worksheet'!$A$4:$AL$324,35,0)</f>
        <v>525.76347861842112</v>
      </c>
      <c r="BN179" s="632" t="str">
        <f t="shared" si="117"/>
        <v>Met</v>
      </c>
      <c r="BP179" s="631">
        <f>VLOOKUP(A179,'42. SEA or LEA Worksheet'!$A$4:$AL$324,38,0)/VLOOKUP(A179,'42. SEA or LEA Worksheet'!$A$4:$AL$324,35,0)</f>
        <v>14258.934300986841</v>
      </c>
      <c r="BQ179" s="632" t="str">
        <f t="shared" si="118"/>
        <v>Met</v>
      </c>
      <c r="BS179" s="620" t="s">
        <v>835</v>
      </c>
    </row>
    <row r="180" spans="1:71" x14ac:dyDescent="0.25">
      <c r="A180" s="343" t="s">
        <v>540</v>
      </c>
      <c r="B180" s="510" t="s">
        <v>999</v>
      </c>
      <c r="C180" s="511"/>
      <c r="D180" s="444">
        <v>0</v>
      </c>
      <c r="E180" s="343" t="s">
        <v>835</v>
      </c>
      <c r="F180" s="511"/>
      <c r="G180" s="444">
        <v>129020.12</v>
      </c>
      <c r="H180" s="343" t="s">
        <v>835</v>
      </c>
      <c r="I180" s="511"/>
      <c r="J180" s="444">
        <v>0</v>
      </c>
      <c r="K180" s="343" t="s">
        <v>856</v>
      </c>
      <c r="L180" s="511"/>
      <c r="M180" s="444">
        <v>10751.676666666666</v>
      </c>
      <c r="N180" s="343" t="s">
        <v>835</v>
      </c>
      <c r="O180" s="511"/>
      <c r="P180" s="512" t="str">
        <f t="shared" si="120"/>
        <v>Met</v>
      </c>
      <c r="Q180" s="511"/>
      <c r="R180" s="444">
        <f>VLOOKUP(A180,'2020-21'!$A$6:$F$319,6,0)</f>
        <v>0</v>
      </c>
      <c r="S180" s="513" t="str">
        <f t="shared" si="91"/>
        <v>Met</v>
      </c>
      <c r="U180" s="444">
        <f>VLOOKUP(A180,'2020-21'!$A$6:$G$319,7,0)</f>
        <v>171737.39</v>
      </c>
      <c r="V180" s="513" t="str">
        <f t="shared" si="92"/>
        <v>Met</v>
      </c>
      <c r="X180" s="444">
        <f>VLOOKUP(A180,'2020-21'!$A$6:$F$319,6,0)/VLOOKUP(A180,'42. SEA or LEA Worksheet'!$A$4:$T$324,20,0)</f>
        <v>0</v>
      </c>
      <c r="Y180" s="513" t="str">
        <f t="shared" si="93"/>
        <v>Met</v>
      </c>
      <c r="AA180" s="444">
        <f>VLOOKUP(A180,'42. SEA or LEA Worksheet'!$A$4:$W$324,23,0)/VLOOKUP(compliance!A180,'42. SEA or LEA Worksheet'!$A$4:$T$324,20,0)</f>
        <v>8586.8695000000007</v>
      </c>
      <c r="AB180" s="513" t="str">
        <f t="shared" si="94"/>
        <v>Did not Meet</v>
      </c>
      <c r="AD180" s="512" t="str">
        <f t="shared" si="112"/>
        <v>Met</v>
      </c>
      <c r="AF180" s="444">
        <f>VLOOKUP(A180,'42. SEA or LEA Worksheet'!$A$4:$Z$324,26,0)</f>
        <v>0</v>
      </c>
      <c r="AG180" s="513" t="str">
        <f t="shared" si="95"/>
        <v>Met</v>
      </c>
      <c r="AI180" s="444">
        <f>VLOOKUP(A180,'42. SEA or LEA Worksheet'!$A$4:$AB$324,28,0)</f>
        <v>190408.99</v>
      </c>
      <c r="AJ180" s="513" t="str">
        <f t="shared" si="96"/>
        <v>Met</v>
      </c>
      <c r="AL180" s="444">
        <f>VLOOKUP(compliance!A180,'42. SEA or LEA Worksheet'!$A$4:$AB$324,26,0)/VLOOKUP(compliance!A180,'42. SEA or LEA Worksheet'!$A$4:$Y$324,25,0)</f>
        <v>0</v>
      </c>
      <c r="AM180" s="513" t="str">
        <f t="shared" si="97"/>
        <v>Met</v>
      </c>
      <c r="AO180" s="444">
        <f>VLOOKUP(A180,'42. SEA or LEA Worksheet'!$A$4:$AB$324,28,0)/VLOOKUP(compliance!A180,'42. SEA or LEA Worksheet'!$A$4:$Y$324,25,0)</f>
        <v>10021.525789473684</v>
      </c>
      <c r="AP180" s="513" t="str">
        <f t="shared" si="98"/>
        <v>Met</v>
      </c>
      <c r="AR180" s="512" t="str">
        <f t="shared" si="113"/>
        <v>Met</v>
      </c>
      <c r="AT180" s="444">
        <f>VLOOKUP(A180,'42. SEA or LEA Worksheet'!$A$4:$AE$324,31,0)</f>
        <v>0</v>
      </c>
      <c r="AU180" s="513" t="str">
        <f t="shared" ref="AU180:AU212" si="121">IF(AT180&gt;=AF180,"Met","Did not Meet")</f>
        <v>Met</v>
      </c>
      <c r="AW180" s="444">
        <f>VLOOKUP(A180,'42. SEA or LEA Worksheet'!$A$4:$AG$324,33,0)</f>
        <v>261736.17</v>
      </c>
      <c r="AX180" s="513" t="str">
        <f t="shared" si="109"/>
        <v>Met</v>
      </c>
      <c r="AZ180" s="444">
        <f>VLOOKUP(A180,'42. SEA or LEA Worksheet'!$A$4:$AG$324,31,0)/VLOOKUP(A180,'42. SEA or LEA Worksheet'!$A$4:$AD$324,30,0)</f>
        <v>0</v>
      </c>
      <c r="BA180" s="513" t="str">
        <f t="shared" si="110"/>
        <v>Met</v>
      </c>
      <c r="BC180" s="444">
        <f>VLOOKUP(A180,'42. SEA or LEA Worksheet'!$A$4:$AG$324,33,0)/VLOOKUP(A180,'42. SEA or LEA Worksheet'!$A$4:$AD$324,30,0)</f>
        <v>16358.510625000001</v>
      </c>
      <c r="BD180" s="513" t="str">
        <f t="shared" si="111"/>
        <v>Met</v>
      </c>
      <c r="BF180" s="512" t="str">
        <f t="shared" ref="BF180:BF218" si="122">IF(AND(AU180="Did not Meet",AX180="Did not Meet", BA180="Did not Meet",BD180="Did not Meet"),"Did not Meet","Met")</f>
        <v>Met</v>
      </c>
      <c r="BG180" s="637">
        <f>VLOOKUP(A180,'42. SEA or LEA Worksheet'!$A$4:$AM$324,36,0)</f>
        <v>0</v>
      </c>
      <c r="BH180" s="638" t="str">
        <f t="shared" si="115"/>
        <v>Met</v>
      </c>
      <c r="BI180" s="639"/>
      <c r="BJ180" s="637">
        <f>VLOOKUP(A180,'42. SEA or LEA Worksheet'!$A$4:$AM$324,38,0)</f>
        <v>259213.76</v>
      </c>
      <c r="BK180" s="638" t="str">
        <f t="shared" si="116"/>
        <v>Did not Meet</v>
      </c>
      <c r="BM180" s="631">
        <f>VLOOKUP(A180,'42. SEA or LEA Worksheet'!$A$4:$AL$324,36,0)/VLOOKUP(A180,'42. SEA or LEA Worksheet'!$A$4:$AL$324,35,0)</f>
        <v>0</v>
      </c>
      <c r="BN180" s="632" t="str">
        <f t="shared" si="117"/>
        <v>Met</v>
      </c>
      <c r="BP180" s="631">
        <f>VLOOKUP(A180,'42. SEA or LEA Worksheet'!$A$4:$AL$324,38,0)/VLOOKUP(A180,'42. SEA or LEA Worksheet'!$A$4:$AL$324,35,0)</f>
        <v>9257.6342857142863</v>
      </c>
      <c r="BQ180" s="632" t="str">
        <f t="shared" si="118"/>
        <v>Met</v>
      </c>
      <c r="BS180" s="620" t="str">
        <f t="shared" ref="BS180:BS218" si="123">IF(AND(BH180="Did not Meet",BK180="Did not Meet", BN180="Did not Meet",BQ180="Did not Meet"),"Did not Meet","Met")</f>
        <v>Met</v>
      </c>
    </row>
    <row r="181" spans="1:71" x14ac:dyDescent="0.25">
      <c r="A181" s="343" t="s">
        <v>542</v>
      </c>
      <c r="B181" s="510" t="s">
        <v>1000</v>
      </c>
      <c r="C181" s="511"/>
      <c r="D181" s="444">
        <v>0</v>
      </c>
      <c r="E181" s="343" t="s">
        <v>856</v>
      </c>
      <c r="F181" s="511"/>
      <c r="G181" s="444">
        <v>389240.13</v>
      </c>
      <c r="H181" s="343" t="s">
        <v>835</v>
      </c>
      <c r="I181" s="511"/>
      <c r="J181" s="444">
        <v>0</v>
      </c>
      <c r="K181" s="343" t="s">
        <v>856</v>
      </c>
      <c r="L181" s="511"/>
      <c r="M181" s="444">
        <v>7208.1505555555559</v>
      </c>
      <c r="N181" s="343" t="s">
        <v>856</v>
      </c>
      <c r="O181" s="511"/>
      <c r="P181" s="512" t="str">
        <f t="shared" si="120"/>
        <v>Met</v>
      </c>
      <c r="Q181" s="511"/>
      <c r="R181" s="444">
        <f>VLOOKUP(A181,'2020-21'!$A$6:$F$319,6,0)</f>
        <v>0</v>
      </c>
      <c r="S181" s="513" t="str">
        <f t="shared" si="91"/>
        <v>Met</v>
      </c>
      <c r="U181" s="444">
        <f>VLOOKUP(A181,'2020-21'!$A$6:$G$319,7,0)</f>
        <v>461854.73</v>
      </c>
      <c r="V181" s="513" t="str">
        <f t="shared" si="92"/>
        <v>Met</v>
      </c>
      <c r="X181" s="444">
        <f>VLOOKUP(A181,'2020-21'!$A$6:$F$319,6,0)/VLOOKUP(A181,'42. SEA or LEA Worksheet'!$A$4:$T$324,20,0)</f>
        <v>0</v>
      </c>
      <c r="Y181" s="513" t="str">
        <f t="shared" si="93"/>
        <v>Met</v>
      </c>
      <c r="AA181" s="444">
        <f>VLOOKUP(A181,'42. SEA or LEA Worksheet'!$A$4:$W$324,23,0)/VLOOKUP(compliance!A181,'42. SEA or LEA Worksheet'!$A$4:$T$324,20,0)</f>
        <v>7449.2698387096771</v>
      </c>
      <c r="AB181" s="513" t="str">
        <f t="shared" si="94"/>
        <v>Met</v>
      </c>
      <c r="AD181" s="512" t="str">
        <f t="shared" si="112"/>
        <v>Met</v>
      </c>
      <c r="AF181" s="444">
        <f>VLOOKUP(A181,'42. SEA or LEA Worksheet'!$A$4:$Z$324,26,0)</f>
        <v>0</v>
      </c>
      <c r="AG181" s="513" t="str">
        <f t="shared" si="95"/>
        <v>Met</v>
      </c>
      <c r="AI181" s="444">
        <f>VLOOKUP(A181,'42. SEA or LEA Worksheet'!$A$4:$AB$324,28,0)</f>
        <v>565543.75</v>
      </c>
      <c r="AJ181" s="513" t="str">
        <f t="shared" si="96"/>
        <v>Met</v>
      </c>
      <c r="AL181" s="444">
        <f>VLOOKUP(compliance!A181,'42. SEA or LEA Worksheet'!$A$4:$AB$324,26,0)/VLOOKUP(compliance!A181,'42. SEA or LEA Worksheet'!$A$4:$Y$324,25,0)</f>
        <v>0</v>
      </c>
      <c r="AM181" s="513" t="str">
        <f t="shared" si="97"/>
        <v>Met</v>
      </c>
      <c r="AO181" s="444">
        <f>VLOOKUP(A181,'42. SEA or LEA Worksheet'!$A$4:$AB$324,28,0)/VLOOKUP(compliance!A181,'42. SEA or LEA Worksheet'!$A$4:$Y$324,25,0)</f>
        <v>8976.8849206349205</v>
      </c>
      <c r="AP181" s="513" t="str">
        <f t="shared" si="98"/>
        <v>Met</v>
      </c>
      <c r="AR181" s="512" t="str">
        <f t="shared" si="113"/>
        <v>Met</v>
      </c>
      <c r="AT181" s="444">
        <f>VLOOKUP(A181,'42. SEA or LEA Worksheet'!$A$4:$AE$324,31,0)</f>
        <v>0</v>
      </c>
      <c r="AU181" s="513" t="str">
        <f t="shared" si="121"/>
        <v>Met</v>
      </c>
      <c r="AW181" s="444">
        <f>VLOOKUP(A181,'42. SEA or LEA Worksheet'!$A$4:$AG$324,33,0)</f>
        <v>624655.19999999995</v>
      </c>
      <c r="AX181" s="513" t="str">
        <f t="shared" si="109"/>
        <v>Met</v>
      </c>
      <c r="AZ181" s="444">
        <f>VLOOKUP(A181,'42. SEA or LEA Worksheet'!$A$4:$AG$324,31,0)/VLOOKUP(A181,'42. SEA or LEA Worksheet'!$A$4:$AD$324,30,0)</f>
        <v>0</v>
      </c>
      <c r="BA181" s="513" t="str">
        <f t="shared" si="110"/>
        <v>Met</v>
      </c>
      <c r="BC181" s="444">
        <f>VLOOKUP(A181,'42. SEA or LEA Worksheet'!$A$4:$AG$324,33,0)/VLOOKUP(A181,'42. SEA or LEA Worksheet'!$A$4:$AD$324,30,0)</f>
        <v>9610.08</v>
      </c>
      <c r="BD181" s="513" t="str">
        <f t="shared" si="111"/>
        <v>Met</v>
      </c>
      <c r="BF181" s="512" t="str">
        <f t="shared" si="122"/>
        <v>Met</v>
      </c>
      <c r="BG181" s="637">
        <f>VLOOKUP(A181,'42. SEA or LEA Worksheet'!$A$4:$AM$324,36,0)</f>
        <v>0</v>
      </c>
      <c r="BH181" s="638" t="str">
        <f t="shared" si="115"/>
        <v>Met</v>
      </c>
      <c r="BI181" s="639"/>
      <c r="BJ181" s="637">
        <f>VLOOKUP(A181,'42. SEA or LEA Worksheet'!$A$4:$AM$324,38,0)</f>
        <v>647957.30000000005</v>
      </c>
      <c r="BK181" s="638" t="str">
        <f t="shared" si="116"/>
        <v>Met</v>
      </c>
      <c r="BM181" s="631">
        <f>VLOOKUP(A181,'42. SEA or LEA Worksheet'!$A$4:$AL$324,36,0)/VLOOKUP(A181,'42. SEA or LEA Worksheet'!$A$4:$AL$324,35,0)</f>
        <v>0</v>
      </c>
      <c r="BN181" s="632" t="str">
        <f t="shared" si="117"/>
        <v>Met</v>
      </c>
      <c r="BP181" s="631">
        <f>VLOOKUP(A181,'42. SEA or LEA Worksheet'!$A$4:$AL$324,38,0)/VLOOKUP(A181,'42. SEA or LEA Worksheet'!$A$4:$AL$324,35,0)</f>
        <v>10285.036507936509</v>
      </c>
      <c r="BQ181" s="632" t="str">
        <f t="shared" si="118"/>
        <v>Met</v>
      </c>
      <c r="BS181" s="620" t="str">
        <f t="shared" si="123"/>
        <v>Met</v>
      </c>
    </row>
    <row r="182" spans="1:71" x14ac:dyDescent="0.25">
      <c r="A182" s="343" t="s">
        <v>544</v>
      </c>
      <c r="B182" s="510" t="s">
        <v>1001</v>
      </c>
      <c r="C182" s="511"/>
      <c r="D182" s="444">
        <v>0</v>
      </c>
      <c r="E182" s="343" t="s">
        <v>856</v>
      </c>
      <c r="F182" s="511"/>
      <c r="G182" s="444">
        <v>2496203.4700000002</v>
      </c>
      <c r="H182" s="343" t="s">
        <v>835</v>
      </c>
      <c r="I182" s="511"/>
      <c r="J182" s="444">
        <v>0</v>
      </c>
      <c r="K182" s="343" t="s">
        <v>856</v>
      </c>
      <c r="L182" s="511"/>
      <c r="M182" s="444">
        <v>9600.7825769230785</v>
      </c>
      <c r="N182" s="343" t="s">
        <v>856</v>
      </c>
      <c r="O182" s="511"/>
      <c r="P182" s="512" t="str">
        <f t="shared" si="120"/>
        <v>Met</v>
      </c>
      <c r="Q182" s="511"/>
      <c r="R182" s="444">
        <f>VLOOKUP(A182,'2020-21'!$A$6:$F$319,6,0)</f>
        <v>0</v>
      </c>
      <c r="S182" s="513" t="str">
        <f t="shared" si="91"/>
        <v>Met</v>
      </c>
      <c r="U182" s="444">
        <f>VLOOKUP(A182,'2020-21'!$A$6:$G$319,7,0)</f>
        <v>2360942.59</v>
      </c>
      <c r="V182" s="513" t="str">
        <f t="shared" si="92"/>
        <v>Did not Meet</v>
      </c>
      <c r="X182" s="444">
        <v>0</v>
      </c>
      <c r="Y182" s="513" t="str">
        <f t="shared" si="93"/>
        <v>Met</v>
      </c>
      <c r="AA182" s="444">
        <f>VLOOKUP(A182,'42. SEA or LEA Worksheet'!$A$4:$W$324,23,0)/VLOOKUP(compliance!A182,'42. SEA or LEA Worksheet'!$A$4:$T$324,20,0)</f>
        <v>9837.2607916666657</v>
      </c>
      <c r="AB182" s="513" t="str">
        <f t="shared" si="94"/>
        <v>Met</v>
      </c>
      <c r="AD182" s="512" t="str">
        <f t="shared" si="112"/>
        <v>Met</v>
      </c>
      <c r="AF182" s="444">
        <f>VLOOKUP(A182,'42. SEA or LEA Worksheet'!$A$4:$Z$324,26,0)</f>
        <v>0</v>
      </c>
      <c r="AG182" s="513" t="str">
        <f t="shared" si="95"/>
        <v>Met</v>
      </c>
      <c r="AI182" s="444">
        <f>VLOOKUP(A182,'42. SEA or LEA Worksheet'!$A$4:$AB$324,28,0)</f>
        <v>2211216.94</v>
      </c>
      <c r="AJ182" s="513" t="str">
        <f t="shared" si="96"/>
        <v>Did not Meet</v>
      </c>
      <c r="AL182" s="444">
        <f>VLOOKUP(compliance!A182,'42. SEA or LEA Worksheet'!$A$4:$AB$324,26,0)/VLOOKUP(compliance!A182,'42. SEA or LEA Worksheet'!$A$4:$Y$324,25,0)</f>
        <v>0</v>
      </c>
      <c r="AM182" s="513" t="str">
        <f t="shared" si="97"/>
        <v>Met</v>
      </c>
      <c r="AO182" s="444">
        <f>VLOOKUP(A182,'42. SEA or LEA Worksheet'!$A$4:$AB$324,28,0)/VLOOKUP(compliance!A182,'42. SEA or LEA Worksheet'!$A$4:$Y$324,25,0)</f>
        <v>9330.0292827004214</v>
      </c>
      <c r="AP182" s="513" t="str">
        <f t="shared" si="98"/>
        <v>Did not Meet</v>
      </c>
      <c r="AR182" s="512" t="str">
        <f t="shared" si="113"/>
        <v>Met</v>
      </c>
      <c r="AT182" s="444">
        <f>VLOOKUP(A182,'42. SEA or LEA Worksheet'!$A$4:$AE$324,31,0)</f>
        <v>0</v>
      </c>
      <c r="AU182" s="513" t="str">
        <f t="shared" si="121"/>
        <v>Met</v>
      </c>
      <c r="AW182" s="444">
        <f>VLOOKUP(A182,'42. SEA or LEA Worksheet'!$A$4:$AG$324,33,0)</f>
        <v>2312108.75</v>
      </c>
      <c r="AX182" s="513" t="str">
        <f t="shared" si="109"/>
        <v>Met</v>
      </c>
      <c r="AZ182" s="444">
        <f>VLOOKUP(A182,'42. SEA or LEA Worksheet'!$A$4:$AG$324,31,0)/VLOOKUP(A182,'42. SEA or LEA Worksheet'!$A$4:$AD$324,30,0)</f>
        <v>0</v>
      </c>
      <c r="BA182" s="513" t="str">
        <f t="shared" si="110"/>
        <v>Met</v>
      </c>
      <c r="BC182" s="444">
        <f>VLOOKUP(A182,'42. SEA or LEA Worksheet'!$A$4:$AG$324,33,0)/VLOOKUP(A182,'42. SEA or LEA Worksheet'!$A$4:$AD$324,30,0)</f>
        <v>10368.20067264574</v>
      </c>
      <c r="BD182" s="513" t="str">
        <f t="shared" si="111"/>
        <v>Met</v>
      </c>
      <c r="BF182" s="512" t="str">
        <f t="shared" si="122"/>
        <v>Met</v>
      </c>
      <c r="BG182" s="637">
        <f>VLOOKUP(A182,'42. SEA or LEA Worksheet'!$A$4:$AM$324,36,0)</f>
        <v>0</v>
      </c>
      <c r="BH182" s="638" t="str">
        <f t="shared" si="115"/>
        <v>Met</v>
      </c>
      <c r="BI182" s="639"/>
      <c r="BJ182" s="637">
        <f>VLOOKUP(A182,'42. SEA or LEA Worksheet'!$A$4:$AM$324,38,0)</f>
        <v>2845603.1</v>
      </c>
      <c r="BK182" s="638" t="str">
        <f t="shared" si="116"/>
        <v>Met</v>
      </c>
      <c r="BM182" s="631">
        <f>VLOOKUP(A182,'42. SEA or LEA Worksheet'!$A$4:$AL$324,36,0)/VLOOKUP(A182,'42. SEA or LEA Worksheet'!$A$4:$AL$324,35,0)</f>
        <v>0</v>
      </c>
      <c r="BN182" s="632" t="str">
        <f t="shared" si="117"/>
        <v>Met</v>
      </c>
      <c r="BP182" s="631">
        <f>VLOOKUP(A182,'42. SEA or LEA Worksheet'!$A$4:$AL$324,38,0)/VLOOKUP(A182,'42. SEA or LEA Worksheet'!$A$4:$AL$324,35,0)</f>
        <v>12426.21441048035</v>
      </c>
      <c r="BQ182" s="632" t="str">
        <f t="shared" si="118"/>
        <v>Met</v>
      </c>
      <c r="BS182" s="620" t="str">
        <f t="shared" si="123"/>
        <v>Met</v>
      </c>
    </row>
    <row r="183" spans="1:71" x14ac:dyDescent="0.25">
      <c r="A183" s="343" t="s">
        <v>546</v>
      </c>
      <c r="B183" s="510" t="s">
        <v>1002</v>
      </c>
      <c r="C183" s="511"/>
      <c r="D183" s="444">
        <v>63936.9</v>
      </c>
      <c r="E183" s="343" t="s">
        <v>835</v>
      </c>
      <c r="F183" s="511"/>
      <c r="G183" s="444">
        <v>1056353.6599999999</v>
      </c>
      <c r="H183" s="343" t="s">
        <v>835</v>
      </c>
      <c r="I183" s="511"/>
      <c r="J183" s="444">
        <v>673.02</v>
      </c>
      <c r="K183" s="343" t="s">
        <v>835</v>
      </c>
      <c r="L183" s="511"/>
      <c r="M183" s="444">
        <v>11119.512210526314</v>
      </c>
      <c r="N183" s="343" t="s">
        <v>835</v>
      </c>
      <c r="O183" s="511"/>
      <c r="P183" s="512" t="str">
        <f t="shared" si="120"/>
        <v>Met</v>
      </c>
      <c r="Q183" s="511"/>
      <c r="R183" s="444">
        <f>VLOOKUP(A183,'2020-21'!$A$6:$F$319,6,0)</f>
        <v>0</v>
      </c>
      <c r="S183" s="513" t="str">
        <f t="shared" si="91"/>
        <v>Did not Meet</v>
      </c>
      <c r="U183" s="444">
        <f>VLOOKUP(A183,'2020-21'!$A$6:$G$319,7,0)</f>
        <v>842610.79</v>
      </c>
      <c r="V183" s="513" t="str">
        <f t="shared" si="92"/>
        <v>Did not Meet</v>
      </c>
      <c r="X183" s="444">
        <f>VLOOKUP(A183,'2020-21'!$A$6:$F$319,6,0)/VLOOKUP(A183,'42. SEA or LEA Worksheet'!$A$4:$T$324,20,0)</f>
        <v>0</v>
      </c>
      <c r="Y183" s="513" t="str">
        <f t="shared" si="93"/>
        <v>Did not Meet</v>
      </c>
      <c r="AA183" s="444">
        <f>VLOOKUP(A183,'42. SEA or LEA Worksheet'!$A$4:$W$324,23,0)/VLOOKUP(compliance!A183,'42. SEA or LEA Worksheet'!$A$4:$T$324,20,0)</f>
        <v>11234.810533333333</v>
      </c>
      <c r="AB183" s="513" t="str">
        <f t="shared" si="94"/>
        <v>Met</v>
      </c>
      <c r="AD183" s="512" t="str">
        <f t="shared" si="112"/>
        <v>Met</v>
      </c>
      <c r="AF183" s="444">
        <f>VLOOKUP(A183,'42. SEA or LEA Worksheet'!$A$4:$Z$324,26,0)</f>
        <v>0</v>
      </c>
      <c r="AG183" s="513" t="str">
        <f t="shared" si="95"/>
        <v>Met</v>
      </c>
      <c r="AI183" s="444">
        <f>VLOOKUP(A183,'42. SEA or LEA Worksheet'!$A$4:$AB$324,28,0)</f>
        <v>804001</v>
      </c>
      <c r="AJ183" s="513" t="str">
        <f t="shared" si="96"/>
        <v>Did not Meet</v>
      </c>
      <c r="AL183" s="444">
        <f>VLOOKUP(compliance!A183,'42. SEA or LEA Worksheet'!$A$4:$AB$324,26,0)/VLOOKUP(compliance!A183,'42. SEA or LEA Worksheet'!$A$4:$Y$324,25,0)</f>
        <v>0</v>
      </c>
      <c r="AM183" s="513" t="str">
        <f t="shared" si="97"/>
        <v>Met</v>
      </c>
      <c r="AO183" s="444">
        <f>VLOOKUP(A183,'42. SEA or LEA Worksheet'!$A$4:$AB$324,28,0)/VLOOKUP(compliance!A183,'42. SEA or LEA Worksheet'!$A$4:$Y$324,25,0)</f>
        <v>11013.712328767124</v>
      </c>
      <c r="AP183" s="513" t="str">
        <f t="shared" si="98"/>
        <v>Did not Meet</v>
      </c>
      <c r="AR183" s="512" t="str">
        <f t="shared" si="113"/>
        <v>Met</v>
      </c>
      <c r="AT183" s="444">
        <f>VLOOKUP(A183,'42. SEA or LEA Worksheet'!$A$4:$AE$324,31,0)</f>
        <v>0</v>
      </c>
      <c r="AU183" s="513" t="str">
        <f t="shared" si="121"/>
        <v>Met</v>
      </c>
      <c r="AW183" s="444">
        <f>VLOOKUP(A183,'42. SEA or LEA Worksheet'!$A$4:$AG$324,33,0)</f>
        <v>891508.53</v>
      </c>
      <c r="AX183" s="513" t="str">
        <f t="shared" si="109"/>
        <v>Met</v>
      </c>
      <c r="AZ183" s="444">
        <f>VLOOKUP(A183,'42. SEA or LEA Worksheet'!$A$4:$AG$324,31,0)/VLOOKUP(A183,'42. SEA or LEA Worksheet'!$A$4:$AD$324,30,0)</f>
        <v>0</v>
      </c>
      <c r="BA183" s="513" t="str">
        <f t="shared" si="110"/>
        <v>Met</v>
      </c>
      <c r="BC183" s="444">
        <f>VLOOKUP(A183,'42. SEA or LEA Worksheet'!$A$4:$AG$324,33,0)/VLOOKUP(A183,'42. SEA or LEA Worksheet'!$A$4:$AD$324,30,0)</f>
        <v>11578.032857142858</v>
      </c>
      <c r="BD183" s="513" t="str">
        <f t="shared" si="111"/>
        <v>Met</v>
      </c>
      <c r="BF183" s="512" t="str">
        <f t="shared" si="122"/>
        <v>Met</v>
      </c>
      <c r="BG183" s="637">
        <f>VLOOKUP(A183,'42. SEA or LEA Worksheet'!$A$4:$AM$324,36,0)</f>
        <v>128294.3</v>
      </c>
      <c r="BH183" s="638" t="str">
        <f t="shared" si="115"/>
        <v>Met</v>
      </c>
      <c r="BI183" s="639"/>
      <c r="BJ183" s="637">
        <f>VLOOKUP(A183,'42. SEA or LEA Worksheet'!$A$4:$AM$324,38,0)</f>
        <v>940636.2300000001</v>
      </c>
      <c r="BK183" s="638" t="str">
        <f t="shared" si="116"/>
        <v>Met</v>
      </c>
      <c r="BM183" s="631">
        <f>VLOOKUP(A183,'42. SEA or LEA Worksheet'!$A$4:$AL$324,36,0)/VLOOKUP(A183,'42. SEA or LEA Worksheet'!$A$4:$AL$324,35,0)</f>
        <v>1757.4561643835616</v>
      </c>
      <c r="BN183" s="632" t="str">
        <f t="shared" si="117"/>
        <v>Met</v>
      </c>
      <c r="BP183" s="631">
        <f>VLOOKUP(A183,'42. SEA or LEA Worksheet'!$A$4:$AL$324,38,0)/VLOOKUP(A183,'42. SEA or LEA Worksheet'!$A$4:$AL$324,35,0)</f>
        <v>12885.427808219179</v>
      </c>
      <c r="BQ183" s="632" t="str">
        <f t="shared" si="118"/>
        <v>Met</v>
      </c>
      <c r="BS183" s="620" t="str">
        <f t="shared" si="123"/>
        <v>Met</v>
      </c>
    </row>
    <row r="184" spans="1:71" x14ac:dyDescent="0.25">
      <c r="A184" s="343" t="s">
        <v>548</v>
      </c>
      <c r="B184" s="510" t="s">
        <v>1003</v>
      </c>
      <c r="C184" s="511"/>
      <c r="D184" s="444">
        <v>0</v>
      </c>
      <c r="E184" s="343" t="s">
        <v>835</v>
      </c>
      <c r="F184" s="511"/>
      <c r="G184" s="444">
        <v>281207.83</v>
      </c>
      <c r="H184" s="343" t="s">
        <v>835</v>
      </c>
      <c r="I184" s="511"/>
      <c r="J184" s="444">
        <v>0</v>
      </c>
      <c r="K184" s="343" t="s">
        <v>835</v>
      </c>
      <c r="L184" s="511"/>
      <c r="M184" s="444">
        <v>10415.104814814815</v>
      </c>
      <c r="N184" s="343" t="s">
        <v>856</v>
      </c>
      <c r="O184" s="511"/>
      <c r="P184" s="512" t="str">
        <f t="shared" si="120"/>
        <v>Met</v>
      </c>
      <c r="Q184" s="511"/>
      <c r="R184" s="444">
        <f>VLOOKUP(A184,'2020-21'!$A$6:$F$319,6,0)</f>
        <v>0</v>
      </c>
      <c r="S184" s="513" t="str">
        <f t="shared" si="91"/>
        <v>Met</v>
      </c>
      <c r="U184" s="444">
        <f>VLOOKUP(A184,'2020-21'!$A$6:$G$319,7,0)</f>
        <v>260539.32</v>
      </c>
      <c r="V184" s="513" t="str">
        <f t="shared" si="92"/>
        <v>Did not Meet</v>
      </c>
      <c r="X184" s="444">
        <f>VLOOKUP(A184,'2020-21'!$A$6:$F$319,6,0)/VLOOKUP(A184,'42. SEA or LEA Worksheet'!$A$4:$T$324,20,0)</f>
        <v>0</v>
      </c>
      <c r="Y184" s="513" t="str">
        <f t="shared" si="93"/>
        <v>Met</v>
      </c>
      <c r="AA184" s="444">
        <f>VLOOKUP(A184,'42. SEA or LEA Worksheet'!$A$4:$W$324,23,0)/VLOOKUP(compliance!A184,'42. SEA or LEA Worksheet'!$A$4:$T$324,20,0)</f>
        <v>10855.805</v>
      </c>
      <c r="AB184" s="513" t="str">
        <f t="shared" si="94"/>
        <v>Met</v>
      </c>
      <c r="AD184" s="512" t="str">
        <f t="shared" si="112"/>
        <v>Met</v>
      </c>
      <c r="AF184" s="444">
        <f>VLOOKUP(A184,'42. SEA or LEA Worksheet'!$A$4:$Z$324,26,0)</f>
        <v>0</v>
      </c>
      <c r="AG184" s="513" t="str">
        <f t="shared" si="95"/>
        <v>Met</v>
      </c>
      <c r="AI184" s="444">
        <f>VLOOKUP(A184,'42. SEA or LEA Worksheet'!$A$4:$AB$324,28,0)</f>
        <v>314601.73</v>
      </c>
      <c r="AJ184" s="513" t="str">
        <f t="shared" si="96"/>
        <v>Met</v>
      </c>
      <c r="AL184" s="444">
        <f>VLOOKUP(compliance!A184,'42. SEA or LEA Worksheet'!$A$4:$AB$324,26,0)/VLOOKUP(compliance!A184,'42. SEA or LEA Worksheet'!$A$4:$Y$324,25,0)</f>
        <v>0</v>
      </c>
      <c r="AM184" s="513" t="str">
        <f t="shared" si="97"/>
        <v>Met</v>
      </c>
      <c r="AO184" s="444">
        <f>VLOOKUP(A184,'42. SEA or LEA Worksheet'!$A$4:$AB$324,28,0)/VLOOKUP(compliance!A184,'42. SEA or LEA Worksheet'!$A$4:$Y$324,25,0)</f>
        <v>12100.066538461539</v>
      </c>
      <c r="AP184" s="513" t="str">
        <f t="shared" si="98"/>
        <v>Met</v>
      </c>
      <c r="AR184" s="512" t="str">
        <f t="shared" si="113"/>
        <v>Met</v>
      </c>
      <c r="AT184" s="444">
        <f>VLOOKUP(A184,'42. SEA or LEA Worksheet'!$A$4:$AE$324,31,0)</f>
        <v>0</v>
      </c>
      <c r="AU184" s="513" t="str">
        <f t="shared" si="121"/>
        <v>Met</v>
      </c>
      <c r="AW184" s="444">
        <f>VLOOKUP(A184,'42. SEA or LEA Worksheet'!$A$4:$AG$324,33,0)</f>
        <v>348821.14</v>
      </c>
      <c r="AX184" s="513" t="str">
        <f t="shared" si="109"/>
        <v>Met</v>
      </c>
      <c r="AZ184" s="444">
        <f>VLOOKUP(A184,'42. SEA or LEA Worksheet'!$A$4:$AG$324,31,0)/VLOOKUP(A184,'42. SEA or LEA Worksheet'!$A$4:$AD$324,30,0)</f>
        <v>0</v>
      </c>
      <c r="BA184" s="513" t="str">
        <f t="shared" si="110"/>
        <v>Met</v>
      </c>
      <c r="BC184" s="444">
        <f>VLOOKUP(A184,'42. SEA or LEA Worksheet'!$A$4:$AG$324,33,0)/VLOOKUP(A184,'42. SEA or LEA Worksheet'!$A$4:$AD$324,30,0)</f>
        <v>10900.660625</v>
      </c>
      <c r="BD184" s="513" t="str">
        <f t="shared" si="111"/>
        <v>Did not Meet</v>
      </c>
      <c r="BF184" s="512" t="str">
        <f t="shared" si="122"/>
        <v>Met</v>
      </c>
      <c r="BG184" s="637">
        <f>VLOOKUP(A184,'42. SEA or LEA Worksheet'!$A$4:$AM$324,36,0)</f>
        <v>0</v>
      </c>
      <c r="BH184" s="638" t="str">
        <f t="shared" si="115"/>
        <v>Met</v>
      </c>
      <c r="BI184" s="639"/>
      <c r="BJ184" s="637">
        <f>VLOOKUP(A184,'42. SEA or LEA Worksheet'!$A$4:$AM$324,38,0)</f>
        <v>390097.34</v>
      </c>
      <c r="BK184" s="638" t="str">
        <f t="shared" si="116"/>
        <v>Met</v>
      </c>
      <c r="BM184" s="631">
        <f>VLOOKUP(A184,'42. SEA or LEA Worksheet'!$A$4:$AL$324,36,0)/VLOOKUP(A184,'42. SEA or LEA Worksheet'!$A$4:$AL$324,35,0)</f>
        <v>0</v>
      </c>
      <c r="BN184" s="632" t="str">
        <f t="shared" si="117"/>
        <v>Met</v>
      </c>
      <c r="BP184" s="631">
        <f>VLOOKUP(A184,'42. SEA or LEA Worksheet'!$A$4:$AL$324,38,0)/VLOOKUP(A184,'42. SEA or LEA Worksheet'!$A$4:$AL$324,35,0)</f>
        <v>12190.541875000001</v>
      </c>
      <c r="BQ184" s="632" t="str">
        <f t="shared" si="118"/>
        <v>Met</v>
      </c>
      <c r="BS184" s="620" t="str">
        <f t="shared" si="123"/>
        <v>Met</v>
      </c>
    </row>
    <row r="185" spans="1:71" x14ac:dyDescent="0.25">
      <c r="A185" s="343" t="s">
        <v>550</v>
      </c>
      <c r="B185" s="510" t="s">
        <v>1004</v>
      </c>
      <c r="C185" s="511"/>
      <c r="D185" s="444">
        <v>0</v>
      </c>
      <c r="E185" s="343" t="s">
        <v>856</v>
      </c>
      <c r="F185" s="511"/>
      <c r="G185" s="444">
        <v>1634107.65</v>
      </c>
      <c r="H185" s="343" t="s">
        <v>835</v>
      </c>
      <c r="I185" s="511"/>
      <c r="J185" s="444">
        <v>0</v>
      </c>
      <c r="K185" s="343" t="s">
        <v>856</v>
      </c>
      <c r="L185" s="511"/>
      <c r="M185" s="444">
        <v>9445.708959537571</v>
      </c>
      <c r="N185" s="343" t="s">
        <v>835</v>
      </c>
      <c r="O185" s="511"/>
      <c r="P185" s="512" t="str">
        <f t="shared" si="120"/>
        <v>Met</v>
      </c>
      <c r="Q185" s="511"/>
      <c r="R185" s="444">
        <f>VLOOKUP(A185,'2020-21'!$A$6:$F$319,6,0)</f>
        <v>0</v>
      </c>
      <c r="S185" s="513" t="str">
        <f t="shared" si="91"/>
        <v>Met</v>
      </c>
      <c r="U185" s="444">
        <f>VLOOKUP(A185,'2020-21'!$A$6:$G$319,7,0)</f>
        <v>1560675.25</v>
      </c>
      <c r="V185" s="513" t="str">
        <f t="shared" si="92"/>
        <v>Did not Meet</v>
      </c>
      <c r="X185" s="444">
        <f>VLOOKUP(A185,'2020-21'!$A$6:$F$319,6,0)/VLOOKUP(A185,'42. SEA or LEA Worksheet'!$A$4:$T$324,20,0)</f>
        <v>0</v>
      </c>
      <c r="Y185" s="513" t="str">
        <f t="shared" si="93"/>
        <v>Met</v>
      </c>
      <c r="AA185" s="444">
        <f>VLOOKUP(A185,'42. SEA or LEA Worksheet'!$A$4:$W$324,23,0)/VLOOKUP(compliance!A185,'42. SEA or LEA Worksheet'!$A$4:$T$324,20,0)</f>
        <v>9073.6933139534885</v>
      </c>
      <c r="AB185" s="513" t="str">
        <f t="shared" si="94"/>
        <v>Did not Meet</v>
      </c>
      <c r="AD185" s="512" t="str">
        <f t="shared" si="112"/>
        <v>Met</v>
      </c>
      <c r="AF185" s="444">
        <f>VLOOKUP(A185,'42. SEA or LEA Worksheet'!$A$4:$Z$324,26,0)</f>
        <v>0</v>
      </c>
      <c r="AG185" s="513" t="str">
        <f t="shared" si="95"/>
        <v>Met</v>
      </c>
      <c r="AI185" s="444">
        <f>VLOOKUP(A185,'42. SEA or LEA Worksheet'!$A$4:$AB$324,28,0)</f>
        <v>1827388.1</v>
      </c>
      <c r="AJ185" s="513" t="str">
        <f t="shared" si="96"/>
        <v>Met</v>
      </c>
      <c r="AL185" s="444">
        <f>VLOOKUP(compliance!A185,'42. SEA or LEA Worksheet'!$A$4:$AB$324,26,0)/VLOOKUP(compliance!A185,'42. SEA or LEA Worksheet'!$A$4:$Y$324,25,0)</f>
        <v>0</v>
      </c>
      <c r="AM185" s="513" t="str">
        <f t="shared" si="97"/>
        <v>Met</v>
      </c>
      <c r="AO185" s="444">
        <f>VLOOKUP(A185,'42. SEA or LEA Worksheet'!$A$4:$AB$324,28,0)/VLOOKUP(compliance!A185,'42. SEA or LEA Worksheet'!$A$4:$Y$324,25,0)</f>
        <v>11075.079393939395</v>
      </c>
      <c r="AP185" s="513" t="str">
        <f t="shared" si="98"/>
        <v>Met</v>
      </c>
      <c r="AR185" s="512" t="str">
        <f t="shared" si="113"/>
        <v>Met</v>
      </c>
      <c r="AT185" s="444">
        <f>VLOOKUP(A185,'42. SEA or LEA Worksheet'!$A$4:$AE$324,31,0)</f>
        <v>309060.12</v>
      </c>
      <c r="AU185" s="513" t="str">
        <f t="shared" si="121"/>
        <v>Met</v>
      </c>
      <c r="AW185" s="444">
        <f>VLOOKUP(A185,'42. SEA or LEA Worksheet'!$A$4:$AG$324,33,0)</f>
        <v>1956910.7799999998</v>
      </c>
      <c r="AX185" s="513" t="str">
        <f t="shared" si="109"/>
        <v>Met</v>
      </c>
      <c r="AZ185" s="444">
        <f>VLOOKUP(A185,'42. SEA or LEA Worksheet'!$A$4:$AG$324,31,0)/VLOOKUP(A185,'42. SEA or LEA Worksheet'!$A$4:$AD$324,30,0)</f>
        <v>2046.7557615894038</v>
      </c>
      <c r="BA185" s="513" t="str">
        <f t="shared" si="110"/>
        <v>Met</v>
      </c>
      <c r="BC185" s="444">
        <f>VLOOKUP(A185,'42. SEA or LEA Worksheet'!$A$4:$AG$324,33,0)/VLOOKUP(A185,'42. SEA or LEA Worksheet'!$A$4:$AD$324,30,0)</f>
        <v>12959.674039735099</v>
      </c>
      <c r="BD185" s="513" t="str">
        <f t="shared" si="111"/>
        <v>Met</v>
      </c>
      <c r="BF185" s="512" t="str">
        <f t="shared" si="122"/>
        <v>Met</v>
      </c>
      <c r="BG185" s="637">
        <f>VLOOKUP(A185,'42. SEA or LEA Worksheet'!$A$4:$AM$324,36,0)</f>
        <v>68273.55</v>
      </c>
      <c r="BH185" s="638" t="str">
        <f t="shared" si="115"/>
        <v>Did not Meet</v>
      </c>
      <c r="BI185" s="639"/>
      <c r="BJ185" s="637">
        <f>VLOOKUP(A185,'42. SEA or LEA Worksheet'!$A$4:$AM$324,38,0)</f>
        <v>2075147.53</v>
      </c>
      <c r="BK185" s="638" t="str">
        <f t="shared" si="116"/>
        <v>Met</v>
      </c>
      <c r="BM185" s="631">
        <f>VLOOKUP(A185,'42. SEA or LEA Worksheet'!$A$4:$AL$324,36,0)/VLOOKUP(A185,'42. SEA or LEA Worksheet'!$A$4:$AL$324,35,0)</f>
        <v>416.30213414634147</v>
      </c>
      <c r="BN185" s="632" t="str">
        <f t="shared" si="117"/>
        <v>Met</v>
      </c>
      <c r="BP185" s="631">
        <f>VLOOKUP(A185,'42. SEA or LEA Worksheet'!$A$4:$AL$324,38,0)/VLOOKUP(A185,'42. SEA or LEA Worksheet'!$A$4:$AL$324,35,0)</f>
        <v>12653.338597560976</v>
      </c>
      <c r="BQ185" s="632" t="str">
        <f t="shared" si="118"/>
        <v>Met</v>
      </c>
      <c r="BS185" s="620" t="str">
        <f t="shared" si="123"/>
        <v>Met</v>
      </c>
    </row>
    <row r="186" spans="1:71" x14ac:dyDescent="0.25">
      <c r="A186" s="343" t="s">
        <v>552</v>
      </c>
      <c r="B186" s="510" t="s">
        <v>1005</v>
      </c>
      <c r="C186" s="511"/>
      <c r="D186" s="444">
        <v>5230377.7699999996</v>
      </c>
      <c r="E186" s="343" t="s">
        <v>835</v>
      </c>
      <c r="F186" s="511"/>
      <c r="G186" s="444">
        <v>22215384.109999999</v>
      </c>
      <c r="H186" s="343" t="s">
        <v>835</v>
      </c>
      <c r="I186" s="511"/>
      <c r="J186" s="444">
        <v>3473.0264077025231</v>
      </c>
      <c r="K186" s="343" t="s">
        <v>835</v>
      </c>
      <c r="L186" s="511"/>
      <c r="M186" s="444">
        <v>14751.251069057105</v>
      </c>
      <c r="N186" s="343" t="s">
        <v>856</v>
      </c>
      <c r="O186" s="511"/>
      <c r="P186" s="512" t="str">
        <f t="shared" si="120"/>
        <v>Met</v>
      </c>
      <c r="Q186" s="511"/>
      <c r="R186" s="444">
        <f>VLOOKUP(A186,'2020-21'!$A$6:$F$319,6,0)</f>
        <v>5230377.7699999996</v>
      </c>
      <c r="S186" s="513" t="str">
        <f t="shared" si="91"/>
        <v>Met</v>
      </c>
      <c r="U186" s="444">
        <f>VLOOKUP(A186,'2020-21'!$A$6:$G$319,7,0)</f>
        <v>23336394.710000001</v>
      </c>
      <c r="V186" s="513" t="str">
        <f t="shared" si="92"/>
        <v>Met</v>
      </c>
      <c r="X186" s="444">
        <f>VLOOKUP(A186,'2020-21'!$A$6:$F$319,6,0)/VLOOKUP(A186,'42. SEA or LEA Worksheet'!$A$4:$T$324,20,0)</f>
        <v>3637.2585326842836</v>
      </c>
      <c r="Y186" s="513" t="str">
        <f t="shared" si="93"/>
        <v>Met</v>
      </c>
      <c r="AA186" s="444">
        <f>VLOOKUP(A186,'42. SEA or LEA Worksheet'!$A$4:$W$324,23,0)/VLOOKUP(compliance!A186,'42. SEA or LEA Worksheet'!$A$4:$T$324,20,0)</f>
        <v>16228.369061196106</v>
      </c>
      <c r="AB186" s="513" t="str">
        <f t="shared" si="94"/>
        <v>Met</v>
      </c>
      <c r="AD186" s="512" t="str">
        <f t="shared" si="112"/>
        <v>Met</v>
      </c>
      <c r="AF186" s="444">
        <f>VLOOKUP(A186,'42. SEA or LEA Worksheet'!$A$4:$Z$324,26,0)</f>
        <v>7495716.3600000003</v>
      </c>
      <c r="AG186" s="513" t="str">
        <f t="shared" si="95"/>
        <v>Met</v>
      </c>
      <c r="AI186" s="444">
        <f>VLOOKUP(A186,'42. SEA or LEA Worksheet'!$A$4:$AB$324,28,0)</f>
        <v>24219410.969999999</v>
      </c>
      <c r="AJ186" s="513" t="str">
        <f t="shared" si="96"/>
        <v>Met</v>
      </c>
      <c r="AL186" s="444">
        <f>VLOOKUP(compliance!A186,'42. SEA or LEA Worksheet'!$A$4:$AB$324,26,0)/VLOOKUP(compliance!A186,'42. SEA or LEA Worksheet'!$A$4:$Y$324,25,0)</f>
        <v>4759.1849904761903</v>
      </c>
      <c r="AM186" s="513" t="str">
        <f t="shared" si="97"/>
        <v>Met</v>
      </c>
      <c r="AO186" s="444">
        <f>VLOOKUP(A186,'42. SEA or LEA Worksheet'!$A$4:$AB$324,28,0)/VLOOKUP(compliance!A186,'42. SEA or LEA Worksheet'!$A$4:$Y$324,25,0)</f>
        <v>15377.40379047619</v>
      </c>
      <c r="AP186" s="513" t="str">
        <f t="shared" si="98"/>
        <v>Did not Meet</v>
      </c>
      <c r="AR186" s="512" t="str">
        <f t="shared" si="113"/>
        <v>Met</v>
      </c>
      <c r="AT186" s="444">
        <f>VLOOKUP(A186,'42. SEA or LEA Worksheet'!$A$4:$AE$324,31,0)</f>
        <v>7568621.8399999999</v>
      </c>
      <c r="AU186" s="513" t="str">
        <f t="shared" si="121"/>
        <v>Met</v>
      </c>
      <c r="AW186" s="444">
        <f>VLOOKUP(A186,'42. SEA or LEA Worksheet'!$A$4:$AG$324,33,0)</f>
        <v>26357160.239999998</v>
      </c>
      <c r="AX186" s="513" t="str">
        <f t="shared" si="109"/>
        <v>Met</v>
      </c>
      <c r="AZ186" s="444">
        <f>VLOOKUP(A186,'42. SEA or LEA Worksheet'!$A$4:$AG$324,31,0)/VLOOKUP(A186,'42. SEA or LEA Worksheet'!$A$4:$AD$324,30,0)</f>
        <v>4494.4310213776726</v>
      </c>
      <c r="BA186" s="513" t="str">
        <f t="shared" si="110"/>
        <v>Did not Meet</v>
      </c>
      <c r="BC186" s="444">
        <f>VLOOKUP(A186,'42. SEA or LEA Worksheet'!$A$4:$AG$324,33,0)/VLOOKUP(A186,'42. SEA or LEA Worksheet'!$A$4:$AD$324,30,0)</f>
        <v>15651.520332541566</v>
      </c>
      <c r="BD186" s="513" t="str">
        <f t="shared" si="111"/>
        <v>Met</v>
      </c>
      <c r="BF186" s="512" t="str">
        <f t="shared" si="122"/>
        <v>Met</v>
      </c>
      <c r="BG186" s="637">
        <f>VLOOKUP(A186,'42. SEA or LEA Worksheet'!$A$4:$AM$324,36,0)</f>
        <v>6107494.2199999997</v>
      </c>
      <c r="BH186" s="638" t="str">
        <f t="shared" si="115"/>
        <v>Did not Meet</v>
      </c>
      <c r="BI186" s="639"/>
      <c r="BJ186" s="637">
        <f>VLOOKUP(A186,'42. SEA or LEA Worksheet'!$A$4:$AM$324,38,0)</f>
        <v>28179195.669999998</v>
      </c>
      <c r="BK186" s="638" t="str">
        <f t="shared" si="116"/>
        <v>Met</v>
      </c>
      <c r="BM186" s="631">
        <f>VLOOKUP(A186,'42. SEA or LEA Worksheet'!$A$4:$AL$324,36,0)/VLOOKUP(A186,'42. SEA or LEA Worksheet'!$A$4:$AL$324,35,0)</f>
        <v>3674.7859326113116</v>
      </c>
      <c r="BN186" s="632" t="str">
        <f t="shared" si="117"/>
        <v>Met</v>
      </c>
      <c r="BP186" s="631">
        <f>VLOOKUP(A186,'42. SEA or LEA Worksheet'!$A$4:$AL$324,38,0)/VLOOKUP(A186,'42. SEA or LEA Worksheet'!$A$4:$AL$324,35,0)</f>
        <v>16954.991377858001</v>
      </c>
      <c r="BQ186" s="632" t="str">
        <f t="shared" si="118"/>
        <v>Met</v>
      </c>
      <c r="BS186" s="620" t="str">
        <f t="shared" si="123"/>
        <v>Met</v>
      </c>
    </row>
    <row r="187" spans="1:71" x14ac:dyDescent="0.25">
      <c r="A187" s="343" t="s">
        <v>554</v>
      </c>
      <c r="B187" s="510" t="s">
        <v>1006</v>
      </c>
      <c r="C187" s="511"/>
      <c r="D187" s="444">
        <v>40000</v>
      </c>
      <c r="E187" s="343" t="s">
        <v>835</v>
      </c>
      <c r="F187" s="511"/>
      <c r="G187" s="444">
        <v>7493045.0300000003</v>
      </c>
      <c r="H187" s="343" t="s">
        <v>835</v>
      </c>
      <c r="I187" s="511"/>
      <c r="J187" s="444">
        <v>45.402951191827469</v>
      </c>
      <c r="K187" s="343" t="s">
        <v>856</v>
      </c>
      <c r="L187" s="511"/>
      <c r="M187" s="444">
        <v>8505.1589443813846</v>
      </c>
      <c r="N187" s="343" t="s">
        <v>835</v>
      </c>
      <c r="O187" s="511"/>
      <c r="P187" s="512" t="str">
        <f t="shared" si="120"/>
        <v>Met</v>
      </c>
      <c r="Q187" s="511"/>
      <c r="R187" s="444">
        <f>VLOOKUP(A187,'2020-21'!$A$6:$F$319,6,0)</f>
        <v>40000</v>
      </c>
      <c r="S187" s="513" t="str">
        <f t="shared" si="91"/>
        <v>Met</v>
      </c>
      <c r="U187" s="444">
        <f>VLOOKUP(A187,'2020-21'!$A$6:$G$319,7,0)</f>
        <v>9796912.8399999999</v>
      </c>
      <c r="V187" s="513" t="str">
        <f t="shared" si="92"/>
        <v>Met</v>
      </c>
      <c r="X187" s="444">
        <f>VLOOKUP(A187,'2020-21'!$A$6:$F$319,6,0)/VLOOKUP(A187,'42. SEA or LEA Worksheet'!$A$4:$T$324,20,0)</f>
        <v>37.002775208140612</v>
      </c>
      <c r="Y187" s="513" t="str">
        <f t="shared" si="93"/>
        <v>Did not Meet</v>
      </c>
      <c r="AA187" s="444">
        <f>VLOOKUP(A187,'42. SEA or LEA Worksheet'!$A$4:$W$324,23,0)/VLOOKUP(compliance!A187,'42. SEA or LEA Worksheet'!$A$4:$T$324,20,0)</f>
        <v>9062.8240888066612</v>
      </c>
      <c r="AB187" s="513" t="str">
        <f t="shared" si="94"/>
        <v>Met</v>
      </c>
      <c r="AD187" s="512" t="str">
        <f t="shared" si="112"/>
        <v>Met</v>
      </c>
      <c r="AF187" s="444">
        <f>VLOOKUP(A187,'42. SEA or LEA Worksheet'!$A$4:$Z$324,26,0)</f>
        <v>40000</v>
      </c>
      <c r="AG187" s="513" t="str">
        <f t="shared" si="95"/>
        <v>Met</v>
      </c>
      <c r="AI187" s="444">
        <f>VLOOKUP(A187,'42. SEA or LEA Worksheet'!$A$4:$AB$324,28,0)</f>
        <v>8715628.3200000003</v>
      </c>
      <c r="AJ187" s="513" t="str">
        <f t="shared" si="96"/>
        <v>Did not Meet</v>
      </c>
      <c r="AL187" s="444">
        <f>VLOOKUP(compliance!A187,'42. SEA or LEA Worksheet'!$A$4:$AB$324,26,0)/VLOOKUP(compliance!A187,'42. SEA or LEA Worksheet'!$A$4:$Y$324,25,0)</f>
        <v>43.103448275862071</v>
      </c>
      <c r="AM187" s="513" t="str">
        <f t="shared" si="97"/>
        <v>Met</v>
      </c>
      <c r="AO187" s="444">
        <f>VLOOKUP(A187,'42. SEA or LEA Worksheet'!$A$4:$AB$324,28,0)/VLOOKUP(compliance!A187,'42. SEA or LEA Worksheet'!$A$4:$Y$324,25,0)</f>
        <v>9391.8408620689661</v>
      </c>
      <c r="AP187" s="513" t="str">
        <f t="shared" si="98"/>
        <v>Met</v>
      </c>
      <c r="AR187" s="512" t="str">
        <f t="shared" si="113"/>
        <v>Met</v>
      </c>
      <c r="AT187" s="444">
        <f>VLOOKUP(A187,'42. SEA or LEA Worksheet'!$A$4:$AE$324,31,0)</f>
        <v>40000</v>
      </c>
      <c r="AU187" s="513" t="str">
        <f t="shared" si="121"/>
        <v>Met</v>
      </c>
      <c r="AW187" s="444">
        <f>VLOOKUP(A187,'42. SEA or LEA Worksheet'!$A$4:$AG$324,33,0)</f>
        <v>8591473.6999999993</v>
      </c>
      <c r="AX187" s="513" t="str">
        <f t="shared" si="109"/>
        <v>Did not Meet</v>
      </c>
      <c r="AZ187" s="444">
        <f>VLOOKUP(A187,'42. SEA or LEA Worksheet'!$A$4:$AG$324,31,0)/VLOOKUP(A187,'42. SEA or LEA Worksheet'!$A$4:$AD$324,30,0)</f>
        <v>45.045045045045043</v>
      </c>
      <c r="BA187" s="513" t="str">
        <f t="shared" si="110"/>
        <v>Met</v>
      </c>
      <c r="BC187" s="444">
        <f>VLOOKUP(A187,'42. SEA or LEA Worksheet'!$A$4:$AG$324,33,0)/VLOOKUP(A187,'42. SEA or LEA Worksheet'!$A$4:$AD$324,30,0)</f>
        <v>9675.0829954954952</v>
      </c>
      <c r="BD187" s="513" t="str">
        <f t="shared" si="111"/>
        <v>Met</v>
      </c>
      <c r="BF187" s="512" t="str">
        <f t="shared" si="122"/>
        <v>Met</v>
      </c>
      <c r="BG187" s="637">
        <f>VLOOKUP(A187,'42. SEA or LEA Worksheet'!$A$4:$AM$324,36,0)</f>
        <v>60000</v>
      </c>
      <c r="BH187" s="638" t="str">
        <f t="shared" si="115"/>
        <v>Met</v>
      </c>
      <c r="BI187" s="639"/>
      <c r="BJ187" s="637">
        <f>VLOOKUP(A187,'42. SEA or LEA Worksheet'!$A$4:$AM$324,38,0)</f>
        <v>10027422.449999999</v>
      </c>
      <c r="BK187" s="638" t="str">
        <f t="shared" si="116"/>
        <v>Met</v>
      </c>
      <c r="BM187" s="631">
        <f>VLOOKUP(A187,'42. SEA or LEA Worksheet'!$A$4:$AL$324,36,0)/VLOOKUP(A187,'42. SEA or LEA Worksheet'!$A$4:$AL$324,35,0)</f>
        <v>66.371681415929203</v>
      </c>
      <c r="BN187" s="632" t="str">
        <f t="shared" si="117"/>
        <v>Met</v>
      </c>
      <c r="BP187" s="631">
        <f>VLOOKUP(A187,'42. SEA or LEA Worksheet'!$A$4:$AL$324,38,0)/VLOOKUP(A187,'42. SEA or LEA Worksheet'!$A$4:$AL$324,35,0)</f>
        <v>11092.281471238937</v>
      </c>
      <c r="BQ187" s="632" t="str">
        <f t="shared" si="118"/>
        <v>Met</v>
      </c>
      <c r="BS187" s="620" t="str">
        <f t="shared" si="123"/>
        <v>Met</v>
      </c>
    </row>
    <row r="188" spans="1:71" x14ac:dyDescent="0.25">
      <c r="A188" s="343" t="s">
        <v>556</v>
      </c>
      <c r="B188" s="510" t="s">
        <v>1007</v>
      </c>
      <c r="C188" s="511"/>
      <c r="D188" s="444">
        <v>28287.13</v>
      </c>
      <c r="E188" s="343" t="s">
        <v>856</v>
      </c>
      <c r="F188" s="511"/>
      <c r="G188" s="444">
        <v>1236400.8699999999</v>
      </c>
      <c r="H188" s="343" t="s">
        <v>835</v>
      </c>
      <c r="I188" s="511"/>
      <c r="J188" s="444">
        <v>226.29704000000001</v>
      </c>
      <c r="K188" s="343" t="s">
        <v>856</v>
      </c>
      <c r="L188" s="511"/>
      <c r="M188" s="444">
        <v>9891.2069599999995</v>
      </c>
      <c r="N188" s="343" t="s">
        <v>835</v>
      </c>
      <c r="O188" s="511"/>
      <c r="P188" s="512" t="str">
        <f t="shared" si="120"/>
        <v>Met</v>
      </c>
      <c r="Q188" s="511"/>
      <c r="R188" s="444">
        <f>VLOOKUP(A188,'2020-21'!$A$6:$F$319,6,0)</f>
        <v>79682.45</v>
      </c>
      <c r="S188" s="513" t="str">
        <f t="shared" si="91"/>
        <v>Met</v>
      </c>
      <c r="U188" s="444">
        <f>VLOOKUP(A188,'2020-21'!$A$6:$G$319,7,0)</f>
        <v>1428590.95</v>
      </c>
      <c r="V188" s="513" t="str">
        <f t="shared" si="92"/>
        <v>Met</v>
      </c>
      <c r="X188" s="444">
        <f>VLOOKUP(A188,'2020-21'!$A$6:$F$319,6,0)/VLOOKUP(A188,'42. SEA or LEA Worksheet'!$A$4:$T$324,20,0)</f>
        <v>612.9419230769231</v>
      </c>
      <c r="Y188" s="513" t="str">
        <f t="shared" si="93"/>
        <v>Met</v>
      </c>
      <c r="AA188" s="444">
        <f>VLOOKUP(A188,'42. SEA or LEA Worksheet'!$A$4:$W$324,23,0)/VLOOKUP(compliance!A188,'42. SEA or LEA Worksheet'!$A$4:$T$324,20,0)</f>
        <v>10989.161153846153</v>
      </c>
      <c r="AB188" s="513" t="str">
        <f t="shared" si="94"/>
        <v>Met</v>
      </c>
      <c r="AD188" s="512" t="str">
        <f t="shared" si="112"/>
        <v>Met</v>
      </c>
      <c r="AF188" s="444">
        <f>VLOOKUP(A188,'42. SEA or LEA Worksheet'!$A$4:$Z$324,26,0)</f>
        <v>203786.21</v>
      </c>
      <c r="AG188" s="513" t="str">
        <f t="shared" si="95"/>
        <v>Met</v>
      </c>
      <c r="AI188" s="444">
        <f>VLOOKUP(A188,'42. SEA or LEA Worksheet'!$A$4:$AB$324,28,0)</f>
        <v>1471761.6099999999</v>
      </c>
      <c r="AJ188" s="513" t="str">
        <f t="shared" si="96"/>
        <v>Met</v>
      </c>
      <c r="AL188" s="444">
        <f>VLOOKUP(compliance!A188,'42. SEA or LEA Worksheet'!$A$4:$AB$324,26,0)/VLOOKUP(compliance!A188,'42. SEA or LEA Worksheet'!$A$4:$Y$324,25,0)</f>
        <v>1395.7959589041095</v>
      </c>
      <c r="AM188" s="513" t="str">
        <f t="shared" si="97"/>
        <v>Met</v>
      </c>
      <c r="AO188" s="444">
        <f>VLOOKUP(A188,'42. SEA or LEA Worksheet'!$A$4:$AB$324,28,0)/VLOOKUP(compliance!A188,'42. SEA or LEA Worksheet'!$A$4:$Y$324,25,0)</f>
        <v>10080.558972602739</v>
      </c>
      <c r="AP188" s="513" t="str">
        <f t="shared" si="98"/>
        <v>Did not Meet</v>
      </c>
      <c r="AR188" s="512" t="str">
        <f t="shared" si="113"/>
        <v>Met</v>
      </c>
      <c r="AT188" s="444">
        <f>VLOOKUP(A188,'42. SEA or LEA Worksheet'!$A$4:$AE$324,31,0)</f>
        <v>88270.54</v>
      </c>
      <c r="AU188" s="513" t="str">
        <f t="shared" si="121"/>
        <v>Did not Meet</v>
      </c>
      <c r="AW188" s="444">
        <f>VLOOKUP(A188,'42. SEA or LEA Worksheet'!$A$4:$AG$324,33,0)</f>
        <v>1552436.68</v>
      </c>
      <c r="AX188" s="513" t="str">
        <f t="shared" si="109"/>
        <v>Met</v>
      </c>
      <c r="AZ188" s="444">
        <f>VLOOKUP(A188,'42. SEA or LEA Worksheet'!$A$4:$AG$324,31,0)/VLOOKUP(A188,'42. SEA or LEA Worksheet'!$A$4:$AD$324,30,0)</f>
        <v>565.83679487179484</v>
      </c>
      <c r="BA188" s="513" t="str">
        <f t="shared" si="110"/>
        <v>Did not Meet</v>
      </c>
      <c r="BC188" s="444">
        <f>VLOOKUP(A188,'42. SEA or LEA Worksheet'!$A$4:$AG$324,33,0)/VLOOKUP(A188,'42. SEA or LEA Worksheet'!$A$4:$AD$324,30,0)</f>
        <v>9951.5171794871785</v>
      </c>
      <c r="BD188" s="513" t="str">
        <f t="shared" si="111"/>
        <v>Did not Meet</v>
      </c>
      <c r="BF188" s="512" t="str">
        <f t="shared" si="122"/>
        <v>Met</v>
      </c>
      <c r="BG188" s="637">
        <f>VLOOKUP(A188,'42. SEA or LEA Worksheet'!$A$4:$AM$324,36,0)</f>
        <v>0</v>
      </c>
      <c r="BH188" s="638" t="str">
        <f t="shared" si="115"/>
        <v>Did not Meet</v>
      </c>
      <c r="BI188" s="639"/>
      <c r="BJ188" s="637">
        <f>VLOOKUP(A188,'42. SEA or LEA Worksheet'!$A$4:$AM$324,38,0)</f>
        <v>2193807.5699999998</v>
      </c>
      <c r="BK188" s="638" t="str">
        <f t="shared" si="116"/>
        <v>Met</v>
      </c>
      <c r="BM188" s="631">
        <f>VLOOKUP(A188,'42. SEA or LEA Worksheet'!$A$4:$AL$324,36,0)/VLOOKUP(A188,'42. SEA or LEA Worksheet'!$A$4:$AL$324,35,0)</f>
        <v>0</v>
      </c>
      <c r="BN188" s="632" t="str">
        <f t="shared" si="117"/>
        <v>Met</v>
      </c>
      <c r="BP188" s="631">
        <f>VLOOKUP(A188,'42. SEA or LEA Worksheet'!$A$4:$AL$324,38,0)/VLOOKUP(A188,'42. SEA or LEA Worksheet'!$A$4:$AL$324,35,0)</f>
        <v>13884.858037974682</v>
      </c>
      <c r="BQ188" s="632" t="str">
        <f t="shared" si="118"/>
        <v>Met</v>
      </c>
      <c r="BS188" s="620" t="str">
        <f t="shared" si="123"/>
        <v>Met</v>
      </c>
    </row>
    <row r="189" spans="1:71" x14ac:dyDescent="0.25">
      <c r="A189" s="343" t="s">
        <v>558</v>
      </c>
      <c r="B189" s="510" t="s">
        <v>1008</v>
      </c>
      <c r="C189" s="511"/>
      <c r="D189" s="444">
        <v>0</v>
      </c>
      <c r="E189" s="343" t="s">
        <v>856</v>
      </c>
      <c r="F189" s="511"/>
      <c r="G189" s="444">
        <v>33214.44</v>
      </c>
      <c r="H189" s="343" t="s">
        <v>856</v>
      </c>
      <c r="I189" s="511"/>
      <c r="J189" s="444">
        <v>0</v>
      </c>
      <c r="K189" s="343" t="s">
        <v>856</v>
      </c>
      <c r="L189" s="511"/>
      <c r="M189" s="444">
        <v>11071.480000000001</v>
      </c>
      <c r="N189" s="343" t="s">
        <v>835</v>
      </c>
      <c r="O189" s="511"/>
      <c r="P189" s="512" t="str">
        <f t="shared" si="120"/>
        <v>Met</v>
      </c>
      <c r="Q189" s="511"/>
      <c r="R189" s="444">
        <f>VLOOKUP(A189,'2020-21'!$A$6:$F$319,6,0)</f>
        <v>0</v>
      </c>
      <c r="S189" s="513" t="str">
        <f t="shared" si="91"/>
        <v>Met</v>
      </c>
      <c r="U189" s="444">
        <f>VLOOKUP(A189,'2020-21'!$A$6:$G$319,7,0)</f>
        <v>33395.51</v>
      </c>
      <c r="V189" s="513" t="str">
        <f t="shared" si="92"/>
        <v>Met</v>
      </c>
      <c r="X189" s="444">
        <f>VLOOKUP(A189,'2020-21'!$A$6:$F$319,6,0)/VLOOKUP(A189,'42. SEA or LEA Worksheet'!$A$4:$T$324,20,0)</f>
        <v>0</v>
      </c>
      <c r="Y189" s="513" t="str">
        <f t="shared" si="93"/>
        <v>Met</v>
      </c>
      <c r="AA189" s="444">
        <f>VLOOKUP(A189,'42. SEA or LEA Worksheet'!$A$4:$W$324,23,0)/VLOOKUP(compliance!A189,'42. SEA or LEA Worksheet'!$A$4:$T$324,20,0)</f>
        <v>11131.836666666668</v>
      </c>
      <c r="AB189" s="513" t="str">
        <f t="shared" si="94"/>
        <v>Met</v>
      </c>
      <c r="AD189" s="512" t="str">
        <f t="shared" si="112"/>
        <v>Met</v>
      </c>
      <c r="AF189" s="444">
        <f>VLOOKUP(A189,'42. SEA or LEA Worksheet'!$A$4:$Z$324,26,0)</f>
        <v>0</v>
      </c>
      <c r="AG189" s="513" t="str">
        <f t="shared" si="95"/>
        <v>Met</v>
      </c>
      <c r="AI189" s="444">
        <f>VLOOKUP(A189,'42. SEA or LEA Worksheet'!$A$4:$AB$324,28,0)</f>
        <v>42825.15</v>
      </c>
      <c r="AJ189" s="513" t="str">
        <f t="shared" si="96"/>
        <v>Met</v>
      </c>
      <c r="AL189" s="444">
        <f>VLOOKUP(compliance!A189,'42. SEA or LEA Worksheet'!$A$4:$AB$324,26,0)/VLOOKUP(compliance!A189,'42. SEA or LEA Worksheet'!$A$4:$Y$324,25,0)</f>
        <v>0</v>
      </c>
      <c r="AM189" s="513" t="str">
        <f t="shared" si="97"/>
        <v>Met</v>
      </c>
      <c r="AO189" s="444">
        <f>VLOOKUP(A189,'42. SEA or LEA Worksheet'!$A$4:$AB$324,28,0)/VLOOKUP(compliance!A189,'42. SEA or LEA Worksheet'!$A$4:$Y$324,25,0)</f>
        <v>6117.8785714285714</v>
      </c>
      <c r="AP189" s="513" t="str">
        <f t="shared" si="98"/>
        <v>Did not Meet</v>
      </c>
      <c r="AR189" s="512" t="str">
        <f t="shared" si="113"/>
        <v>Met</v>
      </c>
      <c r="AT189" s="444">
        <f>VLOOKUP(A189,'42. SEA or LEA Worksheet'!$A$4:$AE$324,31,0)</f>
        <v>0</v>
      </c>
      <c r="AU189" s="513" t="str">
        <f t="shared" si="121"/>
        <v>Met</v>
      </c>
      <c r="AW189" s="444">
        <f>VLOOKUP(A189,'42. SEA or LEA Worksheet'!$A$4:$AG$324,33,0)</f>
        <v>66732.33</v>
      </c>
      <c r="AX189" s="513" t="str">
        <f t="shared" si="109"/>
        <v>Met</v>
      </c>
      <c r="AZ189" s="444">
        <f>VLOOKUP(A189,'42. SEA or LEA Worksheet'!$A$4:$AG$324,31,0)/VLOOKUP(A189,'42. SEA or LEA Worksheet'!$A$4:$AD$324,30,0)</f>
        <v>0</v>
      </c>
      <c r="BA189" s="513" t="str">
        <f t="shared" si="110"/>
        <v>Met</v>
      </c>
      <c r="BC189" s="444">
        <f>VLOOKUP(A189,'42. SEA or LEA Worksheet'!$A$4:$AG$324,33,0)/VLOOKUP(A189,'42. SEA or LEA Worksheet'!$A$4:$AD$324,30,0)</f>
        <v>8341.5412500000002</v>
      </c>
      <c r="BD189" s="513" t="str">
        <f t="shared" si="111"/>
        <v>Met</v>
      </c>
      <c r="BF189" s="512" t="str">
        <f t="shared" si="122"/>
        <v>Met</v>
      </c>
      <c r="BG189" s="637">
        <f>VLOOKUP(A189,'42. SEA or LEA Worksheet'!$A$4:$AM$324,36,0)</f>
        <v>0</v>
      </c>
      <c r="BH189" s="638" t="str">
        <f t="shared" si="115"/>
        <v>Met</v>
      </c>
      <c r="BI189" s="639"/>
      <c r="BJ189" s="637">
        <f>VLOOKUP(A189,'42. SEA or LEA Worksheet'!$A$4:$AM$324,38,0)</f>
        <v>74417.789999999994</v>
      </c>
      <c r="BK189" s="638" t="str">
        <f t="shared" si="116"/>
        <v>Met</v>
      </c>
      <c r="BM189" s="631">
        <f>VLOOKUP(A189,'42. SEA or LEA Worksheet'!$A$4:$AL$324,36,0)/VLOOKUP(A189,'42. SEA or LEA Worksheet'!$A$4:$AL$324,35,0)</f>
        <v>0</v>
      </c>
      <c r="BN189" s="632" t="str">
        <f t="shared" si="117"/>
        <v>Met</v>
      </c>
      <c r="BP189" s="631">
        <f>VLOOKUP(A189,'42. SEA or LEA Worksheet'!$A$4:$AL$324,38,0)/VLOOKUP(A189,'42. SEA or LEA Worksheet'!$A$4:$AL$324,35,0)</f>
        <v>12402.964999999998</v>
      </c>
      <c r="BQ189" s="632" t="str">
        <f t="shared" si="118"/>
        <v>Met</v>
      </c>
      <c r="BS189" s="620" t="str">
        <f t="shared" si="123"/>
        <v>Met</v>
      </c>
    </row>
    <row r="190" spans="1:71" x14ac:dyDescent="0.25">
      <c r="A190" s="343" t="s">
        <v>560</v>
      </c>
      <c r="B190" s="510" t="s">
        <v>1009</v>
      </c>
      <c r="C190" s="511"/>
      <c r="D190" s="444">
        <v>64633.72</v>
      </c>
      <c r="E190" s="343" t="s">
        <v>856</v>
      </c>
      <c r="F190" s="511"/>
      <c r="G190" s="444">
        <v>1348373.5</v>
      </c>
      <c r="H190" s="343" t="s">
        <v>835</v>
      </c>
      <c r="I190" s="511"/>
      <c r="J190" s="444">
        <v>742.91632183908052</v>
      </c>
      <c r="K190" s="343" t="s">
        <v>856</v>
      </c>
      <c r="L190" s="511"/>
      <c r="M190" s="444">
        <v>15498.545977011494</v>
      </c>
      <c r="N190" s="343" t="s">
        <v>835</v>
      </c>
      <c r="O190" s="511"/>
      <c r="P190" s="512" t="str">
        <f t="shared" si="120"/>
        <v>Met</v>
      </c>
      <c r="Q190" s="511"/>
      <c r="R190" s="444">
        <f>VLOOKUP(A190,'2020-21'!$A$6:$F$319,6,0)</f>
        <v>67488.070000000007</v>
      </c>
      <c r="S190" s="513" t="str">
        <f t="shared" si="91"/>
        <v>Met</v>
      </c>
      <c r="U190" s="444">
        <f>VLOOKUP(A190,'2020-21'!$A$6:$G$319,7,0)</f>
        <v>1242242.0900000001</v>
      </c>
      <c r="V190" s="513" t="str">
        <f t="shared" si="92"/>
        <v>Did not Meet</v>
      </c>
      <c r="X190" s="444">
        <f>VLOOKUP(A190,'2020-21'!$A$6:$F$319,6,0)/VLOOKUP(A190,'42. SEA or LEA Worksheet'!$A$4:$T$324,20,0)</f>
        <v>674.88070000000005</v>
      </c>
      <c r="Y190" s="513" t="str">
        <f t="shared" si="93"/>
        <v>Did not Meet</v>
      </c>
      <c r="AA190" s="444">
        <f>VLOOKUP(A190,'42. SEA or LEA Worksheet'!$A$4:$W$324,23,0)/VLOOKUP(compliance!A190,'42. SEA or LEA Worksheet'!$A$4:$T$324,20,0)</f>
        <v>12422.420900000001</v>
      </c>
      <c r="AB190" s="513" t="str">
        <f t="shared" si="94"/>
        <v>Did not Meet</v>
      </c>
      <c r="AD190" s="512" t="str">
        <f t="shared" si="112"/>
        <v>Met</v>
      </c>
      <c r="AF190" s="444">
        <f>VLOOKUP(A190,'42. SEA or LEA Worksheet'!$A$4:$Z$324,26,0)</f>
        <v>0</v>
      </c>
      <c r="AG190" s="513" t="str">
        <f t="shared" si="95"/>
        <v>Did not Meet</v>
      </c>
      <c r="AI190" s="444">
        <f>VLOOKUP(A190,'42. SEA or LEA Worksheet'!$A$4:$AB$324,28,0)</f>
        <v>1269884.75</v>
      </c>
      <c r="AJ190" s="513" t="str">
        <f t="shared" si="96"/>
        <v>Met</v>
      </c>
      <c r="AL190" s="444">
        <f>VLOOKUP(compliance!A190,'42. SEA or LEA Worksheet'!$A$4:$AB$324,26,0)/VLOOKUP(compliance!A190,'42. SEA or LEA Worksheet'!$A$4:$Y$324,25,0)</f>
        <v>0</v>
      </c>
      <c r="AM190" s="513" t="str">
        <f t="shared" si="97"/>
        <v>Did not Meet</v>
      </c>
      <c r="AO190" s="444">
        <f>VLOOKUP(A190,'42. SEA or LEA Worksheet'!$A$4:$AB$324,28,0)/VLOOKUP(compliance!A190,'42. SEA or LEA Worksheet'!$A$4:$Y$324,25,0)</f>
        <v>15117.675595238095</v>
      </c>
      <c r="AP190" s="513" t="str">
        <f t="shared" si="98"/>
        <v>Met</v>
      </c>
      <c r="AR190" s="512" t="str">
        <f t="shared" si="113"/>
        <v>Met</v>
      </c>
      <c r="AT190" s="444">
        <f>VLOOKUP(A190,'42. SEA or LEA Worksheet'!$A$4:$AE$324,31,0)</f>
        <v>78609.149999999994</v>
      </c>
      <c r="AU190" s="513" t="str">
        <f t="shared" si="121"/>
        <v>Met</v>
      </c>
      <c r="AW190" s="444">
        <f>VLOOKUP(A190,'42. SEA or LEA Worksheet'!$A$4:$AG$324,33,0)</f>
        <v>1543578.99</v>
      </c>
      <c r="AX190" s="513" t="str">
        <f t="shared" si="109"/>
        <v>Met</v>
      </c>
      <c r="AZ190" s="444">
        <f>VLOOKUP(A190,'42. SEA or LEA Worksheet'!$A$4:$AG$324,31,0)/VLOOKUP(A190,'42. SEA or LEA Worksheet'!$A$4:$AD$324,30,0)</f>
        <v>802.13418367346935</v>
      </c>
      <c r="BA190" s="513" t="str">
        <f t="shared" si="110"/>
        <v>Met</v>
      </c>
      <c r="BC190" s="444">
        <f>VLOOKUP(A190,'42. SEA or LEA Worksheet'!$A$4:$AG$324,33,0)/VLOOKUP(A190,'42. SEA or LEA Worksheet'!$A$4:$AD$324,30,0)</f>
        <v>15750.806020408163</v>
      </c>
      <c r="BD190" s="513" t="str">
        <f t="shared" si="111"/>
        <v>Met</v>
      </c>
      <c r="BF190" s="512" t="str">
        <f t="shared" si="122"/>
        <v>Met</v>
      </c>
      <c r="BG190" s="637">
        <f>VLOOKUP(A190,'42. SEA or LEA Worksheet'!$A$4:$AM$324,36,0)</f>
        <v>65132.09</v>
      </c>
      <c r="BH190" s="638" t="str">
        <f t="shared" si="115"/>
        <v>Did not Meet</v>
      </c>
      <c r="BI190" s="639"/>
      <c r="BJ190" s="637">
        <f>VLOOKUP(A190,'42. SEA or LEA Worksheet'!$A$4:$AM$324,38,0)</f>
        <v>1585432.6300000001</v>
      </c>
      <c r="BK190" s="638" t="str">
        <f t="shared" si="116"/>
        <v>Met</v>
      </c>
      <c r="BM190" s="631">
        <f>VLOOKUP(A190,'42. SEA or LEA Worksheet'!$A$4:$AL$324,36,0)/VLOOKUP(A190,'42. SEA or LEA Worksheet'!$A$4:$AL$324,35,0)</f>
        <v>556.68452991452989</v>
      </c>
      <c r="BN190" s="632" t="str">
        <f t="shared" si="117"/>
        <v>Met</v>
      </c>
      <c r="BP190" s="631">
        <f>VLOOKUP(A190,'42. SEA or LEA Worksheet'!$A$4:$AL$324,38,0)/VLOOKUP(A190,'42. SEA or LEA Worksheet'!$A$4:$AL$324,35,0)</f>
        <v>13550.70623931624</v>
      </c>
      <c r="BQ190" s="632" t="str">
        <f t="shared" si="118"/>
        <v>Met</v>
      </c>
      <c r="BS190" s="620" t="str">
        <f t="shared" si="123"/>
        <v>Met</v>
      </c>
    </row>
    <row r="191" spans="1:71" x14ac:dyDescent="0.25">
      <c r="A191" s="343" t="s">
        <v>562</v>
      </c>
      <c r="B191" s="510" t="s">
        <v>1010</v>
      </c>
      <c r="C191" s="511"/>
      <c r="D191" s="444">
        <v>0</v>
      </c>
      <c r="E191" s="343" t="s">
        <v>856</v>
      </c>
      <c r="F191" s="511"/>
      <c r="G191" s="444">
        <v>89541</v>
      </c>
      <c r="H191" s="343" t="s">
        <v>856</v>
      </c>
      <c r="I191" s="511"/>
      <c r="J191" s="444">
        <v>0</v>
      </c>
      <c r="K191" s="343" t="s">
        <v>856</v>
      </c>
      <c r="L191" s="511"/>
      <c r="M191" s="444">
        <v>14923.5</v>
      </c>
      <c r="N191" s="343" t="s">
        <v>835</v>
      </c>
      <c r="O191" s="511"/>
      <c r="P191" s="512" t="str">
        <f t="shared" si="120"/>
        <v>Met</v>
      </c>
      <c r="Q191" s="511"/>
      <c r="R191" s="444">
        <f>VLOOKUP(A191,'2020-21'!$A$6:$F$319,6,0)</f>
        <v>0</v>
      </c>
      <c r="S191" s="513" t="str">
        <f t="shared" si="91"/>
        <v>Met</v>
      </c>
      <c r="U191" s="444">
        <f>VLOOKUP(A191,'2020-21'!$A$6:$G$319,7,0)</f>
        <v>67825.67</v>
      </c>
      <c r="V191" s="513" t="str">
        <f t="shared" si="92"/>
        <v>Did not Meet</v>
      </c>
      <c r="X191" s="444">
        <f>VLOOKUP(A191,'2020-21'!$A$6:$F$319,6,0)/VLOOKUP(A191,'42. SEA or LEA Worksheet'!$A$4:$T$324,20,0)</f>
        <v>0</v>
      </c>
      <c r="Y191" s="513" t="str">
        <f t="shared" si="93"/>
        <v>Met</v>
      </c>
      <c r="AA191" s="444">
        <f>VLOOKUP(A191,'42. SEA or LEA Worksheet'!$A$4:$W$324,23,0)/VLOOKUP(compliance!A191,'42. SEA or LEA Worksheet'!$A$4:$T$324,20,0)</f>
        <v>22608.556666666667</v>
      </c>
      <c r="AB191" s="513" t="str">
        <f t="shared" si="94"/>
        <v>Met</v>
      </c>
      <c r="AD191" s="512" t="str">
        <f t="shared" si="112"/>
        <v>Met</v>
      </c>
      <c r="AF191" s="444">
        <f>VLOOKUP(A191,'42. SEA or LEA Worksheet'!$A$4:$Z$324,26,0)</f>
        <v>0</v>
      </c>
      <c r="AG191" s="513" t="str">
        <f t="shared" si="95"/>
        <v>Met</v>
      </c>
      <c r="AI191" s="444">
        <f>VLOOKUP(A191,'42. SEA or LEA Worksheet'!$A$4:$AB$324,28,0)</f>
        <v>91110.69</v>
      </c>
      <c r="AJ191" s="513" t="str">
        <f t="shared" si="96"/>
        <v>Met</v>
      </c>
      <c r="AL191" s="444">
        <f>VLOOKUP(compliance!A191,'42. SEA or LEA Worksheet'!$A$4:$AB$324,26,0)/VLOOKUP(compliance!A191,'42. SEA or LEA Worksheet'!$A$4:$Y$324,25,0)</f>
        <v>0</v>
      </c>
      <c r="AM191" s="513" t="str">
        <f t="shared" si="97"/>
        <v>Met</v>
      </c>
      <c r="AO191" s="444">
        <f>VLOOKUP(A191,'42. SEA or LEA Worksheet'!$A$4:$AB$324,28,0)/VLOOKUP(compliance!A191,'42. SEA or LEA Worksheet'!$A$4:$Y$324,25,0)</f>
        <v>18222.137999999999</v>
      </c>
      <c r="AP191" s="513" t="str">
        <f t="shared" si="98"/>
        <v>Did not Meet</v>
      </c>
      <c r="AR191" s="512" t="str">
        <f t="shared" si="113"/>
        <v>Met</v>
      </c>
      <c r="AT191" s="444">
        <f>VLOOKUP(A191,'42. SEA or LEA Worksheet'!$A$4:$AE$324,31,0)</f>
        <v>0</v>
      </c>
      <c r="AU191" s="513" t="str">
        <f t="shared" si="121"/>
        <v>Met</v>
      </c>
      <c r="AW191" s="444">
        <f>VLOOKUP(A191,'42. SEA or LEA Worksheet'!$A$4:$AG$324,33,0)</f>
        <v>89865.15</v>
      </c>
      <c r="AX191" s="513" t="str">
        <f t="shared" ref="AX191:AX212" si="124">IF(AW191&gt;=AI191,"Met","Did not Meet")</f>
        <v>Did not Meet</v>
      </c>
      <c r="AZ191" s="444">
        <f>VLOOKUP(A191,'42. SEA or LEA Worksheet'!$A$4:$AG$324,31,0)/VLOOKUP(A191,'42. SEA or LEA Worksheet'!$A$4:$AD$324,30,0)</f>
        <v>0</v>
      </c>
      <c r="BA191" s="513" t="str">
        <f t="shared" ref="BA191:BA212" si="125">IF(AZ191&gt;=AL191,"Met","Did not Meet")</f>
        <v>Met</v>
      </c>
      <c r="BC191" s="444">
        <f>VLOOKUP(A191,'42. SEA or LEA Worksheet'!$A$4:$AG$324,33,0)/VLOOKUP(A191,'42. SEA or LEA Worksheet'!$A$4:$AD$324,30,0)</f>
        <v>22466.287499999999</v>
      </c>
      <c r="BD191" s="513" t="str">
        <f t="shared" ref="BD191:BD212" si="126">IF(BC191&gt;=AO191,"Met","Did not Meet")</f>
        <v>Met</v>
      </c>
      <c r="BF191" s="512" t="str">
        <f t="shared" si="122"/>
        <v>Met</v>
      </c>
      <c r="BG191" s="637">
        <f>VLOOKUP(A191,'42. SEA or LEA Worksheet'!$A$4:$AM$324,36,0)</f>
        <v>0</v>
      </c>
      <c r="BH191" s="638" t="str">
        <f t="shared" si="115"/>
        <v>Met</v>
      </c>
      <c r="BI191" s="639"/>
      <c r="BJ191" s="637">
        <f>VLOOKUP(A191,'42. SEA or LEA Worksheet'!$A$4:$AM$324,38,0)</f>
        <v>88106.94</v>
      </c>
      <c r="BK191" s="638" t="str">
        <f t="shared" si="116"/>
        <v>Did not Meet</v>
      </c>
      <c r="BM191" s="631">
        <f>VLOOKUP(A191,'42. SEA or LEA Worksheet'!$A$4:$AL$324,36,0)/VLOOKUP(A191,'42. SEA or LEA Worksheet'!$A$4:$AL$324,35,0)</f>
        <v>0</v>
      </c>
      <c r="BN191" s="632" t="str">
        <f t="shared" si="117"/>
        <v>Met</v>
      </c>
      <c r="BP191" s="631">
        <f>VLOOKUP(A191,'42. SEA or LEA Worksheet'!$A$4:$AL$324,38,0)/VLOOKUP(A191,'42. SEA or LEA Worksheet'!$A$4:$AL$324,35,0)</f>
        <v>11013.3675</v>
      </c>
      <c r="BQ191" s="632" t="str">
        <f t="shared" si="118"/>
        <v>Met</v>
      </c>
      <c r="BS191" s="620" t="str">
        <f t="shared" si="123"/>
        <v>Met</v>
      </c>
    </row>
    <row r="192" spans="1:71" x14ac:dyDescent="0.25">
      <c r="A192" s="343" t="s">
        <v>564</v>
      </c>
      <c r="B192" s="510" t="s">
        <v>1011</v>
      </c>
      <c r="C192" s="511"/>
      <c r="D192" s="444">
        <v>0</v>
      </c>
      <c r="E192" s="343" t="s">
        <v>856</v>
      </c>
      <c r="F192" s="511"/>
      <c r="G192" s="444">
        <v>108475.34</v>
      </c>
      <c r="H192" s="343" t="s">
        <v>835</v>
      </c>
      <c r="I192" s="511"/>
      <c r="J192" s="444">
        <v>0</v>
      </c>
      <c r="K192" s="343" t="s">
        <v>856</v>
      </c>
      <c r="L192" s="511"/>
      <c r="M192" s="444">
        <v>7748.238571428571</v>
      </c>
      <c r="N192" s="343" t="s">
        <v>856</v>
      </c>
      <c r="O192" s="511"/>
      <c r="P192" s="512" t="str">
        <f t="shared" si="120"/>
        <v>Met</v>
      </c>
      <c r="Q192" s="511"/>
      <c r="R192" s="444">
        <f>VLOOKUP(A192,'2020-21'!$A$6:$F$319,6,0)</f>
        <v>0</v>
      </c>
      <c r="S192" s="513" t="str">
        <f t="shared" si="91"/>
        <v>Met</v>
      </c>
      <c r="U192" s="444">
        <f>VLOOKUP(A192,'2020-21'!$A$6:$G$319,7,0)</f>
        <v>107572.82</v>
      </c>
      <c r="V192" s="513" t="str">
        <f t="shared" si="92"/>
        <v>Did not Meet</v>
      </c>
      <c r="X192" s="444">
        <f>VLOOKUP(A192,'2020-21'!$A$6:$F$319,6,0)/VLOOKUP(A192,'42. SEA or LEA Worksheet'!$A$4:$T$324,20,0)</f>
        <v>0</v>
      </c>
      <c r="Y192" s="513" t="str">
        <f t="shared" si="93"/>
        <v>Met</v>
      </c>
      <c r="AA192" s="444">
        <f>VLOOKUP(A192,'42. SEA or LEA Worksheet'!$A$4:$W$324,23,0)/VLOOKUP(compliance!A192,'42. SEA or LEA Worksheet'!$A$4:$T$324,20,0)</f>
        <v>11952.535555555556</v>
      </c>
      <c r="AB192" s="513" t="str">
        <f t="shared" si="94"/>
        <v>Met</v>
      </c>
      <c r="AD192" s="512" t="str">
        <f t="shared" si="112"/>
        <v>Met</v>
      </c>
      <c r="AF192" s="444">
        <f>VLOOKUP(A192,'42. SEA or LEA Worksheet'!$A$4:$Z$324,26,0)</f>
        <v>0</v>
      </c>
      <c r="AG192" s="513" t="str">
        <f t="shared" si="95"/>
        <v>Met</v>
      </c>
      <c r="AI192" s="444">
        <f>VLOOKUP(A192,'42. SEA or LEA Worksheet'!$A$4:$AB$324,28,0)</f>
        <v>91784.54</v>
      </c>
      <c r="AJ192" s="513" t="str">
        <f t="shared" si="96"/>
        <v>Did not Meet</v>
      </c>
      <c r="AL192" s="444">
        <f>VLOOKUP(compliance!A192,'42. SEA or LEA Worksheet'!$A$4:$AB$324,26,0)/VLOOKUP(compliance!A192,'42. SEA or LEA Worksheet'!$A$4:$Y$324,25,0)</f>
        <v>0</v>
      </c>
      <c r="AM192" s="513" t="str">
        <f t="shared" si="97"/>
        <v>Met</v>
      </c>
      <c r="AO192" s="444">
        <f>VLOOKUP(A192,'42. SEA or LEA Worksheet'!$A$4:$AB$324,28,0)/VLOOKUP(compliance!A192,'42. SEA or LEA Worksheet'!$A$4:$Y$324,25,0)</f>
        <v>15297.423333333332</v>
      </c>
      <c r="AP192" s="513" t="str">
        <f t="shared" si="98"/>
        <v>Met</v>
      </c>
      <c r="AR192" s="512" t="str">
        <f t="shared" si="113"/>
        <v>Met</v>
      </c>
      <c r="AT192" s="444">
        <f>VLOOKUP(A192,'42. SEA or LEA Worksheet'!$A$4:$AE$324,31,0)</f>
        <v>0</v>
      </c>
      <c r="AU192" s="513" t="str">
        <f t="shared" si="121"/>
        <v>Met</v>
      </c>
      <c r="AW192" s="444">
        <f>VLOOKUP(A192,'42. SEA or LEA Worksheet'!$A$4:$AG$324,33,0)</f>
        <v>70907.16</v>
      </c>
      <c r="AX192" s="513" t="str">
        <f t="shared" si="124"/>
        <v>Did not Meet</v>
      </c>
      <c r="AZ192" s="444">
        <f>VLOOKUP(A192,'42. SEA or LEA Worksheet'!$A$4:$AG$324,31,0)/VLOOKUP(A192,'42. SEA or LEA Worksheet'!$A$4:$AD$324,30,0)</f>
        <v>0</v>
      </c>
      <c r="BA192" s="513" t="str">
        <f t="shared" si="125"/>
        <v>Met</v>
      </c>
      <c r="BC192" s="444">
        <f>VLOOKUP(A192,'42. SEA or LEA Worksheet'!$A$4:$AG$324,33,0)/VLOOKUP(A192,'42. SEA or LEA Worksheet'!$A$4:$AD$324,30,0)</f>
        <v>10129.594285714285</v>
      </c>
      <c r="BD192" s="513" t="str">
        <f t="shared" si="126"/>
        <v>Did not Meet</v>
      </c>
      <c r="BF192" s="512" t="str">
        <f t="shared" si="122"/>
        <v>Met</v>
      </c>
      <c r="BG192" s="637">
        <f>VLOOKUP(A192,'42. SEA or LEA Worksheet'!$A$4:$AM$324,36,0)</f>
        <v>0</v>
      </c>
      <c r="BH192" s="638" t="str">
        <f t="shared" si="115"/>
        <v>Met</v>
      </c>
      <c r="BI192" s="639"/>
      <c r="BJ192" s="637">
        <f>VLOOKUP(A192,'42. SEA or LEA Worksheet'!$A$4:$AM$324,38,0)</f>
        <v>67631.61</v>
      </c>
      <c r="BK192" s="638" t="str">
        <f t="shared" si="116"/>
        <v>Did not Meet</v>
      </c>
      <c r="BM192" s="631">
        <f>VLOOKUP(A192,'42. SEA or LEA Worksheet'!$A$4:$AL$324,36,0)/VLOOKUP(A192,'42. SEA or LEA Worksheet'!$A$4:$AL$324,35,0)</f>
        <v>0</v>
      </c>
      <c r="BN192" s="632" t="str">
        <f t="shared" si="117"/>
        <v>Met</v>
      </c>
      <c r="BP192" s="631">
        <f>VLOOKUP(A192,'42. SEA or LEA Worksheet'!$A$4:$AL$324,38,0)/VLOOKUP(A192,'42. SEA or LEA Worksheet'!$A$4:$AL$324,35,0)</f>
        <v>11271.934999999999</v>
      </c>
      <c r="BQ192" s="632" t="str">
        <f t="shared" si="118"/>
        <v>Met</v>
      </c>
      <c r="BS192" s="620" t="str">
        <f t="shared" si="123"/>
        <v>Met</v>
      </c>
    </row>
    <row r="193" spans="1:71" x14ac:dyDescent="0.25">
      <c r="A193" s="343" t="s">
        <v>566</v>
      </c>
      <c r="B193" s="510" t="s">
        <v>1012</v>
      </c>
      <c r="C193" s="511"/>
      <c r="D193" s="444">
        <v>0</v>
      </c>
      <c r="E193" s="343" t="s">
        <v>856</v>
      </c>
      <c r="F193" s="511"/>
      <c r="G193" s="444">
        <v>207623.56</v>
      </c>
      <c r="H193" s="343" t="s">
        <v>835</v>
      </c>
      <c r="I193" s="511"/>
      <c r="J193" s="444">
        <v>0</v>
      </c>
      <c r="K193" s="343" t="s">
        <v>856</v>
      </c>
      <c r="L193" s="511"/>
      <c r="M193" s="444">
        <v>7985.5215384615385</v>
      </c>
      <c r="N193" s="343" t="s">
        <v>856</v>
      </c>
      <c r="O193" s="511"/>
      <c r="P193" s="512" t="str">
        <f t="shared" si="120"/>
        <v>Met</v>
      </c>
      <c r="Q193" s="511"/>
      <c r="R193" s="444">
        <f>VLOOKUP(A193,'2020-21'!$A$6:$F$319,6,0)</f>
        <v>0</v>
      </c>
      <c r="S193" s="513" t="str">
        <f t="shared" si="91"/>
        <v>Met</v>
      </c>
      <c r="U193" s="444">
        <f>VLOOKUP(A193,'2020-21'!$A$6:$G$319,7,0)</f>
        <v>165855.29999999999</v>
      </c>
      <c r="V193" s="513" t="str">
        <f t="shared" si="92"/>
        <v>Did not Meet</v>
      </c>
      <c r="X193" s="444">
        <v>0</v>
      </c>
      <c r="Y193" s="513" t="str">
        <f t="shared" si="93"/>
        <v>Met</v>
      </c>
      <c r="AA193" s="444">
        <f>VLOOKUP(A193,'42. SEA or LEA Worksheet'!$A$4:$W$324,23,0)/VLOOKUP(compliance!A193,'42. SEA or LEA Worksheet'!$A$4:$T$324,20,0)</f>
        <v>9214.1833333333325</v>
      </c>
      <c r="AB193" s="513" t="str">
        <f t="shared" si="94"/>
        <v>Met</v>
      </c>
      <c r="AD193" s="512" t="str">
        <f t="shared" si="112"/>
        <v>Met</v>
      </c>
      <c r="AF193" s="444">
        <f>VLOOKUP(A193,'42. SEA or LEA Worksheet'!$A$4:$Z$324,26,0)</f>
        <v>0</v>
      </c>
      <c r="AG193" s="513" t="str">
        <f t="shared" si="95"/>
        <v>Met</v>
      </c>
      <c r="AI193" s="444">
        <f>VLOOKUP(A193,'42. SEA or LEA Worksheet'!$A$4:$AB$324,28,0)</f>
        <v>153288.82999999999</v>
      </c>
      <c r="AJ193" s="513" t="str">
        <f t="shared" si="96"/>
        <v>Did not Meet</v>
      </c>
      <c r="AL193" s="444">
        <f>VLOOKUP(compliance!A193,'42. SEA or LEA Worksheet'!$A$4:$AB$324,26,0)/VLOOKUP(compliance!A193,'42. SEA or LEA Worksheet'!$A$4:$Y$324,25,0)</f>
        <v>0</v>
      </c>
      <c r="AM193" s="513" t="str">
        <f t="shared" si="97"/>
        <v>Met</v>
      </c>
      <c r="AO193" s="444">
        <f>VLOOKUP(A193,'42. SEA or LEA Worksheet'!$A$4:$AB$324,28,0)/VLOOKUP(compliance!A193,'42. SEA or LEA Worksheet'!$A$4:$Y$324,25,0)</f>
        <v>8516.0461111111108</v>
      </c>
      <c r="AP193" s="513" t="str">
        <f t="shared" si="98"/>
        <v>Did not Meet</v>
      </c>
      <c r="AR193" s="512" t="str">
        <f t="shared" si="113"/>
        <v>Met</v>
      </c>
      <c r="AT193" s="444">
        <f>VLOOKUP(A193,'42. SEA or LEA Worksheet'!$A$4:$AE$324,31,0)</f>
        <v>0</v>
      </c>
      <c r="AU193" s="513" t="str">
        <f t="shared" si="121"/>
        <v>Met</v>
      </c>
      <c r="AW193" s="444">
        <f>VLOOKUP(A193,'42. SEA or LEA Worksheet'!$A$4:$AG$324,33,0)</f>
        <v>189424.73</v>
      </c>
      <c r="AX193" s="513" t="str">
        <f t="shared" si="124"/>
        <v>Met</v>
      </c>
      <c r="AZ193" s="444">
        <f>VLOOKUP(A193,'42. SEA or LEA Worksheet'!$A$4:$AG$324,31,0)/VLOOKUP(A193,'42. SEA or LEA Worksheet'!$A$4:$AD$324,30,0)</f>
        <v>0</v>
      </c>
      <c r="BA193" s="513" t="str">
        <f t="shared" si="125"/>
        <v>Met</v>
      </c>
      <c r="BC193" s="444">
        <f>VLOOKUP(A193,'42. SEA or LEA Worksheet'!$A$4:$AG$324,33,0)/VLOOKUP(A193,'42. SEA or LEA Worksheet'!$A$4:$AD$324,30,0)</f>
        <v>10523.596111111112</v>
      </c>
      <c r="BD193" s="513" t="str">
        <f t="shared" si="126"/>
        <v>Met</v>
      </c>
      <c r="BF193" s="512" t="str">
        <f t="shared" si="122"/>
        <v>Met</v>
      </c>
      <c r="BG193" s="637">
        <f>VLOOKUP(A193,'42. SEA or LEA Worksheet'!$A$4:$AM$324,36,0)</f>
        <v>0</v>
      </c>
      <c r="BH193" s="638" t="str">
        <f t="shared" si="115"/>
        <v>Met</v>
      </c>
      <c r="BI193" s="639"/>
      <c r="BJ193" s="637">
        <f>VLOOKUP(A193,'42. SEA or LEA Worksheet'!$A$4:$AM$324,38,0)</f>
        <v>214713.55</v>
      </c>
      <c r="BK193" s="638" t="str">
        <f t="shared" si="116"/>
        <v>Met</v>
      </c>
      <c r="BM193" s="631">
        <f>VLOOKUP(A193,'42. SEA or LEA Worksheet'!$A$4:$AL$324,36,0)/VLOOKUP(A193,'42. SEA or LEA Worksheet'!$A$4:$AL$324,35,0)</f>
        <v>0</v>
      </c>
      <c r="BN193" s="632" t="str">
        <f t="shared" si="117"/>
        <v>Met</v>
      </c>
      <c r="BP193" s="631">
        <f>VLOOKUP(A193,'42. SEA or LEA Worksheet'!$A$4:$AL$324,38,0)/VLOOKUP(A193,'42. SEA or LEA Worksheet'!$A$4:$AL$324,35,0)</f>
        <v>11300.713157894736</v>
      </c>
      <c r="BQ193" s="632" t="str">
        <f t="shared" si="118"/>
        <v>Met</v>
      </c>
      <c r="BS193" s="620" t="str">
        <f t="shared" si="123"/>
        <v>Met</v>
      </c>
    </row>
    <row r="194" spans="1:71" x14ac:dyDescent="0.25">
      <c r="A194" s="343" t="s">
        <v>568</v>
      </c>
      <c r="B194" s="510" t="s">
        <v>1013</v>
      </c>
      <c r="C194" s="511"/>
      <c r="D194" s="444">
        <v>18022.169999999998</v>
      </c>
      <c r="E194" s="343" t="s">
        <v>835</v>
      </c>
      <c r="F194" s="511"/>
      <c r="G194" s="444">
        <v>713543.37</v>
      </c>
      <c r="H194" s="343" t="s">
        <v>835</v>
      </c>
      <c r="I194" s="511"/>
      <c r="J194" s="444">
        <v>228.12873417721516</v>
      </c>
      <c r="K194" s="343" t="s">
        <v>835</v>
      </c>
      <c r="L194" s="511"/>
      <c r="M194" s="444">
        <v>9032.1945569620257</v>
      </c>
      <c r="N194" s="343" t="s">
        <v>856</v>
      </c>
      <c r="O194" s="511"/>
      <c r="P194" s="512" t="str">
        <f t="shared" si="120"/>
        <v>Met</v>
      </c>
      <c r="Q194" s="511"/>
      <c r="R194" s="444">
        <f>VLOOKUP(A194,'2020-21'!$A$6:$F$319,6,0)</f>
        <v>0</v>
      </c>
      <c r="S194" s="513" t="str">
        <f t="shared" si="91"/>
        <v>Did not Meet</v>
      </c>
      <c r="U194" s="444">
        <f>VLOOKUP(A194,'2020-21'!$A$6:$G$319,7,0)</f>
        <v>746856.44</v>
      </c>
      <c r="V194" s="513" t="str">
        <f t="shared" si="92"/>
        <v>Met</v>
      </c>
      <c r="X194" s="444">
        <f>VLOOKUP(A194,'2020-21'!$A$6:$F$319,6,0)/VLOOKUP(A194,'42. SEA or LEA Worksheet'!$A$4:$T$324,20,0)</f>
        <v>0</v>
      </c>
      <c r="Y194" s="513" t="str">
        <f t="shared" si="93"/>
        <v>Did not Meet</v>
      </c>
      <c r="AA194" s="444">
        <f>VLOOKUP(A194,'42. SEA or LEA Worksheet'!$A$4:$W$324,23,0)/VLOOKUP(compliance!A194,'42. SEA or LEA Worksheet'!$A$4:$T$324,20,0)</f>
        <v>9453.8789873417718</v>
      </c>
      <c r="AB194" s="513" t="str">
        <f t="shared" si="94"/>
        <v>Met</v>
      </c>
      <c r="AD194" s="512" t="str">
        <f t="shared" si="112"/>
        <v>Met</v>
      </c>
      <c r="AF194" s="444">
        <f>VLOOKUP(A194,'42. SEA or LEA Worksheet'!$A$4:$Z$324,26,0)</f>
        <v>3862.25</v>
      </c>
      <c r="AG194" s="513" t="str">
        <f t="shared" si="95"/>
        <v>Met</v>
      </c>
      <c r="AI194" s="444">
        <f>VLOOKUP(A194,'42. SEA or LEA Worksheet'!$A$4:$AB$324,28,0)</f>
        <v>688609.03</v>
      </c>
      <c r="AJ194" s="513" t="str">
        <f t="shared" si="96"/>
        <v>Did not Meet</v>
      </c>
      <c r="AL194" s="444">
        <f>VLOOKUP(compliance!A194,'42. SEA or LEA Worksheet'!$A$4:$AB$324,26,0)/VLOOKUP(compliance!A194,'42. SEA or LEA Worksheet'!$A$4:$Y$324,25,0)</f>
        <v>57.645522388059703</v>
      </c>
      <c r="AM194" s="513" t="str">
        <f t="shared" si="97"/>
        <v>Met</v>
      </c>
      <c r="AO194" s="444">
        <f>VLOOKUP(A194,'42. SEA or LEA Worksheet'!$A$4:$AB$324,28,0)/VLOOKUP(compliance!A194,'42. SEA or LEA Worksheet'!$A$4:$Y$324,25,0)</f>
        <v>10277.746716417911</v>
      </c>
      <c r="AP194" s="513" t="str">
        <f t="shared" si="98"/>
        <v>Met</v>
      </c>
      <c r="AR194" s="512" t="str">
        <f t="shared" si="113"/>
        <v>Met</v>
      </c>
      <c r="AT194" s="444">
        <f>VLOOKUP(A194,'42. SEA or LEA Worksheet'!$A$4:$AE$324,31,0)</f>
        <v>109058.97</v>
      </c>
      <c r="AU194" s="513" t="str">
        <f t="shared" si="121"/>
        <v>Met</v>
      </c>
      <c r="AW194" s="444">
        <f>VLOOKUP(A194,'42. SEA or LEA Worksheet'!$A$4:$AG$324,33,0)</f>
        <v>771992.19</v>
      </c>
      <c r="AX194" s="513" t="str">
        <f t="shared" si="124"/>
        <v>Met</v>
      </c>
      <c r="AZ194" s="444">
        <f>VLOOKUP(A194,'42. SEA or LEA Worksheet'!$A$4:$AG$324,31,0)/VLOOKUP(A194,'42. SEA or LEA Worksheet'!$A$4:$AD$324,30,0)</f>
        <v>1982.8903636363636</v>
      </c>
      <c r="BA194" s="513" t="str">
        <f t="shared" si="125"/>
        <v>Met</v>
      </c>
      <c r="BC194" s="444">
        <f>VLOOKUP(A194,'42. SEA or LEA Worksheet'!$A$4:$AG$324,33,0)/VLOOKUP(A194,'42. SEA or LEA Worksheet'!$A$4:$AD$324,30,0)</f>
        <v>14036.221636363636</v>
      </c>
      <c r="BD194" s="513" t="str">
        <f t="shared" si="126"/>
        <v>Met</v>
      </c>
      <c r="BF194" s="512" t="str">
        <f t="shared" si="122"/>
        <v>Met</v>
      </c>
      <c r="BG194" s="637">
        <f>VLOOKUP(A194,'42. SEA or LEA Worksheet'!$A$4:$AM$324,36,0)</f>
        <v>53077.04</v>
      </c>
      <c r="BH194" s="638" t="str">
        <f t="shared" si="115"/>
        <v>Did not Meet</v>
      </c>
      <c r="BI194" s="639"/>
      <c r="BJ194" s="637">
        <f>VLOOKUP(A194,'42. SEA or LEA Worksheet'!$A$4:$AM$324,38,0)</f>
        <v>894160.88</v>
      </c>
      <c r="BK194" s="638" t="str">
        <f t="shared" si="116"/>
        <v>Met</v>
      </c>
      <c r="BM194" s="631">
        <f>VLOOKUP(A194,'42. SEA or LEA Worksheet'!$A$4:$AL$324,36,0)/VLOOKUP(A194,'42. SEA or LEA Worksheet'!$A$4:$AL$324,35,0)</f>
        <v>747.56394366197185</v>
      </c>
      <c r="BN194" s="632" t="str">
        <f t="shared" si="117"/>
        <v>Met</v>
      </c>
      <c r="BP194" s="631">
        <f>VLOOKUP(A194,'42. SEA or LEA Worksheet'!$A$4:$AL$324,38,0)/VLOOKUP(A194,'42. SEA or LEA Worksheet'!$A$4:$AL$324,35,0)</f>
        <v>12593.815211267605</v>
      </c>
      <c r="BQ194" s="632" t="str">
        <f t="shared" si="118"/>
        <v>Met</v>
      </c>
      <c r="BS194" s="620" t="str">
        <f t="shared" si="123"/>
        <v>Met</v>
      </c>
    </row>
    <row r="195" spans="1:71" x14ac:dyDescent="0.25">
      <c r="A195" s="343" t="s">
        <v>570</v>
      </c>
      <c r="B195" s="510" t="s">
        <v>1014</v>
      </c>
      <c r="C195" s="511"/>
      <c r="D195" s="444">
        <v>0</v>
      </c>
      <c r="E195" s="343" t="s">
        <v>835</v>
      </c>
      <c r="F195" s="511"/>
      <c r="G195" s="444">
        <v>5366521.12</v>
      </c>
      <c r="H195" s="343" t="s">
        <v>835</v>
      </c>
      <c r="I195" s="511"/>
      <c r="J195" s="444">
        <v>0</v>
      </c>
      <c r="K195" s="343" t="s">
        <v>835</v>
      </c>
      <c r="L195" s="511"/>
      <c r="M195" s="444">
        <v>12747.081045130642</v>
      </c>
      <c r="N195" s="343" t="s">
        <v>835</v>
      </c>
      <c r="O195" s="511"/>
      <c r="P195" s="512" t="str">
        <f t="shared" si="120"/>
        <v>Met</v>
      </c>
      <c r="Q195" s="511"/>
      <c r="R195" s="444">
        <f>VLOOKUP(A195,'2020-21'!$A$6:$F$319,6,0)</f>
        <v>0</v>
      </c>
      <c r="S195" s="513" t="str">
        <f t="shared" si="91"/>
        <v>Met</v>
      </c>
      <c r="U195" s="444">
        <f>VLOOKUP(A195,'2020-21'!$A$6:$G$319,7,0)</f>
        <v>5523853.3799999999</v>
      </c>
      <c r="V195" s="513" t="str">
        <f t="shared" si="92"/>
        <v>Met</v>
      </c>
      <c r="X195" s="444">
        <f>VLOOKUP(A195,'2020-21'!$A$6:$F$319,6,0)/VLOOKUP(A195,'42. SEA or LEA Worksheet'!$A$4:$T$324,20,0)</f>
        <v>0</v>
      </c>
      <c r="Y195" s="513" t="str">
        <f t="shared" si="93"/>
        <v>Met</v>
      </c>
      <c r="AA195" s="444">
        <f>VLOOKUP(A195,'42. SEA or LEA Worksheet'!$A$4:$W$324,23,0)/VLOOKUP(compliance!A195,'42. SEA or LEA Worksheet'!$A$4:$T$324,20,0)</f>
        <v>13740.928805970148</v>
      </c>
      <c r="AB195" s="513" t="str">
        <f t="shared" si="94"/>
        <v>Met</v>
      </c>
      <c r="AD195" s="512" t="str">
        <f t="shared" si="112"/>
        <v>Met</v>
      </c>
      <c r="AF195" s="444">
        <f>VLOOKUP(A195,'42. SEA or LEA Worksheet'!$A$4:$Z$324,26,0)</f>
        <v>445454.98</v>
      </c>
      <c r="AG195" s="513" t="str">
        <f t="shared" si="95"/>
        <v>Met</v>
      </c>
      <c r="AI195" s="444">
        <f>VLOOKUP(A195,'42. SEA or LEA Worksheet'!$A$4:$AB$324,28,0)</f>
        <v>6717884.7599999998</v>
      </c>
      <c r="AJ195" s="513" t="str">
        <f t="shared" si="96"/>
        <v>Met</v>
      </c>
      <c r="AL195" s="444">
        <f>VLOOKUP(compliance!A195,'42. SEA or LEA Worksheet'!$A$4:$AB$324,26,0)/VLOOKUP(compliance!A195,'42. SEA or LEA Worksheet'!$A$4:$Y$324,25,0)</f>
        <v>1063.1383770883053</v>
      </c>
      <c r="AM195" s="513" t="str">
        <f t="shared" si="97"/>
        <v>Met</v>
      </c>
      <c r="AO195" s="444">
        <f>VLOOKUP(A195,'42. SEA or LEA Worksheet'!$A$4:$AB$324,28,0)/VLOOKUP(compliance!A195,'42. SEA or LEA Worksheet'!$A$4:$Y$324,25,0)</f>
        <v>16033.13785202864</v>
      </c>
      <c r="AP195" s="513" t="str">
        <f t="shared" si="98"/>
        <v>Met</v>
      </c>
      <c r="AR195" s="512" t="str">
        <f t="shared" si="113"/>
        <v>Met</v>
      </c>
      <c r="AT195" s="444">
        <f>VLOOKUP(A195,'42. SEA or LEA Worksheet'!$A$4:$AE$324,31,0)</f>
        <v>399203.96</v>
      </c>
      <c r="AU195" s="513" t="str">
        <f t="shared" si="121"/>
        <v>Did not Meet</v>
      </c>
      <c r="AW195" s="444">
        <f>VLOOKUP(A195,'42. SEA or LEA Worksheet'!$A$4:$AG$324,33,0)</f>
        <v>7128324.9900000002</v>
      </c>
      <c r="AX195" s="513" t="str">
        <f t="shared" si="124"/>
        <v>Met</v>
      </c>
      <c r="AZ195" s="444">
        <f>VLOOKUP(A195,'42. SEA or LEA Worksheet'!$A$4:$AG$324,31,0)/VLOOKUP(A195,'42. SEA or LEA Worksheet'!$A$4:$AD$324,30,0)</f>
        <v>993.04467661691547</v>
      </c>
      <c r="BA195" s="513" t="str">
        <f t="shared" si="125"/>
        <v>Did not Meet</v>
      </c>
      <c r="BC195" s="444">
        <f>VLOOKUP(A195,'42. SEA or LEA Worksheet'!$A$4:$AG$324,33,0)/VLOOKUP(A195,'42. SEA or LEA Worksheet'!$A$4:$AD$324,30,0)</f>
        <v>17732.151716417909</v>
      </c>
      <c r="BD195" s="513" t="str">
        <f t="shared" si="126"/>
        <v>Met</v>
      </c>
      <c r="BF195" s="512" t="str">
        <f t="shared" si="122"/>
        <v>Met</v>
      </c>
      <c r="BG195" s="637">
        <f>VLOOKUP(A195,'42. SEA or LEA Worksheet'!$A$4:$AM$324,36,0)</f>
        <v>0</v>
      </c>
      <c r="BH195" s="638" t="str">
        <f t="shared" si="115"/>
        <v>Did not Meet</v>
      </c>
      <c r="BI195" s="639"/>
      <c r="BJ195" s="637">
        <f>VLOOKUP(A195,'42. SEA or LEA Worksheet'!$A$4:$AM$324,38,0)</f>
        <v>7554695.6600000001</v>
      </c>
      <c r="BK195" s="638" t="str">
        <f t="shared" si="116"/>
        <v>Met</v>
      </c>
      <c r="BM195" s="631">
        <f>VLOOKUP(A195,'42. SEA or LEA Worksheet'!$A$4:$AL$324,36,0)/VLOOKUP(A195,'42. SEA or LEA Worksheet'!$A$4:$AL$324,35,0)</f>
        <v>0</v>
      </c>
      <c r="BN195" s="632" t="str">
        <f t="shared" si="117"/>
        <v>Met</v>
      </c>
      <c r="BP195" s="631">
        <f>VLOOKUP(A195,'42. SEA or LEA Worksheet'!$A$4:$AL$324,38,0)/VLOOKUP(A195,'42. SEA or LEA Worksheet'!$A$4:$AL$324,35,0)</f>
        <v>16603.726725274726</v>
      </c>
      <c r="BQ195" s="632" t="str">
        <f t="shared" si="118"/>
        <v>Met</v>
      </c>
      <c r="BS195" s="620" t="str">
        <f t="shared" si="123"/>
        <v>Met</v>
      </c>
    </row>
    <row r="196" spans="1:71" x14ac:dyDescent="0.25">
      <c r="A196" s="343" t="s">
        <v>572</v>
      </c>
      <c r="B196" s="510" t="s">
        <v>1015</v>
      </c>
      <c r="C196" s="511"/>
      <c r="D196" s="444">
        <v>0</v>
      </c>
      <c r="E196" s="343" t="s">
        <v>835</v>
      </c>
      <c r="F196" s="511"/>
      <c r="G196" s="444">
        <v>5774199.9900000002</v>
      </c>
      <c r="H196" s="343" t="s">
        <v>835</v>
      </c>
      <c r="I196" s="511"/>
      <c r="J196" s="444">
        <v>0</v>
      </c>
      <c r="K196" s="343" t="s">
        <v>835</v>
      </c>
      <c r="L196" s="511"/>
      <c r="M196" s="444">
        <v>9358.5088978930307</v>
      </c>
      <c r="N196" s="343" t="s">
        <v>835</v>
      </c>
      <c r="O196" s="511"/>
      <c r="P196" s="512" t="str">
        <f t="shared" si="120"/>
        <v>Met</v>
      </c>
      <c r="Q196" s="511"/>
      <c r="R196" s="444">
        <f>VLOOKUP(A196,'2020-21'!$A$6:$F$319,6,0)</f>
        <v>0</v>
      </c>
      <c r="S196" s="513" t="str">
        <f t="shared" si="91"/>
        <v>Met</v>
      </c>
      <c r="U196" s="444">
        <f>VLOOKUP(A196,'2020-21'!$A$6:$G$319,7,0)</f>
        <v>6212611.4100000001</v>
      </c>
      <c r="V196" s="513" t="str">
        <f t="shared" si="92"/>
        <v>Met</v>
      </c>
      <c r="X196" s="444">
        <f>VLOOKUP(A196,'2020-21'!$A$6:$F$319,6,0)/VLOOKUP(A196,'42. SEA or LEA Worksheet'!$A$4:$T$324,20,0)</f>
        <v>0</v>
      </c>
      <c r="Y196" s="513" t="str">
        <f t="shared" si="93"/>
        <v>Met</v>
      </c>
      <c r="AA196" s="444">
        <f>VLOOKUP(A196,'42. SEA or LEA Worksheet'!$A$4:$W$324,23,0)/VLOOKUP(compliance!A196,'42. SEA or LEA Worksheet'!$A$4:$T$324,20,0)</f>
        <v>9892.693328025478</v>
      </c>
      <c r="AB196" s="513" t="str">
        <f t="shared" si="94"/>
        <v>Met</v>
      </c>
      <c r="AD196" s="512" t="str">
        <f t="shared" ref="AD196:AD227" si="127">IF(AND(S196="Did not Meet",V196="Did not Meet", Y196="Did not Meet",AB196="Did not Meet"),"Did not Meet","Met")</f>
        <v>Met</v>
      </c>
      <c r="AF196" s="444">
        <f>VLOOKUP(A196,'42. SEA or LEA Worksheet'!$A$4:$Z$324,26,0)</f>
        <v>0</v>
      </c>
      <c r="AG196" s="513" t="str">
        <f t="shared" si="95"/>
        <v>Met</v>
      </c>
      <c r="AI196" s="444">
        <f>VLOOKUP(A196,'42. SEA or LEA Worksheet'!$A$4:$AB$324,28,0)</f>
        <v>5500283.8899999997</v>
      </c>
      <c r="AJ196" s="513" t="str">
        <f t="shared" si="96"/>
        <v>Did not Meet</v>
      </c>
      <c r="AL196" s="444">
        <f>VLOOKUP(compliance!A196,'42. SEA or LEA Worksheet'!$A$4:$AB$324,26,0)/VLOOKUP(compliance!A196,'42. SEA or LEA Worksheet'!$A$4:$Y$324,25,0)</f>
        <v>0</v>
      </c>
      <c r="AM196" s="513" t="str">
        <f t="shared" si="97"/>
        <v>Met</v>
      </c>
      <c r="AO196" s="444">
        <f>VLOOKUP(A196,'42. SEA or LEA Worksheet'!$A$4:$AB$324,28,0)/VLOOKUP(compliance!A196,'42. SEA or LEA Worksheet'!$A$4:$Y$324,25,0)</f>
        <v>8958.1170846905534</v>
      </c>
      <c r="AP196" s="513" t="str">
        <f t="shared" si="98"/>
        <v>Did not Meet</v>
      </c>
      <c r="AR196" s="512" t="str">
        <f t="shared" ref="AR196:AR227" si="128">IF(AND(AG196="Did not Meet",AJ196="Did not Meet", AM196="Did not Meet",AP196="Did not Meet"),"Did not Meet","Met")</f>
        <v>Met</v>
      </c>
      <c r="AT196" s="444">
        <f>VLOOKUP(A196,'42. SEA or LEA Worksheet'!$A$4:$AE$324,31,0)</f>
        <v>0</v>
      </c>
      <c r="AU196" s="513" t="str">
        <f t="shared" si="121"/>
        <v>Met</v>
      </c>
      <c r="AW196" s="444">
        <f>VLOOKUP(A196,'42. SEA or LEA Worksheet'!$A$4:$AG$324,33,0)</f>
        <v>6273503.8600000003</v>
      </c>
      <c r="AX196" s="513" t="str">
        <f t="shared" si="124"/>
        <v>Met</v>
      </c>
      <c r="AZ196" s="444">
        <f>VLOOKUP(A196,'42. SEA or LEA Worksheet'!$A$4:$AG$324,31,0)/VLOOKUP(A196,'42. SEA or LEA Worksheet'!$A$4:$AD$324,30,0)</f>
        <v>0</v>
      </c>
      <c r="BA196" s="513" t="str">
        <f t="shared" si="125"/>
        <v>Met</v>
      </c>
      <c r="BC196" s="444">
        <f>VLOOKUP(A196,'42. SEA or LEA Worksheet'!$A$4:$AG$324,33,0)/VLOOKUP(A196,'42. SEA or LEA Worksheet'!$A$4:$AD$324,30,0)</f>
        <v>10118.554612903226</v>
      </c>
      <c r="BD196" s="513" t="str">
        <f t="shared" si="126"/>
        <v>Met</v>
      </c>
      <c r="BF196" s="512" t="str">
        <f t="shared" si="122"/>
        <v>Met</v>
      </c>
      <c r="BG196" s="637">
        <f>VLOOKUP(A196,'42. SEA or LEA Worksheet'!$A$4:$AM$324,36,0)</f>
        <v>0</v>
      </c>
      <c r="BH196" s="638" t="str">
        <f t="shared" ref="BH196:BH227" si="129">IF(BG196&gt;=AT196,"Met","Did not Meet")</f>
        <v>Met</v>
      </c>
      <c r="BI196" s="639"/>
      <c r="BJ196" s="637">
        <f>VLOOKUP(A196,'42. SEA or LEA Worksheet'!$A$4:$AM$324,38,0)</f>
        <v>6423586.5199999996</v>
      </c>
      <c r="BK196" s="638" t="str">
        <f t="shared" ref="BK196:BK227" si="130">IF(BJ196&gt;=AW196,"Met","Did not Meet")</f>
        <v>Met</v>
      </c>
      <c r="BM196" s="631">
        <f>VLOOKUP(A196,'42. SEA or LEA Worksheet'!$A$4:$AL$324,36,0)/VLOOKUP(A196,'42. SEA or LEA Worksheet'!$A$4:$AL$324,35,0)</f>
        <v>0</v>
      </c>
      <c r="BN196" s="632" t="str">
        <f t="shared" ref="BN196:BN227" si="131">IF(BM196&gt;=AY196,"Met","Did not Meet")</f>
        <v>Met</v>
      </c>
      <c r="BP196" s="631">
        <f>VLOOKUP(A196,'42. SEA or LEA Worksheet'!$A$4:$AL$324,38,0)/VLOOKUP(A196,'42. SEA or LEA Worksheet'!$A$4:$AL$324,35,0)</f>
        <v>11230.046363636362</v>
      </c>
      <c r="BQ196" s="632" t="str">
        <f t="shared" ref="BQ196:BQ227" si="132">IF(BP196&gt;=BB196,"Met","Did not Meet")</f>
        <v>Met</v>
      </c>
      <c r="BS196" s="620" t="str">
        <f t="shared" si="123"/>
        <v>Met</v>
      </c>
    </row>
    <row r="197" spans="1:71" x14ac:dyDescent="0.25">
      <c r="A197" s="343" t="s">
        <v>574</v>
      </c>
      <c r="B197" s="510" t="s">
        <v>1016</v>
      </c>
      <c r="C197" s="511"/>
      <c r="D197" s="444">
        <v>0</v>
      </c>
      <c r="E197" s="343" t="s">
        <v>835</v>
      </c>
      <c r="F197" s="511"/>
      <c r="G197" s="444">
        <v>27307.83</v>
      </c>
      <c r="H197" s="343" t="s">
        <v>835</v>
      </c>
      <c r="I197" s="511"/>
      <c r="J197" s="444">
        <v>0</v>
      </c>
      <c r="K197" s="343" t="s">
        <v>856</v>
      </c>
      <c r="L197" s="511"/>
      <c r="M197" s="444">
        <v>6826.9575000000004</v>
      </c>
      <c r="N197" s="343" t="s">
        <v>856</v>
      </c>
      <c r="O197" s="511"/>
      <c r="P197" s="512" t="str">
        <f t="shared" si="120"/>
        <v>Met</v>
      </c>
      <c r="Q197" s="511"/>
      <c r="R197" s="444">
        <f>VLOOKUP(A197,'2020-21'!$A$6:$F$319,6,0)</f>
        <v>0</v>
      </c>
      <c r="S197" s="513" t="str">
        <f t="shared" si="91"/>
        <v>Met</v>
      </c>
      <c r="U197" s="444">
        <f>VLOOKUP(A197,'2020-21'!$A$6:$G$319,7,0)</f>
        <v>24840.58</v>
      </c>
      <c r="V197" s="513" t="str">
        <f t="shared" si="92"/>
        <v>Did not Meet</v>
      </c>
      <c r="X197" s="444">
        <f>VLOOKUP(A197,'2020-21'!$A$6:$F$319,6,0)/VLOOKUP(A197,'42. SEA or LEA Worksheet'!$A$4:$T$324,20,0)</f>
        <v>0</v>
      </c>
      <c r="Y197" s="513" t="str">
        <f t="shared" si="93"/>
        <v>Met</v>
      </c>
      <c r="AA197" s="444">
        <f>VLOOKUP(A197,'42. SEA or LEA Worksheet'!$A$4:$W$324,23,0)/VLOOKUP(compliance!A197,'42. SEA or LEA Worksheet'!$A$4:$T$324,20,0)</f>
        <v>4968.116</v>
      </c>
      <c r="AB197" s="513" t="str">
        <f t="shared" si="94"/>
        <v>Did not Meet</v>
      </c>
      <c r="AD197" s="512" t="str">
        <f t="shared" si="127"/>
        <v>Met</v>
      </c>
      <c r="AF197" s="444">
        <f>VLOOKUP(A197,'42. SEA or LEA Worksheet'!$A$4:$Z$324,26,0)</f>
        <v>0</v>
      </c>
      <c r="AG197" s="513" t="str">
        <f t="shared" si="95"/>
        <v>Met</v>
      </c>
      <c r="AI197" s="444">
        <f>VLOOKUP(A197,'42. SEA or LEA Worksheet'!$A$4:$AB$324,28,0)</f>
        <v>32783.64</v>
      </c>
      <c r="AJ197" s="513" t="str">
        <f t="shared" si="96"/>
        <v>Met</v>
      </c>
      <c r="AL197" s="444">
        <f>VLOOKUP(compliance!A197,'42. SEA or LEA Worksheet'!$A$4:$AB$324,26,0)/VLOOKUP(compliance!A197,'42. SEA or LEA Worksheet'!$A$4:$Y$324,25,0)</f>
        <v>0</v>
      </c>
      <c r="AM197" s="513" t="str">
        <f t="shared" si="97"/>
        <v>Met</v>
      </c>
      <c r="AO197" s="444">
        <f>VLOOKUP(A197,'42. SEA or LEA Worksheet'!$A$4:$AB$324,28,0)/VLOOKUP(compliance!A197,'42. SEA or LEA Worksheet'!$A$4:$Y$324,25,0)</f>
        <v>5463.94</v>
      </c>
      <c r="AP197" s="513" t="str">
        <f t="shared" si="98"/>
        <v>Met</v>
      </c>
      <c r="AR197" s="512" t="str">
        <f t="shared" si="128"/>
        <v>Met</v>
      </c>
      <c r="AT197" s="444">
        <f>VLOOKUP(A197,'42. SEA or LEA Worksheet'!$A$4:$AE$324,31,0)</f>
        <v>0</v>
      </c>
      <c r="AU197" s="513" t="str">
        <f t="shared" si="121"/>
        <v>Met</v>
      </c>
      <c r="AW197" s="444">
        <f>VLOOKUP(A197,'42. SEA or LEA Worksheet'!$A$4:$AG$324,33,0)</f>
        <v>19768.45</v>
      </c>
      <c r="AX197" s="513" t="str">
        <f t="shared" si="124"/>
        <v>Did not Meet</v>
      </c>
      <c r="AZ197" s="444">
        <f>VLOOKUP(A197,'42. SEA or LEA Worksheet'!$A$4:$AG$324,31,0)/VLOOKUP(A197,'42. SEA or LEA Worksheet'!$A$4:$AD$324,30,0)</f>
        <v>0</v>
      </c>
      <c r="BA197" s="513" t="str">
        <f t="shared" si="125"/>
        <v>Met</v>
      </c>
      <c r="BC197" s="444">
        <f>VLOOKUP(A197,'42. SEA or LEA Worksheet'!$A$4:$AG$324,33,0)/VLOOKUP(A197,'42. SEA or LEA Worksheet'!$A$4:$AD$324,30,0)</f>
        <v>4942.1125000000002</v>
      </c>
      <c r="BD197" s="513" t="str">
        <f t="shared" si="126"/>
        <v>Did not Meet</v>
      </c>
      <c r="BF197" s="512" t="str">
        <f t="shared" si="122"/>
        <v>Met</v>
      </c>
      <c r="BG197" s="637">
        <f>VLOOKUP(A197,'42. SEA or LEA Worksheet'!$A$4:$AM$324,36,0)</f>
        <v>0</v>
      </c>
      <c r="BH197" s="638" t="str">
        <f t="shared" si="129"/>
        <v>Met</v>
      </c>
      <c r="BI197" s="639"/>
      <c r="BJ197" s="637">
        <f>VLOOKUP(A197,'42. SEA or LEA Worksheet'!$A$4:$AM$324,38,0)</f>
        <v>44808.77</v>
      </c>
      <c r="BK197" s="638" t="str">
        <f t="shared" si="130"/>
        <v>Met</v>
      </c>
      <c r="BM197" s="631">
        <f>VLOOKUP(A197,'42. SEA or LEA Worksheet'!$A$4:$AL$324,36,0)/VLOOKUP(A197,'42. SEA or LEA Worksheet'!$A$4:$AL$324,35,0)</f>
        <v>0</v>
      </c>
      <c r="BN197" s="632" t="str">
        <f t="shared" si="131"/>
        <v>Met</v>
      </c>
      <c r="BP197" s="631">
        <f>VLOOKUP(A197,'42. SEA or LEA Worksheet'!$A$4:$AL$324,38,0)/VLOOKUP(A197,'42. SEA or LEA Worksheet'!$A$4:$AL$324,35,0)</f>
        <v>11202.192499999999</v>
      </c>
      <c r="BQ197" s="632" t="str">
        <f t="shared" si="132"/>
        <v>Met</v>
      </c>
      <c r="BS197" s="620" t="str">
        <f t="shared" si="123"/>
        <v>Met</v>
      </c>
    </row>
    <row r="198" spans="1:71" x14ac:dyDescent="0.25">
      <c r="A198" s="343" t="s">
        <v>576</v>
      </c>
      <c r="B198" s="510" t="s">
        <v>1017</v>
      </c>
      <c r="C198" s="511"/>
      <c r="D198" s="444">
        <v>0</v>
      </c>
      <c r="E198" s="343" t="s">
        <v>835</v>
      </c>
      <c r="F198" s="511"/>
      <c r="G198" s="444">
        <v>248395.06</v>
      </c>
      <c r="H198" s="343" t="s">
        <v>835</v>
      </c>
      <c r="I198" s="511"/>
      <c r="J198" s="444">
        <v>0</v>
      </c>
      <c r="K198" s="343" t="s">
        <v>835</v>
      </c>
      <c r="L198" s="511"/>
      <c r="M198" s="444">
        <v>12419.753000000001</v>
      </c>
      <c r="N198" s="343" t="s">
        <v>856</v>
      </c>
      <c r="O198" s="511"/>
      <c r="P198" s="512" t="str">
        <f t="shared" si="120"/>
        <v>Met</v>
      </c>
      <c r="Q198" s="511"/>
      <c r="R198" s="444">
        <f>VLOOKUP(A198,'2020-21'!$A$6:$F$319,6,0)</f>
        <v>2500</v>
      </c>
      <c r="S198" s="513" t="str">
        <f t="shared" ref="S198:S261" si="133">IF(R198&gt;=D198,"Met","Did not Meet")</f>
        <v>Met</v>
      </c>
      <c r="U198" s="444">
        <f>VLOOKUP(A198,'2020-21'!$A$6:$G$319,7,0)</f>
        <v>240239.7</v>
      </c>
      <c r="V198" s="513" t="str">
        <f t="shared" ref="V198:V261" si="134">IF(U198&gt;=G198,"Met","Did not Meet")</f>
        <v>Did not Meet</v>
      </c>
      <c r="X198" s="444">
        <f>VLOOKUP(A198,'2020-21'!$A$6:$F$319,6,0)/VLOOKUP(A198,'42. SEA or LEA Worksheet'!$A$4:$T$324,20,0)</f>
        <v>125</v>
      </c>
      <c r="Y198" s="513" t="str">
        <f t="shared" ref="Y198:Y261" si="135">IF(X198&gt;=J198,"Met","Did not Meet")</f>
        <v>Met</v>
      </c>
      <c r="AA198" s="444">
        <f>VLOOKUP(A198,'42. SEA or LEA Worksheet'!$A$4:$W$324,23,0)/VLOOKUP(compliance!A198,'42. SEA or LEA Worksheet'!$A$4:$T$324,20,0)</f>
        <v>12011.985000000001</v>
      </c>
      <c r="AB198" s="513" t="str">
        <f t="shared" ref="AB198:AB261" si="136">IF(AA198&gt;=M198,"Met","Did not Meet")</f>
        <v>Did not Meet</v>
      </c>
      <c r="AD198" s="512" t="str">
        <f t="shared" si="127"/>
        <v>Met</v>
      </c>
      <c r="AF198" s="444">
        <f>VLOOKUP(A198,'42. SEA or LEA Worksheet'!$A$4:$Z$324,26,0)</f>
        <v>384.92</v>
      </c>
      <c r="AG198" s="513" t="str">
        <f t="shared" ref="AG198:AG261" si="137">IF(AF198&gt;=R198,"Met","Did not Meet")</f>
        <v>Did not Meet</v>
      </c>
      <c r="AI198" s="444">
        <f>VLOOKUP(A198,'42. SEA or LEA Worksheet'!$A$4:$AB$324,28,0)</f>
        <v>222679.46000000002</v>
      </c>
      <c r="AJ198" s="513" t="str">
        <f t="shared" ref="AJ198:AJ261" si="138">IF(AI198&gt;=U198,"Met","Did not Meet")</f>
        <v>Did not Meet</v>
      </c>
      <c r="AL198" s="444">
        <f>VLOOKUP(compliance!A198,'42. SEA or LEA Worksheet'!$A$4:$AB$324,26,0)/VLOOKUP(compliance!A198,'42. SEA or LEA Worksheet'!$A$4:$Y$324,25,0)</f>
        <v>19.246000000000002</v>
      </c>
      <c r="AM198" s="513" t="str">
        <f t="shared" ref="AM198:AM261" si="139">IF(AL198&gt;=X198,"Met","Did not Meet")</f>
        <v>Did not Meet</v>
      </c>
      <c r="AO198" s="444">
        <f>VLOOKUP(A198,'42. SEA or LEA Worksheet'!$A$4:$AB$324,28,0)/VLOOKUP(compliance!A198,'42. SEA or LEA Worksheet'!$A$4:$Y$324,25,0)</f>
        <v>11133.973000000002</v>
      </c>
      <c r="AP198" s="513" t="str">
        <f t="shared" ref="AP198:AP261" si="140">IF(AO198&gt;=AA198,"Met","Did not Meet")</f>
        <v>Did not Meet</v>
      </c>
      <c r="AR198" s="512" t="str">
        <f t="shared" si="128"/>
        <v>Did not Meet</v>
      </c>
      <c r="AT198" s="444">
        <f>VLOOKUP(A198,'42. SEA or LEA Worksheet'!$A$4:$AE$324,31,0)</f>
        <v>3200.31</v>
      </c>
      <c r="AU198" s="513" t="str">
        <f t="shared" si="121"/>
        <v>Met</v>
      </c>
      <c r="AW198" s="444">
        <f>VLOOKUP(A198,'42. SEA or LEA Worksheet'!$A$4:$AG$324,33,0)</f>
        <v>231946.46</v>
      </c>
      <c r="AX198" s="513" t="str">
        <f t="shared" si="124"/>
        <v>Met</v>
      </c>
      <c r="AZ198" s="444">
        <f>VLOOKUP(A198,'42. SEA or LEA Worksheet'!$A$4:$AG$324,31,0)/VLOOKUP(A198,'42. SEA or LEA Worksheet'!$A$4:$AD$324,30,0)</f>
        <v>145.46863636363636</v>
      </c>
      <c r="BA198" s="513" t="str">
        <f t="shared" si="125"/>
        <v>Met</v>
      </c>
      <c r="BC198" s="444">
        <f>VLOOKUP(A198,'42. SEA or LEA Worksheet'!$A$4:$AG$324,33,0)/VLOOKUP(A198,'42. SEA or LEA Worksheet'!$A$4:$AD$324,30,0)</f>
        <v>10543.020909090908</v>
      </c>
      <c r="BD198" s="513" t="str">
        <f t="shared" si="126"/>
        <v>Did not Meet</v>
      </c>
      <c r="BF198" s="512" t="str">
        <f t="shared" si="122"/>
        <v>Met</v>
      </c>
      <c r="BG198" s="637">
        <f>VLOOKUP(A198,'42. SEA or LEA Worksheet'!$A$4:$AM$324,36,0)</f>
        <v>0</v>
      </c>
      <c r="BH198" s="638" t="str">
        <f t="shared" si="129"/>
        <v>Did not Meet</v>
      </c>
      <c r="BI198" s="639"/>
      <c r="BJ198" s="637">
        <f>VLOOKUP(A198,'42. SEA or LEA Worksheet'!$A$4:$AM$324,38,0)</f>
        <v>276579.21999999997</v>
      </c>
      <c r="BK198" s="638" t="str">
        <f t="shared" si="130"/>
        <v>Met</v>
      </c>
      <c r="BM198" s="631">
        <f>VLOOKUP(A198,'42. SEA or LEA Worksheet'!$A$4:$AL$324,36,0)/VLOOKUP(A198,'42. SEA or LEA Worksheet'!$A$4:$AL$324,35,0)</f>
        <v>0</v>
      </c>
      <c r="BN198" s="632" t="str">
        <f t="shared" si="131"/>
        <v>Met</v>
      </c>
      <c r="BP198" s="631">
        <f>VLOOKUP(A198,'42. SEA or LEA Worksheet'!$A$4:$AL$324,38,0)/VLOOKUP(A198,'42. SEA or LEA Worksheet'!$A$4:$AL$324,35,0)</f>
        <v>12025.183478260868</v>
      </c>
      <c r="BQ198" s="632" t="str">
        <f t="shared" si="132"/>
        <v>Met</v>
      </c>
      <c r="BS198" s="620" t="str">
        <f t="shared" si="123"/>
        <v>Met</v>
      </c>
    </row>
    <row r="199" spans="1:71" x14ac:dyDescent="0.25">
      <c r="A199" s="343" t="s">
        <v>578</v>
      </c>
      <c r="B199" s="510" t="s">
        <v>1018</v>
      </c>
      <c r="C199" s="511"/>
      <c r="D199" s="444">
        <v>789342.58</v>
      </c>
      <c r="E199" s="343" t="s">
        <v>856</v>
      </c>
      <c r="F199" s="511"/>
      <c r="G199" s="444">
        <v>26405061.549999997</v>
      </c>
      <c r="H199" s="343" t="s">
        <v>835</v>
      </c>
      <c r="I199" s="511"/>
      <c r="J199" s="444">
        <v>317.00505220883531</v>
      </c>
      <c r="K199" s="343" t="s">
        <v>856</v>
      </c>
      <c r="L199" s="511"/>
      <c r="M199" s="444">
        <v>10604.442389558231</v>
      </c>
      <c r="N199" s="343" t="s">
        <v>835</v>
      </c>
      <c r="O199" s="511"/>
      <c r="P199" s="512" t="str">
        <f t="shared" si="120"/>
        <v>Met</v>
      </c>
      <c r="Q199" s="511"/>
      <c r="R199" s="444">
        <f>VLOOKUP(A199,'2020-21'!$A$6:$F$319,6,0)</f>
        <v>1111533.25</v>
      </c>
      <c r="S199" s="513" t="str">
        <f t="shared" si="133"/>
        <v>Met</v>
      </c>
      <c r="U199" s="444">
        <f>VLOOKUP(A199,'2020-21'!$A$6:$G$319,7,0)</f>
        <v>27275789.739999998</v>
      </c>
      <c r="V199" s="513" t="str">
        <f t="shared" si="134"/>
        <v>Met</v>
      </c>
      <c r="X199" s="444">
        <f>VLOOKUP(A199,'2020-21'!$A$6:$F$319,6,0)/VLOOKUP(A199,'42. SEA or LEA Worksheet'!$A$4:$T$324,20,0)</f>
        <v>472.18914613423959</v>
      </c>
      <c r="Y199" s="513" t="str">
        <f t="shared" si="135"/>
        <v>Met</v>
      </c>
      <c r="AA199" s="444">
        <f>VLOOKUP(A199,'42. SEA or LEA Worksheet'!$A$4:$W$324,23,0)/VLOOKUP(compliance!A199,'42. SEA or LEA Worksheet'!$A$4:$T$324,20,0)</f>
        <v>11586.996491079013</v>
      </c>
      <c r="AB199" s="513" t="str">
        <f t="shared" si="136"/>
        <v>Met</v>
      </c>
      <c r="AD199" s="512" t="str">
        <f t="shared" si="127"/>
        <v>Met</v>
      </c>
      <c r="AF199" s="444">
        <f>VLOOKUP(A199,'42. SEA or LEA Worksheet'!$A$4:$Z$324,26,0)</f>
        <v>1181721.48</v>
      </c>
      <c r="AG199" s="513" t="str">
        <f t="shared" si="137"/>
        <v>Met</v>
      </c>
      <c r="AI199" s="444">
        <f>VLOOKUP(A199,'42. SEA or LEA Worksheet'!$A$4:$AB$324,28,0)</f>
        <v>27468427.32</v>
      </c>
      <c r="AJ199" s="513" t="str">
        <f t="shared" si="138"/>
        <v>Met</v>
      </c>
      <c r="AL199" s="444">
        <f>VLOOKUP(compliance!A199,'42. SEA or LEA Worksheet'!$A$4:$AB$324,26,0)/VLOOKUP(compliance!A199,'42. SEA or LEA Worksheet'!$A$4:$Y$324,25,0)</f>
        <v>495.0655550900712</v>
      </c>
      <c r="AM199" s="513" t="str">
        <f t="shared" si="139"/>
        <v>Met</v>
      </c>
      <c r="AO199" s="444">
        <f>VLOOKUP(A199,'42. SEA or LEA Worksheet'!$A$4:$AB$324,28,0)/VLOOKUP(compliance!A199,'42. SEA or LEA Worksheet'!$A$4:$Y$324,25,0)</f>
        <v>11507.510397989108</v>
      </c>
      <c r="AP199" s="513" t="str">
        <f t="shared" si="140"/>
        <v>Did not Meet</v>
      </c>
      <c r="AR199" s="512" t="str">
        <f t="shared" si="128"/>
        <v>Met</v>
      </c>
      <c r="AT199" s="444">
        <f>VLOOKUP(A199,'42. SEA or LEA Worksheet'!$A$4:$AE$324,31,0)</f>
        <v>466191.46</v>
      </c>
      <c r="AU199" s="513" t="str">
        <f t="shared" si="121"/>
        <v>Did not Meet</v>
      </c>
      <c r="AW199" s="444">
        <f>VLOOKUP(A199,'42. SEA or LEA Worksheet'!$A$4:$AG$324,33,0)</f>
        <v>29770180.310000002</v>
      </c>
      <c r="AX199" s="513" t="str">
        <f t="shared" si="124"/>
        <v>Met</v>
      </c>
      <c r="AZ199" s="444">
        <f>VLOOKUP(A199,'42. SEA or LEA Worksheet'!$A$4:$AG$324,31,0)/VLOOKUP(A199,'42. SEA or LEA Worksheet'!$A$4:$AD$324,30,0)</f>
        <v>190.04951487973909</v>
      </c>
      <c r="BA199" s="513" t="str">
        <f t="shared" si="125"/>
        <v>Did not Meet</v>
      </c>
      <c r="BC199" s="444">
        <f>VLOOKUP(A199,'42. SEA or LEA Worksheet'!$A$4:$AG$324,33,0)/VLOOKUP(A199,'42. SEA or LEA Worksheet'!$A$4:$AD$324,30,0)</f>
        <v>12136.23331023237</v>
      </c>
      <c r="BD199" s="513" t="str">
        <f t="shared" si="126"/>
        <v>Met</v>
      </c>
      <c r="BF199" s="512" t="str">
        <f t="shared" si="122"/>
        <v>Met</v>
      </c>
      <c r="BG199" s="637">
        <f>VLOOKUP(A199,'42. SEA or LEA Worksheet'!$A$4:$AM$324,36,0)</f>
        <v>573104.07999999996</v>
      </c>
      <c r="BH199" s="638" t="str">
        <f t="shared" si="129"/>
        <v>Met</v>
      </c>
      <c r="BI199" s="639"/>
      <c r="BJ199" s="637">
        <f>VLOOKUP(A199,'42. SEA or LEA Worksheet'!$A$4:$AM$324,38,0)</f>
        <v>33954702.219999999</v>
      </c>
      <c r="BK199" s="638" t="str">
        <f t="shared" si="130"/>
        <v>Met</v>
      </c>
      <c r="BM199" s="631">
        <f>VLOOKUP(A199,'42. SEA or LEA Worksheet'!$A$4:$AL$324,36,0)/VLOOKUP(A199,'42. SEA or LEA Worksheet'!$A$4:$AL$324,35,0)</f>
        <v>223.43238986354774</v>
      </c>
      <c r="BN199" s="632" t="str">
        <f t="shared" si="131"/>
        <v>Met</v>
      </c>
      <c r="BP199" s="631">
        <f>VLOOKUP(A199,'42. SEA or LEA Worksheet'!$A$4:$AL$324,38,0)/VLOOKUP(A199,'42. SEA or LEA Worksheet'!$A$4:$AL$324,35,0)</f>
        <v>13237.700670565302</v>
      </c>
      <c r="BQ199" s="632" t="str">
        <f t="shared" si="132"/>
        <v>Met</v>
      </c>
      <c r="BS199" s="620" t="str">
        <f t="shared" si="123"/>
        <v>Met</v>
      </c>
    </row>
    <row r="200" spans="1:71" x14ac:dyDescent="0.25">
      <c r="A200" s="343" t="s">
        <v>580</v>
      </c>
      <c r="B200" s="510" t="s">
        <v>1019</v>
      </c>
      <c r="C200" s="511"/>
      <c r="D200" s="444">
        <v>0</v>
      </c>
      <c r="E200" s="343" t="s">
        <v>835</v>
      </c>
      <c r="F200" s="511"/>
      <c r="G200" s="444">
        <v>449330.52</v>
      </c>
      <c r="H200" s="343" t="s">
        <v>835</v>
      </c>
      <c r="I200" s="511"/>
      <c r="J200" s="444">
        <v>0</v>
      </c>
      <c r="K200" s="343" t="s">
        <v>856</v>
      </c>
      <c r="L200" s="511"/>
      <c r="M200" s="444">
        <v>8169.6458181818189</v>
      </c>
      <c r="N200" s="343" t="s">
        <v>835</v>
      </c>
      <c r="O200" s="511"/>
      <c r="P200" s="512" t="str">
        <f t="shared" si="120"/>
        <v>Met</v>
      </c>
      <c r="Q200" s="511"/>
      <c r="R200" s="444">
        <f>VLOOKUP(A200,'2020-21'!$A$6:$F$319,6,0)</f>
        <v>0</v>
      </c>
      <c r="S200" s="513" t="str">
        <f t="shared" si="133"/>
        <v>Met</v>
      </c>
      <c r="U200" s="444">
        <f>VLOOKUP(A200,'2020-21'!$A$6:$G$319,7,0)</f>
        <v>391225.98</v>
      </c>
      <c r="V200" s="513" t="str">
        <f t="shared" si="134"/>
        <v>Did not Meet</v>
      </c>
      <c r="X200" s="444">
        <f>VLOOKUP(A200,'2020-21'!$A$6:$F$319,6,0)/VLOOKUP(A200,'42. SEA or LEA Worksheet'!$A$4:$T$324,20,0)</f>
        <v>0</v>
      </c>
      <c r="Y200" s="513" t="str">
        <f t="shared" si="135"/>
        <v>Met</v>
      </c>
      <c r="AA200" s="444">
        <f>VLOOKUP(A200,'42. SEA or LEA Worksheet'!$A$4:$W$324,23,0)/VLOOKUP(compliance!A200,'42. SEA or LEA Worksheet'!$A$4:$T$324,20,0)</f>
        <v>8504.9126086956512</v>
      </c>
      <c r="AB200" s="513" t="str">
        <f t="shared" si="136"/>
        <v>Met</v>
      </c>
      <c r="AD200" s="512" t="str">
        <f t="shared" si="127"/>
        <v>Met</v>
      </c>
      <c r="AF200" s="444">
        <f>VLOOKUP(A200,'42. SEA or LEA Worksheet'!$A$4:$Z$324,26,0)</f>
        <v>20807.2</v>
      </c>
      <c r="AG200" s="513" t="str">
        <f t="shared" si="137"/>
        <v>Met</v>
      </c>
      <c r="AI200" s="444">
        <f>VLOOKUP(A200,'42. SEA or LEA Worksheet'!$A$4:$AB$324,28,0)</f>
        <v>450727.92</v>
      </c>
      <c r="AJ200" s="513" t="str">
        <f t="shared" si="138"/>
        <v>Met</v>
      </c>
      <c r="AL200" s="444">
        <f>VLOOKUP(compliance!A200,'42. SEA or LEA Worksheet'!$A$4:$AB$324,26,0)/VLOOKUP(compliance!A200,'42. SEA or LEA Worksheet'!$A$4:$Y$324,25,0)</f>
        <v>507.49268292682927</v>
      </c>
      <c r="AM200" s="513" t="str">
        <f t="shared" si="139"/>
        <v>Met</v>
      </c>
      <c r="AO200" s="444">
        <f>VLOOKUP(A200,'42. SEA or LEA Worksheet'!$A$4:$AB$324,28,0)/VLOOKUP(compliance!A200,'42. SEA or LEA Worksheet'!$A$4:$Y$324,25,0)</f>
        <v>10993.363902439023</v>
      </c>
      <c r="AP200" s="513" t="str">
        <f t="shared" si="140"/>
        <v>Met</v>
      </c>
      <c r="AR200" s="512" t="str">
        <f t="shared" si="128"/>
        <v>Met</v>
      </c>
      <c r="AT200" s="444">
        <f>VLOOKUP(A200,'42. SEA or LEA Worksheet'!$A$4:$AE$324,31,0)</f>
        <v>7688.03</v>
      </c>
      <c r="AU200" s="513" t="str">
        <f t="shared" si="121"/>
        <v>Did not Meet</v>
      </c>
      <c r="AW200" s="444">
        <f>VLOOKUP(A200,'42. SEA or LEA Worksheet'!$A$4:$AG$324,33,0)</f>
        <v>406192.39</v>
      </c>
      <c r="AX200" s="513" t="str">
        <f t="shared" si="124"/>
        <v>Did not Meet</v>
      </c>
      <c r="AZ200" s="444">
        <f>VLOOKUP(A200,'42. SEA or LEA Worksheet'!$A$4:$AG$324,31,0)/VLOOKUP(A200,'42. SEA or LEA Worksheet'!$A$4:$AD$324,30,0)</f>
        <v>232.97060606060606</v>
      </c>
      <c r="BA200" s="513" t="str">
        <f t="shared" si="125"/>
        <v>Did not Meet</v>
      </c>
      <c r="BC200" s="444">
        <f>VLOOKUP(A200,'42. SEA or LEA Worksheet'!$A$4:$AG$324,33,0)/VLOOKUP(A200,'42. SEA or LEA Worksheet'!$A$4:$AD$324,30,0)</f>
        <v>12308.860303030304</v>
      </c>
      <c r="BD200" s="513" t="str">
        <f t="shared" si="126"/>
        <v>Met</v>
      </c>
      <c r="BF200" s="512" t="str">
        <f t="shared" si="122"/>
        <v>Met</v>
      </c>
      <c r="BG200" s="637">
        <f>VLOOKUP(A200,'42. SEA or LEA Worksheet'!$A$4:$AM$324,36,0)</f>
        <v>0</v>
      </c>
      <c r="BH200" s="638" t="str">
        <f t="shared" si="129"/>
        <v>Did not Meet</v>
      </c>
      <c r="BI200" s="639"/>
      <c r="BJ200" s="637">
        <f>VLOOKUP(A200,'42. SEA or LEA Worksheet'!$A$4:$AM$324,38,0)</f>
        <v>435421.33</v>
      </c>
      <c r="BK200" s="638" t="str">
        <f t="shared" si="130"/>
        <v>Met</v>
      </c>
      <c r="BM200" s="631">
        <f>VLOOKUP(A200,'42. SEA or LEA Worksheet'!$A$4:$AL$324,36,0)/VLOOKUP(A200,'42. SEA or LEA Worksheet'!$A$4:$AL$324,35,0)</f>
        <v>0</v>
      </c>
      <c r="BN200" s="632" t="str">
        <f t="shared" si="131"/>
        <v>Met</v>
      </c>
      <c r="BP200" s="631">
        <f>VLOOKUP(A200,'42. SEA or LEA Worksheet'!$A$4:$AL$324,38,0)/VLOOKUP(A200,'42. SEA or LEA Worksheet'!$A$4:$AL$324,35,0)</f>
        <v>11458.45605263158</v>
      </c>
      <c r="BQ200" s="632" t="str">
        <f t="shared" si="132"/>
        <v>Met</v>
      </c>
      <c r="BS200" s="620" t="str">
        <f t="shared" si="123"/>
        <v>Met</v>
      </c>
    </row>
    <row r="201" spans="1:71" x14ac:dyDescent="0.25">
      <c r="A201" s="343" t="s">
        <v>582</v>
      </c>
      <c r="B201" s="510" t="s">
        <v>1144</v>
      </c>
      <c r="C201" s="511"/>
      <c r="D201" s="444">
        <v>0</v>
      </c>
      <c r="E201" s="343" t="s">
        <v>856</v>
      </c>
      <c r="F201" s="511"/>
      <c r="G201" s="444">
        <v>125389.81</v>
      </c>
      <c r="H201" s="343" t="s">
        <v>835</v>
      </c>
      <c r="I201" s="511"/>
      <c r="J201" s="444">
        <v>0</v>
      </c>
      <c r="K201" s="343" t="s">
        <v>856</v>
      </c>
      <c r="L201" s="511"/>
      <c r="M201" s="444">
        <v>5970.9433333333336</v>
      </c>
      <c r="N201" s="343" t="s">
        <v>856</v>
      </c>
      <c r="O201" s="511"/>
      <c r="P201" s="512" t="str">
        <f t="shared" si="120"/>
        <v>Met</v>
      </c>
      <c r="Q201" s="511"/>
      <c r="R201" s="444">
        <f>VLOOKUP(A201,'2020-21'!$A$6:$F$319,6,0)</f>
        <v>0</v>
      </c>
      <c r="S201" s="513" t="str">
        <f t="shared" si="133"/>
        <v>Met</v>
      </c>
      <c r="U201" s="444">
        <f>VLOOKUP(A201,'2020-21'!$A$6:$G$319,7,0)</f>
        <v>157980.21</v>
      </c>
      <c r="V201" s="513" t="str">
        <f t="shared" si="134"/>
        <v>Met</v>
      </c>
      <c r="X201" s="444">
        <f>VLOOKUP(A201,'2020-21'!$A$6:$F$319,6,0)/VLOOKUP(A201,'42. SEA or LEA Worksheet'!$A$4:$T$324,20,0)</f>
        <v>0</v>
      </c>
      <c r="Y201" s="513" t="str">
        <f t="shared" si="135"/>
        <v>Met</v>
      </c>
      <c r="AA201" s="444">
        <f>VLOOKUP(A201,'42. SEA or LEA Worksheet'!$A$4:$W$324,23,0)/VLOOKUP(compliance!A201,'42. SEA or LEA Worksheet'!$A$4:$T$324,20,0)</f>
        <v>7899.0104999999994</v>
      </c>
      <c r="AB201" s="513" t="str">
        <f t="shared" si="136"/>
        <v>Met</v>
      </c>
      <c r="AD201" s="512" t="str">
        <f t="shared" si="127"/>
        <v>Met</v>
      </c>
      <c r="AF201" s="444">
        <f>VLOOKUP(A201,'42. SEA or LEA Worksheet'!$A$4:$Z$324,26,0)</f>
        <v>0</v>
      </c>
      <c r="AG201" s="513" t="str">
        <f t="shared" si="137"/>
        <v>Met</v>
      </c>
      <c r="AI201" s="444">
        <f>VLOOKUP(A201,'42. SEA or LEA Worksheet'!$A$4:$AB$324,28,0)</f>
        <v>157706.95000000001</v>
      </c>
      <c r="AJ201" s="513" t="str">
        <f t="shared" si="138"/>
        <v>Did not Meet</v>
      </c>
      <c r="AL201" s="444">
        <f>VLOOKUP(compliance!A201,'42. SEA or LEA Worksheet'!$A$4:$AB$324,26,0)/VLOOKUP(compliance!A201,'42. SEA or LEA Worksheet'!$A$4:$Y$324,25,0)</f>
        <v>0</v>
      </c>
      <c r="AM201" s="513" t="str">
        <f t="shared" si="139"/>
        <v>Met</v>
      </c>
      <c r="AO201" s="444">
        <f>VLOOKUP(A201,'42. SEA or LEA Worksheet'!$A$4:$AB$324,28,0)/VLOOKUP(compliance!A201,'42. SEA or LEA Worksheet'!$A$4:$Y$324,25,0)</f>
        <v>7885.3475000000008</v>
      </c>
      <c r="AP201" s="513" t="str">
        <f t="shared" si="140"/>
        <v>Did not Meet</v>
      </c>
      <c r="AR201" s="512" t="str">
        <f t="shared" si="128"/>
        <v>Met</v>
      </c>
      <c r="AT201" s="444">
        <f>VLOOKUP(A201,'42. SEA or LEA Worksheet'!$A$4:$AE$324,31,0)</f>
        <v>0</v>
      </c>
      <c r="AU201" s="513" t="str">
        <f t="shared" si="121"/>
        <v>Met</v>
      </c>
      <c r="AW201" s="444">
        <f>VLOOKUP(A201,'42. SEA or LEA Worksheet'!$A$4:$AG$324,33,0)</f>
        <v>211502.47</v>
      </c>
      <c r="AX201" s="513" t="str">
        <f t="shared" si="124"/>
        <v>Met</v>
      </c>
      <c r="AZ201" s="444">
        <f>VLOOKUP(A201,'42. SEA or LEA Worksheet'!$A$4:$AG$324,31,0)/VLOOKUP(A201,'42. SEA or LEA Worksheet'!$A$4:$AD$324,30,0)</f>
        <v>0</v>
      </c>
      <c r="BA201" s="513" t="str">
        <f t="shared" si="125"/>
        <v>Met</v>
      </c>
      <c r="BC201" s="444">
        <f>VLOOKUP(A201,'42. SEA or LEA Worksheet'!$A$4:$AG$324,33,0)/VLOOKUP(A201,'42. SEA or LEA Worksheet'!$A$4:$AD$324,30,0)</f>
        <v>6220.6608823529414</v>
      </c>
      <c r="BD201" s="513" t="str">
        <f t="shared" si="126"/>
        <v>Did not Meet</v>
      </c>
      <c r="BF201" s="512" t="str">
        <f t="shared" si="122"/>
        <v>Met</v>
      </c>
      <c r="BG201" s="637">
        <f>VLOOKUP(A201,'42. SEA or LEA Worksheet'!$A$4:$AM$324,36,0)</f>
        <v>0</v>
      </c>
      <c r="BH201" s="638" t="str">
        <f t="shared" si="129"/>
        <v>Met</v>
      </c>
      <c r="BI201" s="639"/>
      <c r="BJ201" s="637">
        <f>VLOOKUP(A201,'42. SEA or LEA Worksheet'!$A$4:$AM$324,38,0)</f>
        <v>215620.83</v>
      </c>
      <c r="BK201" s="638" t="str">
        <f t="shared" si="130"/>
        <v>Met</v>
      </c>
      <c r="BM201" s="631">
        <f>VLOOKUP(A201,'42. SEA or LEA Worksheet'!$A$4:$AL$324,36,0)/VLOOKUP(A201,'42. SEA or LEA Worksheet'!$A$4:$AL$324,35,0)</f>
        <v>0</v>
      </c>
      <c r="BN201" s="632" t="str">
        <f t="shared" si="131"/>
        <v>Met</v>
      </c>
      <c r="BP201" s="631">
        <f>VLOOKUP(A201,'42. SEA or LEA Worksheet'!$A$4:$AL$324,38,0)/VLOOKUP(A201,'42. SEA or LEA Worksheet'!$A$4:$AL$324,35,0)</f>
        <v>8984.2012500000001</v>
      </c>
      <c r="BQ201" s="632" t="str">
        <f t="shared" si="132"/>
        <v>Met</v>
      </c>
      <c r="BS201" s="620" t="str">
        <f t="shared" si="123"/>
        <v>Met</v>
      </c>
    </row>
    <row r="202" spans="1:71" x14ac:dyDescent="0.25">
      <c r="A202" s="343" t="s">
        <v>584</v>
      </c>
      <c r="B202" s="510" t="s">
        <v>1020</v>
      </c>
      <c r="C202" s="511"/>
      <c r="D202" s="444">
        <v>0</v>
      </c>
      <c r="E202" s="343" t="s">
        <v>835</v>
      </c>
      <c r="F202" s="511"/>
      <c r="G202" s="444">
        <v>520505.38</v>
      </c>
      <c r="H202" s="343" t="s">
        <v>835</v>
      </c>
      <c r="I202" s="511"/>
      <c r="J202" s="444">
        <v>0</v>
      </c>
      <c r="K202" s="343" t="s">
        <v>835</v>
      </c>
      <c r="L202" s="511"/>
      <c r="M202" s="444">
        <v>10622.558775510204</v>
      </c>
      <c r="N202" s="343" t="s">
        <v>856</v>
      </c>
      <c r="O202" s="511"/>
      <c r="P202" s="512" t="str">
        <f t="shared" si="120"/>
        <v>Met</v>
      </c>
      <c r="Q202" s="511"/>
      <c r="R202" s="444">
        <f>VLOOKUP(A202,'2020-21'!$A$6:$F$319,6,0)</f>
        <v>0</v>
      </c>
      <c r="S202" s="513" t="str">
        <f t="shared" si="133"/>
        <v>Met</v>
      </c>
      <c r="U202" s="444">
        <f>VLOOKUP(A202,'2020-21'!$A$6:$G$319,7,0)</f>
        <v>448831.43</v>
      </c>
      <c r="V202" s="513" t="str">
        <f t="shared" si="134"/>
        <v>Did not Meet</v>
      </c>
      <c r="X202" s="444">
        <f>VLOOKUP(A202,'2020-21'!$A$6:$F$319,6,0)/VLOOKUP(A202,'42. SEA or LEA Worksheet'!$A$4:$T$324,20,0)</f>
        <v>0</v>
      </c>
      <c r="Y202" s="513" t="str">
        <f t="shared" si="135"/>
        <v>Met</v>
      </c>
      <c r="AA202" s="444">
        <f>VLOOKUP(A202,'42. SEA or LEA Worksheet'!$A$4:$W$324,23,0)/VLOOKUP(compliance!A202,'42. SEA or LEA Worksheet'!$A$4:$T$324,20,0)</f>
        <v>9549.6048936170209</v>
      </c>
      <c r="AB202" s="513" t="str">
        <f t="shared" si="136"/>
        <v>Did not Meet</v>
      </c>
      <c r="AD202" s="512" t="str">
        <f t="shared" si="127"/>
        <v>Met</v>
      </c>
      <c r="AF202" s="444">
        <f>VLOOKUP(A202,'42. SEA or LEA Worksheet'!$A$4:$Z$324,26,0)</f>
        <v>0</v>
      </c>
      <c r="AG202" s="513" t="str">
        <f t="shared" si="137"/>
        <v>Met</v>
      </c>
      <c r="AI202" s="444">
        <f>VLOOKUP(A202,'42. SEA or LEA Worksheet'!$A$4:$AB$324,28,0)</f>
        <v>471210.14</v>
      </c>
      <c r="AJ202" s="513" t="str">
        <f t="shared" si="138"/>
        <v>Met</v>
      </c>
      <c r="AL202" s="444">
        <f>VLOOKUP(compliance!A202,'42. SEA or LEA Worksheet'!$A$4:$AB$324,26,0)/VLOOKUP(compliance!A202,'42. SEA or LEA Worksheet'!$A$4:$Y$324,25,0)</f>
        <v>0</v>
      </c>
      <c r="AM202" s="513" t="str">
        <f t="shared" si="139"/>
        <v>Met</v>
      </c>
      <c r="AO202" s="444">
        <f>VLOOKUP(A202,'42. SEA or LEA Worksheet'!$A$4:$AB$324,28,0)/VLOOKUP(compliance!A202,'42. SEA or LEA Worksheet'!$A$4:$Y$324,25,0)</f>
        <v>9061.7334615384625</v>
      </c>
      <c r="AP202" s="513" t="str">
        <f t="shared" si="140"/>
        <v>Did not Meet</v>
      </c>
      <c r="AR202" s="512" t="str">
        <f t="shared" si="128"/>
        <v>Met</v>
      </c>
      <c r="AT202" s="444">
        <f>VLOOKUP(A202,'42. SEA or LEA Worksheet'!$A$4:$AE$324,31,0)</f>
        <v>0</v>
      </c>
      <c r="AU202" s="513" t="str">
        <f t="shared" si="121"/>
        <v>Met</v>
      </c>
      <c r="AW202" s="444">
        <f>VLOOKUP(A202,'42. SEA or LEA Worksheet'!$A$4:$AG$324,33,0)</f>
        <v>640909.13</v>
      </c>
      <c r="AX202" s="513" t="str">
        <f t="shared" si="124"/>
        <v>Met</v>
      </c>
      <c r="AZ202" s="444">
        <f>VLOOKUP(A202,'42. SEA or LEA Worksheet'!$A$4:$AG$324,31,0)/VLOOKUP(A202,'42. SEA or LEA Worksheet'!$A$4:$AD$324,30,0)</f>
        <v>0</v>
      </c>
      <c r="BA202" s="513" t="str">
        <f t="shared" si="125"/>
        <v>Met</v>
      </c>
      <c r="BC202" s="444">
        <f>VLOOKUP(A202,'42. SEA or LEA Worksheet'!$A$4:$AG$324,33,0)/VLOOKUP(A202,'42. SEA or LEA Worksheet'!$A$4:$AD$324,30,0)</f>
        <v>11244.019824561403</v>
      </c>
      <c r="BD202" s="513" t="str">
        <f t="shared" si="126"/>
        <v>Met</v>
      </c>
      <c r="BF202" s="512" t="str">
        <f t="shared" si="122"/>
        <v>Met</v>
      </c>
      <c r="BG202" s="637">
        <f>VLOOKUP(A202,'42. SEA or LEA Worksheet'!$A$4:$AM$324,36,0)</f>
        <v>0</v>
      </c>
      <c r="BH202" s="638" t="str">
        <f t="shared" si="129"/>
        <v>Met</v>
      </c>
      <c r="BI202" s="639"/>
      <c r="BJ202" s="637">
        <f>VLOOKUP(A202,'42. SEA or LEA Worksheet'!$A$4:$AM$324,38,0)</f>
        <v>821542.26</v>
      </c>
      <c r="BK202" s="638" t="str">
        <f t="shared" si="130"/>
        <v>Met</v>
      </c>
      <c r="BM202" s="631">
        <f>VLOOKUP(A202,'42. SEA or LEA Worksheet'!$A$4:$AL$324,36,0)/VLOOKUP(A202,'42. SEA or LEA Worksheet'!$A$4:$AL$324,35,0)</f>
        <v>0</v>
      </c>
      <c r="BN202" s="632" t="str">
        <f t="shared" si="131"/>
        <v>Met</v>
      </c>
      <c r="BP202" s="631">
        <f>VLOOKUP(A202,'42. SEA or LEA Worksheet'!$A$4:$AL$324,38,0)/VLOOKUP(A202,'42. SEA or LEA Worksheet'!$A$4:$AL$324,35,0)</f>
        <v>13467.905901639344</v>
      </c>
      <c r="BQ202" s="632" t="str">
        <f t="shared" si="132"/>
        <v>Met</v>
      </c>
      <c r="BS202" s="620" t="str">
        <f t="shared" si="123"/>
        <v>Met</v>
      </c>
    </row>
    <row r="203" spans="1:71" x14ac:dyDescent="0.25">
      <c r="A203" s="343" t="s">
        <v>586</v>
      </c>
      <c r="B203" s="510" t="s">
        <v>1021</v>
      </c>
      <c r="C203" s="511"/>
      <c r="D203" s="444">
        <v>0</v>
      </c>
      <c r="E203" s="343" t="s">
        <v>856</v>
      </c>
      <c r="F203" s="511"/>
      <c r="G203" s="444">
        <v>19312190.690000001</v>
      </c>
      <c r="H203" s="343" t="s">
        <v>835</v>
      </c>
      <c r="I203" s="511"/>
      <c r="J203" s="444">
        <v>0</v>
      </c>
      <c r="K203" s="343" t="s">
        <v>856</v>
      </c>
      <c r="L203" s="511"/>
      <c r="M203" s="444">
        <v>14719.657538109757</v>
      </c>
      <c r="N203" s="343" t="s">
        <v>835</v>
      </c>
      <c r="O203" s="511"/>
      <c r="P203" s="512" t="str">
        <f t="shared" ref="P203:P234" si="141">IF(AND(E203="Did not Meet",H203="Did not Meet",K203="Did not Meet", N203="Did not Meet"),"Did not Meet","Met")</f>
        <v>Met</v>
      </c>
      <c r="Q203" s="511"/>
      <c r="R203" s="444">
        <f>VLOOKUP(A203,'2020-21'!$A$6:$F$319,6,0)</f>
        <v>0</v>
      </c>
      <c r="S203" s="513" t="str">
        <f t="shared" si="133"/>
        <v>Met</v>
      </c>
      <c r="U203" s="444">
        <f>VLOOKUP(A203,'2020-21'!$A$6:$G$319,7,0)</f>
        <v>19522035.260000002</v>
      </c>
      <c r="V203" s="513" t="str">
        <f t="shared" si="134"/>
        <v>Met</v>
      </c>
      <c r="X203" s="444">
        <f>VLOOKUP(A203,'2020-21'!$A$6:$F$319,6,0)/VLOOKUP(A203,'42. SEA or LEA Worksheet'!$A$4:$T$324,20,0)</f>
        <v>0</v>
      </c>
      <c r="Y203" s="513" t="str">
        <f t="shared" si="135"/>
        <v>Met</v>
      </c>
      <c r="AA203" s="444">
        <f>VLOOKUP(A203,'42. SEA or LEA Worksheet'!$A$4:$W$324,23,0)/VLOOKUP(compliance!A203,'42. SEA or LEA Worksheet'!$A$4:$T$324,20,0)</f>
        <v>16931.513668690375</v>
      </c>
      <c r="AB203" s="513" t="str">
        <f t="shared" si="136"/>
        <v>Met</v>
      </c>
      <c r="AD203" s="512" t="str">
        <f t="shared" si="127"/>
        <v>Met</v>
      </c>
      <c r="AF203" s="444">
        <f>VLOOKUP(A203,'42. SEA or LEA Worksheet'!$A$4:$Z$324,26,0)</f>
        <v>0</v>
      </c>
      <c r="AG203" s="513" t="str">
        <f t="shared" si="137"/>
        <v>Met</v>
      </c>
      <c r="AI203" s="444">
        <f>VLOOKUP(A203,'42. SEA or LEA Worksheet'!$A$4:$AB$324,28,0)</f>
        <v>18787994.59</v>
      </c>
      <c r="AJ203" s="513" t="str">
        <f t="shared" si="138"/>
        <v>Did not Meet</v>
      </c>
      <c r="AL203" s="444">
        <f>VLOOKUP(compliance!A203,'42. SEA or LEA Worksheet'!$A$4:$AB$324,26,0)/VLOOKUP(compliance!A203,'42. SEA or LEA Worksheet'!$A$4:$Y$324,25,0)</f>
        <v>0</v>
      </c>
      <c r="AM203" s="513" t="str">
        <f t="shared" si="139"/>
        <v>Met</v>
      </c>
      <c r="AO203" s="444">
        <f>VLOOKUP(A203,'42. SEA or LEA Worksheet'!$A$4:$AB$324,28,0)/VLOOKUP(compliance!A203,'42. SEA or LEA Worksheet'!$A$4:$Y$324,25,0)</f>
        <v>16003.402546848381</v>
      </c>
      <c r="AP203" s="513" t="str">
        <f t="shared" si="140"/>
        <v>Did not Meet</v>
      </c>
      <c r="AR203" s="512" t="str">
        <f t="shared" si="128"/>
        <v>Met</v>
      </c>
      <c r="AT203" s="444">
        <f>VLOOKUP(A203,'42. SEA or LEA Worksheet'!$A$4:$AE$324,31,0)</f>
        <v>0</v>
      </c>
      <c r="AU203" s="513" t="str">
        <f t="shared" si="121"/>
        <v>Met</v>
      </c>
      <c r="AW203" s="444">
        <f>VLOOKUP(A203,'42. SEA or LEA Worksheet'!$A$4:$AG$324,33,0)</f>
        <v>21435304.640000001</v>
      </c>
      <c r="AX203" s="513" t="str">
        <f t="shared" si="124"/>
        <v>Met</v>
      </c>
      <c r="AZ203" s="444">
        <f>VLOOKUP(A203,'42. SEA or LEA Worksheet'!$A$4:$AG$324,31,0)/VLOOKUP(A203,'42. SEA or LEA Worksheet'!$A$4:$AD$324,30,0)</f>
        <v>0</v>
      </c>
      <c r="BA203" s="513" t="str">
        <f t="shared" si="125"/>
        <v>Met</v>
      </c>
      <c r="BC203" s="444">
        <f>VLOOKUP(A203,'42. SEA or LEA Worksheet'!$A$4:$AG$324,33,0)/VLOOKUP(A203,'42. SEA or LEA Worksheet'!$A$4:$AD$324,30,0)</f>
        <v>17398.786233766234</v>
      </c>
      <c r="BD203" s="513" t="str">
        <f t="shared" si="126"/>
        <v>Met</v>
      </c>
      <c r="BF203" s="512" t="str">
        <f t="shared" si="122"/>
        <v>Met</v>
      </c>
      <c r="BG203" s="637">
        <f>VLOOKUP(A203,'42. SEA or LEA Worksheet'!$A$4:$AM$324,36,0)</f>
        <v>0</v>
      </c>
      <c r="BH203" s="638" t="str">
        <f t="shared" si="129"/>
        <v>Met</v>
      </c>
      <c r="BI203" s="639"/>
      <c r="BJ203" s="637">
        <f>VLOOKUP(A203,'42. SEA or LEA Worksheet'!$A$4:$AM$324,38,0)</f>
        <v>21944053.760000002</v>
      </c>
      <c r="BK203" s="638" t="str">
        <f t="shared" si="130"/>
        <v>Met</v>
      </c>
      <c r="BM203" s="631">
        <f>VLOOKUP(A203,'42. SEA or LEA Worksheet'!$A$4:$AL$324,36,0)/VLOOKUP(A203,'42. SEA or LEA Worksheet'!$A$4:$AL$324,35,0)</f>
        <v>0</v>
      </c>
      <c r="BN203" s="632" t="str">
        <f t="shared" si="131"/>
        <v>Met</v>
      </c>
      <c r="BP203" s="631">
        <f>VLOOKUP(A203,'42. SEA or LEA Worksheet'!$A$4:$AL$324,38,0)/VLOOKUP(A203,'42. SEA or LEA Worksheet'!$A$4:$AL$324,35,0)</f>
        <v>16867.066687163722</v>
      </c>
      <c r="BQ203" s="632" t="str">
        <f t="shared" si="132"/>
        <v>Met</v>
      </c>
      <c r="BS203" s="620" t="str">
        <f t="shared" si="123"/>
        <v>Met</v>
      </c>
    </row>
    <row r="204" spans="1:71" x14ac:dyDescent="0.25">
      <c r="A204" s="343" t="s">
        <v>588</v>
      </c>
      <c r="B204" s="510" t="s">
        <v>1022</v>
      </c>
      <c r="C204" s="511"/>
      <c r="D204" s="444">
        <v>421645.18</v>
      </c>
      <c r="E204" s="343" t="s">
        <v>835</v>
      </c>
      <c r="F204" s="511"/>
      <c r="G204" s="444">
        <v>1649503.52</v>
      </c>
      <c r="H204" s="343" t="s">
        <v>835</v>
      </c>
      <c r="I204" s="511"/>
      <c r="J204" s="444">
        <v>3400.3643548387095</v>
      </c>
      <c r="K204" s="343" t="s">
        <v>835</v>
      </c>
      <c r="L204" s="511"/>
      <c r="M204" s="444">
        <v>13302.447741935484</v>
      </c>
      <c r="N204" s="343" t="s">
        <v>835</v>
      </c>
      <c r="O204" s="511"/>
      <c r="P204" s="512" t="str">
        <f t="shared" si="141"/>
        <v>Met</v>
      </c>
      <c r="Q204" s="511"/>
      <c r="R204" s="444">
        <f>VLOOKUP(A204,'2020-21'!$A$6:$F$319,6,0)</f>
        <v>0</v>
      </c>
      <c r="S204" s="513" t="str">
        <f t="shared" si="133"/>
        <v>Did not Meet</v>
      </c>
      <c r="U204" s="444">
        <f>VLOOKUP(A204,'2020-21'!$A$6:$G$319,7,0)</f>
        <v>1718274.19</v>
      </c>
      <c r="V204" s="513" t="str">
        <f t="shared" si="134"/>
        <v>Met</v>
      </c>
      <c r="X204" s="444">
        <f>VLOOKUP(A204,'2020-21'!$A$6:$F$319,6,0)/VLOOKUP(A204,'42. SEA or LEA Worksheet'!$A$4:$T$324,20,0)</f>
        <v>0</v>
      </c>
      <c r="Y204" s="513" t="str">
        <f t="shared" si="135"/>
        <v>Did not Meet</v>
      </c>
      <c r="AA204" s="444">
        <f>VLOOKUP(A204,'42. SEA or LEA Worksheet'!$A$4:$W$324,23,0)/VLOOKUP(compliance!A204,'42. SEA or LEA Worksheet'!$A$4:$T$324,20,0)</f>
        <v>15341.733839285715</v>
      </c>
      <c r="AB204" s="513" t="str">
        <f t="shared" si="136"/>
        <v>Met</v>
      </c>
      <c r="AD204" s="512" t="str">
        <f t="shared" si="127"/>
        <v>Met</v>
      </c>
      <c r="AF204" s="444">
        <f>VLOOKUP(A204,'42. SEA or LEA Worksheet'!$A$4:$Z$324,26,0)</f>
        <v>421646</v>
      </c>
      <c r="AG204" s="513" t="str">
        <f t="shared" si="137"/>
        <v>Met</v>
      </c>
      <c r="AI204" s="444">
        <f>VLOOKUP(A204,'42. SEA or LEA Worksheet'!$A$4:$AB$324,28,0)</f>
        <v>1603658.93</v>
      </c>
      <c r="AJ204" s="513" t="str">
        <f t="shared" si="138"/>
        <v>Did not Meet</v>
      </c>
      <c r="AL204" s="444">
        <f>VLOOKUP(compliance!A204,'42. SEA or LEA Worksheet'!$A$4:$AB$324,26,0)/VLOOKUP(compliance!A204,'42. SEA or LEA Worksheet'!$A$4:$Y$324,25,0)</f>
        <v>3456.1147540983607</v>
      </c>
      <c r="AM204" s="513" t="str">
        <f t="shared" si="139"/>
        <v>Met</v>
      </c>
      <c r="AO204" s="444">
        <f>VLOOKUP(A204,'42. SEA or LEA Worksheet'!$A$4:$AB$324,28,0)/VLOOKUP(compliance!A204,'42. SEA or LEA Worksheet'!$A$4:$Y$324,25,0)</f>
        <v>13144.745327868852</v>
      </c>
      <c r="AP204" s="513" t="str">
        <f t="shared" si="140"/>
        <v>Did not Meet</v>
      </c>
      <c r="AR204" s="512" t="str">
        <f t="shared" si="128"/>
        <v>Met</v>
      </c>
      <c r="AT204" s="444">
        <f>VLOOKUP(A204,'42. SEA or LEA Worksheet'!$A$4:$AE$324,31,0)</f>
        <v>389591.64</v>
      </c>
      <c r="AU204" s="513" t="str">
        <f t="shared" si="121"/>
        <v>Did not Meet</v>
      </c>
      <c r="AW204" s="444">
        <f>VLOOKUP(A204,'42. SEA or LEA Worksheet'!$A$4:$AG$324,33,0)</f>
        <v>2155620.4700000002</v>
      </c>
      <c r="AX204" s="513" t="str">
        <f t="shared" si="124"/>
        <v>Met</v>
      </c>
      <c r="AZ204" s="444">
        <f>VLOOKUP(A204,'42. SEA or LEA Worksheet'!$A$4:$AG$324,31,0)/VLOOKUP(A204,'42. SEA or LEA Worksheet'!$A$4:$AD$324,30,0)</f>
        <v>2705.4974999999999</v>
      </c>
      <c r="BA204" s="513" t="str">
        <f t="shared" si="125"/>
        <v>Did not Meet</v>
      </c>
      <c r="BC204" s="444">
        <f>VLOOKUP(A204,'42. SEA or LEA Worksheet'!$A$4:$AG$324,33,0)/VLOOKUP(A204,'42. SEA or LEA Worksheet'!$A$4:$AD$324,30,0)</f>
        <v>14969.586597222224</v>
      </c>
      <c r="BD204" s="513" t="str">
        <f t="shared" si="126"/>
        <v>Met</v>
      </c>
      <c r="BF204" s="512" t="str">
        <f t="shared" si="122"/>
        <v>Met</v>
      </c>
      <c r="BG204" s="637">
        <f>VLOOKUP(A204,'42. SEA or LEA Worksheet'!$A$4:$AM$324,36,0)</f>
        <v>421377</v>
      </c>
      <c r="BH204" s="638" t="str">
        <f t="shared" si="129"/>
        <v>Met</v>
      </c>
      <c r="BI204" s="639"/>
      <c r="BJ204" s="637">
        <f>VLOOKUP(A204,'42. SEA or LEA Worksheet'!$A$4:$AM$324,38,0)</f>
        <v>2306076.02</v>
      </c>
      <c r="BK204" s="638" t="str">
        <f t="shared" si="130"/>
        <v>Met</v>
      </c>
      <c r="BM204" s="631">
        <f>VLOOKUP(A204,'42. SEA or LEA Worksheet'!$A$4:$AL$324,36,0)/VLOOKUP(A204,'42. SEA or LEA Worksheet'!$A$4:$AL$324,35,0)</f>
        <v>3317.9291338582675</v>
      </c>
      <c r="BN204" s="632" t="str">
        <f t="shared" si="131"/>
        <v>Met</v>
      </c>
      <c r="BP204" s="631">
        <f>VLOOKUP(A204,'42. SEA or LEA Worksheet'!$A$4:$AL$324,38,0)/VLOOKUP(A204,'42. SEA or LEA Worksheet'!$A$4:$AL$324,35,0)</f>
        <v>18158.078897637795</v>
      </c>
      <c r="BQ204" s="632" t="str">
        <f t="shared" si="132"/>
        <v>Met</v>
      </c>
      <c r="BS204" s="620" t="str">
        <f t="shared" si="123"/>
        <v>Met</v>
      </c>
    </row>
    <row r="205" spans="1:71" x14ac:dyDescent="0.25">
      <c r="A205" s="343" t="s">
        <v>590</v>
      </c>
      <c r="B205" s="510" t="s">
        <v>1023</v>
      </c>
      <c r="C205" s="511"/>
      <c r="D205" s="444">
        <v>0</v>
      </c>
      <c r="E205" s="343" t="s">
        <v>856</v>
      </c>
      <c r="F205" s="511"/>
      <c r="G205" s="444">
        <v>521236.59</v>
      </c>
      <c r="H205" s="343" t="s">
        <v>835</v>
      </c>
      <c r="I205" s="511"/>
      <c r="J205" s="444">
        <v>0</v>
      </c>
      <c r="K205" s="343" t="s">
        <v>856</v>
      </c>
      <c r="L205" s="511"/>
      <c r="M205" s="444">
        <v>11090.140212765958</v>
      </c>
      <c r="N205" s="343" t="s">
        <v>835</v>
      </c>
      <c r="O205" s="511"/>
      <c r="P205" s="512" t="str">
        <f t="shared" si="141"/>
        <v>Met</v>
      </c>
      <c r="Q205" s="511"/>
      <c r="R205" s="444">
        <f>VLOOKUP(A205,'2020-21'!$A$6:$F$319,6,0)</f>
        <v>34836.31</v>
      </c>
      <c r="S205" s="513" t="str">
        <f t="shared" si="133"/>
        <v>Met</v>
      </c>
      <c r="U205" s="444">
        <f>VLOOKUP(A205,'2020-21'!$A$6:$G$319,7,0)</f>
        <v>526170.46</v>
      </c>
      <c r="V205" s="513" t="str">
        <f t="shared" si="134"/>
        <v>Met</v>
      </c>
      <c r="X205" s="444">
        <f>VLOOKUP(A205,'2020-21'!$A$6:$F$319,6,0)/VLOOKUP(A205,'42. SEA or LEA Worksheet'!$A$4:$T$324,20,0)</f>
        <v>710.94510204081632</v>
      </c>
      <c r="Y205" s="513" t="str">
        <f t="shared" si="135"/>
        <v>Met</v>
      </c>
      <c r="AA205" s="444">
        <f>VLOOKUP(A205,'42. SEA or LEA Worksheet'!$A$4:$W$324,23,0)/VLOOKUP(compliance!A205,'42. SEA or LEA Worksheet'!$A$4:$T$324,20,0)</f>
        <v>10738.172653061223</v>
      </c>
      <c r="AB205" s="513" t="str">
        <f t="shared" si="136"/>
        <v>Did not Meet</v>
      </c>
      <c r="AD205" s="512" t="str">
        <f t="shared" si="127"/>
        <v>Met</v>
      </c>
      <c r="AF205" s="444">
        <f>VLOOKUP(A205,'42. SEA or LEA Worksheet'!$A$4:$Z$324,26,0)</f>
        <v>0</v>
      </c>
      <c r="AG205" s="513" t="str">
        <f t="shared" si="137"/>
        <v>Did not Meet</v>
      </c>
      <c r="AI205" s="444">
        <f>VLOOKUP(A205,'42. SEA or LEA Worksheet'!$A$4:$AB$324,28,0)</f>
        <v>527611.34</v>
      </c>
      <c r="AJ205" s="513" t="str">
        <f t="shared" si="138"/>
        <v>Met</v>
      </c>
      <c r="AL205" s="444">
        <f>VLOOKUP(compliance!A205,'42. SEA or LEA Worksheet'!$A$4:$AB$324,26,0)/VLOOKUP(compliance!A205,'42. SEA or LEA Worksheet'!$A$4:$Y$324,25,0)</f>
        <v>0</v>
      </c>
      <c r="AM205" s="513" t="str">
        <f t="shared" si="139"/>
        <v>Did not Meet</v>
      </c>
      <c r="AO205" s="444">
        <f>VLOOKUP(A205,'42. SEA or LEA Worksheet'!$A$4:$AB$324,28,0)/VLOOKUP(compliance!A205,'42. SEA or LEA Worksheet'!$A$4:$Y$324,25,0)</f>
        <v>9256.3392982456135</v>
      </c>
      <c r="AP205" s="513" t="str">
        <f t="shared" si="140"/>
        <v>Did not Meet</v>
      </c>
      <c r="AR205" s="512" t="str">
        <f t="shared" si="128"/>
        <v>Met</v>
      </c>
      <c r="AT205" s="444">
        <f>VLOOKUP(A205,'42. SEA or LEA Worksheet'!$A$4:$AE$324,31,0)</f>
        <v>0</v>
      </c>
      <c r="AU205" s="513" t="str">
        <f t="shared" si="121"/>
        <v>Met</v>
      </c>
      <c r="AW205" s="444">
        <f>VLOOKUP(A205,'42. SEA or LEA Worksheet'!$A$4:$AG$324,33,0)</f>
        <v>542703.42000000004</v>
      </c>
      <c r="AX205" s="513" t="str">
        <f t="shared" si="124"/>
        <v>Met</v>
      </c>
      <c r="AZ205" s="444">
        <f>VLOOKUP(A205,'42. SEA or LEA Worksheet'!$A$4:$AG$324,31,0)/VLOOKUP(A205,'42. SEA or LEA Worksheet'!$A$4:$AD$324,30,0)</f>
        <v>0</v>
      </c>
      <c r="BA205" s="513" t="str">
        <f t="shared" si="125"/>
        <v>Met</v>
      </c>
      <c r="BC205" s="444">
        <f>VLOOKUP(A205,'42. SEA or LEA Worksheet'!$A$4:$AG$324,33,0)/VLOOKUP(A205,'42. SEA or LEA Worksheet'!$A$4:$AD$324,30,0)</f>
        <v>9045.0570000000007</v>
      </c>
      <c r="BD205" s="513" t="str">
        <f t="shared" si="126"/>
        <v>Did not Meet</v>
      </c>
      <c r="BF205" s="512" t="str">
        <f t="shared" si="122"/>
        <v>Met</v>
      </c>
      <c r="BG205" s="637">
        <f>VLOOKUP(A205,'42. SEA or LEA Worksheet'!$A$4:$AM$324,36,0)</f>
        <v>0</v>
      </c>
      <c r="BH205" s="638" t="str">
        <f t="shared" si="129"/>
        <v>Met</v>
      </c>
      <c r="BI205" s="639"/>
      <c r="BJ205" s="637">
        <f>VLOOKUP(A205,'42. SEA or LEA Worksheet'!$A$4:$AM$324,38,0)</f>
        <v>598272.82999999996</v>
      </c>
      <c r="BK205" s="638" t="str">
        <f t="shared" si="130"/>
        <v>Met</v>
      </c>
      <c r="BM205" s="631">
        <f>VLOOKUP(A205,'42. SEA or LEA Worksheet'!$A$4:$AL$324,36,0)/VLOOKUP(A205,'42. SEA or LEA Worksheet'!$A$4:$AL$324,35,0)</f>
        <v>0</v>
      </c>
      <c r="BN205" s="632" t="str">
        <f t="shared" si="131"/>
        <v>Met</v>
      </c>
      <c r="BP205" s="631">
        <f>VLOOKUP(A205,'42. SEA or LEA Worksheet'!$A$4:$AL$324,38,0)/VLOOKUP(A205,'42. SEA or LEA Worksheet'!$A$4:$AL$324,35,0)</f>
        <v>10140.217457627117</v>
      </c>
      <c r="BQ205" s="632" t="str">
        <f t="shared" si="132"/>
        <v>Met</v>
      </c>
      <c r="BS205" s="620" t="str">
        <f t="shared" si="123"/>
        <v>Met</v>
      </c>
    </row>
    <row r="206" spans="1:71" x14ac:dyDescent="0.25">
      <c r="A206" s="343" t="s">
        <v>592</v>
      </c>
      <c r="B206" s="510" t="s">
        <v>1024</v>
      </c>
      <c r="C206" s="511"/>
      <c r="D206" s="444">
        <v>1297782.92</v>
      </c>
      <c r="E206" s="343" t="s">
        <v>835</v>
      </c>
      <c r="F206" s="511"/>
      <c r="G206" s="444">
        <v>7431868.4299999997</v>
      </c>
      <c r="H206" s="343" t="s">
        <v>835</v>
      </c>
      <c r="I206" s="511"/>
      <c r="J206" s="444">
        <v>2241.4212780656303</v>
      </c>
      <c r="K206" s="343" t="s">
        <v>835</v>
      </c>
      <c r="L206" s="511"/>
      <c r="M206" s="444">
        <v>12835.696770293609</v>
      </c>
      <c r="N206" s="343" t="s">
        <v>835</v>
      </c>
      <c r="O206" s="511"/>
      <c r="P206" s="512" t="str">
        <f t="shared" si="141"/>
        <v>Met</v>
      </c>
      <c r="Q206" s="511"/>
      <c r="R206" s="444">
        <f>VLOOKUP(A206,'2020-21'!$A$6:$F$319,6,0)</f>
        <v>1072178.27</v>
      </c>
      <c r="S206" s="513" t="str">
        <f t="shared" si="133"/>
        <v>Did not Meet</v>
      </c>
      <c r="U206" s="444">
        <f>VLOOKUP(A206,'2020-21'!$A$6:$G$319,7,0)</f>
        <v>6918030.0999999996</v>
      </c>
      <c r="V206" s="513" t="str">
        <f t="shared" si="134"/>
        <v>Did not Meet</v>
      </c>
      <c r="X206" s="444">
        <f>VLOOKUP(A206,'2020-21'!$A$6:$F$319,6,0)/VLOOKUP(A206,'42. SEA or LEA Worksheet'!$A$4:$T$324,20,0)</f>
        <v>1907.790516014235</v>
      </c>
      <c r="Y206" s="513" t="str">
        <f t="shared" si="135"/>
        <v>Did not Meet</v>
      </c>
      <c r="AA206" s="444">
        <f>VLOOKUP(A206,'42. SEA or LEA Worksheet'!$A$4:$W$324,23,0)/VLOOKUP(compliance!A206,'42. SEA or LEA Worksheet'!$A$4:$T$324,20,0)</f>
        <v>12309.662099644127</v>
      </c>
      <c r="AB206" s="513" t="str">
        <f t="shared" si="136"/>
        <v>Did not Meet</v>
      </c>
      <c r="AD206" s="512" t="str">
        <f t="shared" si="127"/>
        <v>Did not Meet</v>
      </c>
      <c r="AF206" s="444">
        <f>VLOOKUP(A206,'42. SEA or LEA Worksheet'!$A$4:$Z$324,26,0)</f>
        <v>1622809.4</v>
      </c>
      <c r="AG206" s="513" t="str">
        <f t="shared" si="137"/>
        <v>Met</v>
      </c>
      <c r="AI206" s="444">
        <f>VLOOKUP(A206,'42. SEA or LEA Worksheet'!$A$4:$AB$324,28,0)</f>
        <v>7436149.7200000007</v>
      </c>
      <c r="AJ206" s="513" t="str">
        <f t="shared" si="138"/>
        <v>Met</v>
      </c>
      <c r="AL206" s="444">
        <f>VLOOKUP(compliance!A206,'42. SEA or LEA Worksheet'!$A$4:$AB$324,26,0)/VLOOKUP(compliance!A206,'42. SEA or LEA Worksheet'!$A$4:$Y$324,25,0)</f>
        <v>2872.2290265486722</v>
      </c>
      <c r="AM206" s="513" t="str">
        <f t="shared" si="139"/>
        <v>Met</v>
      </c>
      <c r="AO206" s="444">
        <f>VLOOKUP(A206,'42. SEA or LEA Worksheet'!$A$4:$AB$324,28,0)/VLOOKUP(compliance!A206,'42. SEA or LEA Worksheet'!$A$4:$Y$324,25,0)</f>
        <v>13161.326938053098</v>
      </c>
      <c r="AP206" s="513" t="str">
        <f t="shared" si="140"/>
        <v>Met</v>
      </c>
      <c r="AR206" s="512" t="str">
        <f t="shared" si="128"/>
        <v>Met</v>
      </c>
      <c r="AT206" s="444">
        <f>VLOOKUP(A206,'42. SEA or LEA Worksheet'!$A$4:$AE$324,31,0)</f>
        <v>2525425.7400000002</v>
      </c>
      <c r="AU206" s="513" t="str">
        <f t="shared" si="121"/>
        <v>Met</v>
      </c>
      <c r="AW206" s="444">
        <f>VLOOKUP(A206,'42. SEA or LEA Worksheet'!$A$4:$AG$324,33,0)</f>
        <v>8824550.9499999993</v>
      </c>
      <c r="AX206" s="513" t="str">
        <f t="shared" si="124"/>
        <v>Met</v>
      </c>
      <c r="AZ206" s="444">
        <f>VLOOKUP(A206,'42. SEA or LEA Worksheet'!$A$4:$AG$324,31,0)/VLOOKUP(A206,'42. SEA or LEA Worksheet'!$A$4:$AD$324,30,0)</f>
        <v>4209.0429000000004</v>
      </c>
      <c r="BA206" s="513" t="str">
        <f t="shared" si="125"/>
        <v>Met</v>
      </c>
      <c r="BC206" s="444">
        <f>VLOOKUP(A206,'42. SEA or LEA Worksheet'!$A$4:$AG$324,33,0)/VLOOKUP(A206,'42. SEA or LEA Worksheet'!$A$4:$AD$324,30,0)</f>
        <v>14707.584916666665</v>
      </c>
      <c r="BD206" s="513" t="str">
        <f t="shared" si="126"/>
        <v>Met</v>
      </c>
      <c r="BF206" s="512" t="str">
        <f t="shared" si="122"/>
        <v>Met</v>
      </c>
      <c r="BG206" s="637">
        <f>VLOOKUP(A206,'42. SEA or LEA Worksheet'!$A$4:$AM$324,36,0)</f>
        <v>1580640.99</v>
      </c>
      <c r="BH206" s="638" t="str">
        <f t="shared" si="129"/>
        <v>Did not Meet</v>
      </c>
      <c r="BI206" s="639"/>
      <c r="BJ206" s="637">
        <f>VLOOKUP(A206,'42. SEA or LEA Worksheet'!$A$4:$AM$324,38,0)</f>
        <v>9414871.0299999993</v>
      </c>
      <c r="BK206" s="638" t="str">
        <f t="shared" si="130"/>
        <v>Met</v>
      </c>
      <c r="BM206" s="631">
        <f>VLOOKUP(A206,'42. SEA or LEA Worksheet'!$A$4:$AL$324,36,0)/VLOOKUP(A206,'42. SEA or LEA Worksheet'!$A$4:$AL$324,35,0)</f>
        <v>2477.4937147335422</v>
      </c>
      <c r="BN206" s="632" t="str">
        <f t="shared" si="131"/>
        <v>Met</v>
      </c>
      <c r="BP206" s="631">
        <f>VLOOKUP(A206,'42. SEA or LEA Worksheet'!$A$4:$AL$324,38,0)/VLOOKUP(A206,'42. SEA or LEA Worksheet'!$A$4:$AL$324,35,0)</f>
        <v>14756.851144200626</v>
      </c>
      <c r="BQ206" s="632" t="str">
        <f t="shared" si="132"/>
        <v>Met</v>
      </c>
      <c r="BS206" s="620" t="str">
        <f t="shared" si="123"/>
        <v>Met</v>
      </c>
    </row>
    <row r="207" spans="1:71" x14ac:dyDescent="0.25">
      <c r="A207" s="343" t="s">
        <v>594</v>
      </c>
      <c r="B207" s="510" t="s">
        <v>1025</v>
      </c>
      <c r="C207" s="511"/>
      <c r="D207" s="444">
        <v>658.23</v>
      </c>
      <c r="E207" s="343" t="s">
        <v>856</v>
      </c>
      <c r="F207" s="511"/>
      <c r="G207" s="444">
        <v>2693322.03</v>
      </c>
      <c r="H207" s="343" t="s">
        <v>835</v>
      </c>
      <c r="I207" s="511"/>
      <c r="J207" s="444">
        <v>3.5199465240641712</v>
      </c>
      <c r="K207" s="343" t="s">
        <v>856</v>
      </c>
      <c r="L207" s="511"/>
      <c r="M207" s="444">
        <v>14402.791604278074</v>
      </c>
      <c r="N207" s="343" t="s">
        <v>856</v>
      </c>
      <c r="O207" s="511"/>
      <c r="P207" s="512" t="str">
        <f t="shared" si="141"/>
        <v>Met</v>
      </c>
      <c r="Q207" s="511"/>
      <c r="R207" s="444">
        <f>VLOOKUP(A207,'2020-21'!$A$6:$F$319,6,0)</f>
        <v>1273.4000000000001</v>
      </c>
      <c r="S207" s="513" t="str">
        <f t="shared" si="133"/>
        <v>Met</v>
      </c>
      <c r="U207" s="444">
        <f>VLOOKUP(A207,'2020-21'!$A$6:$G$319,7,0)</f>
        <v>2401964.7999999998</v>
      </c>
      <c r="V207" s="513" t="str">
        <f t="shared" si="134"/>
        <v>Did not Meet</v>
      </c>
      <c r="X207" s="444">
        <f>VLOOKUP(A207,'2020-21'!$A$6:$F$319,6,0)/VLOOKUP(A207,'42. SEA or LEA Worksheet'!$A$4:$T$324,20,0)</f>
        <v>7.2765714285714287</v>
      </c>
      <c r="Y207" s="513" t="str">
        <f t="shared" si="135"/>
        <v>Met</v>
      </c>
      <c r="AA207" s="444">
        <f>VLOOKUP(A207,'42. SEA or LEA Worksheet'!$A$4:$W$324,23,0)/VLOOKUP(compliance!A207,'42. SEA or LEA Worksheet'!$A$4:$T$324,20,0)</f>
        <v>13725.513142857142</v>
      </c>
      <c r="AB207" s="513" t="str">
        <f t="shared" si="136"/>
        <v>Did not Meet</v>
      </c>
      <c r="AD207" s="512" t="str">
        <f t="shared" si="127"/>
        <v>Met</v>
      </c>
      <c r="AF207" s="444">
        <f>VLOOKUP(A207,'42. SEA or LEA Worksheet'!$A$4:$Z$324,26,0)</f>
        <v>0</v>
      </c>
      <c r="AG207" s="513" t="str">
        <f t="shared" si="137"/>
        <v>Did not Meet</v>
      </c>
      <c r="AI207" s="444">
        <f>VLOOKUP(A207,'42. SEA or LEA Worksheet'!$A$4:$AB$324,28,0)</f>
        <v>2536963.1800000002</v>
      </c>
      <c r="AJ207" s="513" t="str">
        <f t="shared" si="138"/>
        <v>Met</v>
      </c>
      <c r="AL207" s="444">
        <f>VLOOKUP(compliance!A207,'42. SEA or LEA Worksheet'!$A$4:$AB$324,26,0)/VLOOKUP(compliance!A207,'42. SEA or LEA Worksheet'!$A$4:$Y$324,25,0)</f>
        <v>0</v>
      </c>
      <c r="AM207" s="513" t="str">
        <f t="shared" si="139"/>
        <v>Did not Meet</v>
      </c>
      <c r="AO207" s="444">
        <f>VLOOKUP(A207,'42. SEA or LEA Worksheet'!$A$4:$AB$324,28,0)/VLOOKUP(compliance!A207,'42. SEA or LEA Worksheet'!$A$4:$Y$324,25,0)</f>
        <v>16262.584487179489</v>
      </c>
      <c r="AP207" s="513" t="str">
        <f t="shared" si="140"/>
        <v>Met</v>
      </c>
      <c r="AR207" s="512" t="str">
        <f t="shared" si="128"/>
        <v>Met</v>
      </c>
      <c r="AT207" s="444">
        <f>VLOOKUP(A207,'42. SEA or LEA Worksheet'!$A$4:$AE$324,31,0)</f>
        <v>5067.1899999999996</v>
      </c>
      <c r="AU207" s="513" t="str">
        <f t="shared" si="121"/>
        <v>Met</v>
      </c>
      <c r="AW207" s="444">
        <f>VLOOKUP(A207,'42. SEA or LEA Worksheet'!$A$4:$AG$324,33,0)</f>
        <v>2591173.71</v>
      </c>
      <c r="AX207" s="513" t="str">
        <f t="shared" si="124"/>
        <v>Met</v>
      </c>
      <c r="AZ207" s="444">
        <f>VLOOKUP(A207,'42. SEA or LEA Worksheet'!$A$4:$AG$324,31,0)/VLOOKUP(A207,'42. SEA or LEA Worksheet'!$A$4:$AD$324,30,0)</f>
        <v>31.869119496855344</v>
      </c>
      <c r="BA207" s="513" t="str">
        <f t="shared" si="125"/>
        <v>Met</v>
      </c>
      <c r="BC207" s="444">
        <f>VLOOKUP(A207,'42. SEA or LEA Worksheet'!$A$4:$AG$324,33,0)/VLOOKUP(A207,'42. SEA or LEA Worksheet'!$A$4:$AD$324,30,0)</f>
        <v>16296.69</v>
      </c>
      <c r="BD207" s="513" t="str">
        <f t="shared" si="126"/>
        <v>Met</v>
      </c>
      <c r="BF207" s="512" t="str">
        <f t="shared" si="122"/>
        <v>Met</v>
      </c>
      <c r="BG207" s="637">
        <f>VLOOKUP(A207,'42. SEA or LEA Worksheet'!$A$4:$AM$324,36,0)</f>
        <v>8457.2099999999991</v>
      </c>
      <c r="BH207" s="638" t="str">
        <f t="shared" si="129"/>
        <v>Met</v>
      </c>
      <c r="BI207" s="639"/>
      <c r="BJ207" s="637">
        <f>VLOOKUP(A207,'42. SEA or LEA Worksheet'!$A$4:$AM$324,38,0)</f>
        <v>2789404.3</v>
      </c>
      <c r="BK207" s="638" t="str">
        <f t="shared" si="130"/>
        <v>Met</v>
      </c>
      <c r="BM207" s="631">
        <f>VLOOKUP(A207,'42. SEA or LEA Worksheet'!$A$4:$AL$324,36,0)/VLOOKUP(A207,'42. SEA or LEA Worksheet'!$A$4:$AL$324,35,0)</f>
        <v>55.639539473684202</v>
      </c>
      <c r="BN207" s="632" t="str">
        <f t="shared" si="131"/>
        <v>Met</v>
      </c>
      <c r="BP207" s="631">
        <f>VLOOKUP(A207,'42. SEA or LEA Worksheet'!$A$4:$AL$324,38,0)/VLOOKUP(A207,'42. SEA or LEA Worksheet'!$A$4:$AL$324,35,0)</f>
        <v>18351.344078947368</v>
      </c>
      <c r="BQ207" s="632" t="str">
        <f t="shared" si="132"/>
        <v>Met</v>
      </c>
      <c r="BS207" s="620" t="str">
        <f t="shared" si="123"/>
        <v>Met</v>
      </c>
    </row>
    <row r="208" spans="1:71" x14ac:dyDescent="0.25">
      <c r="A208" s="343" t="s">
        <v>596</v>
      </c>
      <c r="B208" s="510" t="s">
        <v>1026</v>
      </c>
      <c r="C208" s="511"/>
      <c r="D208" s="444">
        <v>0</v>
      </c>
      <c r="E208" s="343" t="s">
        <v>856</v>
      </c>
      <c r="F208" s="511"/>
      <c r="G208" s="444">
        <v>304570.48</v>
      </c>
      <c r="H208" s="343" t="s">
        <v>835</v>
      </c>
      <c r="I208" s="511"/>
      <c r="J208" s="444">
        <v>0</v>
      </c>
      <c r="K208" s="343" t="s">
        <v>856</v>
      </c>
      <c r="L208" s="511"/>
      <c r="M208" s="444">
        <v>10877.517142857143</v>
      </c>
      <c r="N208" s="343" t="s">
        <v>835</v>
      </c>
      <c r="O208" s="511"/>
      <c r="P208" s="512" t="str">
        <f t="shared" si="141"/>
        <v>Met</v>
      </c>
      <c r="Q208" s="511"/>
      <c r="R208" s="444">
        <f>VLOOKUP(A208,'2020-21'!$A$6:$F$319,6,0)</f>
        <v>0</v>
      </c>
      <c r="S208" s="513" t="str">
        <f t="shared" si="133"/>
        <v>Met</v>
      </c>
      <c r="U208" s="444">
        <f>VLOOKUP(A208,'2020-21'!$A$6:$G$319,7,0)</f>
        <v>321331.53000000003</v>
      </c>
      <c r="V208" s="513" t="str">
        <f t="shared" si="134"/>
        <v>Met</v>
      </c>
      <c r="X208" s="444">
        <f>VLOOKUP(A208,'2020-21'!$A$6:$F$319,6,0)/VLOOKUP(A208,'42. SEA or LEA Worksheet'!$A$4:$T$324,20,0)</f>
        <v>0</v>
      </c>
      <c r="Y208" s="513" t="str">
        <f t="shared" si="135"/>
        <v>Met</v>
      </c>
      <c r="AA208" s="444">
        <f>VLOOKUP(A208,'42. SEA or LEA Worksheet'!$A$4:$W$324,23,0)/VLOOKUP(compliance!A208,'42. SEA or LEA Worksheet'!$A$4:$T$324,20,0)</f>
        <v>10711.051000000001</v>
      </c>
      <c r="AB208" s="513" t="str">
        <f t="shared" si="136"/>
        <v>Did not Meet</v>
      </c>
      <c r="AD208" s="512" t="str">
        <f t="shared" si="127"/>
        <v>Met</v>
      </c>
      <c r="AF208" s="444">
        <f>VLOOKUP(A208,'42. SEA or LEA Worksheet'!$A$4:$Z$324,26,0)</f>
        <v>1646.34</v>
      </c>
      <c r="AG208" s="513" t="str">
        <f t="shared" si="137"/>
        <v>Met</v>
      </c>
      <c r="AI208" s="444">
        <f>VLOOKUP(A208,'42. SEA or LEA Worksheet'!$A$4:$AB$324,28,0)</f>
        <v>381065.44</v>
      </c>
      <c r="AJ208" s="513" t="str">
        <f t="shared" si="138"/>
        <v>Met</v>
      </c>
      <c r="AL208" s="444">
        <f>VLOOKUP(compliance!A208,'42. SEA or LEA Worksheet'!$A$4:$AB$324,26,0)/VLOOKUP(compliance!A208,'42. SEA or LEA Worksheet'!$A$4:$Y$324,25,0)</f>
        <v>49.889090909090903</v>
      </c>
      <c r="AM208" s="513" t="str">
        <f t="shared" si="139"/>
        <v>Met</v>
      </c>
      <c r="AO208" s="444">
        <f>VLOOKUP(A208,'42. SEA or LEA Worksheet'!$A$4:$AB$324,28,0)/VLOOKUP(compliance!A208,'42. SEA or LEA Worksheet'!$A$4:$Y$324,25,0)</f>
        <v>11547.437575757576</v>
      </c>
      <c r="AP208" s="513" t="str">
        <f t="shared" si="140"/>
        <v>Met</v>
      </c>
      <c r="AR208" s="512" t="str">
        <f t="shared" si="128"/>
        <v>Met</v>
      </c>
      <c r="AT208" s="444">
        <f>VLOOKUP(A208,'42. SEA or LEA Worksheet'!$A$4:$AE$324,31,0)</f>
        <v>0</v>
      </c>
      <c r="AU208" s="513" t="str">
        <f t="shared" si="121"/>
        <v>Did not Meet</v>
      </c>
      <c r="AW208" s="444">
        <f>VLOOKUP(A208,'42. SEA or LEA Worksheet'!$A$4:$AG$324,33,0)</f>
        <v>470692.04</v>
      </c>
      <c r="AX208" s="513" t="str">
        <f t="shared" si="124"/>
        <v>Met</v>
      </c>
      <c r="AZ208" s="444">
        <f>VLOOKUP(A208,'42. SEA or LEA Worksheet'!$A$4:$AG$324,31,0)/VLOOKUP(A208,'42. SEA or LEA Worksheet'!$A$4:$AD$324,30,0)</f>
        <v>0</v>
      </c>
      <c r="BA208" s="513" t="str">
        <f t="shared" si="125"/>
        <v>Did not Meet</v>
      </c>
      <c r="BC208" s="444">
        <f>VLOOKUP(A208,'42. SEA or LEA Worksheet'!$A$4:$AG$324,33,0)/VLOOKUP(A208,'42. SEA or LEA Worksheet'!$A$4:$AD$324,30,0)</f>
        <v>13843.883529411763</v>
      </c>
      <c r="BD208" s="513" t="str">
        <f t="shared" si="126"/>
        <v>Met</v>
      </c>
      <c r="BF208" s="512" t="str">
        <f t="shared" si="122"/>
        <v>Met</v>
      </c>
      <c r="BG208" s="637">
        <f>VLOOKUP(A208,'42. SEA or LEA Worksheet'!$A$4:$AM$324,36,0)</f>
        <v>0</v>
      </c>
      <c r="BH208" s="638" t="str">
        <f t="shared" si="129"/>
        <v>Met</v>
      </c>
      <c r="BI208" s="639"/>
      <c r="BJ208" s="637">
        <f>VLOOKUP(A208,'42. SEA or LEA Worksheet'!$A$4:$AM$324,38,0)</f>
        <v>580409.69999999995</v>
      </c>
      <c r="BK208" s="638" t="str">
        <f t="shared" si="130"/>
        <v>Met</v>
      </c>
      <c r="BM208" s="631">
        <f>VLOOKUP(A208,'42. SEA or LEA Worksheet'!$A$4:$AL$324,36,0)/VLOOKUP(A208,'42. SEA or LEA Worksheet'!$A$4:$AL$324,35,0)</f>
        <v>0</v>
      </c>
      <c r="BN208" s="632" t="str">
        <f t="shared" si="131"/>
        <v>Met</v>
      </c>
      <c r="BP208" s="631">
        <f>VLOOKUP(A208,'42. SEA or LEA Worksheet'!$A$4:$AL$324,38,0)/VLOOKUP(A208,'42. SEA or LEA Worksheet'!$A$4:$AL$324,35,0)</f>
        <v>19346.989999999998</v>
      </c>
      <c r="BQ208" s="632" t="str">
        <f t="shared" si="132"/>
        <v>Met</v>
      </c>
      <c r="BS208" s="620" t="str">
        <f t="shared" si="123"/>
        <v>Met</v>
      </c>
    </row>
    <row r="209" spans="1:71" x14ac:dyDescent="0.25">
      <c r="A209" s="343" t="s">
        <v>598</v>
      </c>
      <c r="B209" s="510" t="s">
        <v>1027</v>
      </c>
      <c r="C209" s="511"/>
      <c r="D209" s="444">
        <v>0</v>
      </c>
      <c r="E209" s="343" t="s">
        <v>856</v>
      </c>
      <c r="F209" s="511"/>
      <c r="G209" s="444">
        <v>805265.51</v>
      </c>
      <c r="H209" s="343" t="s">
        <v>835</v>
      </c>
      <c r="I209" s="511"/>
      <c r="J209" s="444">
        <v>0</v>
      </c>
      <c r="K209" s="343" t="s">
        <v>856</v>
      </c>
      <c r="L209" s="511"/>
      <c r="M209" s="444">
        <v>8658.7689247311828</v>
      </c>
      <c r="N209" s="343" t="s">
        <v>835</v>
      </c>
      <c r="O209" s="511"/>
      <c r="P209" s="512" t="str">
        <f t="shared" si="141"/>
        <v>Met</v>
      </c>
      <c r="Q209" s="511"/>
      <c r="R209" s="444">
        <f>VLOOKUP(A209,'2020-21'!$A$6:$F$319,6,0)</f>
        <v>0</v>
      </c>
      <c r="S209" s="513" t="str">
        <f t="shared" si="133"/>
        <v>Met</v>
      </c>
      <c r="U209" s="444">
        <f>VLOOKUP(A209,'2020-21'!$A$6:$G$319,7,0)</f>
        <v>835250.05</v>
      </c>
      <c r="V209" s="513" t="str">
        <f t="shared" si="134"/>
        <v>Met</v>
      </c>
      <c r="X209" s="444">
        <f>VLOOKUP(A209,'2020-21'!$A$6:$F$319,6,0)/VLOOKUP(A209,'42. SEA or LEA Worksheet'!$A$4:$T$324,20,0)</f>
        <v>0</v>
      </c>
      <c r="Y209" s="513" t="str">
        <f t="shared" si="135"/>
        <v>Met</v>
      </c>
      <c r="AA209" s="444">
        <f>VLOOKUP(A209,'42. SEA or LEA Worksheet'!$A$4:$W$324,23,0)/VLOOKUP(compliance!A209,'42. SEA or LEA Worksheet'!$A$4:$T$324,20,0)</f>
        <v>6576.7720472440951</v>
      </c>
      <c r="AB209" s="513" t="str">
        <f t="shared" si="136"/>
        <v>Did not Meet</v>
      </c>
      <c r="AD209" s="512" t="str">
        <f t="shared" si="127"/>
        <v>Met</v>
      </c>
      <c r="AF209" s="444">
        <f>VLOOKUP(A209,'42. SEA or LEA Worksheet'!$A$4:$Z$324,26,0)</f>
        <v>0</v>
      </c>
      <c r="AG209" s="513" t="str">
        <f t="shared" si="137"/>
        <v>Met</v>
      </c>
      <c r="AI209" s="444">
        <f>VLOOKUP(A209,'42. SEA or LEA Worksheet'!$A$4:$AB$324,28,0)</f>
        <v>721482.86</v>
      </c>
      <c r="AJ209" s="513" t="str">
        <f t="shared" si="138"/>
        <v>Did not Meet</v>
      </c>
      <c r="AL209" s="444">
        <f>VLOOKUP(compliance!A209,'42. SEA or LEA Worksheet'!$A$4:$AB$324,26,0)/VLOOKUP(compliance!A209,'42. SEA or LEA Worksheet'!$A$4:$Y$324,25,0)</f>
        <v>0</v>
      </c>
      <c r="AM209" s="513" t="str">
        <f t="shared" si="139"/>
        <v>Met</v>
      </c>
      <c r="AO209" s="444">
        <f>VLOOKUP(A209,'42. SEA or LEA Worksheet'!$A$4:$AB$324,28,0)/VLOOKUP(compliance!A209,'42. SEA or LEA Worksheet'!$A$4:$Y$324,25,0)</f>
        <v>7004.6879611650484</v>
      </c>
      <c r="AP209" s="513" t="str">
        <f t="shared" si="140"/>
        <v>Met</v>
      </c>
      <c r="AR209" s="512" t="str">
        <f t="shared" si="128"/>
        <v>Met</v>
      </c>
      <c r="AT209" s="444">
        <f>VLOOKUP(A209,'42. SEA or LEA Worksheet'!$A$4:$AE$324,31,0)</f>
        <v>0</v>
      </c>
      <c r="AU209" s="513" t="str">
        <f t="shared" si="121"/>
        <v>Met</v>
      </c>
      <c r="AW209" s="444">
        <f>VLOOKUP(A209,'42. SEA or LEA Worksheet'!$A$4:$AG$324,33,0)</f>
        <v>740662.53</v>
      </c>
      <c r="AX209" s="513" t="str">
        <f t="shared" si="124"/>
        <v>Met</v>
      </c>
      <c r="AZ209" s="444">
        <f>VLOOKUP(A209,'42. SEA or LEA Worksheet'!$A$4:$AG$324,31,0)/VLOOKUP(A209,'42. SEA or LEA Worksheet'!$A$4:$AD$324,30,0)</f>
        <v>0</v>
      </c>
      <c r="BA209" s="513" t="str">
        <f t="shared" si="125"/>
        <v>Met</v>
      </c>
      <c r="BC209" s="444">
        <f>VLOOKUP(A209,'42. SEA or LEA Worksheet'!$A$4:$AG$324,33,0)/VLOOKUP(A209,'42. SEA or LEA Worksheet'!$A$4:$AD$324,30,0)</f>
        <v>7053.9288571428579</v>
      </c>
      <c r="BD209" s="513" t="str">
        <f t="shared" si="126"/>
        <v>Met</v>
      </c>
      <c r="BF209" s="512" t="str">
        <f t="shared" si="122"/>
        <v>Met</v>
      </c>
      <c r="BG209" s="637">
        <f>VLOOKUP(A209,'42. SEA or LEA Worksheet'!$A$4:$AM$324,36,0)</f>
        <v>0</v>
      </c>
      <c r="BH209" s="638" t="str">
        <f t="shared" si="129"/>
        <v>Met</v>
      </c>
      <c r="BI209" s="639"/>
      <c r="BJ209" s="637">
        <f>VLOOKUP(A209,'42. SEA or LEA Worksheet'!$A$4:$AM$324,38,0)</f>
        <v>665153.62</v>
      </c>
      <c r="BK209" s="638" t="str">
        <f t="shared" si="130"/>
        <v>Did not Meet</v>
      </c>
      <c r="BM209" s="631" t="e">
        <f>VLOOKUP(A209,'42. SEA or LEA Worksheet'!$A$4:$AL$324,36,0)/VLOOKUP(A209,'42. SEA or LEA Worksheet'!$A$4:$AL$324,35,0)</f>
        <v>#DIV/0!</v>
      </c>
      <c r="BN209" s="632" t="e">
        <f t="shared" si="131"/>
        <v>#DIV/0!</v>
      </c>
      <c r="BP209" s="631" t="e">
        <f>VLOOKUP(A209,'42. SEA or LEA Worksheet'!$A$4:$AL$324,38,0)/VLOOKUP(A209,'42. SEA or LEA Worksheet'!$A$4:$AL$324,35,0)</f>
        <v>#DIV/0!</v>
      </c>
      <c r="BQ209" s="632" t="e">
        <f t="shared" si="132"/>
        <v>#DIV/0!</v>
      </c>
      <c r="BS209" s="620" t="e">
        <f t="shared" si="123"/>
        <v>#DIV/0!</v>
      </c>
    </row>
    <row r="210" spans="1:71" x14ac:dyDescent="0.25">
      <c r="A210" s="343" t="s">
        <v>600</v>
      </c>
      <c r="B210" s="510" t="s">
        <v>1028</v>
      </c>
      <c r="C210" s="511"/>
      <c r="D210" s="444">
        <v>0</v>
      </c>
      <c r="E210" s="343" t="s">
        <v>856</v>
      </c>
      <c r="F210" s="511"/>
      <c r="G210" s="444">
        <v>3663174.81</v>
      </c>
      <c r="H210" s="343" t="s">
        <v>835</v>
      </c>
      <c r="I210" s="511"/>
      <c r="J210" s="444">
        <v>0</v>
      </c>
      <c r="K210" s="343" t="s">
        <v>856</v>
      </c>
      <c r="L210" s="511"/>
      <c r="M210" s="444">
        <v>10377.265750708215</v>
      </c>
      <c r="N210" s="343" t="s">
        <v>856</v>
      </c>
      <c r="O210" s="511"/>
      <c r="P210" s="512" t="str">
        <f t="shared" si="141"/>
        <v>Met</v>
      </c>
      <c r="Q210" s="511"/>
      <c r="R210" s="444">
        <f>VLOOKUP(A210,'2020-21'!$A$6:$F$319,6,0)</f>
        <v>0</v>
      </c>
      <c r="S210" s="513" t="str">
        <f t="shared" si="133"/>
        <v>Met</v>
      </c>
      <c r="U210" s="444">
        <f>VLOOKUP(A210,'2020-21'!$A$6:$G$319,7,0)</f>
        <v>3325485.19</v>
      </c>
      <c r="V210" s="513" t="str">
        <f t="shared" si="134"/>
        <v>Did not Meet</v>
      </c>
      <c r="X210" s="444">
        <f>VLOOKUP(A210,'2020-21'!$A$6:$F$319,6,0)/VLOOKUP(A210,'42. SEA or LEA Worksheet'!$A$4:$T$324,20,0)</f>
        <v>0</v>
      </c>
      <c r="Y210" s="513" t="str">
        <f t="shared" si="135"/>
        <v>Met</v>
      </c>
      <c r="AA210" s="444">
        <f>VLOOKUP(A210,'42. SEA or LEA Worksheet'!$A$4:$W$324,23,0)/VLOOKUP(compliance!A210,'42. SEA or LEA Worksheet'!$A$4:$T$324,20,0)</f>
        <v>9555.9919252873569</v>
      </c>
      <c r="AB210" s="513" t="str">
        <f t="shared" si="136"/>
        <v>Did not Meet</v>
      </c>
      <c r="AD210" s="512" t="str">
        <f t="shared" si="127"/>
        <v>Met</v>
      </c>
      <c r="AF210" s="444">
        <f>VLOOKUP(A210,'42. SEA or LEA Worksheet'!$A$4:$Z$324,26,0)</f>
        <v>130756.61</v>
      </c>
      <c r="AG210" s="513" t="str">
        <f t="shared" si="137"/>
        <v>Met</v>
      </c>
      <c r="AI210" s="444">
        <f>VLOOKUP(A210,'42. SEA or LEA Worksheet'!$A$4:$AB$324,28,0)</f>
        <v>3633311.75</v>
      </c>
      <c r="AJ210" s="513" t="str">
        <f t="shared" si="138"/>
        <v>Met</v>
      </c>
      <c r="AL210" s="444">
        <f>VLOOKUP(compliance!A210,'42. SEA or LEA Worksheet'!$A$4:$AB$324,26,0)/VLOOKUP(compliance!A210,'42. SEA or LEA Worksheet'!$A$4:$Y$324,25,0)</f>
        <v>398.6482012195122</v>
      </c>
      <c r="AM210" s="513" t="str">
        <f t="shared" si="139"/>
        <v>Met</v>
      </c>
      <c r="AO210" s="444">
        <f>VLOOKUP(A210,'42. SEA or LEA Worksheet'!$A$4:$AB$324,28,0)/VLOOKUP(compliance!A210,'42. SEA or LEA Worksheet'!$A$4:$Y$324,25,0)</f>
        <v>11077.169969512195</v>
      </c>
      <c r="AP210" s="513" t="str">
        <f t="shared" si="140"/>
        <v>Met</v>
      </c>
      <c r="AR210" s="512" t="str">
        <f t="shared" si="128"/>
        <v>Met</v>
      </c>
      <c r="AT210" s="444">
        <f>VLOOKUP(A210,'42. SEA or LEA Worksheet'!$A$4:$AE$324,31,0)</f>
        <v>573516.07999999996</v>
      </c>
      <c r="AU210" s="513" t="str">
        <f t="shared" si="121"/>
        <v>Met</v>
      </c>
      <c r="AW210" s="444">
        <f>VLOOKUP(A210,'42. SEA or LEA Worksheet'!$A$4:$AG$324,33,0)</f>
        <v>4205606.2</v>
      </c>
      <c r="AX210" s="513" t="str">
        <f t="shared" si="124"/>
        <v>Met</v>
      </c>
      <c r="AZ210" s="444">
        <f>VLOOKUP(A210,'42. SEA or LEA Worksheet'!$A$4:$AG$324,31,0)/VLOOKUP(A210,'42. SEA or LEA Worksheet'!$A$4:$AD$324,30,0)</f>
        <v>1792.2377499999998</v>
      </c>
      <c r="BA210" s="513" t="str">
        <f t="shared" si="125"/>
        <v>Met</v>
      </c>
      <c r="BC210" s="444">
        <f>VLOOKUP(A210,'42. SEA or LEA Worksheet'!$A$4:$AG$324,33,0)/VLOOKUP(A210,'42. SEA or LEA Worksheet'!$A$4:$AD$324,30,0)</f>
        <v>13142.519375</v>
      </c>
      <c r="BD210" s="513" t="str">
        <f t="shared" si="126"/>
        <v>Met</v>
      </c>
      <c r="BF210" s="512" t="str">
        <f t="shared" si="122"/>
        <v>Met</v>
      </c>
      <c r="BG210" s="637">
        <f>VLOOKUP(A210,'42. SEA or LEA Worksheet'!$A$4:$AM$324,36,0)</f>
        <v>89149.32</v>
      </c>
      <c r="BH210" s="638" t="str">
        <f t="shared" si="129"/>
        <v>Did not Meet</v>
      </c>
      <c r="BI210" s="639"/>
      <c r="BJ210" s="637">
        <f>VLOOKUP(A210,'42. SEA or LEA Worksheet'!$A$4:$AM$324,38,0)</f>
        <v>4701824.92</v>
      </c>
      <c r="BK210" s="638" t="str">
        <f t="shared" si="130"/>
        <v>Met</v>
      </c>
      <c r="BM210" s="631">
        <f>VLOOKUP(A210,'42. SEA or LEA Worksheet'!$A$4:$AL$324,36,0)/VLOOKUP(A210,'42. SEA or LEA Worksheet'!$A$4:$AL$324,35,0)</f>
        <v>259.91055393586009</v>
      </c>
      <c r="BN210" s="632" t="str">
        <f t="shared" si="131"/>
        <v>Met</v>
      </c>
      <c r="BP210" s="631">
        <f>VLOOKUP(A210,'42. SEA or LEA Worksheet'!$A$4:$AL$324,38,0)/VLOOKUP(A210,'42. SEA or LEA Worksheet'!$A$4:$AL$324,35,0)</f>
        <v>13707.944373177843</v>
      </c>
      <c r="BQ210" s="632" t="str">
        <f t="shared" si="132"/>
        <v>Met</v>
      </c>
      <c r="BS210" s="620" t="str">
        <f t="shared" si="123"/>
        <v>Met</v>
      </c>
    </row>
    <row r="211" spans="1:71" x14ac:dyDescent="0.25">
      <c r="A211" s="343" t="s">
        <v>602</v>
      </c>
      <c r="B211" s="510" t="s">
        <v>1029</v>
      </c>
      <c r="C211" s="511"/>
      <c r="D211" s="444">
        <v>0</v>
      </c>
      <c r="E211" s="343" t="s">
        <v>856</v>
      </c>
      <c r="F211" s="511"/>
      <c r="G211" s="444">
        <v>3347651.13</v>
      </c>
      <c r="H211" s="343" t="s">
        <v>835</v>
      </c>
      <c r="I211" s="511"/>
      <c r="J211" s="444">
        <v>0</v>
      </c>
      <c r="K211" s="343" t="s">
        <v>856</v>
      </c>
      <c r="L211" s="511"/>
      <c r="M211" s="444">
        <v>9647.4095965417873</v>
      </c>
      <c r="N211" s="343" t="s">
        <v>835</v>
      </c>
      <c r="O211" s="511"/>
      <c r="P211" s="512" t="str">
        <f t="shared" si="141"/>
        <v>Met</v>
      </c>
      <c r="Q211" s="511"/>
      <c r="R211" s="444">
        <f>VLOOKUP(A211,'2020-21'!$A$6:$F$319,6,0)</f>
        <v>0</v>
      </c>
      <c r="S211" s="513" t="str">
        <f t="shared" si="133"/>
        <v>Met</v>
      </c>
      <c r="U211" s="444">
        <f>VLOOKUP(A211,'2020-21'!$A$6:$G$319,7,0)</f>
        <v>3524599.57</v>
      </c>
      <c r="V211" s="513" t="str">
        <f t="shared" si="134"/>
        <v>Met</v>
      </c>
      <c r="X211" s="444">
        <f>VLOOKUP(A211,'2020-21'!$A$6:$F$319,6,0)/VLOOKUP(A211,'42. SEA or LEA Worksheet'!$A$4:$T$324,20,0)</f>
        <v>0</v>
      </c>
      <c r="Y211" s="513" t="str">
        <f t="shared" si="135"/>
        <v>Met</v>
      </c>
      <c r="AA211" s="444">
        <f>VLOOKUP(A211,'42. SEA or LEA Worksheet'!$A$4:$W$324,23,0)/VLOOKUP(compliance!A211,'42. SEA or LEA Worksheet'!$A$4:$T$324,20,0)</f>
        <v>10157.347463976945</v>
      </c>
      <c r="AB211" s="513" t="str">
        <f t="shared" si="136"/>
        <v>Met</v>
      </c>
      <c r="AD211" s="512" t="str">
        <f t="shared" si="127"/>
        <v>Met</v>
      </c>
      <c r="AF211" s="444">
        <f>VLOOKUP(A211,'42. SEA or LEA Worksheet'!$A$4:$Z$324,26,0)</f>
        <v>0</v>
      </c>
      <c r="AG211" s="513" t="str">
        <f t="shared" si="137"/>
        <v>Met</v>
      </c>
      <c r="AI211" s="444">
        <f>VLOOKUP(A211,'42. SEA or LEA Worksheet'!$A$4:$AB$324,28,0)</f>
        <v>3566178.28</v>
      </c>
      <c r="AJ211" s="513" t="str">
        <f t="shared" si="138"/>
        <v>Met</v>
      </c>
      <c r="AL211" s="444">
        <f>VLOOKUP(compliance!A211,'42. SEA or LEA Worksheet'!$A$4:$AB$324,26,0)/VLOOKUP(compliance!A211,'42. SEA or LEA Worksheet'!$A$4:$Y$324,25,0)</f>
        <v>0</v>
      </c>
      <c r="AM211" s="513" t="str">
        <f t="shared" si="139"/>
        <v>Met</v>
      </c>
      <c r="AO211" s="444">
        <f>VLOOKUP(A211,'42. SEA or LEA Worksheet'!$A$4:$AB$324,28,0)/VLOOKUP(compliance!A211,'42. SEA or LEA Worksheet'!$A$4:$Y$324,25,0)</f>
        <v>9906.0507777777766</v>
      </c>
      <c r="AP211" s="513" t="str">
        <f t="shared" si="140"/>
        <v>Did not Meet</v>
      </c>
      <c r="AR211" s="512" t="str">
        <f t="shared" si="128"/>
        <v>Met</v>
      </c>
      <c r="AT211" s="444">
        <f>VLOOKUP(A211,'42. SEA or LEA Worksheet'!$A$4:$AE$324,31,0)</f>
        <v>0</v>
      </c>
      <c r="AU211" s="513" t="str">
        <f t="shared" si="121"/>
        <v>Met</v>
      </c>
      <c r="AW211" s="444">
        <f>VLOOKUP(A211,'42. SEA or LEA Worksheet'!$A$4:$AG$324,33,0)</f>
        <v>3865128.9</v>
      </c>
      <c r="AX211" s="513" t="str">
        <f t="shared" si="124"/>
        <v>Met</v>
      </c>
      <c r="AZ211" s="444">
        <f>VLOOKUP(A211,'42. SEA or LEA Worksheet'!$A$4:$AG$324,31,0)/VLOOKUP(A211,'42. SEA or LEA Worksheet'!$A$4:$AD$324,30,0)</f>
        <v>0</v>
      </c>
      <c r="BA211" s="513" t="str">
        <f t="shared" si="125"/>
        <v>Met</v>
      </c>
      <c r="BC211" s="444">
        <f>VLOOKUP(A211,'42. SEA or LEA Worksheet'!$A$4:$AG$324,33,0)/VLOOKUP(A211,'42. SEA or LEA Worksheet'!$A$4:$AD$324,30,0)</f>
        <v>10334.569251336898</v>
      </c>
      <c r="BD211" s="513" t="str">
        <f t="shared" si="126"/>
        <v>Met</v>
      </c>
      <c r="BF211" s="512" t="str">
        <f t="shared" si="122"/>
        <v>Met</v>
      </c>
      <c r="BG211" s="637">
        <f>VLOOKUP(A211,'42. SEA or LEA Worksheet'!$A$4:$AM$324,36,0)</f>
        <v>0</v>
      </c>
      <c r="BH211" s="638" t="str">
        <f t="shared" si="129"/>
        <v>Met</v>
      </c>
      <c r="BI211" s="639"/>
      <c r="BJ211" s="637">
        <f>VLOOKUP(A211,'42. SEA or LEA Worksheet'!$A$4:$AM$324,38,0)</f>
        <v>4435387.7699999996</v>
      </c>
      <c r="BK211" s="638" t="str">
        <f t="shared" si="130"/>
        <v>Met</v>
      </c>
      <c r="BM211" s="631">
        <f>VLOOKUP(A211,'42. SEA or LEA Worksheet'!$A$4:$AL$324,36,0)/VLOOKUP(A211,'42. SEA or LEA Worksheet'!$A$4:$AL$324,35,0)</f>
        <v>0</v>
      </c>
      <c r="BN211" s="632" t="str">
        <f t="shared" si="131"/>
        <v>Met</v>
      </c>
      <c r="BP211" s="631">
        <f>VLOOKUP(A211,'42. SEA or LEA Worksheet'!$A$4:$AL$324,38,0)/VLOOKUP(A211,'42. SEA or LEA Worksheet'!$A$4:$AL$324,35,0)</f>
        <v>11641.437716535433</v>
      </c>
      <c r="BQ211" s="632" t="str">
        <f t="shared" si="132"/>
        <v>Met</v>
      </c>
      <c r="BS211" s="620" t="str">
        <f t="shared" si="123"/>
        <v>Met</v>
      </c>
    </row>
    <row r="212" spans="1:71" x14ac:dyDescent="0.25">
      <c r="A212" s="343" t="s">
        <v>604</v>
      </c>
      <c r="B212" s="510" t="s">
        <v>1030</v>
      </c>
      <c r="C212" s="511"/>
      <c r="D212" s="444">
        <v>3028102.19</v>
      </c>
      <c r="E212" s="343" t="s">
        <v>835</v>
      </c>
      <c r="F212" s="511"/>
      <c r="G212" s="444">
        <v>36772942.719999999</v>
      </c>
      <c r="H212" s="343" t="s">
        <v>835</v>
      </c>
      <c r="I212" s="511"/>
      <c r="J212" s="444">
        <v>1044.1731689655173</v>
      </c>
      <c r="K212" s="343" t="s">
        <v>856</v>
      </c>
      <c r="L212" s="511"/>
      <c r="M212" s="444">
        <v>12680.325075862069</v>
      </c>
      <c r="N212" s="343" t="s">
        <v>835</v>
      </c>
      <c r="O212" s="511"/>
      <c r="P212" s="512" t="str">
        <f t="shared" si="141"/>
        <v>Met</v>
      </c>
      <c r="Q212" s="511"/>
      <c r="R212" s="444">
        <f>VLOOKUP(A212,'2020-21'!$A$6:$F$319,6,0)</f>
        <v>5973347.3600000003</v>
      </c>
      <c r="S212" s="513" t="str">
        <f t="shared" si="133"/>
        <v>Met</v>
      </c>
      <c r="U212" s="444">
        <f>VLOOKUP(A212,'2020-21'!$A$6:$G$319,7,0)</f>
        <v>38844819</v>
      </c>
      <c r="V212" s="513" t="str">
        <f t="shared" si="134"/>
        <v>Met</v>
      </c>
      <c r="X212" s="444">
        <f>VLOOKUP(A212,'2020-21'!$A$6:$F$319,6,0)/VLOOKUP(A212,'42. SEA or LEA Worksheet'!$A$4:$T$324,20,0)</f>
        <v>2183.2409941520468</v>
      </c>
      <c r="Y212" s="513" t="str">
        <f t="shared" si="135"/>
        <v>Met</v>
      </c>
      <c r="AA212" s="444">
        <f>VLOOKUP(A212,'42. SEA or LEA Worksheet'!$A$4:$W$324,23,0)/VLOOKUP(compliance!A212,'42. SEA or LEA Worksheet'!$A$4:$T$324,20,0)</f>
        <v>14197.667763157895</v>
      </c>
      <c r="AB212" s="513" t="str">
        <f t="shared" si="136"/>
        <v>Met</v>
      </c>
      <c r="AD212" s="512" t="str">
        <f t="shared" si="127"/>
        <v>Met</v>
      </c>
      <c r="AF212" s="444">
        <f>VLOOKUP(A212,'42. SEA or LEA Worksheet'!$A$4:$Z$324,26,0)</f>
        <v>6835690.2400000002</v>
      </c>
      <c r="AG212" s="513" t="str">
        <f t="shared" si="137"/>
        <v>Met</v>
      </c>
      <c r="AI212" s="444">
        <f>VLOOKUP(A212,'42. SEA or LEA Worksheet'!$A$4:$AB$324,28,0)</f>
        <v>40352416.219999999</v>
      </c>
      <c r="AJ212" s="513" t="str">
        <f t="shared" si="138"/>
        <v>Met</v>
      </c>
      <c r="AL212" s="444">
        <f>VLOOKUP(compliance!A212,'42. SEA or LEA Worksheet'!$A$4:$AB$324,26,0)/VLOOKUP(compliance!A212,'42. SEA or LEA Worksheet'!$A$4:$Y$324,25,0)</f>
        <v>2503.9158388278388</v>
      </c>
      <c r="AM212" s="513" t="str">
        <f t="shared" si="139"/>
        <v>Met</v>
      </c>
      <c r="AO212" s="444">
        <f>VLOOKUP(A212,'42. SEA or LEA Worksheet'!$A$4:$AB$324,28,0)/VLOOKUP(compliance!A212,'42. SEA or LEA Worksheet'!$A$4:$Y$324,25,0)</f>
        <v>14781.104842490842</v>
      </c>
      <c r="AP212" s="513" t="str">
        <f t="shared" si="140"/>
        <v>Met</v>
      </c>
      <c r="AR212" s="512" t="str">
        <f t="shared" si="128"/>
        <v>Met</v>
      </c>
      <c r="AT212" s="444">
        <f>VLOOKUP(A212,'42. SEA or LEA Worksheet'!$A$4:$AE$324,31,0)</f>
        <v>7085750.9900000002</v>
      </c>
      <c r="AU212" s="513" t="str">
        <f t="shared" si="121"/>
        <v>Met</v>
      </c>
      <c r="AW212" s="444">
        <f>VLOOKUP(A212,'42. SEA or LEA Worksheet'!$A$4:$AG$324,33,0)</f>
        <v>47419736.600000001</v>
      </c>
      <c r="AX212" s="513" t="str">
        <f t="shared" si="124"/>
        <v>Met</v>
      </c>
      <c r="AZ212" s="444">
        <f>VLOOKUP(A212,'42. SEA or LEA Worksheet'!$A$4:$AG$324,31,0)/VLOOKUP(A212,'42. SEA or LEA Worksheet'!$A$4:$AD$324,30,0)</f>
        <v>2411.7600374404356</v>
      </c>
      <c r="BA212" s="513" t="str">
        <f t="shared" si="125"/>
        <v>Did not Meet</v>
      </c>
      <c r="BC212" s="444">
        <f>VLOOKUP(A212,'42. SEA or LEA Worksheet'!$A$4:$AG$324,33,0)/VLOOKUP(A212,'42. SEA or LEA Worksheet'!$A$4:$AD$324,30,0)</f>
        <v>16140.141797140912</v>
      </c>
      <c r="BD212" s="513" t="str">
        <f t="shared" si="126"/>
        <v>Met</v>
      </c>
      <c r="BF212" s="512" t="str">
        <f t="shared" si="122"/>
        <v>Met</v>
      </c>
      <c r="BG212" s="637">
        <f>VLOOKUP(A212,'42. SEA or LEA Worksheet'!$A$4:$AM$324,36,0)</f>
        <v>0</v>
      </c>
      <c r="BH212" s="638" t="str">
        <f t="shared" si="129"/>
        <v>Did not Meet</v>
      </c>
      <c r="BI212" s="639"/>
      <c r="BJ212" s="637">
        <f>VLOOKUP(A212,'42. SEA or LEA Worksheet'!$A$4:$AM$324,38,0)</f>
        <v>47557350.170000002</v>
      </c>
      <c r="BK212" s="638" t="str">
        <f t="shared" si="130"/>
        <v>Met</v>
      </c>
      <c r="BM212" s="631">
        <f>VLOOKUP(A212,'42. SEA or LEA Worksheet'!$A$4:$AL$324,36,0)/VLOOKUP(A212,'42. SEA or LEA Worksheet'!$A$4:$AL$324,35,0)</f>
        <v>0</v>
      </c>
      <c r="BN212" s="632" t="str">
        <f t="shared" si="131"/>
        <v>Met</v>
      </c>
      <c r="BP212" s="631">
        <f>VLOOKUP(A212,'42. SEA or LEA Worksheet'!$A$4:$AL$324,38,0)/VLOOKUP(A212,'42. SEA or LEA Worksheet'!$A$4:$AL$324,35,0)</f>
        <v>15582.355887942333</v>
      </c>
      <c r="BQ212" s="632" t="str">
        <f t="shared" si="132"/>
        <v>Met</v>
      </c>
      <c r="BS212" s="620" t="str">
        <f t="shared" si="123"/>
        <v>Met</v>
      </c>
    </row>
    <row r="213" spans="1:71" x14ac:dyDescent="0.25">
      <c r="A213" s="343" t="s">
        <v>606</v>
      </c>
      <c r="B213" s="510" t="s">
        <v>1031</v>
      </c>
      <c r="C213" s="511"/>
      <c r="D213" s="444">
        <v>0</v>
      </c>
      <c r="E213" s="343" t="s">
        <v>856</v>
      </c>
      <c r="F213" s="511"/>
      <c r="G213" s="444">
        <v>48577.22</v>
      </c>
      <c r="H213" s="343" t="s">
        <v>856</v>
      </c>
      <c r="I213" s="511"/>
      <c r="J213" s="444">
        <v>0</v>
      </c>
      <c r="K213" s="343" t="s">
        <v>856</v>
      </c>
      <c r="L213" s="511"/>
      <c r="M213" s="444">
        <v>48577.22</v>
      </c>
      <c r="N213" s="343" t="s">
        <v>835</v>
      </c>
      <c r="O213" s="511"/>
      <c r="P213" s="512" t="str">
        <f t="shared" si="141"/>
        <v>Met</v>
      </c>
      <c r="Q213" s="511"/>
      <c r="R213" s="444">
        <f>VLOOKUP(A213,'2020-21'!$A$6:$F$319,6,0)</f>
        <v>0</v>
      </c>
      <c r="S213" s="513" t="str">
        <f t="shared" si="133"/>
        <v>Met</v>
      </c>
      <c r="U213" s="444">
        <f>VLOOKUP(A213,'2020-21'!$A$6:$G$319,7,0)</f>
        <v>62587.39</v>
      </c>
      <c r="V213" s="513" t="str">
        <f t="shared" si="134"/>
        <v>Met</v>
      </c>
      <c r="X213" s="444">
        <f>VLOOKUP(A213,'2020-21'!$A$6:$F$319,6,0)/VLOOKUP(A213,'42. SEA or LEA Worksheet'!$A$4:$T$324,20,0)</f>
        <v>0</v>
      </c>
      <c r="Y213" s="513" t="str">
        <f t="shared" si="135"/>
        <v>Met</v>
      </c>
      <c r="AA213" s="444">
        <f>VLOOKUP(A213,'42. SEA or LEA Worksheet'!$A$4:$W$324,23,0)/VLOOKUP(compliance!A213,'42. SEA or LEA Worksheet'!$A$4:$T$324,20,0)</f>
        <v>12517.477999999999</v>
      </c>
      <c r="AB213" s="513" t="str">
        <f t="shared" si="136"/>
        <v>Did not Meet</v>
      </c>
      <c r="AD213" s="512" t="str">
        <f t="shared" si="127"/>
        <v>Met</v>
      </c>
      <c r="AF213" s="444">
        <f>VLOOKUP(A213,'42. SEA or LEA Worksheet'!$A$4:$Z$324,26,0)</f>
        <v>27540.38</v>
      </c>
      <c r="AG213" s="513" t="str">
        <f t="shared" si="137"/>
        <v>Met</v>
      </c>
      <c r="AI213" s="444">
        <f>VLOOKUP(A213,'42. SEA or LEA Worksheet'!$A$4:$AB$324,28,0)</f>
        <v>103844.74</v>
      </c>
      <c r="AJ213" s="513" t="str">
        <f t="shared" si="138"/>
        <v>Met</v>
      </c>
      <c r="AL213" s="444">
        <f>VLOOKUP(compliance!A213,'42. SEA or LEA Worksheet'!$A$4:$AB$324,26,0)/VLOOKUP(compliance!A213,'42. SEA or LEA Worksheet'!$A$4:$Y$324,25,0)</f>
        <v>2754.038</v>
      </c>
      <c r="AM213" s="513" t="str">
        <f t="shared" si="139"/>
        <v>Met</v>
      </c>
      <c r="AO213" s="444">
        <f>VLOOKUP(A213,'42. SEA or LEA Worksheet'!$A$4:$AB$324,28,0)/VLOOKUP(compliance!A213,'42. SEA or LEA Worksheet'!$A$4:$Y$324,25,0)</f>
        <v>10384.474</v>
      </c>
      <c r="AP213" s="513" t="str">
        <f t="shared" si="140"/>
        <v>Did not Meet</v>
      </c>
      <c r="AR213" s="512" t="str">
        <f t="shared" si="128"/>
        <v>Met</v>
      </c>
      <c r="AT213" s="444">
        <f>VLOOKUP(A213,'42. SEA or LEA Worksheet'!$A$4:$AE$324,31,0)</f>
        <v>0</v>
      </c>
      <c r="AU213" s="513" t="s">
        <v>1453</v>
      </c>
      <c r="AW213" s="444">
        <f>VLOOKUP(A213,'42. SEA or LEA Worksheet'!$A$4:$AG$324,33,0)</f>
        <v>49836.71</v>
      </c>
      <c r="AX213" s="513" t="s">
        <v>1453</v>
      </c>
      <c r="AZ213" s="444">
        <f>VLOOKUP(A213,'42. SEA or LEA Worksheet'!$A$4:$AG$324,31,0)/VLOOKUP(A213,'42. SEA or LEA Worksheet'!$A$4:$AD$324,30,0)</f>
        <v>0</v>
      </c>
      <c r="BA213" s="513" t="s">
        <v>1453</v>
      </c>
      <c r="BC213" s="444">
        <f>VLOOKUP(A213,'42. SEA or LEA Worksheet'!$A$4:$AG$324,33,0)/VLOOKUP(A213,'42. SEA or LEA Worksheet'!$A$4:$AD$324,30,0)</f>
        <v>9967.3420000000006</v>
      </c>
      <c r="BD213" s="513" t="s">
        <v>1453</v>
      </c>
      <c r="BF213" s="512" t="str">
        <f t="shared" si="122"/>
        <v>Met</v>
      </c>
      <c r="BG213" s="637">
        <f>VLOOKUP(A213,'42. SEA or LEA Worksheet'!$A$4:$AM$324,36,0)</f>
        <v>0</v>
      </c>
      <c r="BH213" s="638" t="str">
        <f t="shared" si="129"/>
        <v>Met</v>
      </c>
      <c r="BI213" s="639"/>
      <c r="BJ213" s="637">
        <f>VLOOKUP(A213,'42. SEA or LEA Worksheet'!$A$4:$AM$324,38,0)</f>
        <v>107310.88</v>
      </c>
      <c r="BK213" s="638" t="str">
        <f t="shared" si="130"/>
        <v>Met</v>
      </c>
      <c r="BM213" s="631">
        <f>VLOOKUP(A213,'42. SEA or LEA Worksheet'!$A$4:$AL$324,36,0)/VLOOKUP(A213,'42. SEA or LEA Worksheet'!$A$4:$AL$324,35,0)</f>
        <v>0</v>
      </c>
      <c r="BN213" s="632" t="str">
        <f t="shared" si="131"/>
        <v>Met</v>
      </c>
      <c r="BP213" s="631">
        <f>VLOOKUP(A213,'42. SEA or LEA Worksheet'!$A$4:$AL$324,38,0)/VLOOKUP(A213,'42. SEA or LEA Worksheet'!$A$4:$AL$324,35,0)</f>
        <v>13413.86</v>
      </c>
      <c r="BQ213" s="632" t="str">
        <f t="shared" si="132"/>
        <v>Met</v>
      </c>
      <c r="BS213" s="620" t="str">
        <f t="shared" si="123"/>
        <v>Met</v>
      </c>
    </row>
    <row r="214" spans="1:71" x14ac:dyDescent="0.25">
      <c r="A214" s="343" t="s">
        <v>608</v>
      </c>
      <c r="B214" s="510" t="s">
        <v>1032</v>
      </c>
      <c r="C214" s="511"/>
      <c r="D214" s="444">
        <v>0</v>
      </c>
      <c r="E214" s="343" t="s">
        <v>856</v>
      </c>
      <c r="F214" s="511"/>
      <c r="G214" s="444">
        <v>719402.15</v>
      </c>
      <c r="H214" s="343" t="s">
        <v>880</v>
      </c>
      <c r="I214" s="511"/>
      <c r="J214" s="444">
        <v>0</v>
      </c>
      <c r="K214" s="343" t="s">
        <v>856</v>
      </c>
      <c r="L214" s="511"/>
      <c r="M214" s="444">
        <v>13573.625471698113</v>
      </c>
      <c r="N214" s="343" t="s">
        <v>835</v>
      </c>
      <c r="O214" s="511"/>
      <c r="P214" s="512" t="str">
        <f t="shared" si="141"/>
        <v>Met</v>
      </c>
      <c r="Q214" s="511"/>
      <c r="R214" s="444">
        <f>VLOOKUP(A214,'2020-21'!$A$6:$F$319,6,0)</f>
        <v>0</v>
      </c>
      <c r="S214" s="513" t="str">
        <f t="shared" si="133"/>
        <v>Met</v>
      </c>
      <c r="U214" s="444">
        <f>VLOOKUP(A214,'2020-21'!$A$6:$G$319,7,0)</f>
        <v>917405.55</v>
      </c>
      <c r="V214" s="513" t="str">
        <f t="shared" si="134"/>
        <v>Met</v>
      </c>
      <c r="X214" s="444">
        <f>VLOOKUP(A214,'2020-21'!$A$6:$F$319,6,0)/VLOOKUP(A214,'42. SEA or LEA Worksheet'!$A$4:$T$324,20,0)</f>
        <v>0</v>
      </c>
      <c r="Y214" s="513" t="str">
        <f t="shared" si="135"/>
        <v>Met</v>
      </c>
      <c r="AA214" s="444">
        <f>VLOOKUP(A214,'42. SEA or LEA Worksheet'!$A$4:$W$324,23,0)/VLOOKUP(compliance!A214,'42. SEA or LEA Worksheet'!$A$4:$T$324,20,0)</f>
        <v>16680.10090909091</v>
      </c>
      <c r="AB214" s="513" t="str">
        <f t="shared" si="136"/>
        <v>Met</v>
      </c>
      <c r="AD214" s="512" t="str">
        <f t="shared" si="127"/>
        <v>Met</v>
      </c>
      <c r="AF214" s="444">
        <f>VLOOKUP(A214,'42. SEA or LEA Worksheet'!$A$4:$Z$324,26,0)</f>
        <v>0</v>
      </c>
      <c r="AG214" s="513" t="str">
        <f t="shared" si="137"/>
        <v>Met</v>
      </c>
      <c r="AI214" s="444">
        <f>VLOOKUP(A214,'42. SEA or LEA Worksheet'!$A$4:$AB$324,28,0)</f>
        <v>806732.91</v>
      </c>
      <c r="AJ214" s="513" t="str">
        <f t="shared" si="138"/>
        <v>Did not Meet</v>
      </c>
      <c r="AL214" s="444">
        <f>VLOOKUP(compliance!A214,'42. SEA or LEA Worksheet'!$A$4:$AB$324,26,0)/VLOOKUP(compliance!A214,'42. SEA or LEA Worksheet'!$A$4:$Y$324,25,0)</f>
        <v>0</v>
      </c>
      <c r="AM214" s="513" t="str">
        <f t="shared" si="139"/>
        <v>Met</v>
      </c>
      <c r="AO214" s="444">
        <f>VLOOKUP(A214,'42. SEA or LEA Worksheet'!$A$4:$AB$324,28,0)/VLOOKUP(compliance!A214,'42. SEA or LEA Worksheet'!$A$4:$Y$324,25,0)</f>
        <v>14405.944821428571</v>
      </c>
      <c r="AP214" s="513" t="str">
        <f t="shared" si="140"/>
        <v>Did not Meet</v>
      </c>
      <c r="AR214" s="512" t="str">
        <f t="shared" si="128"/>
        <v>Met</v>
      </c>
      <c r="AT214" s="444">
        <f>VLOOKUP(A214,'42. SEA or LEA Worksheet'!$A$4:$AE$324,31,0)</f>
        <v>0</v>
      </c>
      <c r="AU214" s="513" t="str">
        <f t="shared" ref="AU214:AU239" si="142">IF(AT214&gt;=AF214,"Met","Did not Meet")</f>
        <v>Met</v>
      </c>
      <c r="AW214" s="444">
        <f>VLOOKUP(A214,'42. SEA or LEA Worksheet'!$A$4:$AG$324,33,0)</f>
        <v>1019074.2</v>
      </c>
      <c r="AX214" s="513" t="str">
        <f t="shared" ref="AX214:AX239" si="143">IF(AW214&gt;=AI214,"Met","Did not Meet")</f>
        <v>Met</v>
      </c>
      <c r="AZ214" s="444">
        <f>VLOOKUP(A214,'42. SEA or LEA Worksheet'!$A$4:$AG$324,31,0)/VLOOKUP(A214,'42. SEA or LEA Worksheet'!$A$4:$AD$324,30,0)</f>
        <v>0</v>
      </c>
      <c r="BA214" s="513" t="str">
        <f t="shared" ref="BA214:BA239" si="144">IF(AZ214&gt;=AL214,"Met","Did not Meet")</f>
        <v>Met</v>
      </c>
      <c r="BC214" s="444">
        <f>VLOOKUP(A214,'42. SEA or LEA Worksheet'!$A$4:$AG$324,33,0)/VLOOKUP(A214,'42. SEA or LEA Worksheet'!$A$4:$AD$324,30,0)</f>
        <v>18197.75357142857</v>
      </c>
      <c r="BD214" s="513" t="str">
        <f t="shared" ref="BD214:BD245" si="145">IF(BC214&gt;=AO214,"Met","Did not Meet")</f>
        <v>Met</v>
      </c>
      <c r="BF214" s="512" t="str">
        <f t="shared" si="122"/>
        <v>Met</v>
      </c>
      <c r="BG214" s="637">
        <f>VLOOKUP(A214,'42. SEA or LEA Worksheet'!$A$4:$AM$324,36,0)</f>
        <v>0</v>
      </c>
      <c r="BH214" s="638" t="str">
        <f t="shared" si="129"/>
        <v>Met</v>
      </c>
      <c r="BI214" s="639"/>
      <c r="BJ214" s="637">
        <f>VLOOKUP(A214,'42. SEA or LEA Worksheet'!$A$4:$AM$324,38,0)</f>
        <v>1067570.02</v>
      </c>
      <c r="BK214" s="638" t="str">
        <f t="shared" si="130"/>
        <v>Met</v>
      </c>
      <c r="BM214" s="631">
        <f>VLOOKUP(A214,'42. SEA or LEA Worksheet'!$A$4:$AL$324,36,0)/VLOOKUP(A214,'42. SEA or LEA Worksheet'!$A$4:$AL$324,35,0)</f>
        <v>0</v>
      </c>
      <c r="BN214" s="632" t="str">
        <f t="shared" si="131"/>
        <v>Met</v>
      </c>
      <c r="BP214" s="631">
        <f>VLOOKUP(A214,'42. SEA or LEA Worksheet'!$A$4:$AL$324,38,0)/VLOOKUP(A214,'42. SEA or LEA Worksheet'!$A$4:$AL$324,35,0)</f>
        <v>14624.246849315068</v>
      </c>
      <c r="BQ214" s="632" t="str">
        <f t="shared" si="132"/>
        <v>Met</v>
      </c>
      <c r="BS214" s="620" t="str">
        <f t="shared" si="123"/>
        <v>Met</v>
      </c>
    </row>
    <row r="215" spans="1:71" x14ac:dyDescent="0.25">
      <c r="A215" s="343" t="s">
        <v>612</v>
      </c>
      <c r="B215" s="510" t="s">
        <v>1033</v>
      </c>
      <c r="C215" s="511"/>
      <c r="D215" s="444">
        <v>0</v>
      </c>
      <c r="E215" s="343" t="s">
        <v>835</v>
      </c>
      <c r="F215" s="511"/>
      <c r="G215" s="444">
        <v>4908299.93</v>
      </c>
      <c r="H215" s="343" t="s">
        <v>835</v>
      </c>
      <c r="I215" s="511"/>
      <c r="J215" s="444">
        <v>0</v>
      </c>
      <c r="K215" s="343" t="s">
        <v>835</v>
      </c>
      <c r="L215" s="511"/>
      <c r="M215" s="444">
        <v>8843.7836576576574</v>
      </c>
      <c r="N215" s="343" t="s">
        <v>835</v>
      </c>
      <c r="O215" s="511"/>
      <c r="P215" s="512" t="str">
        <f t="shared" si="141"/>
        <v>Met</v>
      </c>
      <c r="Q215" s="511"/>
      <c r="R215" s="444">
        <f>VLOOKUP(A215,'2020-21'!$A$6:$F$319,6,0)</f>
        <v>0</v>
      </c>
      <c r="S215" s="513" t="str">
        <f t="shared" si="133"/>
        <v>Met</v>
      </c>
      <c r="U215" s="444">
        <f>VLOOKUP(A215,'2020-21'!$A$6:$G$319,7,0)</f>
        <v>5264103.99</v>
      </c>
      <c r="V215" s="513" t="str">
        <f t="shared" si="134"/>
        <v>Met</v>
      </c>
      <c r="X215" s="444">
        <f>VLOOKUP(A215,'2020-21'!$A$6:$F$319,6,0)/VLOOKUP(A215,'42. SEA or LEA Worksheet'!$A$4:$T$324,20,0)</f>
        <v>0</v>
      </c>
      <c r="Y215" s="513" t="str">
        <f t="shared" si="135"/>
        <v>Met</v>
      </c>
      <c r="AA215" s="444">
        <f>VLOOKUP(A215,'42. SEA or LEA Worksheet'!$A$4:$W$324,23,0)/VLOOKUP(compliance!A215,'42. SEA or LEA Worksheet'!$A$4:$T$324,20,0)</f>
        <v>9029.3378902229852</v>
      </c>
      <c r="AB215" s="513" t="str">
        <f t="shared" si="136"/>
        <v>Met</v>
      </c>
      <c r="AD215" s="512" t="str">
        <f t="shared" si="127"/>
        <v>Met</v>
      </c>
      <c r="AF215" s="444">
        <f>VLOOKUP(A215,'42. SEA or LEA Worksheet'!$A$4:$Z$324,26,0)</f>
        <v>0</v>
      </c>
      <c r="AG215" s="513" t="str">
        <f t="shared" si="137"/>
        <v>Met</v>
      </c>
      <c r="AI215" s="444">
        <f>VLOOKUP(A215,'42. SEA or LEA Worksheet'!$A$4:$AB$324,28,0)</f>
        <v>5012344.3</v>
      </c>
      <c r="AJ215" s="513" t="str">
        <f t="shared" si="138"/>
        <v>Did not Meet</v>
      </c>
      <c r="AL215" s="444">
        <f>VLOOKUP(compliance!A215,'42. SEA or LEA Worksheet'!$A$4:$AB$324,26,0)/VLOOKUP(compliance!A215,'42. SEA or LEA Worksheet'!$A$4:$Y$324,25,0)</f>
        <v>0</v>
      </c>
      <c r="AM215" s="513" t="str">
        <f t="shared" si="139"/>
        <v>Met</v>
      </c>
      <c r="AO215" s="444">
        <f>VLOOKUP(A215,'42. SEA or LEA Worksheet'!$A$4:$AB$324,28,0)/VLOOKUP(compliance!A215,'42. SEA or LEA Worksheet'!$A$4:$Y$324,25,0)</f>
        <v>9247.8677121771216</v>
      </c>
      <c r="AP215" s="513" t="str">
        <f t="shared" si="140"/>
        <v>Met</v>
      </c>
      <c r="AR215" s="512" t="str">
        <f t="shared" si="128"/>
        <v>Met</v>
      </c>
      <c r="AT215" s="444">
        <f>VLOOKUP(A215,'42. SEA or LEA Worksheet'!$A$4:$AE$324,31,0)</f>
        <v>0</v>
      </c>
      <c r="AU215" s="513" t="str">
        <f t="shared" si="142"/>
        <v>Met</v>
      </c>
      <c r="AW215" s="444">
        <f>VLOOKUP(A215,'42. SEA or LEA Worksheet'!$A$4:$AG$324,33,0)</f>
        <v>4859623.17</v>
      </c>
      <c r="AX215" s="513" t="str">
        <f t="shared" si="143"/>
        <v>Did not Meet</v>
      </c>
      <c r="AZ215" s="444">
        <f>VLOOKUP(A215,'42. SEA or LEA Worksheet'!$A$4:$AG$324,31,0)/VLOOKUP(A215,'42. SEA or LEA Worksheet'!$A$4:$AD$324,30,0)</f>
        <v>0</v>
      </c>
      <c r="BA215" s="513" t="str">
        <f t="shared" si="144"/>
        <v>Met</v>
      </c>
      <c r="BC215" s="444">
        <f>VLOOKUP(A215,'42. SEA or LEA Worksheet'!$A$4:$AG$324,33,0)/VLOOKUP(A215,'42. SEA or LEA Worksheet'!$A$4:$AD$324,30,0)</f>
        <v>8740.3294424460437</v>
      </c>
      <c r="BD215" s="513" t="str">
        <f t="shared" si="145"/>
        <v>Did not Meet</v>
      </c>
      <c r="BF215" s="512" t="str">
        <f t="shared" si="122"/>
        <v>Met</v>
      </c>
      <c r="BG215" s="637">
        <f>VLOOKUP(A215,'42. SEA or LEA Worksheet'!$A$4:$AM$324,36,0)</f>
        <v>0</v>
      </c>
      <c r="BH215" s="638" t="str">
        <f t="shared" si="129"/>
        <v>Met</v>
      </c>
      <c r="BI215" s="639"/>
      <c r="BJ215" s="637">
        <f>VLOOKUP(A215,'42. SEA or LEA Worksheet'!$A$4:$AM$324,38,0)</f>
        <v>6307249.8200000003</v>
      </c>
      <c r="BK215" s="638" t="str">
        <f t="shared" si="130"/>
        <v>Met</v>
      </c>
      <c r="BM215" s="631">
        <f>VLOOKUP(A215,'42. SEA or LEA Worksheet'!$A$4:$AL$324,36,0)/VLOOKUP(A215,'42. SEA or LEA Worksheet'!$A$4:$AL$324,35,0)</f>
        <v>0</v>
      </c>
      <c r="BN215" s="632" t="str">
        <f t="shared" si="131"/>
        <v>Met</v>
      </c>
      <c r="BP215" s="631">
        <f>VLOOKUP(A215,'42. SEA or LEA Worksheet'!$A$4:$AL$324,38,0)/VLOOKUP(A215,'42. SEA or LEA Worksheet'!$A$4:$AL$324,35,0)</f>
        <v>9948.3435646687703</v>
      </c>
      <c r="BQ215" s="632" t="str">
        <f t="shared" si="132"/>
        <v>Met</v>
      </c>
      <c r="BS215" s="620" t="str">
        <f t="shared" si="123"/>
        <v>Met</v>
      </c>
    </row>
    <row r="216" spans="1:71" x14ac:dyDescent="0.25">
      <c r="A216" s="343" t="s">
        <v>614</v>
      </c>
      <c r="B216" s="510" t="s">
        <v>1034</v>
      </c>
      <c r="C216" s="511"/>
      <c r="D216" s="444">
        <v>286771.84999999998</v>
      </c>
      <c r="E216" s="343" t="s">
        <v>856</v>
      </c>
      <c r="F216" s="511"/>
      <c r="G216" s="444">
        <v>4554095.8499999996</v>
      </c>
      <c r="H216" s="343" t="s">
        <v>835</v>
      </c>
      <c r="I216" s="511"/>
      <c r="J216" s="444">
        <v>681.16828978622323</v>
      </c>
      <c r="K216" s="343" t="s">
        <v>856</v>
      </c>
      <c r="L216" s="511"/>
      <c r="M216" s="444">
        <v>10817.329809976247</v>
      </c>
      <c r="N216" s="343" t="s">
        <v>835</v>
      </c>
      <c r="O216" s="511"/>
      <c r="P216" s="512" t="str">
        <f t="shared" si="141"/>
        <v>Met</v>
      </c>
      <c r="Q216" s="511"/>
      <c r="R216" s="444">
        <f>VLOOKUP(A216,'2020-21'!$A$6:$F$319,6,0)</f>
        <v>309722.62</v>
      </c>
      <c r="S216" s="513" t="str">
        <f t="shared" si="133"/>
        <v>Met</v>
      </c>
      <c r="U216" s="444">
        <f>VLOOKUP(A216,'2020-21'!$A$6:$G$319,7,0)</f>
        <v>4594378.17</v>
      </c>
      <c r="V216" s="513" t="str">
        <f t="shared" si="134"/>
        <v>Met</v>
      </c>
      <c r="X216" s="444">
        <f>VLOOKUP(A216,'2020-21'!$A$6:$F$319,6,0)/VLOOKUP(A216,'42. SEA or LEA Worksheet'!$A$4:$T$324,20,0)</f>
        <v>732.20477541371156</v>
      </c>
      <c r="Y216" s="513" t="str">
        <f t="shared" si="135"/>
        <v>Met</v>
      </c>
      <c r="AA216" s="444">
        <f>VLOOKUP(A216,'42. SEA or LEA Worksheet'!$A$4:$W$324,23,0)/VLOOKUP(compliance!A216,'42. SEA or LEA Worksheet'!$A$4:$T$324,20,0)</f>
        <v>10861.414113475177</v>
      </c>
      <c r="AB216" s="513" t="str">
        <f t="shared" si="136"/>
        <v>Met</v>
      </c>
      <c r="AD216" s="512" t="str">
        <f t="shared" si="127"/>
        <v>Met</v>
      </c>
      <c r="AF216" s="444">
        <f>VLOOKUP(A216,'42. SEA or LEA Worksheet'!$A$4:$Z$324,26,0)</f>
        <v>154640.04</v>
      </c>
      <c r="AG216" s="513" t="str">
        <f t="shared" si="137"/>
        <v>Did not Meet</v>
      </c>
      <c r="AI216" s="444">
        <f>VLOOKUP(A216,'42. SEA or LEA Worksheet'!$A$4:$AB$324,28,0)</f>
        <v>4718222.43</v>
      </c>
      <c r="AJ216" s="513" t="str">
        <f t="shared" si="138"/>
        <v>Met</v>
      </c>
      <c r="AL216" s="444">
        <f>VLOOKUP(compliance!A216,'42. SEA or LEA Worksheet'!$A$4:$AB$324,26,0)/VLOOKUP(compliance!A216,'42. SEA or LEA Worksheet'!$A$4:$Y$324,25,0)</f>
        <v>349.86434389140271</v>
      </c>
      <c r="AM216" s="513" t="str">
        <f t="shared" si="139"/>
        <v>Did not Meet</v>
      </c>
      <c r="AO216" s="444">
        <f>VLOOKUP(A216,'42. SEA or LEA Worksheet'!$A$4:$AB$324,28,0)/VLOOKUP(compliance!A216,'42. SEA or LEA Worksheet'!$A$4:$Y$324,25,0)</f>
        <v>10674.711380090497</v>
      </c>
      <c r="AP216" s="513" t="str">
        <f t="shared" si="140"/>
        <v>Did not Meet</v>
      </c>
      <c r="AR216" s="512" t="str">
        <f t="shared" si="128"/>
        <v>Met</v>
      </c>
      <c r="AT216" s="444">
        <f>VLOOKUP(A216,'42. SEA or LEA Worksheet'!$A$4:$AE$324,31,0)</f>
        <v>922467.47</v>
      </c>
      <c r="AU216" s="513" t="str">
        <f t="shared" si="142"/>
        <v>Met</v>
      </c>
      <c r="AW216" s="444">
        <f>VLOOKUP(A216,'42. SEA or LEA Worksheet'!$A$4:$AG$324,33,0)</f>
        <v>5622519.1799999997</v>
      </c>
      <c r="AX216" s="513" t="str">
        <f t="shared" si="143"/>
        <v>Met</v>
      </c>
      <c r="AZ216" s="444">
        <f>VLOOKUP(A216,'42. SEA or LEA Worksheet'!$A$4:$AG$324,31,0)/VLOOKUP(A216,'42. SEA or LEA Worksheet'!$A$4:$AD$324,30,0)</f>
        <v>2170.511694117647</v>
      </c>
      <c r="BA216" s="513" t="str">
        <f t="shared" si="144"/>
        <v>Met</v>
      </c>
      <c r="BC216" s="444">
        <f>VLOOKUP(A216,'42. SEA or LEA Worksheet'!$A$4:$AG$324,33,0)/VLOOKUP(A216,'42. SEA or LEA Worksheet'!$A$4:$AD$324,30,0)</f>
        <v>13229.456894117646</v>
      </c>
      <c r="BD216" s="513" t="str">
        <f t="shared" si="145"/>
        <v>Met</v>
      </c>
      <c r="BF216" s="512" t="str">
        <f t="shared" si="122"/>
        <v>Met</v>
      </c>
      <c r="BG216" s="637">
        <f>VLOOKUP(A216,'42. SEA or LEA Worksheet'!$A$4:$AM$324,36,0)</f>
        <v>617349.01</v>
      </c>
      <c r="BH216" s="638" t="str">
        <f t="shared" si="129"/>
        <v>Did not Meet</v>
      </c>
      <c r="BI216" s="639"/>
      <c r="BJ216" s="637">
        <f>VLOOKUP(A216,'42. SEA or LEA Worksheet'!$A$4:$AM$324,38,0)</f>
        <v>6014018.3999999994</v>
      </c>
      <c r="BK216" s="638" t="str">
        <f t="shared" si="130"/>
        <v>Met</v>
      </c>
      <c r="BM216" s="631">
        <f>VLOOKUP(A216,'42. SEA or LEA Worksheet'!$A$4:$AL$324,36,0)/VLOOKUP(A216,'42. SEA or LEA Worksheet'!$A$4:$AL$324,35,0)</f>
        <v>1435.6953720930233</v>
      </c>
      <c r="BN216" s="632" t="str">
        <f t="shared" si="131"/>
        <v>Met</v>
      </c>
      <c r="BP216" s="631">
        <f>VLOOKUP(A216,'42. SEA or LEA Worksheet'!$A$4:$AL$324,38,0)/VLOOKUP(A216,'42. SEA or LEA Worksheet'!$A$4:$AL$324,35,0)</f>
        <v>13986.089302325579</v>
      </c>
      <c r="BQ216" s="632" t="str">
        <f t="shared" si="132"/>
        <v>Met</v>
      </c>
      <c r="BS216" s="620" t="str">
        <f t="shared" si="123"/>
        <v>Met</v>
      </c>
    </row>
    <row r="217" spans="1:71" x14ac:dyDescent="0.25">
      <c r="A217" s="343" t="s">
        <v>616</v>
      </c>
      <c r="B217" s="510" t="s">
        <v>1035</v>
      </c>
      <c r="C217" s="511"/>
      <c r="D217" s="444">
        <v>0</v>
      </c>
      <c r="E217" s="343" t="s">
        <v>856</v>
      </c>
      <c r="F217" s="511"/>
      <c r="G217" s="444">
        <v>1069716.6000000001</v>
      </c>
      <c r="H217" s="343" t="s">
        <v>835</v>
      </c>
      <c r="I217" s="511"/>
      <c r="J217" s="444">
        <v>0</v>
      </c>
      <c r="K217" s="343" t="s">
        <v>835</v>
      </c>
      <c r="L217" s="511"/>
      <c r="M217" s="444">
        <v>8357.1609375000007</v>
      </c>
      <c r="N217" s="343" t="s">
        <v>835</v>
      </c>
      <c r="O217" s="511"/>
      <c r="P217" s="512" t="str">
        <f t="shared" si="141"/>
        <v>Met</v>
      </c>
      <c r="Q217" s="511"/>
      <c r="R217" s="444">
        <f>VLOOKUP(A217,'2020-21'!$A$6:$F$319,6,0)</f>
        <v>0</v>
      </c>
      <c r="S217" s="513" t="str">
        <f t="shared" si="133"/>
        <v>Met</v>
      </c>
      <c r="U217" s="444">
        <f>VLOOKUP(A217,'2020-21'!$A$6:$G$319,7,0)</f>
        <v>1124546.1499999999</v>
      </c>
      <c r="V217" s="513" t="str">
        <f t="shared" si="134"/>
        <v>Met</v>
      </c>
      <c r="X217" s="444">
        <f>VLOOKUP(A217,'2020-21'!$A$6:$F$319,6,0)/VLOOKUP(A217,'42. SEA or LEA Worksheet'!$A$4:$T$324,20,0)</f>
        <v>0</v>
      </c>
      <c r="Y217" s="513" t="str">
        <f t="shared" si="135"/>
        <v>Met</v>
      </c>
      <c r="AA217" s="444">
        <f>VLOOKUP(A217,'42. SEA or LEA Worksheet'!$A$4:$W$324,23,0)/VLOOKUP(compliance!A217,'42. SEA or LEA Worksheet'!$A$4:$T$324,20,0)</f>
        <v>8329.9714814814815</v>
      </c>
      <c r="AB217" s="513" t="str">
        <f t="shared" si="136"/>
        <v>Did not Meet</v>
      </c>
      <c r="AD217" s="512" t="str">
        <f t="shared" si="127"/>
        <v>Met</v>
      </c>
      <c r="AF217" s="444">
        <f>VLOOKUP(A217,'42. SEA or LEA Worksheet'!$A$4:$Z$324,26,0)</f>
        <v>0</v>
      </c>
      <c r="AG217" s="513" t="str">
        <f t="shared" si="137"/>
        <v>Met</v>
      </c>
      <c r="AI217" s="444">
        <f>VLOOKUP(A217,'42. SEA or LEA Worksheet'!$A$4:$AB$324,28,0)</f>
        <v>1270656.8400000001</v>
      </c>
      <c r="AJ217" s="513" t="str">
        <f t="shared" si="138"/>
        <v>Met</v>
      </c>
      <c r="AL217" s="444">
        <f>VLOOKUP(compliance!A217,'42. SEA or LEA Worksheet'!$A$4:$AB$324,26,0)/VLOOKUP(compliance!A217,'42. SEA or LEA Worksheet'!$A$4:$Y$324,25,0)</f>
        <v>0</v>
      </c>
      <c r="AM217" s="513" t="str">
        <f t="shared" si="139"/>
        <v>Met</v>
      </c>
      <c r="AO217" s="444">
        <f>VLOOKUP(A217,'42. SEA or LEA Worksheet'!$A$4:$AB$324,28,0)/VLOOKUP(compliance!A217,'42. SEA or LEA Worksheet'!$A$4:$Y$324,25,0)</f>
        <v>9412.2728888888887</v>
      </c>
      <c r="AP217" s="513" t="str">
        <f t="shared" si="140"/>
        <v>Met</v>
      </c>
      <c r="AR217" s="512" t="str">
        <f t="shared" si="128"/>
        <v>Met</v>
      </c>
      <c r="AT217" s="444">
        <f>VLOOKUP(A217,'42. SEA or LEA Worksheet'!$A$4:$AE$324,31,0)</f>
        <v>0</v>
      </c>
      <c r="AU217" s="513" t="str">
        <f t="shared" si="142"/>
        <v>Met</v>
      </c>
      <c r="AW217" s="444">
        <f>VLOOKUP(A217,'42. SEA or LEA Worksheet'!$A$4:$AG$324,33,0)</f>
        <v>1390558.81</v>
      </c>
      <c r="AX217" s="513" t="str">
        <f t="shared" si="143"/>
        <v>Met</v>
      </c>
      <c r="AZ217" s="444">
        <f>VLOOKUP(A217,'42. SEA or LEA Worksheet'!$A$4:$AG$324,31,0)/VLOOKUP(A217,'42. SEA or LEA Worksheet'!$A$4:$AD$324,30,0)</f>
        <v>0</v>
      </c>
      <c r="BA217" s="513" t="str">
        <f t="shared" si="144"/>
        <v>Met</v>
      </c>
      <c r="BC217" s="444">
        <f>VLOOKUP(A217,'42. SEA or LEA Worksheet'!$A$4:$AG$324,33,0)/VLOOKUP(A217,'42. SEA or LEA Worksheet'!$A$4:$AD$324,30,0)</f>
        <v>10455.32939849624</v>
      </c>
      <c r="BD217" s="513" t="str">
        <f t="shared" si="145"/>
        <v>Met</v>
      </c>
      <c r="BF217" s="512" t="str">
        <f t="shared" si="122"/>
        <v>Met</v>
      </c>
      <c r="BG217" s="637">
        <f>VLOOKUP(A217,'42. SEA or LEA Worksheet'!$A$4:$AM$324,36,0)</f>
        <v>0</v>
      </c>
      <c r="BH217" s="638" t="str">
        <f t="shared" si="129"/>
        <v>Met</v>
      </c>
      <c r="BI217" s="639"/>
      <c r="BJ217" s="637">
        <f>VLOOKUP(A217,'42. SEA or LEA Worksheet'!$A$4:$AM$324,38,0)</f>
        <v>1468085.1</v>
      </c>
      <c r="BK217" s="638" t="str">
        <f t="shared" si="130"/>
        <v>Met</v>
      </c>
      <c r="BM217" s="631">
        <f>VLOOKUP(A217,'42. SEA or LEA Worksheet'!$A$4:$AL$324,36,0)/VLOOKUP(A217,'42. SEA or LEA Worksheet'!$A$4:$AL$324,35,0)</f>
        <v>0</v>
      </c>
      <c r="BN217" s="632" t="str">
        <f t="shared" si="131"/>
        <v>Met</v>
      </c>
      <c r="BP217" s="631">
        <f>VLOOKUP(A217,'42. SEA or LEA Worksheet'!$A$4:$AL$324,38,0)/VLOOKUP(A217,'42. SEA or LEA Worksheet'!$A$4:$AL$324,35,0)</f>
        <v>10561.763309352518</v>
      </c>
      <c r="BQ217" s="632" t="str">
        <f t="shared" si="132"/>
        <v>Met</v>
      </c>
      <c r="BS217" s="620" t="str">
        <f t="shared" si="123"/>
        <v>Met</v>
      </c>
    </row>
    <row r="218" spans="1:71" x14ac:dyDescent="0.25">
      <c r="A218" s="343" t="s">
        <v>618</v>
      </c>
      <c r="B218" s="510" t="s">
        <v>1036</v>
      </c>
      <c r="C218" s="511"/>
      <c r="D218" s="444">
        <v>0</v>
      </c>
      <c r="E218" s="343" t="s">
        <v>856</v>
      </c>
      <c r="F218" s="511"/>
      <c r="G218" s="444">
        <v>349985</v>
      </c>
      <c r="H218" s="343" t="s">
        <v>835</v>
      </c>
      <c r="I218" s="511"/>
      <c r="J218" s="444">
        <v>0</v>
      </c>
      <c r="K218" s="343" t="s">
        <v>856</v>
      </c>
      <c r="L218" s="511"/>
      <c r="M218" s="444">
        <v>9210.1315789473683</v>
      </c>
      <c r="N218" s="343" t="s">
        <v>835</v>
      </c>
      <c r="O218" s="511"/>
      <c r="P218" s="512" t="str">
        <f t="shared" si="141"/>
        <v>Met</v>
      </c>
      <c r="Q218" s="511"/>
      <c r="R218" s="444">
        <f>VLOOKUP(A218,'2020-21'!$A$6:$F$319,6,0)</f>
        <v>0</v>
      </c>
      <c r="S218" s="513" t="str">
        <f t="shared" si="133"/>
        <v>Met</v>
      </c>
      <c r="U218" s="444">
        <f>VLOOKUP(A218,'2020-21'!$A$6:$G$319,7,0)</f>
        <v>281275.31</v>
      </c>
      <c r="V218" s="513" t="str">
        <f t="shared" si="134"/>
        <v>Did not Meet</v>
      </c>
      <c r="X218" s="444">
        <f>VLOOKUP(A218,'2020-21'!$A$6:$F$319,6,0)/VLOOKUP(A218,'42. SEA or LEA Worksheet'!$A$4:$T$324,20,0)</f>
        <v>0</v>
      </c>
      <c r="Y218" s="513" t="str">
        <f t="shared" si="135"/>
        <v>Met</v>
      </c>
      <c r="AA218" s="444">
        <f>VLOOKUP(A218,'42. SEA or LEA Worksheet'!$A$4:$W$324,23,0)/VLOOKUP(compliance!A218,'42. SEA or LEA Worksheet'!$A$4:$T$324,20,0)</f>
        <v>8036.4374285714284</v>
      </c>
      <c r="AB218" s="513" t="str">
        <f t="shared" si="136"/>
        <v>Did not Meet</v>
      </c>
      <c r="AD218" s="512" t="str">
        <f t="shared" si="127"/>
        <v>Met</v>
      </c>
      <c r="AF218" s="444">
        <f>VLOOKUP(A218,'42. SEA or LEA Worksheet'!$A$4:$Z$324,26,0)</f>
        <v>0</v>
      </c>
      <c r="AG218" s="513" t="str">
        <f t="shared" si="137"/>
        <v>Met</v>
      </c>
      <c r="AI218" s="444">
        <f>VLOOKUP(A218,'42. SEA or LEA Worksheet'!$A$4:$AB$324,28,0)</f>
        <v>213707.34</v>
      </c>
      <c r="AJ218" s="513" t="str">
        <f t="shared" si="138"/>
        <v>Did not Meet</v>
      </c>
      <c r="AL218" s="444">
        <f>VLOOKUP(compliance!A218,'42. SEA or LEA Worksheet'!$A$4:$AB$324,26,0)/VLOOKUP(compliance!A218,'42. SEA or LEA Worksheet'!$A$4:$Y$324,25,0)</f>
        <v>0</v>
      </c>
      <c r="AM218" s="513" t="str">
        <f t="shared" si="139"/>
        <v>Met</v>
      </c>
      <c r="AO218" s="444">
        <f>VLOOKUP(A218,'42. SEA or LEA Worksheet'!$A$4:$AB$324,28,0)/VLOOKUP(compliance!A218,'42. SEA or LEA Worksheet'!$A$4:$Y$324,25,0)</f>
        <v>8904.4724999999999</v>
      </c>
      <c r="AP218" s="513" t="str">
        <f t="shared" si="140"/>
        <v>Met</v>
      </c>
      <c r="AR218" s="512" t="str">
        <f t="shared" si="128"/>
        <v>Met</v>
      </c>
      <c r="AT218" s="444">
        <f>VLOOKUP(A218,'42. SEA or LEA Worksheet'!$A$4:$AE$324,31,0)</f>
        <v>0</v>
      </c>
      <c r="AU218" s="513" t="str">
        <f t="shared" si="142"/>
        <v>Met</v>
      </c>
      <c r="AW218" s="444">
        <f>VLOOKUP(A218,'42. SEA or LEA Worksheet'!$A$4:$AG$324,33,0)</f>
        <v>38917.99</v>
      </c>
      <c r="AX218" s="513" t="str">
        <f t="shared" si="143"/>
        <v>Did not Meet</v>
      </c>
      <c r="AZ218" s="444">
        <f>VLOOKUP(A218,'42. SEA or LEA Worksheet'!$A$4:$AG$324,31,0)/VLOOKUP(A218,'42. SEA or LEA Worksheet'!$A$4:$AD$324,30,0)</f>
        <v>0</v>
      </c>
      <c r="BA218" s="513" t="str">
        <f t="shared" si="144"/>
        <v>Met</v>
      </c>
      <c r="BC218" s="444">
        <f>VLOOKUP(A218,'42. SEA or LEA Worksheet'!$A$4:$AG$324,33,0)/VLOOKUP(A218,'42. SEA or LEA Worksheet'!$A$4:$AD$324,30,0)</f>
        <v>1853.2376190476189</v>
      </c>
      <c r="BD218" s="513" t="str">
        <f t="shared" si="145"/>
        <v>Did not Meet</v>
      </c>
      <c r="BF218" s="512" t="str">
        <f t="shared" si="122"/>
        <v>Met</v>
      </c>
      <c r="BG218" s="637">
        <f>VLOOKUP(A218,'42. SEA or LEA Worksheet'!$A$4:$AM$324,36,0)</f>
        <v>294450.58</v>
      </c>
      <c r="BH218" s="638" t="str">
        <f t="shared" si="129"/>
        <v>Met</v>
      </c>
      <c r="BI218" s="639"/>
      <c r="BJ218" s="637">
        <f>VLOOKUP(A218,'42. SEA or LEA Worksheet'!$A$4:$AM$324,38,0)</f>
        <v>440313.68000000005</v>
      </c>
      <c r="BK218" s="638" t="str">
        <f t="shared" si="130"/>
        <v>Met</v>
      </c>
      <c r="BM218" s="631">
        <f>VLOOKUP(A218,'42. SEA or LEA Worksheet'!$A$4:$AL$324,36,0)/VLOOKUP(A218,'42. SEA or LEA Worksheet'!$A$4:$AL$324,35,0)</f>
        <v>9815.0193333333336</v>
      </c>
      <c r="BN218" s="632" t="str">
        <f t="shared" si="131"/>
        <v>Met</v>
      </c>
      <c r="BP218" s="631">
        <f>VLOOKUP(A218,'42. SEA or LEA Worksheet'!$A$4:$AL$324,38,0)/VLOOKUP(A218,'42. SEA or LEA Worksheet'!$A$4:$AL$324,35,0)</f>
        <v>14677.122666666668</v>
      </c>
      <c r="BQ218" s="632" t="str">
        <f t="shared" si="132"/>
        <v>Met</v>
      </c>
      <c r="BS218" s="620" t="str">
        <f t="shared" si="123"/>
        <v>Met</v>
      </c>
    </row>
    <row r="219" spans="1:71" s="533" customFormat="1" x14ac:dyDescent="0.25">
      <c r="A219" s="533" t="s">
        <v>620</v>
      </c>
      <c r="B219" s="530" t="s">
        <v>1160</v>
      </c>
      <c r="C219" s="531"/>
      <c r="D219" s="532">
        <v>93520.8</v>
      </c>
      <c r="E219" s="533" t="s">
        <v>856</v>
      </c>
      <c r="F219" s="531"/>
      <c r="G219" s="444">
        <v>492558.58</v>
      </c>
      <c r="H219" s="533" t="s">
        <v>835</v>
      </c>
      <c r="I219" s="531"/>
      <c r="J219" s="532">
        <v>2078.2400000000002</v>
      </c>
      <c r="K219" s="533" t="s">
        <v>856</v>
      </c>
      <c r="L219" s="531"/>
      <c r="M219" s="532">
        <v>10945.746222222222</v>
      </c>
      <c r="N219" s="533" t="s">
        <v>856</v>
      </c>
      <c r="O219" s="531"/>
      <c r="P219" s="534" t="str">
        <f t="shared" si="141"/>
        <v>Met</v>
      </c>
      <c r="Q219" s="531"/>
      <c r="R219" s="532">
        <f>VLOOKUP(A219,'2020-21'!$A$6:$F$319,6,0)</f>
        <v>139307.26</v>
      </c>
      <c r="S219" s="535" t="str">
        <f t="shared" si="133"/>
        <v>Met</v>
      </c>
      <c r="T219" s="531"/>
      <c r="U219" s="532">
        <f>VLOOKUP(A219,'2020-21'!$A$6:$G$319,7,0)</f>
        <v>398592.29000000004</v>
      </c>
      <c r="V219" s="513" t="str">
        <f t="shared" si="134"/>
        <v>Did not Meet</v>
      </c>
      <c r="W219" s="531"/>
      <c r="X219" s="532">
        <f>VLOOKUP(A219,'2020-21'!$A$6:$F$319,6,0)/VLOOKUP(A219,'42. SEA or LEA Worksheet'!$A$4:$T$324,20,0)</f>
        <v>4493.7825806451619</v>
      </c>
      <c r="Y219" s="535" t="str">
        <f t="shared" si="135"/>
        <v>Met</v>
      </c>
      <c r="Z219" s="531"/>
      <c r="AA219" s="532">
        <f>VLOOKUP(A219,'42. SEA or LEA Worksheet'!$A$4:$W$324,23,0)/VLOOKUP(compliance!A219,'42. SEA or LEA Worksheet'!$A$4:$T$324,20,0)</f>
        <v>12857.815806451614</v>
      </c>
      <c r="AB219" s="535" t="str">
        <f t="shared" si="136"/>
        <v>Met</v>
      </c>
      <c r="AC219" s="531"/>
      <c r="AD219" s="534" t="str">
        <f t="shared" si="127"/>
        <v>Met</v>
      </c>
      <c r="AE219" s="531"/>
      <c r="AF219" s="444">
        <f>VLOOKUP(A219,'42. SEA or LEA Worksheet'!$A$4:$Z$324,26,0)</f>
        <v>0</v>
      </c>
      <c r="AG219" s="535" t="str">
        <f t="shared" si="137"/>
        <v>Did not Meet</v>
      </c>
      <c r="AH219" s="531"/>
      <c r="AI219" s="444">
        <f>VLOOKUP(A219,'42. SEA or LEA Worksheet'!$A$4:$AB$324,28,0)</f>
        <v>487519.56</v>
      </c>
      <c r="AJ219" s="535" t="str">
        <f t="shared" si="138"/>
        <v>Met</v>
      </c>
      <c r="AK219" s="531"/>
      <c r="AL219" s="444">
        <f>VLOOKUP(compliance!A219,'42. SEA or LEA Worksheet'!$A$4:$AB$324,26,0)/VLOOKUP(compliance!A219,'42. SEA or LEA Worksheet'!$A$4:$Y$324,25,0)</f>
        <v>0</v>
      </c>
      <c r="AM219" s="535" t="str">
        <f t="shared" si="139"/>
        <v>Did not Meet</v>
      </c>
      <c r="AN219" s="531"/>
      <c r="AO219" s="444">
        <f>VLOOKUP(A219,'42. SEA or LEA Worksheet'!$A$4:$AB$324,28,0)/VLOOKUP(compliance!A219,'42. SEA or LEA Worksheet'!$A$4:$Y$324,25,0)</f>
        <v>13176.204324324324</v>
      </c>
      <c r="AP219" s="535" t="str">
        <f t="shared" si="140"/>
        <v>Met</v>
      </c>
      <c r="AQ219" s="531"/>
      <c r="AR219" s="534" t="str">
        <f t="shared" si="128"/>
        <v>Met</v>
      </c>
      <c r="AS219" s="531"/>
      <c r="AT219" s="444">
        <f>VLOOKUP(A219,'42. SEA or LEA Worksheet'!$A$4:$AE$324,31,0)</f>
        <v>375615.96</v>
      </c>
      <c r="AU219" s="535" t="str">
        <f t="shared" si="142"/>
        <v>Met</v>
      </c>
      <c r="AV219" s="531"/>
      <c r="AW219" s="444">
        <f>VLOOKUP(A219,'42. SEA or LEA Worksheet'!$A$4:$AG$324,33,0)</f>
        <v>649500.9</v>
      </c>
      <c r="AX219" s="535" t="str">
        <f t="shared" si="143"/>
        <v>Met</v>
      </c>
      <c r="AY219" s="531"/>
      <c r="AZ219" s="444">
        <f>VLOOKUP(A219,'42. SEA or LEA Worksheet'!$A$4:$AG$324,31,0)/VLOOKUP(A219,'42. SEA or LEA Worksheet'!$A$4:$AD$324,30,0)</f>
        <v>10731.884571428573</v>
      </c>
      <c r="BA219" s="535" t="str">
        <f t="shared" si="144"/>
        <v>Met</v>
      </c>
      <c r="BB219" s="531"/>
      <c r="BC219" s="444">
        <f>VLOOKUP(A219,'42. SEA or LEA Worksheet'!$A$4:$AG$324,33,0)/VLOOKUP(A219,'42. SEA or LEA Worksheet'!$A$4:$AD$324,30,0)</f>
        <v>18557.16857142857</v>
      </c>
      <c r="BD219" s="513" t="str">
        <f t="shared" si="145"/>
        <v>Met</v>
      </c>
      <c r="BE219" s="531"/>
      <c r="BF219" s="534" t="str">
        <f>IF(AND(AU219="Did not Meet",AX219="Did not Meet", BA219="Did not Meet",BD219="Did not Meet",),"Did not Meet","Met")</f>
        <v>Met</v>
      </c>
      <c r="BG219" s="637">
        <f>VLOOKUP(A219,'42. SEA or LEA Worksheet'!$A$4:$AM$324,36,0)</f>
        <v>390068.13</v>
      </c>
      <c r="BH219" s="638" t="str">
        <f t="shared" si="129"/>
        <v>Met</v>
      </c>
      <c r="BI219" s="640"/>
      <c r="BJ219" s="637">
        <f>VLOOKUP(A219,'42. SEA or LEA Worksheet'!$A$4:$AM$324,38,0)</f>
        <v>679553.36</v>
      </c>
      <c r="BK219" s="638" t="str">
        <f t="shared" si="130"/>
        <v>Met</v>
      </c>
      <c r="BL219" s="641"/>
      <c r="BM219" s="631">
        <f>VLOOKUP(A219,'42. SEA or LEA Worksheet'!$A$4:$AL$324,36,0)/VLOOKUP(A219,'42. SEA or LEA Worksheet'!$A$4:$AL$324,35,0)</f>
        <v>11820.246363636365</v>
      </c>
      <c r="BN219" s="642" t="str">
        <f t="shared" si="131"/>
        <v>Met</v>
      </c>
      <c r="BO219" s="641"/>
      <c r="BP219" s="631">
        <f>VLOOKUP(A219,'42. SEA or LEA Worksheet'!$A$4:$AL$324,38,0)/VLOOKUP(A219,'42. SEA or LEA Worksheet'!$A$4:$AL$324,35,0)</f>
        <v>20592.526060606062</v>
      </c>
      <c r="BQ219" s="632" t="str">
        <f t="shared" si="132"/>
        <v>Met</v>
      </c>
      <c r="BR219" s="641"/>
      <c r="BS219" s="643" t="str">
        <f>IF(AND(BH219="Did not Meet",BK219="Did not Meet", BN219="Did not Meet",BQ219="Did not Meet",),"Did not Meet","Met")</f>
        <v>Met</v>
      </c>
    </row>
    <row r="220" spans="1:71" x14ac:dyDescent="0.25">
      <c r="A220" s="343" t="s">
        <v>621</v>
      </c>
      <c r="B220" s="510" t="s">
        <v>1263</v>
      </c>
      <c r="C220" s="511"/>
      <c r="D220" s="444">
        <v>0</v>
      </c>
      <c r="E220" s="343" t="s">
        <v>856</v>
      </c>
      <c r="F220" s="511"/>
      <c r="G220" s="444">
        <v>968667.79</v>
      </c>
      <c r="H220" s="343" t="s">
        <v>835</v>
      </c>
      <c r="I220" s="511"/>
      <c r="J220" s="444">
        <v>0</v>
      </c>
      <c r="K220" s="343" t="s">
        <v>856</v>
      </c>
      <c r="L220" s="511"/>
      <c r="M220" s="444">
        <v>10644.700989010989</v>
      </c>
      <c r="N220" s="343" t="s">
        <v>835</v>
      </c>
      <c r="O220" s="511"/>
      <c r="P220" s="512" t="str">
        <f t="shared" si="141"/>
        <v>Met</v>
      </c>
      <c r="Q220" s="511"/>
      <c r="R220" s="444">
        <f>VLOOKUP(A220,'2020-21'!$A$6:$F$319,6,0)</f>
        <v>0</v>
      </c>
      <c r="S220" s="513" t="str">
        <f t="shared" si="133"/>
        <v>Met</v>
      </c>
      <c r="U220" s="444">
        <f>VLOOKUP(A220,'2020-21'!$A$6:$G$319,7,0)</f>
        <v>856302.19</v>
      </c>
      <c r="V220" s="513" t="str">
        <f t="shared" si="134"/>
        <v>Did not Meet</v>
      </c>
      <c r="X220" s="444">
        <v>0</v>
      </c>
      <c r="Y220" s="513" t="str">
        <f t="shared" si="135"/>
        <v>Met</v>
      </c>
      <c r="AA220" s="444">
        <f>VLOOKUP(A220,'42. SEA or LEA Worksheet'!$A$4:$W$324,23,0)/VLOOKUP(compliance!A220,'42. SEA or LEA Worksheet'!$A$4:$T$324,20,0)</f>
        <v>9730.7067045454532</v>
      </c>
      <c r="AB220" s="513" t="str">
        <f t="shared" si="136"/>
        <v>Did not Meet</v>
      </c>
      <c r="AD220" s="512" t="str">
        <f t="shared" si="127"/>
        <v>Met</v>
      </c>
      <c r="AF220" s="444">
        <f>VLOOKUP(A220,'42. SEA or LEA Worksheet'!$A$4:$Z$324,26,0)</f>
        <v>0</v>
      </c>
      <c r="AG220" s="513" t="str">
        <f t="shared" si="137"/>
        <v>Met</v>
      </c>
      <c r="AI220" s="444">
        <f>VLOOKUP(A220,'42. SEA or LEA Worksheet'!$A$4:$AB$324,28,0)</f>
        <v>675730.1</v>
      </c>
      <c r="AJ220" s="513" t="str">
        <f t="shared" si="138"/>
        <v>Did not Meet</v>
      </c>
      <c r="AL220" s="444">
        <f>VLOOKUP(compliance!A220,'42. SEA or LEA Worksheet'!$A$4:$AB$324,26,0)/VLOOKUP(compliance!A220,'42. SEA or LEA Worksheet'!$A$4:$Y$324,25,0)</f>
        <v>0</v>
      </c>
      <c r="AM220" s="513" t="str">
        <f t="shared" si="139"/>
        <v>Met</v>
      </c>
      <c r="AO220" s="444">
        <f>VLOOKUP(A220,'42. SEA or LEA Worksheet'!$A$4:$AB$324,28,0)/VLOOKUP(compliance!A220,'42. SEA or LEA Worksheet'!$A$4:$Y$324,25,0)</f>
        <v>8775.7155844155841</v>
      </c>
      <c r="AP220" s="513" t="str">
        <f t="shared" si="140"/>
        <v>Did not Meet</v>
      </c>
      <c r="AR220" s="512" t="str">
        <f t="shared" si="128"/>
        <v>Met</v>
      </c>
      <c r="AT220" s="444">
        <f>VLOOKUP(A220,'42. SEA or LEA Worksheet'!$A$4:$AE$324,31,0)</f>
        <v>0</v>
      </c>
      <c r="AU220" s="513" t="str">
        <f t="shared" si="142"/>
        <v>Met</v>
      </c>
      <c r="AW220" s="444">
        <f>VLOOKUP(A220,'42. SEA or LEA Worksheet'!$A$4:$AG$324,33,0)</f>
        <v>758359.89</v>
      </c>
      <c r="AX220" s="513" t="str">
        <f t="shared" si="143"/>
        <v>Met</v>
      </c>
      <c r="AZ220" s="444">
        <f>VLOOKUP(A220,'42. SEA or LEA Worksheet'!$A$4:$AG$324,31,0)/VLOOKUP(A220,'42. SEA or LEA Worksheet'!$A$4:$AD$324,30,0)</f>
        <v>0</v>
      </c>
      <c r="BA220" s="513" t="str">
        <f t="shared" si="144"/>
        <v>Met</v>
      </c>
      <c r="BC220" s="444">
        <f>VLOOKUP(A220,'42. SEA or LEA Worksheet'!$A$4:$AG$324,33,0)/VLOOKUP(A220,'42. SEA or LEA Worksheet'!$A$4:$AD$324,30,0)</f>
        <v>9722.5626923076925</v>
      </c>
      <c r="BD220" s="513" t="str">
        <f t="shared" si="145"/>
        <v>Met</v>
      </c>
      <c r="BF220" s="512" t="str">
        <f>IF(AND(AU220="Did not Meet",AX220="Did not Meet", BA220="Did not Meet",BD220="Did not Meet"),"Did not Meet","Met")</f>
        <v>Met</v>
      </c>
      <c r="BG220" s="637">
        <f>VLOOKUP(A220,'42. SEA or LEA Worksheet'!$A$4:$AM$324,36,0)</f>
        <v>0</v>
      </c>
      <c r="BH220" s="638" t="str">
        <f t="shared" si="129"/>
        <v>Met</v>
      </c>
      <c r="BI220" s="639"/>
      <c r="BJ220" s="637">
        <f>VLOOKUP(A220,'42. SEA or LEA Worksheet'!$A$4:$AM$324,38,0)</f>
        <v>1114102.8</v>
      </c>
      <c r="BK220" s="638" t="str">
        <f t="shared" si="130"/>
        <v>Met</v>
      </c>
      <c r="BM220" s="631">
        <f>VLOOKUP(A220,'42. SEA or LEA Worksheet'!$A$4:$AL$324,36,0)/VLOOKUP(A220,'42. SEA or LEA Worksheet'!$A$4:$AL$324,35,0)</f>
        <v>0</v>
      </c>
      <c r="BN220" s="632" t="str">
        <f t="shared" si="131"/>
        <v>Met</v>
      </c>
      <c r="BP220" s="631">
        <f>VLOOKUP(A220,'42. SEA or LEA Worksheet'!$A$4:$AL$324,38,0)/VLOOKUP(A220,'42. SEA or LEA Worksheet'!$A$4:$AL$324,35,0)</f>
        <v>14659.247368421053</v>
      </c>
      <c r="BQ220" s="632" t="str">
        <f t="shared" si="132"/>
        <v>Met</v>
      </c>
      <c r="BS220" s="620" t="str">
        <f>IF(AND(BH220="Did not Meet",BK220="Did not Meet", BN220="Did not Meet",BQ220="Did not Meet"),"Did not Meet","Met")</f>
        <v>Met</v>
      </c>
    </row>
    <row r="221" spans="1:71" x14ac:dyDescent="0.25">
      <c r="A221" s="343" t="s">
        <v>623</v>
      </c>
      <c r="B221" s="510" t="s">
        <v>1037</v>
      </c>
      <c r="C221" s="511"/>
      <c r="D221" s="444">
        <v>0</v>
      </c>
      <c r="E221" s="343" t="s">
        <v>856</v>
      </c>
      <c r="F221" s="511"/>
      <c r="G221" s="444">
        <v>747105.53</v>
      </c>
      <c r="H221" s="343" t="s">
        <v>835</v>
      </c>
      <c r="I221" s="511"/>
      <c r="J221" s="444">
        <v>0</v>
      </c>
      <c r="K221" s="343" t="s">
        <v>856</v>
      </c>
      <c r="L221" s="511"/>
      <c r="M221" s="444">
        <v>9338.819125</v>
      </c>
      <c r="N221" s="343" t="s">
        <v>835</v>
      </c>
      <c r="O221" s="511"/>
      <c r="P221" s="512" t="str">
        <f t="shared" si="141"/>
        <v>Met</v>
      </c>
      <c r="Q221" s="511"/>
      <c r="R221" s="444">
        <f>VLOOKUP(A221,'2020-21'!$A$6:$F$319,6,0)</f>
        <v>0</v>
      </c>
      <c r="S221" s="513" t="str">
        <f t="shared" si="133"/>
        <v>Met</v>
      </c>
      <c r="U221" s="444">
        <f>VLOOKUP(A221,'2020-21'!$A$6:$G$319,7,0)</f>
        <v>724421.79</v>
      </c>
      <c r="V221" s="513" t="str">
        <f t="shared" si="134"/>
        <v>Did not Meet</v>
      </c>
      <c r="X221" s="444">
        <f>VLOOKUP(A221,'2020-21'!$A$6:$F$319,6,0)/VLOOKUP(A221,'42. SEA or LEA Worksheet'!$A$4:$T$324,20,0)</f>
        <v>0</v>
      </c>
      <c r="Y221" s="513" t="str">
        <f t="shared" si="135"/>
        <v>Met</v>
      </c>
      <c r="AA221" s="444">
        <f>VLOOKUP(A221,'42. SEA or LEA Worksheet'!$A$4:$W$324,23,0)/VLOOKUP(compliance!A221,'42. SEA or LEA Worksheet'!$A$4:$T$324,20,0)</f>
        <v>8522.6092941176466</v>
      </c>
      <c r="AB221" s="513" t="str">
        <f t="shared" si="136"/>
        <v>Did not Meet</v>
      </c>
      <c r="AD221" s="512" t="str">
        <f t="shared" si="127"/>
        <v>Met</v>
      </c>
      <c r="AF221" s="444">
        <f>VLOOKUP(A221,'42. SEA or LEA Worksheet'!$A$4:$Z$324,26,0)</f>
        <v>0</v>
      </c>
      <c r="AG221" s="513" t="str">
        <f t="shared" si="137"/>
        <v>Met</v>
      </c>
      <c r="AI221" s="444">
        <f>VLOOKUP(A221,'42. SEA or LEA Worksheet'!$A$4:$AB$324,28,0)</f>
        <v>728357.83</v>
      </c>
      <c r="AJ221" s="513" t="str">
        <f t="shared" si="138"/>
        <v>Met</v>
      </c>
      <c r="AL221" s="444">
        <f>VLOOKUP(compliance!A221,'42. SEA or LEA Worksheet'!$A$4:$AB$324,26,0)/VLOOKUP(compliance!A221,'42. SEA or LEA Worksheet'!$A$4:$Y$324,25,0)</f>
        <v>0</v>
      </c>
      <c r="AM221" s="513" t="str">
        <f t="shared" si="139"/>
        <v>Met</v>
      </c>
      <c r="AO221" s="444">
        <f>VLOOKUP(A221,'42. SEA or LEA Worksheet'!$A$4:$AB$324,28,0)/VLOOKUP(compliance!A221,'42. SEA or LEA Worksheet'!$A$4:$Y$324,25,0)</f>
        <v>8992.0719753086414</v>
      </c>
      <c r="AP221" s="513" t="str">
        <f t="shared" si="140"/>
        <v>Met</v>
      </c>
      <c r="AR221" s="512" t="str">
        <f t="shared" si="128"/>
        <v>Met</v>
      </c>
      <c r="AT221" s="444">
        <f>VLOOKUP(A221,'42. SEA or LEA Worksheet'!$A$4:$AE$324,31,0)</f>
        <v>0</v>
      </c>
      <c r="AU221" s="513" t="str">
        <f t="shared" si="142"/>
        <v>Met</v>
      </c>
      <c r="AW221" s="444">
        <f>VLOOKUP(A221,'42. SEA or LEA Worksheet'!$A$4:$AG$324,33,0)</f>
        <v>780381.14</v>
      </c>
      <c r="AX221" s="513" t="str">
        <f t="shared" si="143"/>
        <v>Met</v>
      </c>
      <c r="AZ221" s="444">
        <f>VLOOKUP(A221,'42. SEA or LEA Worksheet'!$A$4:$AG$324,31,0)/VLOOKUP(A221,'42. SEA or LEA Worksheet'!$A$4:$AD$324,30,0)</f>
        <v>0</v>
      </c>
      <c r="BA221" s="513" t="str">
        <f t="shared" si="144"/>
        <v>Met</v>
      </c>
      <c r="BC221" s="444">
        <f>VLOOKUP(A221,'42. SEA or LEA Worksheet'!$A$4:$AG$324,33,0)/VLOOKUP(A221,'42. SEA or LEA Worksheet'!$A$4:$AD$324,30,0)</f>
        <v>9074.1993023255818</v>
      </c>
      <c r="BD221" s="513" t="str">
        <f t="shared" si="145"/>
        <v>Met</v>
      </c>
      <c r="BF221" s="512" t="str">
        <f>IF(AND(AU221="Did not Meet",AX221="Did not Meet", BA221="Did not Meet",BD221="Did not Meet"),"Did not Meet","Met")</f>
        <v>Met</v>
      </c>
      <c r="BG221" s="637">
        <f>VLOOKUP(A221,'42. SEA or LEA Worksheet'!$A$4:$AM$324,36,0)</f>
        <v>0</v>
      </c>
      <c r="BH221" s="638" t="str">
        <f t="shared" si="129"/>
        <v>Met</v>
      </c>
      <c r="BI221" s="639"/>
      <c r="BJ221" s="637">
        <f>VLOOKUP(A221,'42. SEA or LEA Worksheet'!$A$4:$AM$324,38,0)</f>
        <v>876202.59</v>
      </c>
      <c r="BK221" s="638" t="str">
        <f t="shared" si="130"/>
        <v>Met</v>
      </c>
      <c r="BM221" s="631">
        <f>VLOOKUP(A221,'42. SEA or LEA Worksheet'!$A$4:$AL$324,36,0)/VLOOKUP(A221,'42. SEA or LEA Worksheet'!$A$4:$AL$324,35,0)</f>
        <v>0</v>
      </c>
      <c r="BN221" s="632" t="str">
        <f t="shared" si="131"/>
        <v>Met</v>
      </c>
      <c r="BP221" s="631">
        <f>VLOOKUP(A221,'42. SEA or LEA Worksheet'!$A$4:$AL$324,38,0)/VLOOKUP(A221,'42. SEA or LEA Worksheet'!$A$4:$AL$324,35,0)</f>
        <v>10071.294137931034</v>
      </c>
      <c r="BQ221" s="632" t="str">
        <f t="shared" si="132"/>
        <v>Met</v>
      </c>
      <c r="BS221" s="620" t="str">
        <f>IF(AND(BH221="Did not Meet",BK221="Did not Meet", BN221="Did not Meet",BQ221="Did not Meet"),"Did not Meet","Met")</f>
        <v>Met</v>
      </c>
    </row>
    <row r="222" spans="1:71" x14ac:dyDescent="0.25">
      <c r="A222" s="343" t="s">
        <v>625</v>
      </c>
      <c r="B222" s="510" t="s">
        <v>1038</v>
      </c>
      <c r="C222" s="511"/>
      <c r="D222" s="444">
        <v>7743168.04</v>
      </c>
      <c r="E222" s="343" t="s">
        <v>856</v>
      </c>
      <c r="F222" s="511"/>
      <c r="G222" s="444">
        <v>39464770.880000003</v>
      </c>
      <c r="H222" s="343" t="s">
        <v>835</v>
      </c>
      <c r="I222" s="511"/>
      <c r="J222" s="444">
        <v>3412.5905861613046</v>
      </c>
      <c r="K222" s="343" t="s">
        <v>856</v>
      </c>
      <c r="L222" s="511"/>
      <c r="M222" s="444">
        <v>17393.023746143677</v>
      </c>
      <c r="N222" s="343" t="s">
        <v>835</v>
      </c>
      <c r="O222" s="511"/>
      <c r="P222" s="512" t="str">
        <f t="shared" si="141"/>
        <v>Met</v>
      </c>
      <c r="Q222" s="511"/>
      <c r="R222" s="444">
        <f>VLOOKUP(A222,'2020-21'!$A$6:$F$319,6,0)</f>
        <v>9893053.1300000008</v>
      </c>
      <c r="S222" s="513" t="str">
        <f t="shared" si="133"/>
        <v>Met</v>
      </c>
      <c r="U222" s="444">
        <f>VLOOKUP(A222,'2020-21'!$A$6:$G$319,7,0)</f>
        <v>40365725.990000002</v>
      </c>
      <c r="V222" s="513" t="str">
        <f t="shared" si="134"/>
        <v>Met</v>
      </c>
      <c r="X222" s="444">
        <f>VLOOKUP(A222,'2020-21'!$A$6:$F$319,6,0)/VLOOKUP(A222,'42. SEA or LEA Worksheet'!$A$4:$T$324,20,0)</f>
        <v>4344.7751998243302</v>
      </c>
      <c r="Y222" s="513" t="str">
        <f t="shared" si="135"/>
        <v>Met</v>
      </c>
      <c r="AA222" s="444">
        <f>VLOOKUP(A222,'42. SEA or LEA Worksheet'!$A$4:$W$324,23,0)/VLOOKUP(compliance!A222,'42. SEA or LEA Worksheet'!$A$4:$T$324,20,0)</f>
        <v>17727.591563460694</v>
      </c>
      <c r="AB222" s="513" t="str">
        <f t="shared" si="136"/>
        <v>Met</v>
      </c>
      <c r="AD222" s="512" t="str">
        <f t="shared" si="127"/>
        <v>Met</v>
      </c>
      <c r="AF222" s="444">
        <f>VLOOKUP(A222,'42. SEA or LEA Worksheet'!$A$4:$Z$324,26,0)</f>
        <v>9567951.5600000005</v>
      </c>
      <c r="AG222" s="513" t="str">
        <f t="shared" si="137"/>
        <v>Did not Meet</v>
      </c>
      <c r="AI222" s="444">
        <f>VLOOKUP(A222,'42. SEA or LEA Worksheet'!$A$4:$AB$324,28,0)</f>
        <v>39296134.219999999</v>
      </c>
      <c r="AJ222" s="513" t="str">
        <f t="shared" si="138"/>
        <v>Did not Meet</v>
      </c>
      <c r="AL222" s="444">
        <f>VLOOKUP(compliance!A222,'42. SEA or LEA Worksheet'!$A$4:$AB$324,26,0)/VLOOKUP(compliance!A222,'42. SEA or LEA Worksheet'!$A$4:$Y$324,25,0)</f>
        <v>4485.6781809657759</v>
      </c>
      <c r="AM222" s="513" t="str">
        <f t="shared" si="139"/>
        <v>Met</v>
      </c>
      <c r="AO222" s="444">
        <f>VLOOKUP(A222,'42. SEA or LEA Worksheet'!$A$4:$AB$324,28,0)/VLOOKUP(compliance!A222,'42. SEA or LEA Worksheet'!$A$4:$Y$324,25,0)</f>
        <v>18422.94150023441</v>
      </c>
      <c r="AP222" s="513" t="str">
        <f t="shared" si="140"/>
        <v>Met</v>
      </c>
      <c r="AR222" s="512" t="str">
        <f t="shared" si="128"/>
        <v>Met</v>
      </c>
      <c r="AT222" s="444">
        <f>VLOOKUP(A222,'42. SEA or LEA Worksheet'!$A$4:$AE$324,31,0)</f>
        <v>11516728.869999999</v>
      </c>
      <c r="AU222" s="513" t="str">
        <f t="shared" si="142"/>
        <v>Met</v>
      </c>
      <c r="AW222" s="444">
        <f>VLOOKUP(A222,'42. SEA or LEA Worksheet'!$A$4:$AG$324,33,0)</f>
        <v>43635980.640000001</v>
      </c>
      <c r="AX222" s="513" t="str">
        <f t="shared" si="143"/>
        <v>Met</v>
      </c>
      <c r="AZ222" s="444">
        <f>VLOOKUP(A222,'42. SEA or LEA Worksheet'!$A$4:$AG$324,31,0)/VLOOKUP(A222,'42. SEA or LEA Worksheet'!$A$4:$AD$324,30,0)</f>
        <v>5356.6180790697672</v>
      </c>
      <c r="BA222" s="513" t="str">
        <f t="shared" si="144"/>
        <v>Met</v>
      </c>
      <c r="BC222" s="444">
        <f>VLOOKUP(A222,'42. SEA or LEA Worksheet'!$A$4:$AG$324,33,0)/VLOOKUP(A222,'42. SEA or LEA Worksheet'!$A$4:$AD$324,30,0)</f>
        <v>20295.804948837209</v>
      </c>
      <c r="BD222" s="513" t="str">
        <f t="shared" si="145"/>
        <v>Met</v>
      </c>
      <c r="BF222" s="512" t="str">
        <f>IF(AND(AU222="Did not Meet",AX222="Did not Meet", BA222="Did not Meet",BD222="Did not Meet",),"Did not Meet","Met")</f>
        <v>Met</v>
      </c>
      <c r="BG222" s="637">
        <f>VLOOKUP(A222,'42. SEA or LEA Worksheet'!$A$4:$AM$324,36,0)</f>
        <v>12207919.5</v>
      </c>
      <c r="BH222" s="638" t="str">
        <f t="shared" si="129"/>
        <v>Met</v>
      </c>
      <c r="BI222" s="639"/>
      <c r="BJ222" s="637">
        <f>VLOOKUP(A222,'42. SEA or LEA Worksheet'!$A$4:$AM$324,38,0)</f>
        <v>49825161.909999996</v>
      </c>
      <c r="BK222" s="638" t="str">
        <f t="shared" si="130"/>
        <v>Met</v>
      </c>
      <c r="BM222" s="631">
        <f>VLOOKUP(A222,'42. SEA or LEA Worksheet'!$A$4:$AL$324,36,0)/VLOOKUP(A222,'42. SEA or LEA Worksheet'!$A$4:$AL$324,35,0)</f>
        <v>5546.5331667423898</v>
      </c>
      <c r="BN222" s="632" t="str">
        <f t="shared" si="131"/>
        <v>Met</v>
      </c>
      <c r="BP222" s="631">
        <f>VLOOKUP(A222,'42. SEA or LEA Worksheet'!$A$4:$AL$324,38,0)/VLOOKUP(A222,'42. SEA or LEA Worksheet'!$A$4:$AL$324,35,0)</f>
        <v>22637.511090413445</v>
      </c>
      <c r="BQ222" s="632" t="str">
        <f t="shared" si="132"/>
        <v>Met</v>
      </c>
      <c r="BS222" s="620" t="str">
        <f>IF(AND(BH222="Did not Meet",BK222="Did not Meet", BN222="Did not Meet",BQ222="Did not Meet",),"Did not Meet","Met")</f>
        <v>Met</v>
      </c>
    </row>
    <row r="223" spans="1:71" x14ac:dyDescent="0.25">
      <c r="A223" s="343" t="s">
        <v>627</v>
      </c>
      <c r="B223" s="510" t="s">
        <v>1039</v>
      </c>
      <c r="C223" s="511"/>
      <c r="D223" s="444">
        <v>18188.8</v>
      </c>
      <c r="E223" s="343" t="s">
        <v>835</v>
      </c>
      <c r="F223" s="511"/>
      <c r="G223" s="444">
        <v>408671.82</v>
      </c>
      <c r="H223" s="343" t="s">
        <v>835</v>
      </c>
      <c r="I223" s="511"/>
      <c r="J223" s="444">
        <v>433.06666666666666</v>
      </c>
      <c r="K223" s="343" t="s">
        <v>835</v>
      </c>
      <c r="L223" s="511"/>
      <c r="M223" s="444">
        <v>9730.2814285714285</v>
      </c>
      <c r="N223" s="343" t="s">
        <v>835</v>
      </c>
      <c r="O223" s="511"/>
      <c r="P223" s="512" t="str">
        <f t="shared" si="141"/>
        <v>Met</v>
      </c>
      <c r="Q223" s="511"/>
      <c r="R223" s="444">
        <f>VLOOKUP(A223,'2020-21'!$A$6:$F$319,6,0)</f>
        <v>0</v>
      </c>
      <c r="S223" s="513" t="str">
        <f t="shared" si="133"/>
        <v>Did not Meet</v>
      </c>
      <c r="U223" s="444">
        <f>VLOOKUP(A223,'2020-21'!$A$6:$G$319,7,0)</f>
        <v>425650.74</v>
      </c>
      <c r="V223" s="513" t="str">
        <f t="shared" si="134"/>
        <v>Met</v>
      </c>
      <c r="X223" s="444">
        <f>VLOOKUP(A223,'2020-21'!$A$6:$F$319,6,0)/VLOOKUP(A223,'42. SEA or LEA Worksheet'!$A$4:$T$324,20,0)</f>
        <v>0</v>
      </c>
      <c r="Y223" s="513" t="str">
        <f t="shared" si="135"/>
        <v>Did not Meet</v>
      </c>
      <c r="AA223" s="444">
        <f>VLOOKUP(A223,'42. SEA or LEA Worksheet'!$A$4:$W$324,23,0)/VLOOKUP(compliance!A223,'42. SEA or LEA Worksheet'!$A$4:$T$324,20,0)</f>
        <v>9898.8544186046511</v>
      </c>
      <c r="AB223" s="513" t="str">
        <f t="shared" si="136"/>
        <v>Met</v>
      </c>
      <c r="AD223" s="512" t="str">
        <f t="shared" si="127"/>
        <v>Met</v>
      </c>
      <c r="AF223" s="444">
        <f>VLOOKUP(A223,'42. SEA or LEA Worksheet'!$A$4:$Z$324,26,0)</f>
        <v>0</v>
      </c>
      <c r="AG223" s="513" t="str">
        <f t="shared" si="137"/>
        <v>Met</v>
      </c>
      <c r="AI223" s="444">
        <f>VLOOKUP(A223,'42. SEA or LEA Worksheet'!$A$4:$AB$324,28,0)</f>
        <v>439668.28</v>
      </c>
      <c r="AJ223" s="513" t="str">
        <f t="shared" si="138"/>
        <v>Met</v>
      </c>
      <c r="AL223" s="444">
        <f>VLOOKUP(compliance!A223,'42. SEA or LEA Worksheet'!$A$4:$AB$324,26,0)/VLOOKUP(compliance!A223,'42. SEA or LEA Worksheet'!$A$4:$Y$324,25,0)</f>
        <v>0</v>
      </c>
      <c r="AM223" s="513" t="str">
        <f t="shared" si="139"/>
        <v>Met</v>
      </c>
      <c r="AO223" s="444">
        <f>VLOOKUP(A223,'42. SEA or LEA Worksheet'!$A$4:$AB$324,28,0)/VLOOKUP(compliance!A223,'42. SEA or LEA Worksheet'!$A$4:$Y$324,25,0)</f>
        <v>7327.8046666666669</v>
      </c>
      <c r="AP223" s="513" t="str">
        <f t="shared" si="140"/>
        <v>Did not Meet</v>
      </c>
      <c r="AR223" s="512" t="str">
        <f t="shared" si="128"/>
        <v>Met</v>
      </c>
      <c r="AT223" s="444">
        <f>VLOOKUP(A223,'42. SEA or LEA Worksheet'!$A$4:$AE$324,31,0)</f>
        <v>10000</v>
      </c>
      <c r="AU223" s="513" t="str">
        <f t="shared" si="142"/>
        <v>Met</v>
      </c>
      <c r="AW223" s="444">
        <f>VLOOKUP(A223,'42. SEA or LEA Worksheet'!$A$4:$AG$324,33,0)</f>
        <v>586749.06999999995</v>
      </c>
      <c r="AX223" s="513" t="str">
        <f t="shared" si="143"/>
        <v>Met</v>
      </c>
      <c r="AZ223" s="444">
        <f>VLOOKUP(A223,'42. SEA or LEA Worksheet'!$A$4:$AG$324,31,0)/VLOOKUP(A223,'42. SEA or LEA Worksheet'!$A$4:$AD$324,30,0)</f>
        <v>144.92753623188406</v>
      </c>
      <c r="BA223" s="513" t="str">
        <f t="shared" si="144"/>
        <v>Met</v>
      </c>
      <c r="BC223" s="444">
        <f>VLOOKUP(A223,'42. SEA or LEA Worksheet'!$A$4:$AG$324,33,0)/VLOOKUP(A223,'42. SEA or LEA Worksheet'!$A$4:$AD$324,30,0)</f>
        <v>8503.6097101449268</v>
      </c>
      <c r="BD223" s="513" t="str">
        <f t="shared" si="145"/>
        <v>Met</v>
      </c>
      <c r="BF223" s="512" t="str">
        <f t="shared" ref="BF223:BF234" si="146">IF(AND(AU223="Did not Meet",AX223="Did not Meet", BA223="Did not Meet",BD223="Did not Meet"),"Did not Meet","Met")</f>
        <v>Met</v>
      </c>
      <c r="BG223" s="637">
        <f>VLOOKUP(A223,'42. SEA or LEA Worksheet'!$A$4:$AM$324,36,0)</f>
        <v>0</v>
      </c>
      <c r="BH223" s="638" t="str">
        <f t="shared" si="129"/>
        <v>Did not Meet</v>
      </c>
      <c r="BI223" s="639"/>
      <c r="BJ223" s="637">
        <f>VLOOKUP(A223,'42. SEA or LEA Worksheet'!$A$4:$AM$324,38,0)</f>
        <v>813053.79</v>
      </c>
      <c r="BK223" s="638" t="str">
        <f t="shared" si="130"/>
        <v>Met</v>
      </c>
      <c r="BM223" s="631">
        <f>VLOOKUP(A223,'42. SEA or LEA Worksheet'!$A$4:$AL$324,36,0)/VLOOKUP(A223,'42. SEA or LEA Worksheet'!$A$4:$AL$324,35,0)</f>
        <v>0</v>
      </c>
      <c r="BN223" s="632" t="str">
        <f t="shared" si="131"/>
        <v>Met</v>
      </c>
      <c r="BP223" s="631">
        <f>VLOOKUP(A223,'42. SEA or LEA Worksheet'!$A$4:$AL$324,38,0)/VLOOKUP(A223,'42. SEA or LEA Worksheet'!$A$4:$AL$324,35,0)</f>
        <v>10291.820126582279</v>
      </c>
      <c r="BQ223" s="632" t="str">
        <f t="shared" si="132"/>
        <v>Met</v>
      </c>
      <c r="BS223" s="620" t="str">
        <f t="shared" ref="BS223:BS234" si="147">IF(AND(BH223="Did not Meet",BK223="Did not Meet", BN223="Did not Meet",BQ223="Did not Meet"),"Did not Meet","Met")</f>
        <v>Met</v>
      </c>
    </row>
    <row r="224" spans="1:71" x14ac:dyDescent="0.25">
      <c r="A224" s="343" t="s">
        <v>629</v>
      </c>
      <c r="B224" s="510" t="s">
        <v>1040</v>
      </c>
      <c r="C224" s="511"/>
      <c r="D224" s="444">
        <v>3917281.21</v>
      </c>
      <c r="E224" s="343" t="s">
        <v>835</v>
      </c>
      <c r="F224" s="511"/>
      <c r="G224" s="444">
        <v>18488767.530000001</v>
      </c>
      <c r="H224" s="343" t="s">
        <v>835</v>
      </c>
      <c r="I224" s="511"/>
      <c r="J224" s="444">
        <v>2415.0932244143032</v>
      </c>
      <c r="K224" s="343" t="s">
        <v>856</v>
      </c>
      <c r="L224" s="511"/>
      <c r="M224" s="444">
        <v>11398.746935881629</v>
      </c>
      <c r="N224" s="343" t="s">
        <v>856</v>
      </c>
      <c r="O224" s="511"/>
      <c r="P224" s="512" t="str">
        <f t="shared" si="141"/>
        <v>Met</v>
      </c>
      <c r="Q224" s="511"/>
      <c r="R224" s="444">
        <f>VLOOKUP(A224,'2020-21'!$A$6:$F$319,6,0)</f>
        <v>2205728.13</v>
      </c>
      <c r="S224" s="513" t="str">
        <f t="shared" si="133"/>
        <v>Did not Meet</v>
      </c>
      <c r="U224" s="444">
        <f>VLOOKUP(A224,'2020-21'!$A$6:$G$319,7,0)</f>
        <v>20820591.539999999</v>
      </c>
      <c r="V224" s="513" t="str">
        <f t="shared" si="134"/>
        <v>Met</v>
      </c>
      <c r="X224" s="444">
        <f>VLOOKUP(A224,'2020-21'!$A$6:$F$319,6,0)/VLOOKUP(A224,'42. SEA or LEA Worksheet'!$A$4:$T$324,20,0)</f>
        <v>1363.2435908529048</v>
      </c>
      <c r="Y224" s="513" t="str">
        <f t="shared" si="135"/>
        <v>Did not Meet</v>
      </c>
      <c r="AA224" s="444">
        <f>VLOOKUP(A224,'42. SEA or LEA Worksheet'!$A$4:$W$324,23,0)/VLOOKUP(compliance!A224,'42. SEA or LEA Worksheet'!$A$4:$T$324,20,0)</f>
        <v>12868.103547589617</v>
      </c>
      <c r="AB224" s="513" t="str">
        <f t="shared" si="136"/>
        <v>Met</v>
      </c>
      <c r="AD224" s="512" t="str">
        <f t="shared" si="127"/>
        <v>Met</v>
      </c>
      <c r="AF224" s="444">
        <f>VLOOKUP(A224,'42. SEA or LEA Worksheet'!$A$4:$Z$324,26,0)</f>
        <v>3037079.73</v>
      </c>
      <c r="AG224" s="513" t="str">
        <f t="shared" si="137"/>
        <v>Met</v>
      </c>
      <c r="AI224" s="444">
        <f>VLOOKUP(A224,'42. SEA or LEA Worksheet'!$A$4:$AB$324,28,0)</f>
        <v>23071557.530000001</v>
      </c>
      <c r="AJ224" s="513" t="str">
        <f t="shared" si="138"/>
        <v>Met</v>
      </c>
      <c r="AL224" s="444">
        <f>VLOOKUP(compliance!A224,'42. SEA or LEA Worksheet'!$A$4:$AB$324,26,0)/VLOOKUP(compliance!A224,'42. SEA or LEA Worksheet'!$A$4:$Y$324,25,0)</f>
        <v>1781.2784340175954</v>
      </c>
      <c r="AM224" s="513" t="str">
        <f t="shared" si="139"/>
        <v>Met</v>
      </c>
      <c r="AO224" s="444">
        <f>VLOOKUP(A224,'42. SEA or LEA Worksheet'!$A$4:$AB$324,28,0)/VLOOKUP(compliance!A224,'42. SEA or LEA Worksheet'!$A$4:$Y$324,25,0)</f>
        <v>13531.705296187683</v>
      </c>
      <c r="AP224" s="513" t="str">
        <f t="shared" si="140"/>
        <v>Met</v>
      </c>
      <c r="AR224" s="512" t="str">
        <f t="shared" si="128"/>
        <v>Met</v>
      </c>
      <c r="AT224" s="444">
        <f>VLOOKUP(A224,'42. SEA or LEA Worksheet'!$A$4:$AE$324,31,0)</f>
        <v>1835406.07</v>
      </c>
      <c r="AU224" s="513" t="str">
        <f t="shared" si="142"/>
        <v>Did not Meet</v>
      </c>
      <c r="AW224" s="444">
        <f>VLOOKUP(A224,'42. SEA or LEA Worksheet'!$A$4:$AG$324,33,0)</f>
        <v>25361785.68</v>
      </c>
      <c r="AX224" s="513" t="str">
        <f t="shared" si="143"/>
        <v>Met</v>
      </c>
      <c r="AZ224" s="444">
        <f>VLOOKUP(A224,'42. SEA or LEA Worksheet'!$A$4:$AG$324,31,0)/VLOOKUP(A224,'42. SEA or LEA Worksheet'!$A$4:$AD$324,30,0)</f>
        <v>960.44273678702257</v>
      </c>
      <c r="BA224" s="513" t="str">
        <f t="shared" si="144"/>
        <v>Did not Meet</v>
      </c>
      <c r="BC224" s="444">
        <f>VLOOKUP(A224,'42. SEA or LEA Worksheet'!$A$4:$AG$324,33,0)/VLOOKUP(A224,'42. SEA or LEA Worksheet'!$A$4:$AD$324,30,0)</f>
        <v>13271.473406593406</v>
      </c>
      <c r="BD224" s="513" t="str">
        <f t="shared" si="145"/>
        <v>Did not Meet</v>
      </c>
      <c r="BF224" s="512" t="str">
        <f t="shared" si="146"/>
        <v>Met</v>
      </c>
      <c r="BG224" s="637">
        <f>VLOOKUP(A224,'42. SEA or LEA Worksheet'!$A$4:$AM$324,36,0)</f>
        <v>2655898.88</v>
      </c>
      <c r="BH224" s="638" t="str">
        <f t="shared" si="129"/>
        <v>Met</v>
      </c>
      <c r="BI224" s="639"/>
      <c r="BJ224" s="637">
        <f>VLOOKUP(A224,'42. SEA or LEA Worksheet'!$A$4:$AM$324,38,0)</f>
        <v>30998386.879999999</v>
      </c>
      <c r="BK224" s="638" t="str">
        <f t="shared" si="130"/>
        <v>Met</v>
      </c>
      <c r="BM224" s="631">
        <f>VLOOKUP(A224,'42. SEA or LEA Worksheet'!$A$4:$AL$324,36,0)/VLOOKUP(A224,'42. SEA or LEA Worksheet'!$A$4:$AL$324,35,0)</f>
        <v>1236.4519925512104</v>
      </c>
      <c r="BN224" s="632" t="str">
        <f t="shared" si="131"/>
        <v>Met</v>
      </c>
      <c r="BP224" s="631">
        <f>VLOOKUP(A224,'42. SEA or LEA Worksheet'!$A$4:$AL$324,38,0)/VLOOKUP(A224,'42. SEA or LEA Worksheet'!$A$4:$AL$324,35,0)</f>
        <v>14431.278808193669</v>
      </c>
      <c r="BQ224" s="632" t="str">
        <f t="shared" si="132"/>
        <v>Met</v>
      </c>
      <c r="BS224" s="620" t="str">
        <f t="shared" si="147"/>
        <v>Met</v>
      </c>
    </row>
    <row r="225" spans="1:71" x14ac:dyDescent="0.25">
      <c r="A225" s="343" t="s">
        <v>631</v>
      </c>
      <c r="B225" s="510" t="s">
        <v>1041</v>
      </c>
      <c r="C225" s="511"/>
      <c r="D225" s="444">
        <v>76500</v>
      </c>
      <c r="E225" s="343" t="s">
        <v>856</v>
      </c>
      <c r="F225" s="511"/>
      <c r="G225" s="444">
        <v>4364323.1100000003</v>
      </c>
      <c r="H225" s="343" t="s">
        <v>835</v>
      </c>
      <c r="I225" s="511"/>
      <c r="J225" s="444">
        <v>200.26178010471205</v>
      </c>
      <c r="K225" s="343" t="s">
        <v>856</v>
      </c>
      <c r="L225" s="511"/>
      <c r="M225" s="444">
        <v>11424.929607329845</v>
      </c>
      <c r="N225" s="343" t="s">
        <v>856</v>
      </c>
      <c r="O225" s="511"/>
      <c r="P225" s="512" t="str">
        <f t="shared" si="141"/>
        <v>Met</v>
      </c>
      <c r="Q225" s="511"/>
      <c r="R225" s="444">
        <f>VLOOKUP(A225,'2020-21'!$A$6:$F$319,6,0)</f>
        <v>327846.28999999998</v>
      </c>
      <c r="S225" s="513" t="str">
        <f t="shared" si="133"/>
        <v>Met</v>
      </c>
      <c r="U225" s="444">
        <f>VLOOKUP(A225,'2020-21'!$A$6:$G$319,7,0)</f>
        <v>4451081.75</v>
      </c>
      <c r="V225" s="513" t="str">
        <f t="shared" si="134"/>
        <v>Met</v>
      </c>
      <c r="X225" s="444">
        <f>VLOOKUP(A225,'2020-21'!$A$6:$F$319,6,0)/VLOOKUP(A225,'42. SEA or LEA Worksheet'!$A$4:$T$324,20,0)</f>
        <v>849.34272020725382</v>
      </c>
      <c r="Y225" s="513" t="str">
        <f t="shared" si="135"/>
        <v>Met</v>
      </c>
      <c r="AA225" s="444">
        <f>VLOOKUP(A225,'42. SEA or LEA Worksheet'!$A$4:$W$324,23,0)/VLOOKUP(compliance!A225,'42. SEA or LEA Worksheet'!$A$4:$T$324,20,0)</f>
        <v>11531.29987046632</v>
      </c>
      <c r="AB225" s="513" t="str">
        <f t="shared" si="136"/>
        <v>Met</v>
      </c>
      <c r="AD225" s="512" t="str">
        <f t="shared" si="127"/>
        <v>Met</v>
      </c>
      <c r="AF225" s="444">
        <f>VLOOKUP(A225,'42. SEA or LEA Worksheet'!$A$4:$Z$324,26,0)</f>
        <v>485594.08</v>
      </c>
      <c r="AG225" s="513" t="str">
        <f t="shared" si="137"/>
        <v>Met</v>
      </c>
      <c r="AI225" s="444">
        <f>VLOOKUP(A225,'42. SEA or LEA Worksheet'!$A$4:$AB$324,28,0)</f>
        <v>5066300.3899999997</v>
      </c>
      <c r="AJ225" s="513" t="str">
        <f t="shared" si="138"/>
        <v>Met</v>
      </c>
      <c r="AL225" s="444">
        <f>VLOOKUP(compliance!A225,'42. SEA or LEA Worksheet'!$A$4:$AB$324,26,0)/VLOOKUP(compliance!A225,'42. SEA or LEA Worksheet'!$A$4:$Y$324,25,0)</f>
        <v>1142.574305882353</v>
      </c>
      <c r="AM225" s="513" t="str">
        <f t="shared" si="139"/>
        <v>Met</v>
      </c>
      <c r="AO225" s="444">
        <f>VLOOKUP(A225,'42. SEA or LEA Worksheet'!$A$4:$AB$324,28,0)/VLOOKUP(compliance!A225,'42. SEA or LEA Worksheet'!$A$4:$Y$324,25,0)</f>
        <v>11920.7068</v>
      </c>
      <c r="AP225" s="513" t="str">
        <f t="shared" si="140"/>
        <v>Met</v>
      </c>
      <c r="AR225" s="512" t="str">
        <f t="shared" si="128"/>
        <v>Met</v>
      </c>
      <c r="AT225" s="444">
        <f>VLOOKUP(A225,'42. SEA or LEA Worksheet'!$A$4:$AE$324,31,0)</f>
        <v>535152.31000000006</v>
      </c>
      <c r="AU225" s="513" t="str">
        <f t="shared" si="142"/>
        <v>Met</v>
      </c>
      <c r="AW225" s="444">
        <f>VLOOKUP(A225,'42. SEA or LEA Worksheet'!$A$4:$AG$324,33,0)</f>
        <v>6886895.0299999993</v>
      </c>
      <c r="AX225" s="513" t="str">
        <f t="shared" si="143"/>
        <v>Met</v>
      </c>
      <c r="AZ225" s="444">
        <f>VLOOKUP(A225,'42. SEA or LEA Worksheet'!$A$4:$AG$324,31,0)/VLOOKUP(A225,'42. SEA or LEA Worksheet'!$A$4:$AD$324,30,0)</f>
        <v>1133.7972669491526</v>
      </c>
      <c r="BA225" s="513" t="str">
        <f t="shared" si="144"/>
        <v>Did not Meet</v>
      </c>
      <c r="BC225" s="444">
        <f>VLOOKUP(A225,'42. SEA or LEA Worksheet'!$A$4:$AG$324,33,0)/VLOOKUP(A225,'42. SEA or LEA Worksheet'!$A$4:$AD$324,30,0)</f>
        <v>14590.879300847457</v>
      </c>
      <c r="BD225" s="513" t="str">
        <f t="shared" si="145"/>
        <v>Met</v>
      </c>
      <c r="BF225" s="512" t="str">
        <f t="shared" si="146"/>
        <v>Met</v>
      </c>
      <c r="BG225" s="637">
        <f>VLOOKUP(A225,'42. SEA or LEA Worksheet'!$A$4:$AM$324,36,0)</f>
        <v>554713.75</v>
      </c>
      <c r="BH225" s="638" t="str">
        <f t="shared" si="129"/>
        <v>Met</v>
      </c>
      <c r="BI225" s="639"/>
      <c r="BJ225" s="637">
        <f>VLOOKUP(A225,'42. SEA or LEA Worksheet'!$A$4:$AM$324,38,0)</f>
        <v>8437280.5899999999</v>
      </c>
      <c r="BK225" s="638" t="str">
        <f t="shared" si="130"/>
        <v>Met</v>
      </c>
      <c r="BM225" s="631">
        <f>VLOOKUP(A225,'42. SEA or LEA Worksheet'!$A$4:$AL$324,36,0)/VLOOKUP(A225,'42. SEA or LEA Worksheet'!$A$4:$AL$324,35,0)</f>
        <v>1064.7096928982726</v>
      </c>
      <c r="BN225" s="632" t="str">
        <f t="shared" si="131"/>
        <v>Met</v>
      </c>
      <c r="BP225" s="631">
        <f>VLOOKUP(A225,'42. SEA or LEA Worksheet'!$A$4:$AL$324,38,0)/VLOOKUP(A225,'42. SEA or LEA Worksheet'!$A$4:$AL$324,35,0)</f>
        <v>16194.396525911709</v>
      </c>
      <c r="BQ225" s="632" t="str">
        <f t="shared" si="132"/>
        <v>Met</v>
      </c>
      <c r="BS225" s="620" t="str">
        <f t="shared" si="147"/>
        <v>Met</v>
      </c>
    </row>
    <row r="226" spans="1:71" x14ac:dyDescent="0.25">
      <c r="A226" s="343" t="s">
        <v>633</v>
      </c>
      <c r="B226" s="510" t="s">
        <v>1042</v>
      </c>
      <c r="C226" s="511"/>
      <c r="D226" s="444">
        <v>0</v>
      </c>
      <c r="E226" s="343" t="s">
        <v>856</v>
      </c>
      <c r="F226" s="511"/>
      <c r="G226" s="444">
        <v>392357.39</v>
      </c>
      <c r="H226" s="343" t="s">
        <v>835</v>
      </c>
      <c r="I226" s="511"/>
      <c r="J226" s="444">
        <v>0</v>
      </c>
      <c r="K226" s="343" t="s">
        <v>856</v>
      </c>
      <c r="L226" s="511"/>
      <c r="M226" s="444">
        <v>14012.763928571429</v>
      </c>
      <c r="N226" s="343" t="s">
        <v>835</v>
      </c>
      <c r="O226" s="511"/>
      <c r="P226" s="512" t="str">
        <f t="shared" si="141"/>
        <v>Met</v>
      </c>
      <c r="Q226" s="511"/>
      <c r="R226" s="444">
        <f>VLOOKUP(A226,'2020-21'!$A$6:$F$319,6,0)</f>
        <v>0</v>
      </c>
      <c r="S226" s="513" t="str">
        <f t="shared" si="133"/>
        <v>Met</v>
      </c>
      <c r="U226" s="444">
        <f>VLOOKUP(A226,'2020-21'!$A$6:$G$319,7,0)</f>
        <v>361955.72</v>
      </c>
      <c r="V226" s="513" t="str">
        <f t="shared" si="134"/>
        <v>Did not Meet</v>
      </c>
      <c r="X226" s="444">
        <f>VLOOKUP(A226,'2020-21'!$A$6:$F$319,6,0)/VLOOKUP(A226,'42. SEA or LEA Worksheet'!$A$4:$T$324,20,0)</f>
        <v>0</v>
      </c>
      <c r="Y226" s="513" t="str">
        <f t="shared" si="135"/>
        <v>Met</v>
      </c>
      <c r="AA226" s="444">
        <f>VLOOKUP(A226,'42. SEA or LEA Worksheet'!$A$4:$W$324,23,0)/VLOOKUP(compliance!A226,'42. SEA or LEA Worksheet'!$A$4:$T$324,20,0)</f>
        <v>14478.228799999999</v>
      </c>
      <c r="AB226" s="513" t="str">
        <f t="shared" si="136"/>
        <v>Met</v>
      </c>
      <c r="AD226" s="512" t="str">
        <f t="shared" si="127"/>
        <v>Met</v>
      </c>
      <c r="AF226" s="444">
        <f>VLOOKUP(A226,'42. SEA or LEA Worksheet'!$A$4:$Z$324,26,0)</f>
        <v>61193.95</v>
      </c>
      <c r="AG226" s="513" t="str">
        <f t="shared" si="137"/>
        <v>Met</v>
      </c>
      <c r="AI226" s="444">
        <f>VLOOKUP(A226,'42. SEA or LEA Worksheet'!$A$4:$AB$324,28,0)</f>
        <v>340456.36</v>
      </c>
      <c r="AJ226" s="513" t="str">
        <f t="shared" si="138"/>
        <v>Did not Meet</v>
      </c>
      <c r="AL226" s="444">
        <f>VLOOKUP(compliance!A226,'42. SEA or LEA Worksheet'!$A$4:$AB$324,26,0)/VLOOKUP(compliance!A226,'42. SEA or LEA Worksheet'!$A$4:$Y$324,25,0)</f>
        <v>1854.3621212121211</v>
      </c>
      <c r="AM226" s="513" t="str">
        <f t="shared" si="139"/>
        <v>Met</v>
      </c>
      <c r="AO226" s="444">
        <f>VLOOKUP(A226,'42. SEA or LEA Worksheet'!$A$4:$AB$324,28,0)/VLOOKUP(compliance!A226,'42. SEA or LEA Worksheet'!$A$4:$Y$324,25,0)</f>
        <v>10316.859393939394</v>
      </c>
      <c r="AP226" s="513" t="str">
        <f t="shared" si="140"/>
        <v>Did not Meet</v>
      </c>
      <c r="AR226" s="512" t="str">
        <f t="shared" si="128"/>
        <v>Met</v>
      </c>
      <c r="AT226" s="444">
        <f>VLOOKUP(A226,'42. SEA or LEA Worksheet'!$A$4:$AE$324,31,0)</f>
        <v>33542.019999999997</v>
      </c>
      <c r="AU226" s="513" t="str">
        <f t="shared" si="142"/>
        <v>Did not Meet</v>
      </c>
      <c r="AW226" s="444">
        <f>VLOOKUP(A226,'42. SEA or LEA Worksheet'!$A$4:$AG$324,33,0)</f>
        <v>393355.09</v>
      </c>
      <c r="AX226" s="513" t="str">
        <f t="shared" si="143"/>
        <v>Met</v>
      </c>
      <c r="AZ226" s="444">
        <f>VLOOKUP(A226,'42. SEA or LEA Worksheet'!$A$4:$AG$324,31,0)/VLOOKUP(A226,'42. SEA or LEA Worksheet'!$A$4:$AD$324,30,0)</f>
        <v>882.68473684210517</v>
      </c>
      <c r="BA226" s="513" t="str">
        <f t="shared" si="144"/>
        <v>Did not Meet</v>
      </c>
      <c r="BC226" s="444">
        <f>VLOOKUP(A226,'42. SEA or LEA Worksheet'!$A$4:$AG$324,33,0)/VLOOKUP(A226,'42. SEA or LEA Worksheet'!$A$4:$AD$324,30,0)</f>
        <v>10351.449736842105</v>
      </c>
      <c r="BD226" s="513" t="str">
        <f t="shared" si="145"/>
        <v>Met</v>
      </c>
      <c r="BF226" s="512" t="str">
        <f t="shared" si="146"/>
        <v>Met</v>
      </c>
      <c r="BG226" s="637">
        <f>VLOOKUP(A226,'42. SEA or LEA Worksheet'!$A$4:$AM$324,36,0)</f>
        <v>0</v>
      </c>
      <c r="BH226" s="638" t="str">
        <f t="shared" si="129"/>
        <v>Did not Meet</v>
      </c>
      <c r="BI226" s="639"/>
      <c r="BJ226" s="637">
        <f>VLOOKUP(A226,'42. SEA or LEA Worksheet'!$A$4:$AM$324,38,0)</f>
        <v>413908.36</v>
      </c>
      <c r="BK226" s="638" t="str">
        <f t="shared" si="130"/>
        <v>Met</v>
      </c>
      <c r="BM226" s="631">
        <f>VLOOKUP(A226,'42. SEA or LEA Worksheet'!$A$4:$AL$324,36,0)/VLOOKUP(A226,'42. SEA or LEA Worksheet'!$A$4:$AL$324,35,0)</f>
        <v>0</v>
      </c>
      <c r="BN226" s="632" t="str">
        <f t="shared" si="131"/>
        <v>Met</v>
      </c>
      <c r="BP226" s="631">
        <f>VLOOKUP(A226,'42. SEA or LEA Worksheet'!$A$4:$AL$324,38,0)/VLOOKUP(A226,'42. SEA or LEA Worksheet'!$A$4:$AL$324,35,0)</f>
        <v>9407.0081818181807</v>
      </c>
      <c r="BQ226" s="632" t="str">
        <f t="shared" si="132"/>
        <v>Met</v>
      </c>
      <c r="BS226" s="620" t="str">
        <f t="shared" si="147"/>
        <v>Met</v>
      </c>
    </row>
    <row r="227" spans="1:71" x14ac:dyDescent="0.25">
      <c r="A227" s="343" t="s">
        <v>635</v>
      </c>
      <c r="B227" s="510" t="s">
        <v>1043</v>
      </c>
      <c r="C227" s="511"/>
      <c r="D227" s="444">
        <v>0</v>
      </c>
      <c r="E227" s="343" t="s">
        <v>835</v>
      </c>
      <c r="F227" s="511"/>
      <c r="G227" s="444">
        <v>2190905.54</v>
      </c>
      <c r="H227" s="343" t="s">
        <v>835</v>
      </c>
      <c r="I227" s="511"/>
      <c r="J227" s="444">
        <v>0</v>
      </c>
      <c r="K227" s="343" t="s">
        <v>835</v>
      </c>
      <c r="L227" s="511"/>
      <c r="M227" s="444">
        <v>9205.4854621848735</v>
      </c>
      <c r="N227" s="343" t="s">
        <v>835</v>
      </c>
      <c r="O227" s="511"/>
      <c r="P227" s="512" t="str">
        <f t="shared" si="141"/>
        <v>Met</v>
      </c>
      <c r="Q227" s="511"/>
      <c r="R227" s="444">
        <f>VLOOKUP(A227,'2020-21'!$A$6:$F$319,6,0)</f>
        <v>0</v>
      </c>
      <c r="S227" s="513" t="str">
        <f t="shared" si="133"/>
        <v>Met</v>
      </c>
      <c r="U227" s="444">
        <f>VLOOKUP(A227,'2020-21'!$A$6:$G$319,7,0)</f>
        <v>2072511.95</v>
      </c>
      <c r="V227" s="513" t="str">
        <f t="shared" si="134"/>
        <v>Did not Meet</v>
      </c>
      <c r="X227" s="444">
        <f>VLOOKUP(A227,'2020-21'!$A$6:$F$319,6,0)/VLOOKUP(A227,'42. SEA or LEA Worksheet'!$A$4:$T$324,20,0)</f>
        <v>0</v>
      </c>
      <c r="Y227" s="513" t="str">
        <f t="shared" si="135"/>
        <v>Met</v>
      </c>
      <c r="AA227" s="444">
        <f>VLOOKUP(A227,'42. SEA or LEA Worksheet'!$A$4:$W$324,23,0)/VLOOKUP(compliance!A227,'42. SEA or LEA Worksheet'!$A$4:$T$324,20,0)</f>
        <v>9550.7463133640558</v>
      </c>
      <c r="AB227" s="513" t="str">
        <f t="shared" si="136"/>
        <v>Met</v>
      </c>
      <c r="AD227" s="512" t="str">
        <f t="shared" si="127"/>
        <v>Met</v>
      </c>
      <c r="AF227" s="444">
        <f>VLOOKUP(A227,'42. SEA or LEA Worksheet'!$A$4:$Z$324,26,0)</f>
        <v>0</v>
      </c>
      <c r="AG227" s="513" t="str">
        <f t="shared" si="137"/>
        <v>Met</v>
      </c>
      <c r="AI227" s="444">
        <f>VLOOKUP(A227,'42. SEA or LEA Worksheet'!$A$4:$AB$324,28,0)</f>
        <v>2101961.7200000002</v>
      </c>
      <c r="AJ227" s="513" t="str">
        <f t="shared" si="138"/>
        <v>Met</v>
      </c>
      <c r="AL227" s="444">
        <f>VLOOKUP(compliance!A227,'42. SEA or LEA Worksheet'!$A$4:$AB$324,26,0)/VLOOKUP(compliance!A227,'42. SEA or LEA Worksheet'!$A$4:$Y$324,25,0)</f>
        <v>0</v>
      </c>
      <c r="AM227" s="513" t="str">
        <f t="shared" si="139"/>
        <v>Met</v>
      </c>
      <c r="AO227" s="444">
        <f>VLOOKUP(A227,'42. SEA or LEA Worksheet'!$A$4:$AB$324,28,0)/VLOOKUP(compliance!A227,'42. SEA or LEA Worksheet'!$A$4:$Y$324,25,0)</f>
        <v>10509.8086</v>
      </c>
      <c r="AP227" s="513" t="str">
        <f t="shared" si="140"/>
        <v>Met</v>
      </c>
      <c r="AR227" s="512" t="str">
        <f t="shared" si="128"/>
        <v>Met</v>
      </c>
      <c r="AT227" s="444">
        <f>VLOOKUP(A227,'42. SEA or LEA Worksheet'!$A$4:$AE$324,31,0)</f>
        <v>0</v>
      </c>
      <c r="AU227" s="513" t="str">
        <f t="shared" si="142"/>
        <v>Met</v>
      </c>
      <c r="AW227" s="444">
        <f>VLOOKUP(A227,'42. SEA or LEA Worksheet'!$A$4:$AG$324,33,0)</f>
        <v>2280171</v>
      </c>
      <c r="AX227" s="513" t="str">
        <f t="shared" si="143"/>
        <v>Met</v>
      </c>
      <c r="AZ227" s="444">
        <f>VLOOKUP(A227,'42. SEA or LEA Worksheet'!$A$4:$AG$324,31,0)/VLOOKUP(A227,'42. SEA or LEA Worksheet'!$A$4:$AD$324,30,0)</f>
        <v>0</v>
      </c>
      <c r="BA227" s="513" t="str">
        <f t="shared" si="144"/>
        <v>Met</v>
      </c>
      <c r="BC227" s="444">
        <f>VLOOKUP(A227,'42. SEA or LEA Worksheet'!$A$4:$AG$324,33,0)/VLOOKUP(A227,'42. SEA or LEA Worksheet'!$A$4:$AD$324,30,0)</f>
        <v>10179.334821428571</v>
      </c>
      <c r="BD227" s="513" t="str">
        <f t="shared" si="145"/>
        <v>Did not Meet</v>
      </c>
      <c r="BF227" s="512" t="str">
        <f t="shared" si="146"/>
        <v>Met</v>
      </c>
      <c r="BG227" s="637">
        <f>VLOOKUP(A227,'42. SEA or LEA Worksheet'!$A$4:$AM$324,36,0)</f>
        <v>0</v>
      </c>
      <c r="BH227" s="638" t="str">
        <f t="shared" si="129"/>
        <v>Met</v>
      </c>
      <c r="BI227" s="639"/>
      <c r="BJ227" s="637">
        <f>VLOOKUP(A227,'42. SEA or LEA Worksheet'!$A$4:$AM$324,38,0)</f>
        <v>2364035.86</v>
      </c>
      <c r="BK227" s="638" t="str">
        <f t="shared" si="130"/>
        <v>Met</v>
      </c>
      <c r="BM227" s="631">
        <f>VLOOKUP(A227,'42. SEA or LEA Worksheet'!$A$4:$AL$324,36,0)/VLOOKUP(A227,'42. SEA or LEA Worksheet'!$A$4:$AL$324,35,0)</f>
        <v>0</v>
      </c>
      <c r="BN227" s="632" t="str">
        <f t="shared" si="131"/>
        <v>Met</v>
      </c>
      <c r="BP227" s="631">
        <f>VLOOKUP(A227,'42. SEA or LEA Worksheet'!$A$4:$AL$324,38,0)/VLOOKUP(A227,'42. SEA or LEA Worksheet'!$A$4:$AL$324,35,0)</f>
        <v>10648.81018018018</v>
      </c>
      <c r="BQ227" s="632" t="str">
        <f t="shared" si="132"/>
        <v>Met</v>
      </c>
      <c r="BS227" s="620" t="str">
        <f t="shared" si="147"/>
        <v>Met</v>
      </c>
    </row>
    <row r="228" spans="1:71" x14ac:dyDescent="0.25">
      <c r="A228" s="343" t="s">
        <v>637</v>
      </c>
      <c r="B228" s="510" t="s">
        <v>1044</v>
      </c>
      <c r="C228" s="511"/>
      <c r="D228" s="444">
        <v>318991.34000000003</v>
      </c>
      <c r="E228" s="343" t="s">
        <v>856</v>
      </c>
      <c r="F228" s="511"/>
      <c r="G228" s="444">
        <v>4649803.6099999994</v>
      </c>
      <c r="H228" s="343" t="s">
        <v>835</v>
      </c>
      <c r="I228" s="511"/>
      <c r="J228" s="444">
        <v>903.65818696883855</v>
      </c>
      <c r="K228" s="343" t="s">
        <v>856</v>
      </c>
      <c r="L228" s="511"/>
      <c r="M228" s="444">
        <v>13172.248186968836</v>
      </c>
      <c r="N228" s="343" t="s">
        <v>835</v>
      </c>
      <c r="O228" s="511"/>
      <c r="P228" s="512" t="str">
        <f t="shared" si="141"/>
        <v>Met</v>
      </c>
      <c r="Q228" s="511"/>
      <c r="R228" s="444">
        <f>VLOOKUP(A228,'2020-21'!$A$6:$F$319,6,0)</f>
        <v>257317.38</v>
      </c>
      <c r="S228" s="513" t="str">
        <f t="shared" si="133"/>
        <v>Did not Meet</v>
      </c>
      <c r="U228" s="444">
        <f>VLOOKUP(A228,'2020-21'!$A$6:$G$319,7,0)</f>
        <v>4796738.91</v>
      </c>
      <c r="V228" s="513" t="str">
        <f t="shared" si="134"/>
        <v>Met</v>
      </c>
      <c r="X228" s="444">
        <f>VLOOKUP(A228,'2020-21'!$A$6:$F$319,6,0)/VLOOKUP(A228,'42. SEA or LEA Worksheet'!$A$4:$T$324,20,0)</f>
        <v>777.39389728096683</v>
      </c>
      <c r="Y228" s="513" t="str">
        <f t="shared" si="135"/>
        <v>Did not Meet</v>
      </c>
      <c r="AA228" s="444">
        <f>VLOOKUP(A228,'42. SEA or LEA Worksheet'!$A$4:$W$324,23,0)/VLOOKUP(compliance!A228,'42. SEA or LEA Worksheet'!$A$4:$T$324,20,0)</f>
        <v>14491.658338368581</v>
      </c>
      <c r="AB228" s="513" t="str">
        <f t="shared" si="136"/>
        <v>Met</v>
      </c>
      <c r="AD228" s="512" t="str">
        <f t="shared" ref="AD228:AD247" si="148">IF(AND(S228="Did not Meet",V228="Did not Meet", Y228="Did not Meet",AB228="Did not Meet"),"Did not Meet","Met")</f>
        <v>Met</v>
      </c>
      <c r="AF228" s="444">
        <f>VLOOKUP(A228,'42. SEA or LEA Worksheet'!$A$4:$Z$324,26,0)</f>
        <v>768515.05</v>
      </c>
      <c r="AG228" s="513" t="str">
        <f t="shared" si="137"/>
        <v>Met</v>
      </c>
      <c r="AI228" s="444">
        <f>VLOOKUP(A228,'42. SEA or LEA Worksheet'!$A$4:$AB$324,28,0)</f>
        <v>4717770.1399999997</v>
      </c>
      <c r="AJ228" s="513" t="str">
        <f t="shared" si="138"/>
        <v>Did not Meet</v>
      </c>
      <c r="AL228" s="444">
        <f>VLOOKUP(compliance!A228,'42. SEA or LEA Worksheet'!$A$4:$AB$324,26,0)/VLOOKUP(compliance!A228,'42. SEA or LEA Worksheet'!$A$4:$Y$324,25,0)</f>
        <v>2314.8043674698797</v>
      </c>
      <c r="AM228" s="513" t="str">
        <f t="shared" si="139"/>
        <v>Met</v>
      </c>
      <c r="AO228" s="444">
        <f>VLOOKUP(A228,'42. SEA or LEA Worksheet'!$A$4:$AB$324,28,0)/VLOOKUP(compliance!A228,'42. SEA or LEA Worksheet'!$A$4:$Y$324,25,0)</f>
        <v>14210.151024096385</v>
      </c>
      <c r="AP228" s="513" t="str">
        <f t="shared" si="140"/>
        <v>Did not Meet</v>
      </c>
      <c r="AR228" s="512" t="str">
        <f t="shared" ref="AR228:AR239" si="149">IF(AND(AG228="Did not Meet",AJ228="Did not Meet", AM228="Did not Meet",AP228="Did not Meet"),"Did not Meet","Met")</f>
        <v>Met</v>
      </c>
      <c r="AT228" s="444">
        <f>VLOOKUP(A228,'42. SEA or LEA Worksheet'!$A$4:$AE$324,31,0)</f>
        <v>923904.73</v>
      </c>
      <c r="AU228" s="513" t="str">
        <f t="shared" si="142"/>
        <v>Met</v>
      </c>
      <c r="AW228" s="444">
        <f>VLOOKUP(A228,'42. SEA or LEA Worksheet'!$A$4:$AG$324,33,0)</f>
        <v>4947799.46</v>
      </c>
      <c r="AX228" s="513" t="str">
        <f t="shared" si="143"/>
        <v>Met</v>
      </c>
      <c r="AZ228" s="444">
        <f>VLOOKUP(A228,'42. SEA or LEA Worksheet'!$A$4:$AG$324,31,0)/VLOOKUP(A228,'42. SEA or LEA Worksheet'!$A$4:$AD$324,30,0)</f>
        <v>2869.2693478260867</v>
      </c>
      <c r="BA228" s="513" t="str">
        <f t="shared" si="144"/>
        <v>Met</v>
      </c>
      <c r="BC228" s="444">
        <f>VLOOKUP(A228,'42. SEA or LEA Worksheet'!$A$4:$AG$324,33,0)/VLOOKUP(A228,'42. SEA or LEA Worksheet'!$A$4:$AD$324,30,0)</f>
        <v>15365.836832298137</v>
      </c>
      <c r="BD228" s="513" t="str">
        <f t="shared" si="145"/>
        <v>Met</v>
      </c>
      <c r="BF228" s="512" t="str">
        <f t="shared" si="146"/>
        <v>Met</v>
      </c>
      <c r="BG228" s="637">
        <f>VLOOKUP(A228,'42. SEA or LEA Worksheet'!$A$4:$AM$324,36,0)</f>
        <v>617202.39</v>
      </c>
      <c r="BH228" s="638" t="str">
        <f t="shared" ref="BH228:BH247" si="150">IF(BG228&gt;=AT228,"Met","Did not Meet")</f>
        <v>Did not Meet</v>
      </c>
      <c r="BI228" s="639"/>
      <c r="BJ228" s="637">
        <f>VLOOKUP(A228,'42. SEA or LEA Worksheet'!$A$4:$AM$324,38,0)</f>
        <v>5868904.3199999994</v>
      </c>
      <c r="BK228" s="638" t="str">
        <f t="shared" ref="BK228:BK247" si="151">IF(BJ228&gt;=AW228,"Met","Did not Meet")</f>
        <v>Met</v>
      </c>
      <c r="BM228" s="631">
        <f>VLOOKUP(A228,'42. SEA or LEA Worksheet'!$A$4:$AL$324,36,0)/VLOOKUP(A228,'42. SEA or LEA Worksheet'!$A$4:$AL$324,35,0)</f>
        <v>1887.4690825688074</v>
      </c>
      <c r="BN228" s="632" t="str">
        <f t="shared" ref="BN228:BN247" si="152">IF(BM228&gt;=AY228,"Met","Did not Meet")</f>
        <v>Met</v>
      </c>
      <c r="BP228" s="631">
        <f>VLOOKUP(A228,'42. SEA or LEA Worksheet'!$A$4:$AL$324,38,0)/VLOOKUP(A228,'42. SEA or LEA Worksheet'!$A$4:$AL$324,35,0)</f>
        <v>17947.719633027522</v>
      </c>
      <c r="BQ228" s="632" t="str">
        <f t="shared" ref="BQ228:BQ247" si="153">IF(BP228&gt;=BB228,"Met","Did not Meet")</f>
        <v>Met</v>
      </c>
      <c r="BS228" s="620" t="str">
        <f t="shared" si="147"/>
        <v>Met</v>
      </c>
    </row>
    <row r="229" spans="1:71" x14ac:dyDescent="0.25">
      <c r="A229" s="343" t="s">
        <v>639</v>
      </c>
      <c r="B229" s="510" t="s">
        <v>1045</v>
      </c>
      <c r="C229" s="511"/>
      <c r="D229" s="444">
        <v>908284.07</v>
      </c>
      <c r="E229" s="343" t="s">
        <v>835</v>
      </c>
      <c r="F229" s="511"/>
      <c r="G229" s="444">
        <v>4565636.18</v>
      </c>
      <c r="H229" s="343" t="s">
        <v>835</v>
      </c>
      <c r="I229" s="511"/>
      <c r="J229" s="444">
        <v>2786.1474539877299</v>
      </c>
      <c r="K229" s="343" t="s">
        <v>835</v>
      </c>
      <c r="L229" s="511"/>
      <c r="M229" s="444">
        <v>14005.018957055214</v>
      </c>
      <c r="N229" s="343" t="s">
        <v>835</v>
      </c>
      <c r="O229" s="511"/>
      <c r="P229" s="512" t="str">
        <f t="shared" si="141"/>
        <v>Met</v>
      </c>
      <c r="Q229" s="511"/>
      <c r="R229" s="444">
        <f>VLOOKUP(A229,'2020-21'!$A$6:$F$319,6,0)</f>
        <v>1062118.3999999999</v>
      </c>
      <c r="S229" s="513" t="str">
        <f t="shared" si="133"/>
        <v>Met</v>
      </c>
      <c r="U229" s="444">
        <f>VLOOKUP(A229,'2020-21'!$A$6:$G$319,7,0)</f>
        <v>4613226.9000000004</v>
      </c>
      <c r="V229" s="513" t="str">
        <f t="shared" si="134"/>
        <v>Met</v>
      </c>
      <c r="X229" s="444">
        <f>VLOOKUP(A229,'2020-21'!$A$6:$F$319,6,0)/VLOOKUP(A229,'42. SEA or LEA Worksheet'!$A$4:$T$324,20,0)</f>
        <v>3404.2256410256409</v>
      </c>
      <c r="Y229" s="513" t="str">
        <f t="shared" si="135"/>
        <v>Met</v>
      </c>
      <c r="AA229" s="444">
        <f>VLOOKUP(A229,'42. SEA or LEA Worksheet'!$A$4:$W$324,23,0)/VLOOKUP(compliance!A229,'42. SEA or LEA Worksheet'!$A$4:$T$324,20,0)</f>
        <v>14785.983653846155</v>
      </c>
      <c r="AB229" s="513" t="str">
        <f t="shared" si="136"/>
        <v>Met</v>
      </c>
      <c r="AD229" s="512" t="str">
        <f t="shared" si="148"/>
        <v>Met</v>
      </c>
      <c r="AF229" s="444">
        <f>VLOOKUP(A229,'42. SEA or LEA Worksheet'!$A$4:$Z$324,26,0)</f>
        <v>1150294.48</v>
      </c>
      <c r="AG229" s="513" t="str">
        <f t="shared" si="137"/>
        <v>Met</v>
      </c>
      <c r="AI229" s="444">
        <f>VLOOKUP(A229,'42. SEA or LEA Worksheet'!$A$4:$AB$324,28,0)</f>
        <v>4529346.1500000004</v>
      </c>
      <c r="AJ229" s="513" t="str">
        <f t="shared" si="138"/>
        <v>Did not Meet</v>
      </c>
      <c r="AL229" s="444">
        <f>VLOOKUP(compliance!A229,'42. SEA or LEA Worksheet'!$A$4:$AB$324,26,0)/VLOOKUP(compliance!A229,'42. SEA or LEA Worksheet'!$A$4:$Y$324,25,0)</f>
        <v>4050.3326760563382</v>
      </c>
      <c r="AM229" s="513" t="str">
        <f t="shared" si="139"/>
        <v>Met</v>
      </c>
      <c r="AO229" s="444">
        <f>VLOOKUP(A229,'42. SEA or LEA Worksheet'!$A$4:$AB$324,28,0)/VLOOKUP(compliance!A229,'42. SEA or LEA Worksheet'!$A$4:$Y$324,25,0)</f>
        <v>15948.401936619719</v>
      </c>
      <c r="AP229" s="513" t="str">
        <f t="shared" si="140"/>
        <v>Met</v>
      </c>
      <c r="AR229" s="512" t="str">
        <f t="shared" si="149"/>
        <v>Met</v>
      </c>
      <c r="AT229" s="444">
        <f>VLOOKUP(A229,'42. SEA or LEA Worksheet'!$A$4:$AE$324,31,0)</f>
        <v>1539246.63</v>
      </c>
      <c r="AU229" s="513" t="str">
        <f t="shared" si="142"/>
        <v>Met</v>
      </c>
      <c r="AW229" s="444">
        <f>VLOOKUP(A229,'42. SEA or LEA Worksheet'!$A$4:$AG$324,33,0)</f>
        <v>5438446.7400000002</v>
      </c>
      <c r="AX229" s="513" t="str">
        <f t="shared" si="143"/>
        <v>Met</v>
      </c>
      <c r="AZ229" s="444">
        <f>VLOOKUP(A229,'42. SEA or LEA Worksheet'!$A$4:$AG$324,31,0)/VLOOKUP(A229,'42. SEA or LEA Worksheet'!$A$4:$AD$324,30,0)</f>
        <v>4997.5539935064935</v>
      </c>
      <c r="BA229" s="513" t="str">
        <f t="shared" si="144"/>
        <v>Met</v>
      </c>
      <c r="BC229" s="444">
        <f>VLOOKUP(A229,'42. SEA or LEA Worksheet'!$A$4:$AG$324,33,0)/VLOOKUP(A229,'42. SEA or LEA Worksheet'!$A$4:$AD$324,30,0)</f>
        <v>17657.29461038961</v>
      </c>
      <c r="BD229" s="513" t="str">
        <f t="shared" si="145"/>
        <v>Met</v>
      </c>
      <c r="BF229" s="512" t="str">
        <f t="shared" si="146"/>
        <v>Met</v>
      </c>
      <c r="BG229" s="637">
        <f>VLOOKUP(A229,'42. SEA or LEA Worksheet'!$A$4:$AM$324,36,0)</f>
        <v>668078.65</v>
      </c>
      <c r="BH229" s="638" t="str">
        <f t="shared" si="150"/>
        <v>Did not Meet</v>
      </c>
      <c r="BI229" s="639"/>
      <c r="BJ229" s="637">
        <f>VLOOKUP(A229,'42. SEA or LEA Worksheet'!$A$4:$AM$324,38,0)</f>
        <v>5438448.71</v>
      </c>
      <c r="BK229" s="638" t="str">
        <f t="shared" si="151"/>
        <v>Met</v>
      </c>
      <c r="BM229" s="631">
        <f>VLOOKUP(A229,'42. SEA or LEA Worksheet'!$A$4:$AL$324,36,0)/VLOOKUP(A229,'42. SEA or LEA Worksheet'!$A$4:$AL$324,35,0)</f>
        <v>1994.2646268656717</v>
      </c>
      <c r="BN229" s="632" t="str">
        <f t="shared" si="152"/>
        <v>Met</v>
      </c>
      <c r="BP229" s="631">
        <f>VLOOKUP(A229,'42. SEA or LEA Worksheet'!$A$4:$AL$324,38,0)/VLOOKUP(A229,'42. SEA or LEA Worksheet'!$A$4:$AL$324,35,0)</f>
        <v>16234.175253731342</v>
      </c>
      <c r="BQ229" s="632" t="str">
        <f t="shared" si="153"/>
        <v>Met</v>
      </c>
      <c r="BS229" s="620" t="str">
        <f t="shared" si="147"/>
        <v>Met</v>
      </c>
    </row>
    <row r="230" spans="1:71" x14ac:dyDescent="0.25">
      <c r="A230" s="343" t="s">
        <v>641</v>
      </c>
      <c r="B230" s="510" t="s">
        <v>1046</v>
      </c>
      <c r="C230" s="511"/>
      <c r="D230" s="444">
        <v>0</v>
      </c>
      <c r="E230" s="343" t="s">
        <v>835</v>
      </c>
      <c r="F230" s="511"/>
      <c r="G230" s="444">
        <v>36671.83</v>
      </c>
      <c r="H230" s="343" t="s">
        <v>835</v>
      </c>
      <c r="I230" s="511"/>
      <c r="J230" s="444">
        <v>0</v>
      </c>
      <c r="K230" s="343" t="s">
        <v>835</v>
      </c>
      <c r="L230" s="511"/>
      <c r="M230" s="444">
        <v>9167.9575000000004</v>
      </c>
      <c r="N230" s="343" t="s">
        <v>856</v>
      </c>
      <c r="O230" s="511"/>
      <c r="P230" s="512" t="str">
        <f t="shared" si="141"/>
        <v>Met</v>
      </c>
      <c r="Q230" s="511"/>
      <c r="R230" s="444">
        <f>VLOOKUP(A230,'2020-21'!$A$6:$F$319,6,0)</f>
        <v>0</v>
      </c>
      <c r="S230" s="513" t="str">
        <f t="shared" si="133"/>
        <v>Met</v>
      </c>
      <c r="U230" s="444">
        <f>VLOOKUP(A230,'2020-21'!$A$6:$G$319,7,0)</f>
        <v>61134.8</v>
      </c>
      <c r="V230" s="513" t="str">
        <f t="shared" si="134"/>
        <v>Met</v>
      </c>
      <c r="X230" s="444">
        <v>0</v>
      </c>
      <c r="Y230" s="513" t="str">
        <f t="shared" si="135"/>
        <v>Met</v>
      </c>
      <c r="AA230" s="444">
        <f>VLOOKUP(A230,'42. SEA or LEA Worksheet'!$A$4:$W$324,23,0)/VLOOKUP(compliance!A230,'42. SEA or LEA Worksheet'!$A$4:$T$324,20,0)</f>
        <v>10189.133333333333</v>
      </c>
      <c r="AB230" s="513" t="str">
        <f t="shared" si="136"/>
        <v>Met</v>
      </c>
      <c r="AD230" s="512" t="str">
        <f t="shared" si="148"/>
        <v>Met</v>
      </c>
      <c r="AF230" s="444">
        <f>VLOOKUP(A230,'42. SEA or LEA Worksheet'!$A$4:$Z$324,26,0)</f>
        <v>0</v>
      </c>
      <c r="AG230" s="513" t="str">
        <f t="shared" si="137"/>
        <v>Met</v>
      </c>
      <c r="AI230" s="444">
        <f>VLOOKUP(A230,'42. SEA or LEA Worksheet'!$A$4:$AB$324,28,0)</f>
        <v>52937.56</v>
      </c>
      <c r="AJ230" s="513" t="str">
        <f t="shared" si="138"/>
        <v>Did not Meet</v>
      </c>
      <c r="AL230" s="444">
        <f>VLOOKUP(compliance!A230,'42. SEA or LEA Worksheet'!$A$4:$AB$324,26,0)/VLOOKUP(compliance!A230,'42. SEA or LEA Worksheet'!$A$4:$Y$324,25,0)</f>
        <v>0</v>
      </c>
      <c r="AM230" s="513" t="str">
        <f t="shared" si="139"/>
        <v>Met</v>
      </c>
      <c r="AO230" s="444">
        <f>VLOOKUP(A230,'42. SEA or LEA Worksheet'!$A$4:$AB$324,28,0)/VLOOKUP(compliance!A230,'42. SEA or LEA Worksheet'!$A$4:$Y$324,25,0)</f>
        <v>10587.511999999999</v>
      </c>
      <c r="AP230" s="513" t="str">
        <f t="shared" si="140"/>
        <v>Met</v>
      </c>
      <c r="AR230" s="512" t="str">
        <f t="shared" si="149"/>
        <v>Met</v>
      </c>
      <c r="AT230" s="444">
        <f>VLOOKUP(A230,'42. SEA or LEA Worksheet'!$A$4:$AE$324,31,0)</f>
        <v>0</v>
      </c>
      <c r="AU230" s="513" t="str">
        <f t="shared" si="142"/>
        <v>Met</v>
      </c>
      <c r="AW230" s="444">
        <f>VLOOKUP(A230,'42. SEA or LEA Worksheet'!$A$4:$AG$324,33,0)</f>
        <v>25721.1</v>
      </c>
      <c r="AX230" s="513" t="str">
        <f t="shared" si="143"/>
        <v>Did not Meet</v>
      </c>
      <c r="AZ230" s="444">
        <f>VLOOKUP(A230,'42. SEA or LEA Worksheet'!$A$4:$AG$324,31,0)/VLOOKUP(A230,'42. SEA or LEA Worksheet'!$A$4:$AD$324,30,0)</f>
        <v>0</v>
      </c>
      <c r="BA230" s="513" t="str">
        <f t="shared" si="144"/>
        <v>Met</v>
      </c>
      <c r="BC230" s="444">
        <f>VLOOKUP(A230,'42. SEA or LEA Worksheet'!$A$4:$AG$324,33,0)/VLOOKUP(A230,'42. SEA or LEA Worksheet'!$A$4:$AD$324,30,0)</f>
        <v>12860.55</v>
      </c>
      <c r="BD230" s="513" t="str">
        <f t="shared" si="145"/>
        <v>Met</v>
      </c>
      <c r="BF230" s="512" t="str">
        <f t="shared" si="146"/>
        <v>Met</v>
      </c>
      <c r="BG230" s="637">
        <f>VLOOKUP(A230,'42. SEA or LEA Worksheet'!$A$4:$AM$324,36,0)</f>
        <v>0</v>
      </c>
      <c r="BH230" s="638" t="str">
        <f t="shared" si="150"/>
        <v>Met</v>
      </c>
      <c r="BI230" s="639"/>
      <c r="BJ230" s="637">
        <f>VLOOKUP(A230,'42. SEA or LEA Worksheet'!$A$4:$AM$324,38,0)</f>
        <v>42713.14</v>
      </c>
      <c r="BK230" s="638" t="str">
        <f t="shared" si="151"/>
        <v>Met</v>
      </c>
      <c r="BM230" s="631">
        <f>VLOOKUP(A230,'42. SEA or LEA Worksheet'!$A$4:$AL$324,36,0)/VLOOKUP(A230,'42. SEA or LEA Worksheet'!$A$4:$AL$324,35,0)</f>
        <v>0</v>
      </c>
      <c r="BN230" s="632" t="str">
        <f t="shared" si="152"/>
        <v>Met</v>
      </c>
      <c r="BP230" s="631">
        <f>VLOOKUP(A230,'42. SEA or LEA Worksheet'!$A$4:$AL$324,38,0)/VLOOKUP(A230,'42. SEA or LEA Worksheet'!$A$4:$AL$324,35,0)</f>
        <v>14237.713333333333</v>
      </c>
      <c r="BQ230" s="632" t="str">
        <f t="shared" si="153"/>
        <v>Met</v>
      </c>
      <c r="BS230" s="620" t="str">
        <f t="shared" si="147"/>
        <v>Met</v>
      </c>
    </row>
    <row r="231" spans="1:71" x14ac:dyDescent="0.25">
      <c r="A231" s="343" t="s">
        <v>643</v>
      </c>
      <c r="B231" s="510" t="s">
        <v>1047</v>
      </c>
      <c r="C231" s="511"/>
      <c r="D231" s="444">
        <v>21322.41</v>
      </c>
      <c r="E231" s="343" t="s">
        <v>835</v>
      </c>
      <c r="F231" s="511"/>
      <c r="G231" s="444">
        <v>253142.68</v>
      </c>
      <c r="H231" s="343" t="s">
        <v>835</v>
      </c>
      <c r="I231" s="511"/>
      <c r="J231" s="444">
        <v>533.06025</v>
      </c>
      <c r="K231" s="343" t="s">
        <v>835</v>
      </c>
      <c r="L231" s="511"/>
      <c r="M231" s="444">
        <v>6328.567</v>
      </c>
      <c r="N231" s="343" t="s">
        <v>856</v>
      </c>
      <c r="O231" s="511"/>
      <c r="P231" s="512" t="str">
        <f t="shared" si="141"/>
        <v>Met</v>
      </c>
      <c r="Q231" s="511"/>
      <c r="R231" s="444">
        <f>VLOOKUP(A231,'2020-21'!$A$6:$F$319,6,0)</f>
        <v>0</v>
      </c>
      <c r="S231" s="513" t="str">
        <f t="shared" si="133"/>
        <v>Did not Meet</v>
      </c>
      <c r="U231" s="444">
        <f>VLOOKUP(A231,'2020-21'!$A$6:$G$319,7,0)</f>
        <v>244739.59</v>
      </c>
      <c r="V231" s="513" t="str">
        <f t="shared" si="134"/>
        <v>Did not Meet</v>
      </c>
      <c r="X231" s="444">
        <f>VLOOKUP(A231,'2020-21'!$A$6:$F$319,6,0)/VLOOKUP(A231,'42. SEA or LEA Worksheet'!$A$4:$T$324,20,0)</f>
        <v>0</v>
      </c>
      <c r="Y231" s="513" t="str">
        <f t="shared" si="135"/>
        <v>Did not Meet</v>
      </c>
      <c r="AA231" s="444">
        <f>VLOOKUP(A231,'42. SEA or LEA Worksheet'!$A$4:$W$324,23,0)/VLOOKUP(compliance!A231,'42. SEA or LEA Worksheet'!$A$4:$T$324,20,0)</f>
        <v>9413.0611538461544</v>
      </c>
      <c r="AB231" s="513" t="str">
        <f t="shared" si="136"/>
        <v>Met</v>
      </c>
      <c r="AD231" s="512" t="str">
        <f t="shared" si="148"/>
        <v>Met</v>
      </c>
      <c r="AF231" s="444">
        <f>VLOOKUP(A231,'42. SEA or LEA Worksheet'!$A$4:$Z$324,26,0)</f>
        <v>0</v>
      </c>
      <c r="AG231" s="513" t="str">
        <f t="shared" si="137"/>
        <v>Met</v>
      </c>
      <c r="AI231" s="444">
        <f>VLOOKUP(A231,'42. SEA or LEA Worksheet'!$A$4:$AB$324,28,0)</f>
        <v>251143.99</v>
      </c>
      <c r="AJ231" s="513" t="str">
        <f t="shared" si="138"/>
        <v>Met</v>
      </c>
      <c r="AL231" s="444">
        <f>VLOOKUP(compliance!A231,'42. SEA or LEA Worksheet'!$A$4:$AB$324,26,0)/VLOOKUP(compliance!A231,'42. SEA or LEA Worksheet'!$A$4:$Y$324,25,0)</f>
        <v>0</v>
      </c>
      <c r="AM231" s="513" t="str">
        <f t="shared" si="139"/>
        <v>Met</v>
      </c>
      <c r="AO231" s="444">
        <f>VLOOKUP(A231,'42. SEA or LEA Worksheet'!$A$4:$AB$324,28,0)/VLOOKUP(compliance!A231,'42. SEA or LEA Worksheet'!$A$4:$Y$324,25,0)</f>
        <v>13952.443888888889</v>
      </c>
      <c r="AP231" s="513" t="str">
        <f t="shared" si="140"/>
        <v>Met</v>
      </c>
      <c r="AR231" s="512" t="str">
        <f t="shared" si="149"/>
        <v>Met</v>
      </c>
      <c r="AT231" s="444">
        <f>VLOOKUP(A231,'42. SEA or LEA Worksheet'!$A$4:$AE$324,31,0)</f>
        <v>0</v>
      </c>
      <c r="AU231" s="513" t="str">
        <f t="shared" si="142"/>
        <v>Met</v>
      </c>
      <c r="AW231" s="444">
        <f>VLOOKUP(A231,'42. SEA or LEA Worksheet'!$A$4:$AG$324,33,0)</f>
        <v>273831.95</v>
      </c>
      <c r="AX231" s="513" t="str">
        <f t="shared" si="143"/>
        <v>Met</v>
      </c>
      <c r="AZ231" s="444">
        <f>VLOOKUP(A231,'42. SEA or LEA Worksheet'!$A$4:$AG$324,31,0)/VLOOKUP(A231,'42. SEA or LEA Worksheet'!$A$4:$AD$324,30,0)</f>
        <v>0</v>
      </c>
      <c r="BA231" s="513" t="str">
        <f t="shared" si="144"/>
        <v>Met</v>
      </c>
      <c r="BC231" s="444">
        <f>VLOOKUP(A231,'42. SEA or LEA Worksheet'!$A$4:$AG$324,33,0)/VLOOKUP(A231,'42. SEA or LEA Worksheet'!$A$4:$AD$324,30,0)</f>
        <v>13039.616666666667</v>
      </c>
      <c r="BD231" s="513" t="str">
        <f t="shared" si="145"/>
        <v>Did not Meet</v>
      </c>
      <c r="BF231" s="512" t="str">
        <f t="shared" si="146"/>
        <v>Met</v>
      </c>
      <c r="BG231" s="637">
        <f>VLOOKUP(A231,'42. SEA or LEA Worksheet'!$A$4:$AM$324,36,0)</f>
        <v>0</v>
      </c>
      <c r="BH231" s="638" t="str">
        <f t="shared" si="150"/>
        <v>Met</v>
      </c>
      <c r="BI231" s="639"/>
      <c r="BJ231" s="637">
        <f>VLOOKUP(A231,'42. SEA or LEA Worksheet'!$A$4:$AM$324,38,0)</f>
        <v>310133.48</v>
      </c>
      <c r="BK231" s="638" t="str">
        <f t="shared" si="151"/>
        <v>Met</v>
      </c>
      <c r="BM231" s="631">
        <f>VLOOKUP(A231,'42. SEA or LEA Worksheet'!$A$4:$AL$324,36,0)/VLOOKUP(A231,'42. SEA or LEA Worksheet'!$A$4:$AL$324,35,0)</f>
        <v>0</v>
      </c>
      <c r="BN231" s="632" t="str">
        <f t="shared" si="152"/>
        <v>Met</v>
      </c>
      <c r="BP231" s="631">
        <f>VLOOKUP(A231,'42. SEA or LEA Worksheet'!$A$4:$AL$324,38,0)/VLOOKUP(A231,'42. SEA or LEA Worksheet'!$A$4:$AL$324,35,0)</f>
        <v>10337.782666666666</v>
      </c>
      <c r="BQ231" s="632" t="str">
        <f t="shared" si="153"/>
        <v>Met</v>
      </c>
      <c r="BS231" s="620" t="str">
        <f t="shared" si="147"/>
        <v>Met</v>
      </c>
    </row>
    <row r="232" spans="1:71" x14ac:dyDescent="0.25">
      <c r="A232" s="343" t="s">
        <v>645</v>
      </c>
      <c r="B232" s="510" t="s">
        <v>1048</v>
      </c>
      <c r="C232" s="511"/>
      <c r="D232" s="444">
        <v>0</v>
      </c>
      <c r="E232" s="343" t="s">
        <v>835</v>
      </c>
      <c r="F232" s="511"/>
      <c r="G232" s="444">
        <v>1874978.71</v>
      </c>
      <c r="H232" s="343" t="s">
        <v>835</v>
      </c>
      <c r="I232" s="511"/>
      <c r="J232" s="444">
        <v>0</v>
      </c>
      <c r="K232" s="343" t="s">
        <v>835</v>
      </c>
      <c r="L232" s="511"/>
      <c r="M232" s="444">
        <v>9566.2179081632657</v>
      </c>
      <c r="N232" s="343" t="s">
        <v>835</v>
      </c>
      <c r="O232" s="511"/>
      <c r="P232" s="512" t="str">
        <f t="shared" si="141"/>
        <v>Met</v>
      </c>
      <c r="Q232" s="511"/>
      <c r="R232" s="444">
        <f>VLOOKUP(A232,'2020-21'!$A$6:$F$319,6,0)</f>
        <v>0</v>
      </c>
      <c r="S232" s="513" t="str">
        <f t="shared" si="133"/>
        <v>Met</v>
      </c>
      <c r="U232" s="444">
        <f>VLOOKUP(A232,'2020-21'!$A$6:$G$319,7,0)</f>
        <v>2217358.44</v>
      </c>
      <c r="V232" s="513" t="str">
        <f t="shared" si="134"/>
        <v>Met</v>
      </c>
      <c r="X232" s="444">
        <f>VLOOKUP(A232,'2020-21'!$A$6:$F$319,6,0)/VLOOKUP(A232,'42. SEA or LEA Worksheet'!$A$4:$T$324,20,0)</f>
        <v>0</v>
      </c>
      <c r="Y232" s="513" t="str">
        <f t="shared" si="135"/>
        <v>Met</v>
      </c>
      <c r="AA232" s="444">
        <f>VLOOKUP(A232,'42. SEA or LEA Worksheet'!$A$4:$W$324,23,0)/VLOOKUP(compliance!A232,'42. SEA or LEA Worksheet'!$A$4:$T$324,20,0)</f>
        <v>9475.8907692307694</v>
      </c>
      <c r="AB232" s="513" t="str">
        <f t="shared" si="136"/>
        <v>Did not Meet</v>
      </c>
      <c r="AD232" s="512" t="str">
        <f t="shared" si="148"/>
        <v>Met</v>
      </c>
      <c r="AF232" s="444">
        <f>VLOOKUP(A232,'42. SEA or LEA Worksheet'!$A$4:$Z$324,26,0)</f>
        <v>0</v>
      </c>
      <c r="AG232" s="513" t="str">
        <f t="shared" si="137"/>
        <v>Met</v>
      </c>
      <c r="AI232" s="444">
        <f>VLOOKUP(A232,'42. SEA or LEA Worksheet'!$A$4:$AB$324,28,0)</f>
        <v>2139684.0499999998</v>
      </c>
      <c r="AJ232" s="513" t="str">
        <f t="shared" si="138"/>
        <v>Did not Meet</v>
      </c>
      <c r="AL232" s="444">
        <f>VLOOKUP(compliance!A232,'42. SEA or LEA Worksheet'!$A$4:$AB$324,26,0)/VLOOKUP(compliance!A232,'42. SEA or LEA Worksheet'!$A$4:$Y$324,25,0)</f>
        <v>0</v>
      </c>
      <c r="AM232" s="513" t="str">
        <f t="shared" si="139"/>
        <v>Met</v>
      </c>
      <c r="AO232" s="444">
        <f>VLOOKUP(A232,'42. SEA or LEA Worksheet'!$A$4:$AB$324,28,0)/VLOOKUP(compliance!A232,'42. SEA or LEA Worksheet'!$A$4:$Y$324,25,0)</f>
        <v>8697.9026422764218</v>
      </c>
      <c r="AP232" s="513" t="str">
        <f t="shared" si="140"/>
        <v>Did not Meet</v>
      </c>
      <c r="AR232" s="512" t="str">
        <f t="shared" si="149"/>
        <v>Met</v>
      </c>
      <c r="AT232" s="444">
        <f>VLOOKUP(A232,'42. SEA or LEA Worksheet'!$A$4:$AE$324,31,0)</f>
        <v>0</v>
      </c>
      <c r="AU232" s="513" t="str">
        <f t="shared" si="142"/>
        <v>Met</v>
      </c>
      <c r="AW232" s="444">
        <f>VLOOKUP(A232,'42. SEA or LEA Worksheet'!$A$4:$AG$324,33,0)</f>
        <v>2255687.86</v>
      </c>
      <c r="AX232" s="513" t="str">
        <f t="shared" si="143"/>
        <v>Met</v>
      </c>
      <c r="AZ232" s="444">
        <f>VLOOKUP(A232,'42. SEA or LEA Worksheet'!$A$4:$AG$324,31,0)/VLOOKUP(A232,'42. SEA or LEA Worksheet'!$A$4:$AD$324,30,0)</f>
        <v>0</v>
      </c>
      <c r="BA232" s="513" t="str">
        <f t="shared" si="144"/>
        <v>Met</v>
      </c>
      <c r="BC232" s="444">
        <f>VLOOKUP(A232,'42. SEA or LEA Worksheet'!$A$4:$AG$324,33,0)/VLOOKUP(A232,'42. SEA or LEA Worksheet'!$A$4:$AD$324,30,0)</f>
        <v>9807.3385217391296</v>
      </c>
      <c r="BD232" s="513" t="str">
        <f t="shared" si="145"/>
        <v>Met</v>
      </c>
      <c r="BF232" s="512" t="str">
        <f t="shared" si="146"/>
        <v>Met</v>
      </c>
      <c r="BG232" s="637">
        <f>VLOOKUP(A232,'42. SEA or LEA Worksheet'!$A$4:$AM$324,36,0)</f>
        <v>0</v>
      </c>
      <c r="BH232" s="638" t="str">
        <f t="shared" si="150"/>
        <v>Met</v>
      </c>
      <c r="BI232" s="639"/>
      <c r="BJ232" s="637">
        <f>VLOOKUP(A232,'42. SEA or LEA Worksheet'!$A$4:$AM$324,38,0)</f>
        <v>2396122.65</v>
      </c>
      <c r="BK232" s="638" t="str">
        <f t="shared" si="151"/>
        <v>Met</v>
      </c>
      <c r="BM232" s="631">
        <f>VLOOKUP(A232,'42. SEA or LEA Worksheet'!$A$4:$AL$324,36,0)/VLOOKUP(A232,'42. SEA or LEA Worksheet'!$A$4:$AL$324,35,0)</f>
        <v>0</v>
      </c>
      <c r="BN232" s="632" t="str">
        <f t="shared" si="152"/>
        <v>Met</v>
      </c>
      <c r="BP232" s="631">
        <f>VLOOKUP(A232,'42. SEA or LEA Worksheet'!$A$4:$AL$324,38,0)/VLOOKUP(A232,'42. SEA or LEA Worksheet'!$A$4:$AL$324,35,0)</f>
        <v>10744.944618834081</v>
      </c>
      <c r="BQ232" s="632" t="str">
        <f t="shared" si="153"/>
        <v>Met</v>
      </c>
      <c r="BS232" s="620" t="str">
        <f t="shared" si="147"/>
        <v>Met</v>
      </c>
    </row>
    <row r="233" spans="1:71" x14ac:dyDescent="0.25">
      <c r="A233" s="343" t="s">
        <v>647</v>
      </c>
      <c r="B233" s="510" t="s">
        <v>1049</v>
      </c>
      <c r="C233" s="511"/>
      <c r="D233" s="444">
        <v>3871</v>
      </c>
      <c r="E233" s="343" t="s">
        <v>856</v>
      </c>
      <c r="F233" s="511"/>
      <c r="G233" s="444">
        <v>1879825.36</v>
      </c>
      <c r="H233" s="343" t="s">
        <v>835</v>
      </c>
      <c r="I233" s="511"/>
      <c r="J233" s="444">
        <v>28.674074074074074</v>
      </c>
      <c r="K233" s="343" t="s">
        <v>856</v>
      </c>
      <c r="L233" s="511"/>
      <c r="M233" s="444">
        <v>13924.632296296297</v>
      </c>
      <c r="N233" s="343" t="s">
        <v>835</v>
      </c>
      <c r="O233" s="511"/>
      <c r="P233" s="512" t="str">
        <f t="shared" si="141"/>
        <v>Met</v>
      </c>
      <c r="Q233" s="511"/>
      <c r="R233" s="444">
        <f>VLOOKUP(A233,'2020-21'!$A$6:$F$319,6,0)</f>
        <v>4503.3999999999996</v>
      </c>
      <c r="S233" s="513" t="str">
        <f t="shared" si="133"/>
        <v>Met</v>
      </c>
      <c r="U233" s="444">
        <f>VLOOKUP(A233,'2020-21'!$A$6:$G$319,7,0)</f>
        <v>1944544</v>
      </c>
      <c r="V233" s="513" t="str">
        <f t="shared" si="134"/>
        <v>Met</v>
      </c>
      <c r="X233" s="444">
        <f>VLOOKUP(A233,'2020-21'!$A$6:$F$319,6,0)/VLOOKUP(A233,'42. SEA or LEA Worksheet'!$A$4:$T$324,20,0)</f>
        <v>29.823841059602646</v>
      </c>
      <c r="Y233" s="513" t="str">
        <f t="shared" si="135"/>
        <v>Met</v>
      </c>
      <c r="AA233" s="444">
        <f>VLOOKUP(A233,'42. SEA or LEA Worksheet'!$A$4:$W$324,23,0)/VLOOKUP(compliance!A233,'42. SEA or LEA Worksheet'!$A$4:$T$324,20,0)</f>
        <v>12877.774834437087</v>
      </c>
      <c r="AB233" s="513" t="str">
        <f t="shared" si="136"/>
        <v>Did not Meet</v>
      </c>
      <c r="AD233" s="512" t="str">
        <f t="shared" si="148"/>
        <v>Met</v>
      </c>
      <c r="AF233" s="444">
        <f>VLOOKUP(A233,'42. SEA or LEA Worksheet'!$A$4:$Z$324,26,0)</f>
        <v>2616.4499999999998</v>
      </c>
      <c r="AG233" s="513" t="str">
        <f t="shared" si="137"/>
        <v>Did not Meet</v>
      </c>
      <c r="AI233" s="444">
        <f>VLOOKUP(A233,'42. SEA or LEA Worksheet'!$A$4:$AB$324,28,0)</f>
        <v>1873685.5799999998</v>
      </c>
      <c r="AJ233" s="513" t="str">
        <f t="shared" si="138"/>
        <v>Did not Meet</v>
      </c>
      <c r="AL233" s="444">
        <f>VLOOKUP(compliance!A233,'42. SEA or LEA Worksheet'!$A$4:$AB$324,26,0)/VLOOKUP(compliance!A233,'42. SEA or LEA Worksheet'!$A$4:$Y$324,25,0)</f>
        <v>18.296853146853145</v>
      </c>
      <c r="AM233" s="513" t="str">
        <f t="shared" si="139"/>
        <v>Did not Meet</v>
      </c>
      <c r="AO233" s="444">
        <f>VLOOKUP(A233,'42. SEA or LEA Worksheet'!$A$4:$AB$324,28,0)/VLOOKUP(compliance!A233,'42. SEA or LEA Worksheet'!$A$4:$Y$324,25,0)</f>
        <v>13102.696363636362</v>
      </c>
      <c r="AP233" s="513" t="str">
        <f t="shared" si="140"/>
        <v>Met</v>
      </c>
      <c r="AR233" s="512" t="str">
        <f t="shared" si="149"/>
        <v>Met</v>
      </c>
      <c r="AT233" s="444">
        <f>VLOOKUP(A233,'42. SEA or LEA Worksheet'!$A$4:$AE$324,31,0)</f>
        <v>101784.69</v>
      </c>
      <c r="AU233" s="513" t="str">
        <f t="shared" si="142"/>
        <v>Met</v>
      </c>
      <c r="AW233" s="444">
        <f>VLOOKUP(A233,'42. SEA or LEA Worksheet'!$A$4:$AG$324,33,0)</f>
        <v>2280240.64</v>
      </c>
      <c r="AX233" s="513" t="str">
        <f t="shared" si="143"/>
        <v>Met</v>
      </c>
      <c r="AZ233" s="444">
        <f>VLOOKUP(A233,'42. SEA or LEA Worksheet'!$A$4:$AG$324,31,0)/VLOOKUP(A233,'42. SEA or LEA Worksheet'!$A$4:$AD$324,30,0)</f>
        <v>711.781048951049</v>
      </c>
      <c r="BA233" s="513" t="str">
        <f t="shared" si="144"/>
        <v>Met</v>
      </c>
      <c r="BC233" s="444">
        <f>VLOOKUP(A233,'42. SEA or LEA Worksheet'!$A$4:$AG$324,33,0)/VLOOKUP(A233,'42. SEA or LEA Worksheet'!$A$4:$AD$324,30,0)</f>
        <v>15945.738741258741</v>
      </c>
      <c r="BD233" s="513" t="str">
        <f t="shared" si="145"/>
        <v>Met</v>
      </c>
      <c r="BF233" s="512" t="str">
        <f t="shared" si="146"/>
        <v>Met</v>
      </c>
      <c r="BG233" s="637">
        <f>VLOOKUP(A233,'42. SEA or LEA Worksheet'!$A$4:$AM$324,36,0)</f>
        <v>74364.52</v>
      </c>
      <c r="BH233" s="638" t="str">
        <f t="shared" si="150"/>
        <v>Did not Meet</v>
      </c>
      <c r="BI233" s="639"/>
      <c r="BJ233" s="637">
        <f>VLOOKUP(A233,'42. SEA or LEA Worksheet'!$A$4:$AM$324,38,0)</f>
        <v>2332176.12</v>
      </c>
      <c r="BK233" s="638" t="str">
        <f t="shared" si="151"/>
        <v>Met</v>
      </c>
      <c r="BM233" s="631">
        <f>VLOOKUP(A233,'42. SEA or LEA Worksheet'!$A$4:$AL$324,36,0)/VLOOKUP(A233,'42. SEA or LEA Worksheet'!$A$4:$AL$324,35,0)</f>
        <v>527.40794326241132</v>
      </c>
      <c r="BN233" s="632" t="str">
        <f t="shared" si="152"/>
        <v>Met</v>
      </c>
      <c r="BP233" s="631">
        <f>VLOOKUP(A233,'42. SEA or LEA Worksheet'!$A$4:$AL$324,38,0)/VLOOKUP(A233,'42. SEA or LEA Worksheet'!$A$4:$AL$324,35,0)</f>
        <v>16540.256170212768</v>
      </c>
      <c r="BQ233" s="632" t="str">
        <f t="shared" si="153"/>
        <v>Met</v>
      </c>
      <c r="BS233" s="620" t="str">
        <f t="shared" si="147"/>
        <v>Met</v>
      </c>
    </row>
    <row r="234" spans="1:71" x14ac:dyDescent="0.25">
      <c r="A234" s="343" t="s">
        <v>649</v>
      </c>
      <c r="B234" s="510" t="s">
        <v>1050</v>
      </c>
      <c r="C234" s="511"/>
      <c r="D234" s="444">
        <v>0</v>
      </c>
      <c r="E234" s="343" t="s">
        <v>856</v>
      </c>
      <c r="F234" s="511"/>
      <c r="G234" s="444">
        <v>110755.71</v>
      </c>
      <c r="H234" s="343" t="s">
        <v>835</v>
      </c>
      <c r="I234" s="511"/>
      <c r="J234" s="444">
        <v>0</v>
      </c>
      <c r="K234" s="343" t="s">
        <v>856</v>
      </c>
      <c r="L234" s="511"/>
      <c r="M234" s="444">
        <v>9229.6424999999999</v>
      </c>
      <c r="N234" s="343" t="s">
        <v>856</v>
      </c>
      <c r="O234" s="511"/>
      <c r="P234" s="512" t="str">
        <f t="shared" si="141"/>
        <v>Met</v>
      </c>
      <c r="Q234" s="511"/>
      <c r="R234" s="444">
        <f>VLOOKUP(A234,'2020-21'!$A$6:$F$319,6,0)</f>
        <v>0</v>
      </c>
      <c r="S234" s="513" t="str">
        <f t="shared" si="133"/>
        <v>Met</v>
      </c>
      <c r="U234" s="444">
        <f>VLOOKUP(A234,'2020-21'!$A$6:$G$319,7,0)</f>
        <v>108169.74</v>
      </c>
      <c r="V234" s="513" t="str">
        <f t="shared" si="134"/>
        <v>Did not Meet</v>
      </c>
      <c r="X234" s="444">
        <f>VLOOKUP(A234,'2020-21'!$A$6:$F$319,6,0)/VLOOKUP(A234,'42. SEA or LEA Worksheet'!$A$4:$T$324,20,0)</f>
        <v>0</v>
      </c>
      <c r="Y234" s="513" t="str">
        <f t="shared" si="135"/>
        <v>Met</v>
      </c>
      <c r="AA234" s="444">
        <f>VLOOKUP(A234,'42. SEA or LEA Worksheet'!$A$4:$W$324,23,0)/VLOOKUP(compliance!A234,'42. SEA or LEA Worksheet'!$A$4:$T$324,20,0)</f>
        <v>12018.86</v>
      </c>
      <c r="AB234" s="513" t="str">
        <f t="shared" si="136"/>
        <v>Met</v>
      </c>
      <c r="AD234" s="512" t="str">
        <f t="shared" si="148"/>
        <v>Met</v>
      </c>
      <c r="AF234" s="444">
        <f>VLOOKUP(A234,'42. SEA or LEA Worksheet'!$A$4:$Z$324,26,0)</f>
        <v>0</v>
      </c>
      <c r="AG234" s="513" t="str">
        <f t="shared" si="137"/>
        <v>Met</v>
      </c>
      <c r="AI234" s="444">
        <f>VLOOKUP(A234,'42. SEA or LEA Worksheet'!$A$4:$AB$324,28,0)</f>
        <v>88341.9</v>
      </c>
      <c r="AJ234" s="513" t="str">
        <f t="shared" si="138"/>
        <v>Did not Meet</v>
      </c>
      <c r="AL234" s="444">
        <f>VLOOKUP(compliance!A234,'42. SEA or LEA Worksheet'!$A$4:$AB$324,26,0)/VLOOKUP(compliance!A234,'42. SEA or LEA Worksheet'!$A$4:$Y$324,25,0)</f>
        <v>0</v>
      </c>
      <c r="AM234" s="513" t="str">
        <f t="shared" si="139"/>
        <v>Met</v>
      </c>
      <c r="AO234" s="444">
        <f>VLOOKUP(A234,'42. SEA or LEA Worksheet'!$A$4:$AB$324,28,0)/VLOOKUP(compliance!A234,'42. SEA or LEA Worksheet'!$A$4:$Y$324,25,0)</f>
        <v>9815.7666666666664</v>
      </c>
      <c r="AP234" s="513" t="str">
        <f t="shared" si="140"/>
        <v>Did not Meet</v>
      </c>
      <c r="AR234" s="512" t="str">
        <f t="shared" si="149"/>
        <v>Met</v>
      </c>
      <c r="AT234" s="444">
        <f>VLOOKUP(A234,'42. SEA or LEA Worksheet'!$A$4:$AE$324,31,0)</f>
        <v>0</v>
      </c>
      <c r="AU234" s="513" t="str">
        <f t="shared" si="142"/>
        <v>Met</v>
      </c>
      <c r="AW234" s="444">
        <f>VLOOKUP(A234,'42. SEA or LEA Worksheet'!$A$4:$AG$324,33,0)</f>
        <v>139182.47</v>
      </c>
      <c r="AX234" s="513" t="str">
        <f t="shared" si="143"/>
        <v>Met</v>
      </c>
      <c r="AZ234" s="444">
        <f>VLOOKUP(A234,'42. SEA or LEA Worksheet'!$A$4:$AG$324,31,0)/VLOOKUP(A234,'42. SEA or LEA Worksheet'!$A$4:$AD$324,30,0)</f>
        <v>0</v>
      </c>
      <c r="BA234" s="513" t="str">
        <f t="shared" si="144"/>
        <v>Met</v>
      </c>
      <c r="BC234" s="444">
        <f>VLOOKUP(A234,'42. SEA or LEA Worksheet'!$A$4:$AG$324,33,0)/VLOOKUP(A234,'42. SEA or LEA Worksheet'!$A$4:$AD$324,30,0)</f>
        <v>13918.246999999999</v>
      </c>
      <c r="BD234" s="513" t="str">
        <f t="shared" si="145"/>
        <v>Met</v>
      </c>
      <c r="BF234" s="512" t="str">
        <f t="shared" si="146"/>
        <v>Met</v>
      </c>
      <c r="BG234" s="637">
        <f>VLOOKUP(A234,'42. SEA or LEA Worksheet'!$A$4:$AM$324,36,0)</f>
        <v>0</v>
      </c>
      <c r="BH234" s="638" t="str">
        <f t="shared" si="150"/>
        <v>Met</v>
      </c>
      <c r="BI234" s="639"/>
      <c r="BJ234" s="637">
        <f>VLOOKUP(A234,'42. SEA or LEA Worksheet'!$A$4:$AM$324,38,0)</f>
        <v>105368.75</v>
      </c>
      <c r="BK234" s="638" t="str">
        <f t="shared" si="151"/>
        <v>Did not Meet</v>
      </c>
      <c r="BM234" s="631">
        <f>VLOOKUP(A234,'42. SEA or LEA Worksheet'!$A$4:$AL$324,36,0)/VLOOKUP(A234,'42. SEA or LEA Worksheet'!$A$4:$AL$324,35,0)</f>
        <v>0</v>
      </c>
      <c r="BN234" s="632" t="str">
        <f t="shared" si="152"/>
        <v>Met</v>
      </c>
      <c r="BP234" s="631">
        <f>VLOOKUP(A234,'42. SEA or LEA Worksheet'!$A$4:$AL$324,38,0)/VLOOKUP(A234,'42. SEA or LEA Worksheet'!$A$4:$AL$324,35,0)</f>
        <v>9578.9772727272721</v>
      </c>
      <c r="BQ234" s="632" t="str">
        <f t="shared" si="153"/>
        <v>Met</v>
      </c>
      <c r="BS234" s="620" t="str">
        <f t="shared" si="147"/>
        <v>Met</v>
      </c>
    </row>
    <row r="235" spans="1:71" x14ac:dyDescent="0.25">
      <c r="A235" s="343" t="s">
        <v>655</v>
      </c>
      <c r="B235" s="510" t="s">
        <v>1051</v>
      </c>
      <c r="C235" s="511"/>
      <c r="D235" s="444">
        <v>71033511.829999998</v>
      </c>
      <c r="E235" s="343" t="s">
        <v>835</v>
      </c>
      <c r="F235" s="511"/>
      <c r="G235" s="444">
        <v>167152851.28999999</v>
      </c>
      <c r="H235" s="343" t="s">
        <v>835</v>
      </c>
      <c r="I235" s="511"/>
      <c r="J235" s="444">
        <v>9101.0264996796923</v>
      </c>
      <c r="K235" s="343" t="s">
        <v>856</v>
      </c>
      <c r="L235" s="511"/>
      <c r="M235" s="444">
        <v>21416.124444586803</v>
      </c>
      <c r="N235" s="343" t="s">
        <v>835</v>
      </c>
      <c r="O235" s="511"/>
      <c r="P235" s="512" t="str">
        <f t="shared" ref="P235:P247" si="154">IF(AND(E235="Did not Meet",H235="Did not Meet",K235="Did not Meet", N235="Did not Meet"),"Did not Meet","Met")</f>
        <v>Met</v>
      </c>
      <c r="Q235" s="511"/>
      <c r="R235" s="444">
        <f>VLOOKUP(A235,'2020-21'!$A$6:$F$319,6,0)</f>
        <v>78381326.969999999</v>
      </c>
      <c r="S235" s="513" t="str">
        <f t="shared" si="133"/>
        <v>Met</v>
      </c>
      <c r="U235" s="444">
        <f>VLOOKUP(A235,'2020-21'!$A$6:$G$319,7,0)</f>
        <v>173116990.95999998</v>
      </c>
      <c r="V235" s="513" t="str">
        <f t="shared" si="134"/>
        <v>Met</v>
      </c>
      <c r="X235" s="444">
        <f>VLOOKUP(A235,'2020-21'!$A$6:$F$319,6,0)/VLOOKUP(A235,'42. SEA or LEA Worksheet'!$A$4:$T$324,20,0)</f>
        <v>10694.682353663527</v>
      </c>
      <c r="Y235" s="513" t="str">
        <f t="shared" si="135"/>
        <v>Met</v>
      </c>
      <c r="AA235" s="444">
        <f>VLOOKUP(A235,'42. SEA or LEA Worksheet'!$A$4:$W$324,23,0)/VLOOKUP(compliance!A235,'42. SEA or LEA Worksheet'!$A$4:$T$324,20,0)</f>
        <v>23620.820161004227</v>
      </c>
      <c r="AB235" s="513" t="str">
        <f t="shared" si="136"/>
        <v>Met</v>
      </c>
      <c r="AD235" s="512" t="str">
        <f t="shared" si="148"/>
        <v>Met</v>
      </c>
      <c r="AF235" s="444">
        <f>VLOOKUP(A235,'42. SEA or LEA Worksheet'!$A$4:$Z$324,26,0)</f>
        <v>78213770.769999996</v>
      </c>
      <c r="AG235" s="513" t="str">
        <f t="shared" si="137"/>
        <v>Did not Meet</v>
      </c>
      <c r="AI235" s="444">
        <f>VLOOKUP(A235,'42. SEA or LEA Worksheet'!$A$4:$AB$324,28,0)</f>
        <v>174040460.33999997</v>
      </c>
      <c r="AJ235" s="513" t="str">
        <f t="shared" si="138"/>
        <v>Met</v>
      </c>
      <c r="AL235" s="444">
        <f>VLOOKUP(compliance!A235,'42. SEA or LEA Worksheet'!$A$4:$AB$324,26,0)/VLOOKUP(compliance!A235,'42. SEA or LEA Worksheet'!$A$4:$Y$324,25,0)</f>
        <v>11017.575823355402</v>
      </c>
      <c r="AM235" s="513" t="str">
        <f t="shared" si="139"/>
        <v>Met</v>
      </c>
      <c r="AO235" s="444">
        <f>VLOOKUP(A235,'42. SEA or LEA Worksheet'!$A$4:$AB$324,28,0)/VLOOKUP(compliance!A235,'42. SEA or LEA Worksheet'!$A$4:$Y$324,25,0)</f>
        <v>24516.193878010985</v>
      </c>
      <c r="AP235" s="513" t="str">
        <f t="shared" si="140"/>
        <v>Met</v>
      </c>
      <c r="AR235" s="512" t="str">
        <f t="shared" si="149"/>
        <v>Met</v>
      </c>
      <c r="AT235" s="444">
        <f>VLOOKUP(A235,'42. SEA or LEA Worksheet'!$A$4:$AE$324,31,0)</f>
        <v>41052490.939999998</v>
      </c>
      <c r="AU235" s="513" t="str">
        <f t="shared" si="142"/>
        <v>Did not Meet</v>
      </c>
      <c r="AW235" s="444">
        <f>VLOOKUP(A235,'42. SEA or LEA Worksheet'!$A$4:$AG$324,33,0)</f>
        <v>195245954.09</v>
      </c>
      <c r="AX235" s="513" t="str">
        <f t="shared" si="143"/>
        <v>Met</v>
      </c>
      <c r="AZ235" s="444">
        <f>VLOOKUP(A235,'42. SEA or LEA Worksheet'!$A$4:$AG$324,31,0)/VLOOKUP(A235,'42. SEA or LEA Worksheet'!$A$4:$AD$324,30,0)</f>
        <v>5523.0042970536788</v>
      </c>
      <c r="BA235" s="513" t="str">
        <f t="shared" si="144"/>
        <v>Did not Meet</v>
      </c>
      <c r="BC235" s="444">
        <f>VLOOKUP(A235,'42. SEA or LEA Worksheet'!$A$4:$AG$324,33,0)/VLOOKUP(A235,'42. SEA or LEA Worksheet'!$A$4:$AD$324,30,0)</f>
        <v>26267.449763218083</v>
      </c>
      <c r="BD235" s="513" t="str">
        <f t="shared" si="145"/>
        <v>Met</v>
      </c>
      <c r="BF235" s="512" t="str">
        <f>IF(AND(AU235="Did not Meet",AX235="Did not Meet", BA235="Did not Meet",BD235="Did not Meet",),"Did not Meet","Met")</f>
        <v>Met</v>
      </c>
      <c r="BG235" s="637">
        <f>VLOOKUP(A235,'42. SEA or LEA Worksheet'!$A$4:$AM$324,36,0)</f>
        <v>91383948.079999998</v>
      </c>
      <c r="BH235" s="638" t="str">
        <f t="shared" si="150"/>
        <v>Met</v>
      </c>
      <c r="BI235" s="639"/>
      <c r="BJ235" s="637">
        <f>VLOOKUP(A235,'42. SEA or LEA Worksheet'!$A$4:$AM$324,38,0)</f>
        <v>229050970.02999997</v>
      </c>
      <c r="BK235" s="638" t="str">
        <f t="shared" si="151"/>
        <v>Met</v>
      </c>
      <c r="BM235" s="631">
        <f>VLOOKUP(A235,'42. SEA or LEA Worksheet'!$A$4:$AL$324,36,0)/VLOOKUP(A235,'42. SEA or LEA Worksheet'!$A$4:$AL$324,35,0)</f>
        <v>11484.723900967701</v>
      </c>
      <c r="BN235" s="632" t="str">
        <f t="shared" si="152"/>
        <v>Met</v>
      </c>
      <c r="BP235" s="631">
        <f>VLOOKUP(A235,'42. SEA or LEA Worksheet'!$A$4:$AL$324,38,0)/VLOOKUP(A235,'42. SEA or LEA Worksheet'!$A$4:$AL$324,35,0)</f>
        <v>28786.09652255875</v>
      </c>
      <c r="BQ235" s="632" t="str">
        <f t="shared" si="153"/>
        <v>Met</v>
      </c>
      <c r="BS235" s="620" t="str">
        <f>IF(AND(BH235="Did not Meet",BK235="Did not Meet", BN235="Did not Meet",BQ235="Did not Meet",),"Did not Meet","Met")</f>
        <v>Met</v>
      </c>
    </row>
    <row r="236" spans="1:71" x14ac:dyDescent="0.25">
      <c r="A236" s="343" t="s">
        <v>657</v>
      </c>
      <c r="B236" s="510" t="s">
        <v>1052</v>
      </c>
      <c r="C236" s="511"/>
      <c r="D236" s="444">
        <v>136488.93</v>
      </c>
      <c r="E236" s="343" t="s">
        <v>856</v>
      </c>
      <c r="F236" s="511"/>
      <c r="G236" s="444">
        <v>11550057.27</v>
      </c>
      <c r="H236" s="343" t="s">
        <v>835</v>
      </c>
      <c r="I236" s="511"/>
      <c r="J236" s="444">
        <v>170.82469336670837</v>
      </c>
      <c r="K236" s="343" t="s">
        <v>856</v>
      </c>
      <c r="L236" s="511"/>
      <c r="M236" s="444">
        <v>14455.641138923655</v>
      </c>
      <c r="N236" s="343" t="s">
        <v>835</v>
      </c>
      <c r="O236" s="511"/>
      <c r="P236" s="512" t="str">
        <f t="shared" si="154"/>
        <v>Met</v>
      </c>
      <c r="Q236" s="511"/>
      <c r="R236" s="444">
        <f>VLOOKUP(A236,'2020-21'!$A$6:$F$319,6,0)</f>
        <v>199525.68</v>
      </c>
      <c r="S236" s="513" t="str">
        <f t="shared" si="133"/>
        <v>Met</v>
      </c>
      <c r="U236" s="444">
        <f>VLOOKUP(A236,'2020-21'!$A$6:$G$319,7,0)</f>
        <v>11642383.719999999</v>
      </c>
      <c r="V236" s="513" t="str">
        <f t="shared" si="134"/>
        <v>Met</v>
      </c>
      <c r="X236" s="444">
        <f>VLOOKUP(A236,'2020-21'!$A$6:$F$319,6,0)/VLOOKUP(A236,'42. SEA or LEA Worksheet'!$A$4:$T$324,20,0)</f>
        <v>261.50154652686763</v>
      </c>
      <c r="Y236" s="513" t="str">
        <f t="shared" si="135"/>
        <v>Met</v>
      </c>
      <c r="AA236" s="444">
        <f>VLOOKUP(A236,'42. SEA or LEA Worksheet'!$A$4:$W$324,23,0)/VLOOKUP(compliance!A236,'42. SEA or LEA Worksheet'!$A$4:$T$324,20,0)</f>
        <v>15258.694259501965</v>
      </c>
      <c r="AB236" s="513" t="str">
        <f t="shared" si="136"/>
        <v>Met</v>
      </c>
      <c r="AD236" s="512" t="str">
        <f t="shared" si="148"/>
        <v>Met</v>
      </c>
      <c r="AF236" s="444">
        <f>VLOOKUP(A236,'42. SEA or LEA Worksheet'!$A$4:$Z$324,26,0)</f>
        <v>162845.68</v>
      </c>
      <c r="AG236" s="513" t="str">
        <f t="shared" si="137"/>
        <v>Did not Meet</v>
      </c>
      <c r="AI236" s="444">
        <f>VLOOKUP(A236,'42. SEA or LEA Worksheet'!$A$4:$AB$324,28,0)</f>
        <v>12177972.93</v>
      </c>
      <c r="AJ236" s="513" t="str">
        <f t="shared" si="138"/>
        <v>Met</v>
      </c>
      <c r="AL236" s="444">
        <f>VLOOKUP(compliance!A236,'42. SEA or LEA Worksheet'!$A$4:$AB$324,26,0)/VLOOKUP(compliance!A236,'42. SEA or LEA Worksheet'!$A$4:$Y$324,25,0)</f>
        <v>202.54437810945274</v>
      </c>
      <c r="AM236" s="513" t="str">
        <f t="shared" si="139"/>
        <v>Did not Meet</v>
      </c>
      <c r="AO236" s="444">
        <f>VLOOKUP(A236,'42. SEA or LEA Worksheet'!$A$4:$AB$324,28,0)/VLOOKUP(compliance!A236,'42. SEA or LEA Worksheet'!$A$4:$Y$324,25,0)</f>
        <v>15146.7325</v>
      </c>
      <c r="AP236" s="513" t="str">
        <f t="shared" si="140"/>
        <v>Did not Meet</v>
      </c>
      <c r="AR236" s="512" t="str">
        <f t="shared" si="149"/>
        <v>Met</v>
      </c>
      <c r="AT236" s="444">
        <f>VLOOKUP(A236,'42. SEA or LEA Worksheet'!$A$4:$AE$324,31,0)</f>
        <v>0</v>
      </c>
      <c r="AU236" s="513" t="str">
        <f t="shared" si="142"/>
        <v>Did not Meet</v>
      </c>
      <c r="AW236" s="444">
        <f>VLOOKUP(A236,'42. SEA or LEA Worksheet'!$A$4:$AG$324,33,0)</f>
        <v>12651713.470000001</v>
      </c>
      <c r="AX236" s="513" t="str">
        <f t="shared" si="143"/>
        <v>Met</v>
      </c>
      <c r="AZ236" s="444">
        <f>VLOOKUP(A236,'42. SEA or LEA Worksheet'!$A$4:$AG$324,31,0)/VLOOKUP(A236,'42. SEA or LEA Worksheet'!$A$4:$AD$324,30,0)</f>
        <v>0</v>
      </c>
      <c r="BA236" s="513" t="str">
        <f t="shared" si="144"/>
        <v>Did not Meet</v>
      </c>
      <c r="BC236" s="444">
        <f>VLOOKUP(A236,'42. SEA or LEA Worksheet'!$A$4:$AG$324,33,0)/VLOOKUP(A236,'42. SEA or LEA Worksheet'!$A$4:$AD$324,30,0)</f>
        <v>16345.883036175712</v>
      </c>
      <c r="BD236" s="513" t="str">
        <f t="shared" si="145"/>
        <v>Met</v>
      </c>
      <c r="BF236" s="512" t="str">
        <f>IF(AND(AU236="Did not Meet",AX236="Did not Meet", BA236="Did not Meet",BD236="Did not Meet"),"Did not Meet","Met")</f>
        <v>Met</v>
      </c>
      <c r="BG236" s="637">
        <f>VLOOKUP(A236,'42. SEA or LEA Worksheet'!$A$4:$AM$324,36,0)</f>
        <v>0</v>
      </c>
      <c r="BH236" s="638" t="str">
        <f t="shared" si="150"/>
        <v>Met</v>
      </c>
      <c r="BI236" s="639"/>
      <c r="BJ236" s="637">
        <f>VLOOKUP(A236,'42. SEA or LEA Worksheet'!$A$4:$AM$324,38,0)</f>
        <v>14119152.710000001</v>
      </c>
      <c r="BK236" s="638" t="str">
        <f t="shared" si="151"/>
        <v>Met</v>
      </c>
      <c r="BM236" s="631">
        <f>VLOOKUP(A236,'42. SEA or LEA Worksheet'!$A$4:$AL$324,36,0)/VLOOKUP(A236,'42. SEA or LEA Worksheet'!$A$4:$AL$324,35,0)</f>
        <v>0</v>
      </c>
      <c r="BN236" s="632" t="str">
        <f t="shared" si="152"/>
        <v>Met</v>
      </c>
      <c r="BP236" s="631">
        <f>VLOOKUP(A236,'42. SEA or LEA Worksheet'!$A$4:$AL$324,38,0)/VLOOKUP(A236,'42. SEA or LEA Worksheet'!$A$4:$AL$324,35,0)</f>
        <v>17474.198898514853</v>
      </c>
      <c r="BQ236" s="632" t="str">
        <f t="shared" si="153"/>
        <v>Met</v>
      </c>
      <c r="BS236" s="620" t="str">
        <f>IF(AND(BH236="Did not Meet",BK236="Did not Meet", BN236="Did not Meet",BQ236="Did not Meet"),"Did not Meet","Met")</f>
        <v>Met</v>
      </c>
    </row>
    <row r="237" spans="1:71" x14ac:dyDescent="0.25">
      <c r="A237" s="343" t="s">
        <v>659</v>
      </c>
      <c r="B237" s="510" t="s">
        <v>1053</v>
      </c>
      <c r="C237" s="511"/>
      <c r="D237" s="444">
        <v>0</v>
      </c>
      <c r="E237" s="343" t="s">
        <v>835</v>
      </c>
      <c r="F237" s="511"/>
      <c r="G237" s="444">
        <v>5076044.2699999996</v>
      </c>
      <c r="H237" s="343" t="s">
        <v>835</v>
      </c>
      <c r="I237" s="511"/>
      <c r="J237" s="444">
        <v>0</v>
      </c>
      <c r="K237" s="343" t="s">
        <v>835</v>
      </c>
      <c r="L237" s="511"/>
      <c r="M237" s="444">
        <v>10031.70804347826</v>
      </c>
      <c r="N237" s="343" t="s">
        <v>835</v>
      </c>
      <c r="O237" s="511"/>
      <c r="P237" s="512" t="str">
        <f t="shared" si="154"/>
        <v>Met</v>
      </c>
      <c r="Q237" s="511"/>
      <c r="R237" s="444">
        <f>VLOOKUP(A237,'2020-21'!$A$6:$F$319,6,0)</f>
        <v>0</v>
      </c>
      <c r="S237" s="513" t="str">
        <f t="shared" si="133"/>
        <v>Met</v>
      </c>
      <c r="U237" s="444">
        <f>VLOOKUP(A237,'2020-21'!$A$6:$G$319,7,0)</f>
        <v>4954076.6100000003</v>
      </c>
      <c r="V237" s="513" t="str">
        <f t="shared" si="134"/>
        <v>Did not Meet</v>
      </c>
      <c r="X237" s="444">
        <f>VLOOKUP(A237,'2020-21'!$A$6:$F$319,6,0)/VLOOKUP(A237,'42. SEA or LEA Worksheet'!$A$4:$T$324,20,0)</f>
        <v>0</v>
      </c>
      <c r="Y237" s="513" t="str">
        <f t="shared" si="135"/>
        <v>Met</v>
      </c>
      <c r="AA237" s="444">
        <f>VLOOKUP(A237,'42. SEA or LEA Worksheet'!$A$4:$W$324,23,0)/VLOOKUP(compliance!A237,'42. SEA or LEA Worksheet'!$A$4:$T$324,20,0)</f>
        <v>10723.109545454547</v>
      </c>
      <c r="AB237" s="513" t="str">
        <f t="shared" si="136"/>
        <v>Met</v>
      </c>
      <c r="AD237" s="512" t="str">
        <f t="shared" si="148"/>
        <v>Met</v>
      </c>
      <c r="AF237" s="444">
        <f>VLOOKUP(A237,'42. SEA or LEA Worksheet'!$A$4:$Z$324,26,0)</f>
        <v>0</v>
      </c>
      <c r="AG237" s="513" t="str">
        <f t="shared" si="137"/>
        <v>Met</v>
      </c>
      <c r="AI237" s="444">
        <f>VLOOKUP(A237,'42. SEA or LEA Worksheet'!$A$4:$AB$324,28,0)</f>
        <v>5091657.2300000004</v>
      </c>
      <c r="AJ237" s="513" t="str">
        <f t="shared" si="138"/>
        <v>Met</v>
      </c>
      <c r="AL237" s="444">
        <f>VLOOKUP(compliance!A237,'42. SEA or LEA Worksheet'!$A$4:$AB$324,26,0)/VLOOKUP(compliance!A237,'42. SEA or LEA Worksheet'!$A$4:$Y$324,25,0)</f>
        <v>0</v>
      </c>
      <c r="AM237" s="513" t="str">
        <f t="shared" si="139"/>
        <v>Met</v>
      </c>
      <c r="AO237" s="444">
        <f>VLOOKUP(A237,'42. SEA or LEA Worksheet'!$A$4:$AB$324,28,0)/VLOOKUP(compliance!A237,'42. SEA or LEA Worksheet'!$A$4:$Y$324,25,0)</f>
        <v>10879.609465811967</v>
      </c>
      <c r="AP237" s="513" t="str">
        <f t="shared" si="140"/>
        <v>Met</v>
      </c>
      <c r="AR237" s="512" t="str">
        <f t="shared" si="149"/>
        <v>Met</v>
      </c>
      <c r="AT237" s="444">
        <f>VLOOKUP(A237,'42. SEA or LEA Worksheet'!$A$4:$AE$324,31,0)</f>
        <v>0</v>
      </c>
      <c r="AU237" s="513" t="str">
        <f t="shared" si="142"/>
        <v>Met</v>
      </c>
      <c r="AW237" s="444">
        <f>VLOOKUP(A237,'42. SEA or LEA Worksheet'!$A$4:$AG$324,33,0)</f>
        <v>4894834.59</v>
      </c>
      <c r="AX237" s="513" t="str">
        <f t="shared" si="143"/>
        <v>Did not Meet</v>
      </c>
      <c r="AZ237" s="444">
        <f>VLOOKUP(A237,'42. SEA or LEA Worksheet'!$A$4:$AG$324,31,0)/VLOOKUP(A237,'42. SEA or LEA Worksheet'!$A$4:$AD$324,30,0)</f>
        <v>0</v>
      </c>
      <c r="BA237" s="513" t="str">
        <f t="shared" si="144"/>
        <v>Met</v>
      </c>
      <c r="BC237" s="444">
        <f>VLOOKUP(A237,'42. SEA or LEA Worksheet'!$A$4:$AG$324,33,0)/VLOOKUP(A237,'42. SEA or LEA Worksheet'!$A$4:$AD$324,30,0)</f>
        <v>10197.572062499999</v>
      </c>
      <c r="BD237" s="513" t="str">
        <f t="shared" si="145"/>
        <v>Did not Meet</v>
      </c>
      <c r="BF237" s="512" t="str">
        <f>IF(AND(AU237="Did not Meet",AX237="Did not Meet", BA237="Did not Meet",BD237="Did not Meet"),"Did not Meet","Met")</f>
        <v>Met</v>
      </c>
      <c r="BG237" s="637">
        <f>VLOOKUP(A237,'42. SEA or LEA Worksheet'!$A$4:$AM$324,36,0)</f>
        <v>0</v>
      </c>
      <c r="BH237" s="638" t="str">
        <f t="shared" si="150"/>
        <v>Met</v>
      </c>
      <c r="BI237" s="639"/>
      <c r="BJ237" s="637">
        <f>VLOOKUP(A237,'42. SEA or LEA Worksheet'!$A$4:$AM$324,38,0)</f>
        <v>5666515.79</v>
      </c>
      <c r="BK237" s="638" t="str">
        <f t="shared" si="151"/>
        <v>Met</v>
      </c>
      <c r="BM237" s="631">
        <f>VLOOKUP(A237,'42. SEA or LEA Worksheet'!$A$4:$AL$324,36,0)/VLOOKUP(A237,'42. SEA or LEA Worksheet'!$A$4:$AL$324,35,0)</f>
        <v>0</v>
      </c>
      <c r="BN237" s="632" t="str">
        <f t="shared" si="152"/>
        <v>Met</v>
      </c>
      <c r="BP237" s="631">
        <f>VLOOKUP(A237,'42. SEA or LEA Worksheet'!$A$4:$AL$324,38,0)/VLOOKUP(A237,'42. SEA or LEA Worksheet'!$A$4:$AL$324,35,0)</f>
        <v>11447.506646464646</v>
      </c>
      <c r="BQ237" s="632" t="str">
        <f t="shared" si="153"/>
        <v>Met</v>
      </c>
      <c r="BS237" s="620" t="str">
        <f>IF(AND(BH237="Did not Meet",BK237="Did not Meet", BN237="Did not Meet",BQ237="Did not Meet"),"Did not Meet","Met")</f>
        <v>Met</v>
      </c>
    </row>
    <row r="238" spans="1:71" x14ac:dyDescent="0.25">
      <c r="A238" s="343" t="s">
        <v>661</v>
      </c>
      <c r="B238" s="510" t="s">
        <v>1054</v>
      </c>
      <c r="C238" s="511"/>
      <c r="D238" s="444">
        <v>0</v>
      </c>
      <c r="E238" s="343" t="s">
        <v>835</v>
      </c>
      <c r="F238" s="511"/>
      <c r="G238" s="444">
        <v>390872.43</v>
      </c>
      <c r="H238" s="343" t="s">
        <v>835</v>
      </c>
      <c r="I238" s="511"/>
      <c r="J238" s="444">
        <v>0</v>
      </c>
      <c r="K238" s="343" t="s">
        <v>835</v>
      </c>
      <c r="L238" s="511"/>
      <c r="M238" s="444">
        <v>7516.7775000000001</v>
      </c>
      <c r="N238" s="343" t="s">
        <v>856</v>
      </c>
      <c r="O238" s="511"/>
      <c r="P238" s="512" t="str">
        <f t="shared" si="154"/>
        <v>Met</v>
      </c>
      <c r="Q238" s="511"/>
      <c r="R238" s="444">
        <f>VLOOKUP(A238,'2020-21'!$A$6:$F$319,6,0)</f>
        <v>0</v>
      </c>
      <c r="S238" s="513" t="str">
        <f t="shared" si="133"/>
        <v>Met</v>
      </c>
      <c r="U238" s="444">
        <f>VLOOKUP(A238,'2020-21'!$A$6:$G$319,7,0)</f>
        <v>402410.23</v>
      </c>
      <c r="V238" s="513" t="str">
        <f t="shared" si="134"/>
        <v>Met</v>
      </c>
      <c r="X238" s="444">
        <f>VLOOKUP(A238,'2020-21'!$A$6:$F$319,6,0)/VLOOKUP(A238,'42. SEA or LEA Worksheet'!$A$4:$T$324,20,0)</f>
        <v>0</v>
      </c>
      <c r="Y238" s="513" t="str">
        <f t="shared" si="135"/>
        <v>Met</v>
      </c>
      <c r="AA238" s="444">
        <f>VLOOKUP(A238,'42. SEA or LEA Worksheet'!$A$4:$W$324,23,0)/VLOOKUP(compliance!A238,'42. SEA or LEA Worksheet'!$A$4:$T$324,20,0)</f>
        <v>7738.6582692307693</v>
      </c>
      <c r="AB238" s="513" t="str">
        <f t="shared" si="136"/>
        <v>Met</v>
      </c>
      <c r="AD238" s="512" t="str">
        <f t="shared" si="148"/>
        <v>Met</v>
      </c>
      <c r="AF238" s="444">
        <f>VLOOKUP(A238,'42. SEA or LEA Worksheet'!$A$4:$Z$324,26,0)</f>
        <v>0</v>
      </c>
      <c r="AG238" s="513" t="str">
        <f t="shared" si="137"/>
        <v>Met</v>
      </c>
      <c r="AI238" s="444">
        <f>VLOOKUP(A238,'42. SEA or LEA Worksheet'!$A$4:$AB$324,28,0)</f>
        <v>389013.81</v>
      </c>
      <c r="AJ238" s="513" t="str">
        <f t="shared" si="138"/>
        <v>Did not Meet</v>
      </c>
      <c r="AL238" s="444">
        <f>VLOOKUP(compliance!A238,'42. SEA or LEA Worksheet'!$A$4:$AB$324,26,0)/VLOOKUP(compliance!A238,'42. SEA or LEA Worksheet'!$A$4:$Y$324,25,0)</f>
        <v>0</v>
      </c>
      <c r="AM238" s="513" t="str">
        <f t="shared" si="139"/>
        <v>Met</v>
      </c>
      <c r="AO238" s="444">
        <f>VLOOKUP(A238,'42. SEA or LEA Worksheet'!$A$4:$AB$324,28,0)/VLOOKUP(compliance!A238,'42. SEA or LEA Worksheet'!$A$4:$Y$324,25,0)</f>
        <v>7780.2762000000002</v>
      </c>
      <c r="AP238" s="513" t="str">
        <f t="shared" si="140"/>
        <v>Met</v>
      </c>
      <c r="AR238" s="512" t="str">
        <f t="shared" si="149"/>
        <v>Met</v>
      </c>
      <c r="AT238" s="444">
        <f>VLOOKUP(A238,'42. SEA or LEA Worksheet'!$A$4:$AE$324,31,0)</f>
        <v>0</v>
      </c>
      <c r="AU238" s="513" t="str">
        <f t="shared" si="142"/>
        <v>Met</v>
      </c>
      <c r="AW238" s="444">
        <f>VLOOKUP(A238,'42. SEA or LEA Worksheet'!$A$4:$AG$324,33,0)</f>
        <v>422057.26</v>
      </c>
      <c r="AX238" s="513" t="str">
        <f t="shared" si="143"/>
        <v>Met</v>
      </c>
      <c r="AZ238" s="444">
        <f>VLOOKUP(A238,'42. SEA or LEA Worksheet'!$A$4:$AG$324,31,0)/VLOOKUP(A238,'42. SEA or LEA Worksheet'!$A$4:$AD$324,30,0)</f>
        <v>0</v>
      </c>
      <c r="BA238" s="513" t="str">
        <f t="shared" si="144"/>
        <v>Met</v>
      </c>
      <c r="BC238" s="444">
        <f>VLOOKUP(A238,'42. SEA or LEA Worksheet'!$A$4:$AG$324,33,0)/VLOOKUP(A238,'42. SEA or LEA Worksheet'!$A$4:$AD$324,30,0)</f>
        <v>8792.8595833333329</v>
      </c>
      <c r="BD238" s="513" t="str">
        <f t="shared" si="145"/>
        <v>Met</v>
      </c>
      <c r="BF238" s="512" t="str">
        <f>IF(AND(AU238="Did not Meet",AX238="Did not Meet", BA238="Did not Meet",BD238="Did not Meet"),"Did not Meet","Met")</f>
        <v>Met</v>
      </c>
      <c r="BG238" s="637">
        <f>VLOOKUP(A238,'42. SEA or LEA Worksheet'!$A$4:$AM$324,36,0)</f>
        <v>6687.52</v>
      </c>
      <c r="BH238" s="638" t="str">
        <f t="shared" si="150"/>
        <v>Met</v>
      </c>
      <c r="BI238" s="639"/>
      <c r="BJ238" s="637">
        <f>VLOOKUP(A238,'42. SEA or LEA Worksheet'!$A$4:$AM$324,38,0)</f>
        <v>507017.91000000003</v>
      </c>
      <c r="BK238" s="638" t="str">
        <f t="shared" si="151"/>
        <v>Met</v>
      </c>
      <c r="BM238" s="631">
        <f>VLOOKUP(A238,'42. SEA or LEA Worksheet'!$A$4:$AL$324,36,0)/VLOOKUP(A238,'42. SEA or LEA Worksheet'!$A$4:$AL$324,35,0)</f>
        <v>131.1278431372549</v>
      </c>
      <c r="BN238" s="632" t="str">
        <f t="shared" si="152"/>
        <v>Met</v>
      </c>
      <c r="BP238" s="631">
        <f>VLOOKUP(A238,'42. SEA or LEA Worksheet'!$A$4:$AL$324,38,0)/VLOOKUP(A238,'42. SEA or LEA Worksheet'!$A$4:$AL$324,35,0)</f>
        <v>9941.5276470588233</v>
      </c>
      <c r="BQ238" s="632" t="str">
        <f t="shared" si="153"/>
        <v>Met</v>
      </c>
      <c r="BS238" s="620" t="str">
        <f>IF(AND(BH238="Did not Meet",BK238="Did not Meet", BN238="Did not Meet",BQ238="Did not Meet"),"Did not Meet","Met")</f>
        <v>Met</v>
      </c>
    </row>
    <row r="239" spans="1:71" x14ac:dyDescent="0.25">
      <c r="A239" s="343" t="s">
        <v>663</v>
      </c>
      <c r="B239" s="510" t="s">
        <v>1055</v>
      </c>
      <c r="C239" s="511"/>
      <c r="D239" s="444">
        <v>0</v>
      </c>
      <c r="E239" s="343" t="s">
        <v>835</v>
      </c>
      <c r="F239" s="511"/>
      <c r="G239" s="444">
        <v>5606594.1299999999</v>
      </c>
      <c r="H239" s="343" t="s">
        <v>835</v>
      </c>
      <c r="I239" s="511"/>
      <c r="J239" s="444">
        <v>0</v>
      </c>
      <c r="K239" s="343" t="s">
        <v>835</v>
      </c>
      <c r="L239" s="511"/>
      <c r="M239" s="444">
        <v>13380.892911694511</v>
      </c>
      <c r="N239" s="343" t="s">
        <v>835</v>
      </c>
      <c r="O239" s="511"/>
      <c r="P239" s="512" t="str">
        <f t="shared" si="154"/>
        <v>Met</v>
      </c>
      <c r="Q239" s="511"/>
      <c r="R239" s="444">
        <f>VLOOKUP(A239,'2020-21'!$A$6:$F$319,6,0)</f>
        <v>49291.83</v>
      </c>
      <c r="S239" s="513" t="str">
        <f t="shared" si="133"/>
        <v>Met</v>
      </c>
      <c r="U239" s="444">
        <f>VLOOKUP(A239,'2020-21'!$A$6:$G$319,7,0)</f>
        <v>4958984.0200000005</v>
      </c>
      <c r="V239" s="513" t="str">
        <f t="shared" si="134"/>
        <v>Did not Meet</v>
      </c>
      <c r="X239" s="444">
        <f>VLOOKUP(A239,'2020-21'!$A$6:$F$319,6,0)/VLOOKUP(A239,'42. SEA or LEA Worksheet'!$A$4:$T$324,20,0)</f>
        <v>127.6990414507772</v>
      </c>
      <c r="Y239" s="513" t="str">
        <f t="shared" si="135"/>
        <v>Met</v>
      </c>
      <c r="AA239" s="444">
        <f>VLOOKUP(A239,'42. SEA or LEA Worksheet'!$A$4:$W$324,23,0)/VLOOKUP(compliance!A239,'42. SEA or LEA Worksheet'!$A$4:$T$324,20,0)</f>
        <v>12847.108860103628</v>
      </c>
      <c r="AB239" s="513" t="str">
        <f t="shared" si="136"/>
        <v>Did not Meet</v>
      </c>
      <c r="AD239" s="512" t="str">
        <f t="shared" si="148"/>
        <v>Met</v>
      </c>
      <c r="AF239" s="444">
        <f>VLOOKUP(A239,'42. SEA or LEA Worksheet'!$A$4:$Z$324,26,0)</f>
        <v>134295.89000000001</v>
      </c>
      <c r="AG239" s="513" t="str">
        <f t="shared" si="137"/>
        <v>Met</v>
      </c>
      <c r="AI239" s="444">
        <f>VLOOKUP(A239,'42. SEA or LEA Worksheet'!$A$4:$AB$324,28,0)</f>
        <v>5438706.71</v>
      </c>
      <c r="AJ239" s="513" t="str">
        <f t="shared" si="138"/>
        <v>Met</v>
      </c>
      <c r="AL239" s="444">
        <f>VLOOKUP(compliance!A239,'42. SEA or LEA Worksheet'!$A$4:$AB$324,26,0)/VLOOKUP(compliance!A239,'42. SEA or LEA Worksheet'!$A$4:$Y$324,25,0)</f>
        <v>315.99032941176472</v>
      </c>
      <c r="AM239" s="513" t="str">
        <f t="shared" si="139"/>
        <v>Met</v>
      </c>
      <c r="AO239" s="444">
        <f>VLOOKUP(A239,'42. SEA or LEA Worksheet'!$A$4:$AB$324,28,0)/VLOOKUP(compliance!A239,'42. SEA or LEA Worksheet'!$A$4:$Y$324,25,0)</f>
        <v>12796.956964705882</v>
      </c>
      <c r="AP239" s="513" t="str">
        <f t="shared" si="140"/>
        <v>Did not Meet</v>
      </c>
      <c r="AR239" s="534" t="str">
        <f t="shared" si="149"/>
        <v>Met</v>
      </c>
      <c r="AT239" s="444">
        <f>VLOOKUP(A239,'42. SEA or LEA Worksheet'!$A$4:$AE$324,31,0)</f>
        <v>104586.29</v>
      </c>
      <c r="AU239" s="513" t="str">
        <f t="shared" si="142"/>
        <v>Did not Meet</v>
      </c>
      <c r="AW239" s="444">
        <f>VLOOKUP(A239,'42. SEA or LEA Worksheet'!$A$4:$AG$324,33,0)</f>
        <v>5562237.5999999996</v>
      </c>
      <c r="AX239" s="513" t="str">
        <f t="shared" si="143"/>
        <v>Met</v>
      </c>
      <c r="AZ239" s="444">
        <f>VLOOKUP(A239,'42. SEA or LEA Worksheet'!$A$4:$AG$324,31,0)/VLOOKUP(A239,'42. SEA or LEA Worksheet'!$A$4:$AD$324,30,0)</f>
        <v>242.0978935185185</v>
      </c>
      <c r="BA239" s="513" t="str">
        <f t="shared" si="144"/>
        <v>Did not Meet</v>
      </c>
      <c r="BC239" s="444">
        <f>VLOOKUP(A239,'42. SEA or LEA Worksheet'!$A$4:$AG$324,33,0)/VLOOKUP(A239,'42. SEA or LEA Worksheet'!$A$4:$AD$324,30,0)</f>
        <v>12875.55</v>
      </c>
      <c r="BD239" s="513" t="str">
        <f t="shared" si="145"/>
        <v>Met</v>
      </c>
      <c r="BF239" s="512" t="str">
        <f>IF(AND(AU239="Did not Meet",AX239="Did not Meet", BA239="Did not Meet",BD239="Did not Meet"),"Did not Meet","Met")</f>
        <v>Met</v>
      </c>
      <c r="BG239" s="637">
        <f>VLOOKUP(A239,'42. SEA or LEA Worksheet'!$A$4:$AM$324,36,0)</f>
        <v>182492.99</v>
      </c>
      <c r="BH239" s="638" t="str">
        <f t="shared" si="150"/>
        <v>Met</v>
      </c>
      <c r="BI239" s="639"/>
      <c r="BJ239" s="637">
        <f>VLOOKUP(A239,'42. SEA or LEA Worksheet'!$A$4:$AM$324,38,0)</f>
        <v>6298273.6000000006</v>
      </c>
      <c r="BK239" s="638" t="str">
        <f t="shared" si="151"/>
        <v>Met</v>
      </c>
      <c r="BM239" s="631">
        <f>VLOOKUP(A239,'42. SEA or LEA Worksheet'!$A$4:$AL$324,36,0)/VLOOKUP(A239,'42. SEA or LEA Worksheet'!$A$4:$AL$324,35,0)</f>
        <v>411.0202477477477</v>
      </c>
      <c r="BN239" s="632" t="str">
        <f t="shared" si="152"/>
        <v>Met</v>
      </c>
      <c r="BP239" s="631">
        <f>VLOOKUP(A239,'42. SEA or LEA Worksheet'!$A$4:$AL$324,38,0)/VLOOKUP(A239,'42. SEA or LEA Worksheet'!$A$4:$AL$324,35,0)</f>
        <v>14185.300900900902</v>
      </c>
      <c r="BQ239" s="632" t="str">
        <f t="shared" si="153"/>
        <v>Met</v>
      </c>
      <c r="BS239" s="620" t="str">
        <f>IF(AND(BH239="Did not Meet",BK239="Did not Meet", BN239="Did not Meet",BQ239="Did not Meet"),"Did not Meet","Met")</f>
        <v>Met</v>
      </c>
    </row>
    <row r="240" spans="1:71" s="533" customFormat="1" ht="45" x14ac:dyDescent="0.25">
      <c r="A240" s="646" t="s">
        <v>665</v>
      </c>
      <c r="B240" s="647" t="s">
        <v>1444</v>
      </c>
      <c r="C240" s="648"/>
      <c r="D240" s="649">
        <v>0</v>
      </c>
      <c r="E240" s="646" t="s">
        <v>835</v>
      </c>
      <c r="F240" s="648"/>
      <c r="G240" s="627">
        <v>0</v>
      </c>
      <c r="H240" s="646" t="s">
        <v>856</v>
      </c>
      <c r="I240" s="648"/>
      <c r="J240" s="649">
        <v>0</v>
      </c>
      <c r="K240" s="646" t="s">
        <v>1151</v>
      </c>
      <c r="L240" s="648"/>
      <c r="M240" s="649">
        <v>0</v>
      </c>
      <c r="N240" s="646" t="s">
        <v>1151</v>
      </c>
      <c r="O240" s="648"/>
      <c r="P240" s="650" t="str">
        <f t="shared" si="154"/>
        <v>Met</v>
      </c>
      <c r="Q240" s="648"/>
      <c r="R240" s="649">
        <f>VLOOKUP(A240,'2020-21'!$A$6:$F$319,6,0)</f>
        <v>0</v>
      </c>
      <c r="S240" s="651" t="str">
        <f t="shared" si="133"/>
        <v>Met</v>
      </c>
      <c r="T240" s="648"/>
      <c r="U240" s="649">
        <f>VLOOKUP(A240,'2020-21'!$A$6:$G$319,7,0)</f>
        <v>2299.06</v>
      </c>
      <c r="V240" s="629" t="str">
        <f t="shared" si="134"/>
        <v>Met</v>
      </c>
      <c r="W240" s="648"/>
      <c r="X240" s="649">
        <v>0</v>
      </c>
      <c r="Y240" s="651" t="str">
        <f t="shared" si="135"/>
        <v>Met</v>
      </c>
      <c r="Z240" s="648"/>
      <c r="AA240" s="649">
        <v>0</v>
      </c>
      <c r="AB240" s="651" t="str">
        <f t="shared" si="136"/>
        <v>Met</v>
      </c>
      <c r="AC240" s="648"/>
      <c r="AD240" s="650" t="str">
        <f t="shared" si="148"/>
        <v>Met</v>
      </c>
      <c r="AE240" s="648"/>
      <c r="AF240" s="627">
        <f>VLOOKUP(A240,'42. SEA or LEA Worksheet'!$A$4:$Z$324,26,0)</f>
        <v>0</v>
      </c>
      <c r="AG240" s="651" t="str">
        <f t="shared" si="137"/>
        <v>Met</v>
      </c>
      <c r="AH240" s="648"/>
      <c r="AI240" s="627">
        <f>VLOOKUP(A240,'42. SEA or LEA Worksheet'!$A$4:$AB$324,28,0)</f>
        <v>0</v>
      </c>
      <c r="AJ240" s="651" t="str">
        <f t="shared" si="138"/>
        <v>Did not Meet</v>
      </c>
      <c r="AK240" s="648"/>
      <c r="AL240" s="627">
        <v>0</v>
      </c>
      <c r="AM240" s="651" t="str">
        <f t="shared" si="139"/>
        <v>Met</v>
      </c>
      <c r="AN240" s="648"/>
      <c r="AO240" s="627">
        <v>0</v>
      </c>
      <c r="AP240" s="651" t="str">
        <f t="shared" si="140"/>
        <v>Met</v>
      </c>
      <c r="AQ240" s="648"/>
      <c r="AR240" s="650" t="s">
        <v>1445</v>
      </c>
      <c r="AS240" s="648"/>
      <c r="AT240" s="627">
        <f>VLOOKUP(A240,'42. SEA or LEA Worksheet'!$A$4:$AE$324,31,0)</f>
        <v>0</v>
      </c>
      <c r="AU240" s="651" t="s">
        <v>1151</v>
      </c>
      <c r="AV240" s="648"/>
      <c r="AW240" s="627">
        <f>VLOOKUP(A240,'42. SEA or LEA Worksheet'!$A$4:$AG$324,33,0)</f>
        <v>0</v>
      </c>
      <c r="AX240" s="651" t="s">
        <v>1151</v>
      </c>
      <c r="AY240" s="648"/>
      <c r="AZ240" s="627">
        <v>0</v>
      </c>
      <c r="BA240" s="651" t="s">
        <v>1151</v>
      </c>
      <c r="BB240" s="648"/>
      <c r="BC240" s="627">
        <v>0</v>
      </c>
      <c r="BD240" s="629" t="str">
        <f t="shared" si="145"/>
        <v>Met</v>
      </c>
      <c r="BE240" s="648"/>
      <c r="BF240" s="650" t="s">
        <v>1373</v>
      </c>
      <c r="BG240" s="637">
        <f>VLOOKUP(A240,'42. SEA or LEA Worksheet'!$A$4:$AM$324,36,0)</f>
        <v>0</v>
      </c>
      <c r="BH240" s="633" t="str">
        <f t="shared" si="150"/>
        <v>Met</v>
      </c>
      <c r="BI240" s="652"/>
      <c r="BJ240" s="637">
        <f>VLOOKUP(A240,'42. SEA or LEA Worksheet'!$A$4:$AM$324,38,0)</f>
        <v>1834.58</v>
      </c>
      <c r="BK240" s="633" t="str">
        <f t="shared" si="151"/>
        <v>Met</v>
      </c>
      <c r="BL240" s="652"/>
      <c r="BM240" s="631">
        <f>VLOOKUP(A240,'42. SEA or LEA Worksheet'!$A$4:$AL$324,36,0)/VLOOKUP(A240,'42. SEA or LEA Worksheet'!$A$4:$AL$324,35,0)</f>
        <v>0</v>
      </c>
      <c r="BN240" s="633" t="str">
        <f t="shared" si="152"/>
        <v>Met</v>
      </c>
      <c r="BO240" s="635"/>
      <c r="BP240" s="631">
        <f>VLOOKUP(A240,'42. SEA or LEA Worksheet'!$A$4:$AL$324,38,0)/VLOOKUP(A240,'42. SEA or LEA Worksheet'!$A$4:$AL$324,35,0)</f>
        <v>1834.58</v>
      </c>
      <c r="BQ240" s="633" t="str">
        <f t="shared" si="153"/>
        <v>Met</v>
      </c>
      <c r="BR240" s="652"/>
      <c r="BS240" s="653" t="s">
        <v>1373</v>
      </c>
    </row>
    <row r="241" spans="1:71" x14ac:dyDescent="0.25">
      <c r="A241" s="343" t="s">
        <v>667</v>
      </c>
      <c r="B241" s="510" t="s">
        <v>1056</v>
      </c>
      <c r="C241" s="511"/>
      <c r="D241" s="444">
        <v>868585.8</v>
      </c>
      <c r="E241" s="343" t="s">
        <v>856</v>
      </c>
      <c r="F241" s="511"/>
      <c r="G241" s="444">
        <v>8172075.8399999999</v>
      </c>
      <c r="H241" s="343" t="s">
        <v>835</v>
      </c>
      <c r="I241" s="511"/>
      <c r="J241" s="444">
        <v>1237.3017094017096</v>
      </c>
      <c r="K241" s="343" t="s">
        <v>856</v>
      </c>
      <c r="L241" s="511"/>
      <c r="M241" s="444">
        <v>11641.133675213676</v>
      </c>
      <c r="N241" s="343" t="s">
        <v>835</v>
      </c>
      <c r="O241" s="511"/>
      <c r="P241" s="512" t="str">
        <f t="shared" si="154"/>
        <v>Met</v>
      </c>
      <c r="Q241" s="511"/>
      <c r="R241" s="444">
        <f>VLOOKUP(A241,'2020-21'!$A$6:$F$319,6,0)</f>
        <v>1110071.82</v>
      </c>
      <c r="S241" s="513" t="str">
        <f t="shared" si="133"/>
        <v>Met</v>
      </c>
      <c r="U241" s="444">
        <f>VLOOKUP(A241,'2020-21'!$A$6:$G$319,7,0)</f>
        <v>7891591.5200000005</v>
      </c>
      <c r="V241" s="513" t="str">
        <f t="shared" si="134"/>
        <v>Did not Meet</v>
      </c>
      <c r="X241" s="444">
        <f>VLOOKUP(A241,'2020-21'!$A$6:$F$319,6,0)/VLOOKUP(A241,'42. SEA or LEA Worksheet'!$A$4:$T$324,20,0)</f>
        <v>1756.442753164557</v>
      </c>
      <c r="Y241" s="513" t="str">
        <f t="shared" si="135"/>
        <v>Met</v>
      </c>
      <c r="AA241" s="444">
        <f>VLOOKUP(A241,'42. SEA or LEA Worksheet'!$A$4:$W$324,23,0)/VLOOKUP(compliance!A241,'42. SEA or LEA Worksheet'!$A$4:$T$324,20,0)</f>
        <v>12486.695443037976</v>
      </c>
      <c r="AB241" s="513" t="str">
        <f t="shared" si="136"/>
        <v>Met</v>
      </c>
      <c r="AD241" s="512" t="str">
        <f t="shared" si="148"/>
        <v>Met</v>
      </c>
      <c r="AF241" s="444">
        <f>VLOOKUP(A241,'42. SEA or LEA Worksheet'!$A$4:$Z$324,26,0)</f>
        <v>1211828.17</v>
      </c>
      <c r="AG241" s="513" t="str">
        <f t="shared" si="137"/>
        <v>Met</v>
      </c>
      <c r="AI241" s="444">
        <f>VLOOKUP(A241,'42. SEA or LEA Worksheet'!$A$4:$AB$324,28,0)</f>
        <v>7995032.1100000003</v>
      </c>
      <c r="AJ241" s="513" t="str">
        <f t="shared" si="138"/>
        <v>Met</v>
      </c>
      <c r="AL241" s="444">
        <f>VLOOKUP(compliance!A241,'42. SEA or LEA Worksheet'!$A$4:$AB$324,26,0)/VLOOKUP(compliance!A241,'42. SEA or LEA Worksheet'!$A$4:$Y$324,25,0)</f>
        <v>1942.0323237179487</v>
      </c>
      <c r="AM241" s="513" t="str">
        <f t="shared" si="139"/>
        <v>Met</v>
      </c>
      <c r="AO241" s="444">
        <f>VLOOKUP(A241,'42. SEA or LEA Worksheet'!$A$4:$AB$324,28,0)/VLOOKUP(compliance!A241,'42. SEA or LEA Worksheet'!$A$4:$Y$324,25,0)</f>
        <v>12812.551458333333</v>
      </c>
      <c r="AP241" s="513" t="str">
        <f t="shared" si="140"/>
        <v>Met</v>
      </c>
      <c r="AR241" s="512" t="str">
        <f t="shared" ref="AR241:AR247" si="155">IF(AND(AG241="Did not Meet",AJ241="Did not Meet", AM241="Did not Meet",AP241="Did not Meet"),"Did not Meet","Met")</f>
        <v>Met</v>
      </c>
      <c r="AT241" s="444">
        <f>VLOOKUP(A241,'42. SEA or LEA Worksheet'!$A$4:$AE$324,31,0)</f>
        <v>1585233.45</v>
      </c>
      <c r="AU241" s="513" t="str">
        <f t="shared" ref="AU241:AU259" si="156">IF(AT241&gt;=AF241,"Met","Did not Meet")</f>
        <v>Met</v>
      </c>
      <c r="AW241" s="444">
        <f>VLOOKUP(A241,'42. SEA or LEA Worksheet'!$A$4:$AG$324,33,0)</f>
        <v>9150113.5999999996</v>
      </c>
      <c r="AX241" s="513" t="str">
        <f t="shared" ref="AX241:AX259" si="157">IF(AW241&gt;=AI241,"Met","Did not Meet")</f>
        <v>Met</v>
      </c>
      <c r="AZ241" s="444">
        <f>VLOOKUP(A241,'42. SEA or LEA Worksheet'!$A$4:$AG$324,31,0)/VLOOKUP(A241,'42. SEA or LEA Worksheet'!$A$4:$AD$324,30,0)</f>
        <v>2416.5144054878047</v>
      </c>
      <c r="BA241" s="513" t="str">
        <f t="shared" ref="BA241:BA259" si="158">IF(AZ241&gt;=AL241,"Met","Did not Meet")</f>
        <v>Met</v>
      </c>
      <c r="BC241" s="444">
        <f>VLOOKUP(A241,'42. SEA or LEA Worksheet'!$A$4:$AG$324,33,0)/VLOOKUP(A241,'42. SEA or LEA Worksheet'!$A$4:$AD$324,30,0)</f>
        <v>13948.343902439025</v>
      </c>
      <c r="BD241" s="513" t="str">
        <f t="shared" si="145"/>
        <v>Met</v>
      </c>
      <c r="BF241" s="512" t="str">
        <f>IF(AND(AU241="Did not Meet",AX241="Did not Meet", BA241="Did not Meet",BD241="Did not Meet",),"Did not Meet","Met")</f>
        <v>Met</v>
      </c>
      <c r="BG241" s="637">
        <f>VLOOKUP(A241,'42. SEA or LEA Worksheet'!$A$4:$AM$324,36,0)</f>
        <v>1226572.5900000001</v>
      </c>
      <c r="BH241" s="638" t="str">
        <f t="shared" si="150"/>
        <v>Did not Meet</v>
      </c>
      <c r="BI241" s="639"/>
      <c r="BJ241" s="637">
        <f>VLOOKUP(A241,'42. SEA or LEA Worksheet'!$A$4:$AM$324,38,0)</f>
        <v>10447433.709999999</v>
      </c>
      <c r="BK241" s="638" t="str">
        <f t="shared" si="151"/>
        <v>Met</v>
      </c>
      <c r="BM241" s="631">
        <f>VLOOKUP(A241,'42. SEA or LEA Worksheet'!$A$4:$AL$324,36,0)/VLOOKUP(A241,'42. SEA or LEA Worksheet'!$A$4:$AL$324,35,0)</f>
        <v>1689.4939256198347</v>
      </c>
      <c r="BN241" s="632" t="str">
        <f t="shared" si="152"/>
        <v>Met</v>
      </c>
      <c r="BP241" s="631">
        <f>VLOOKUP(A241,'42. SEA or LEA Worksheet'!$A$4:$AL$324,38,0)/VLOOKUP(A241,'42. SEA or LEA Worksheet'!$A$4:$AL$324,35,0)</f>
        <v>14390.404559228649</v>
      </c>
      <c r="BQ241" s="632" t="str">
        <f t="shared" si="153"/>
        <v>Met</v>
      </c>
      <c r="BS241" s="620" t="str">
        <f>IF(AND(BH241="Did not Meet",BK241="Did not Meet", BN241="Did not Meet",BQ241="Did not Meet",),"Did not Meet","Met")</f>
        <v>Met</v>
      </c>
    </row>
    <row r="242" spans="1:71" x14ac:dyDescent="0.25">
      <c r="A242" s="343" t="s">
        <v>669</v>
      </c>
      <c r="B242" s="510" t="s">
        <v>1057</v>
      </c>
      <c r="C242" s="511"/>
      <c r="D242" s="444">
        <v>5042195.3600000003</v>
      </c>
      <c r="E242" s="343" t="s">
        <v>856</v>
      </c>
      <c r="F242" s="511"/>
      <c r="G242" s="444">
        <v>20961278.859999999</v>
      </c>
      <c r="H242" s="343" t="s">
        <v>835</v>
      </c>
      <c r="I242" s="511"/>
      <c r="J242" s="444">
        <v>4403.6640698689962</v>
      </c>
      <c r="K242" s="343" t="s">
        <v>856</v>
      </c>
      <c r="L242" s="511"/>
      <c r="M242" s="444">
        <v>18306.793764192138</v>
      </c>
      <c r="N242" s="343" t="s">
        <v>856</v>
      </c>
      <c r="O242" s="511"/>
      <c r="P242" s="512" t="str">
        <f t="shared" si="154"/>
        <v>Met</v>
      </c>
      <c r="Q242" s="511"/>
      <c r="R242" s="444">
        <f>VLOOKUP(A242,'2020-21'!$A$6:$F$319,6,0)</f>
        <v>6865669.5</v>
      </c>
      <c r="S242" s="513" t="str">
        <f t="shared" si="133"/>
        <v>Met</v>
      </c>
      <c r="U242" s="444">
        <f>VLOOKUP(A242,'2020-21'!$A$6:$G$319,7,0)</f>
        <v>21720819.16</v>
      </c>
      <c r="V242" s="513" t="str">
        <f t="shared" si="134"/>
        <v>Met</v>
      </c>
      <c r="X242" s="444">
        <f>VLOOKUP(A242,'2020-21'!$A$6:$F$319,6,0)/VLOOKUP(A242,'42. SEA or LEA Worksheet'!$A$4:$T$324,20,0)</f>
        <v>6264.2969890510949</v>
      </c>
      <c r="Y242" s="513" t="str">
        <f t="shared" si="135"/>
        <v>Met</v>
      </c>
      <c r="AA242" s="444">
        <f>VLOOKUP(A242,'42. SEA or LEA Worksheet'!$A$4:$W$324,23,0)/VLOOKUP(compliance!A242,'42. SEA or LEA Worksheet'!$A$4:$T$324,20,0)</f>
        <v>19818.265656934305</v>
      </c>
      <c r="AB242" s="513" t="str">
        <f t="shared" si="136"/>
        <v>Met</v>
      </c>
      <c r="AD242" s="512" t="str">
        <f t="shared" si="148"/>
        <v>Met</v>
      </c>
      <c r="AF242" s="444">
        <f>VLOOKUP(A242,'42. SEA or LEA Worksheet'!$A$4:$Z$324,26,0)</f>
        <v>6909025.8700000001</v>
      </c>
      <c r="AG242" s="513" t="str">
        <f t="shared" si="137"/>
        <v>Met</v>
      </c>
      <c r="AI242" s="444">
        <f>VLOOKUP(A242,'42. SEA or LEA Worksheet'!$A$4:$AB$324,28,0)</f>
        <v>22074204.870000001</v>
      </c>
      <c r="AJ242" s="513" t="str">
        <f t="shared" si="138"/>
        <v>Met</v>
      </c>
      <c r="AL242" s="444">
        <f>VLOOKUP(compliance!A242,'42. SEA or LEA Worksheet'!$A$4:$AB$324,26,0)/VLOOKUP(compliance!A242,'42. SEA or LEA Worksheet'!$A$4:$Y$324,25,0)</f>
        <v>6275.2278564940962</v>
      </c>
      <c r="AM242" s="513" t="str">
        <f t="shared" si="139"/>
        <v>Met</v>
      </c>
      <c r="AO242" s="444">
        <f>VLOOKUP(A242,'42. SEA or LEA Worksheet'!$A$4:$AB$324,28,0)/VLOOKUP(compliance!A242,'42. SEA or LEA Worksheet'!$A$4:$Y$324,25,0)</f>
        <v>20049.232397820164</v>
      </c>
      <c r="AP242" s="513" t="str">
        <f t="shared" si="140"/>
        <v>Met</v>
      </c>
      <c r="AR242" s="512" t="str">
        <f t="shared" si="155"/>
        <v>Met</v>
      </c>
      <c r="AT242" s="444">
        <f>VLOOKUP(A242,'42. SEA or LEA Worksheet'!$A$4:$AE$324,31,0)</f>
        <v>5529730</v>
      </c>
      <c r="AU242" s="513" t="str">
        <f t="shared" si="156"/>
        <v>Did not Meet</v>
      </c>
      <c r="AW242" s="444">
        <f>VLOOKUP(A242,'42. SEA or LEA Worksheet'!$A$4:$AG$324,33,0)</f>
        <v>22260057.869999997</v>
      </c>
      <c r="AX242" s="513" t="str">
        <f t="shared" si="157"/>
        <v>Met</v>
      </c>
      <c r="AZ242" s="444">
        <f>VLOOKUP(A242,'42. SEA or LEA Worksheet'!$A$4:$AG$324,31,0)/VLOOKUP(A242,'42. SEA or LEA Worksheet'!$A$4:$AD$324,30,0)</f>
        <v>4977.2547254725469</v>
      </c>
      <c r="BA242" s="513" t="str">
        <f t="shared" si="158"/>
        <v>Did not Meet</v>
      </c>
      <c r="BC242" s="444">
        <f>VLOOKUP(A242,'42. SEA or LEA Worksheet'!$A$4:$AG$324,33,0)/VLOOKUP(A242,'42. SEA or LEA Worksheet'!$A$4:$AD$324,30,0)</f>
        <v>20036.055688568853</v>
      </c>
      <c r="BD242" s="513" t="str">
        <f t="shared" si="145"/>
        <v>Did not Meet</v>
      </c>
      <c r="BF242" s="512" t="str">
        <f>IF(AND(AU242="Did not Meet",AX242="Did not Meet", BA242="Did not Meet",BD242="Did not Meet",),"Did not Meet","Met")</f>
        <v>Met</v>
      </c>
      <c r="BG242" s="637">
        <f>VLOOKUP(A242,'42. SEA or LEA Worksheet'!$A$4:$AM$324,36,0)</f>
        <v>607848.36</v>
      </c>
      <c r="BH242" s="638" t="str">
        <f t="shared" si="150"/>
        <v>Did not Meet</v>
      </c>
      <c r="BI242" s="639"/>
      <c r="BJ242" s="637">
        <f>VLOOKUP(A242,'42. SEA or LEA Worksheet'!$A$4:$AM$324,38,0)</f>
        <v>26080623.719999999</v>
      </c>
      <c r="BK242" s="638" t="str">
        <f t="shared" si="151"/>
        <v>Met</v>
      </c>
      <c r="BM242" s="631">
        <f>VLOOKUP(A242,'42. SEA or LEA Worksheet'!$A$4:$AL$324,36,0)/VLOOKUP(A242,'42. SEA or LEA Worksheet'!$A$4:$AL$324,35,0)</f>
        <v>477.49282010997644</v>
      </c>
      <c r="BN242" s="632" t="str">
        <f t="shared" si="152"/>
        <v>Met</v>
      </c>
      <c r="BP242" s="631">
        <f>VLOOKUP(A242,'42. SEA or LEA Worksheet'!$A$4:$AL$324,38,0)/VLOOKUP(A242,'42. SEA or LEA Worksheet'!$A$4:$AL$324,35,0)</f>
        <v>20487.528452474467</v>
      </c>
      <c r="BQ242" s="632" t="str">
        <f t="shared" si="153"/>
        <v>Met</v>
      </c>
      <c r="BS242" s="620" t="str">
        <f>IF(AND(BH242="Did not Meet",BK242="Did not Meet", BN242="Did not Meet",BQ242="Did not Meet",),"Did not Meet","Met")</f>
        <v>Met</v>
      </c>
    </row>
    <row r="243" spans="1:71" x14ac:dyDescent="0.25">
      <c r="A243" s="343" t="s">
        <v>671</v>
      </c>
      <c r="B243" s="510" t="s">
        <v>1058</v>
      </c>
      <c r="C243" s="511"/>
      <c r="D243" s="444">
        <v>0</v>
      </c>
      <c r="E243" s="343" t="s">
        <v>835</v>
      </c>
      <c r="F243" s="511"/>
      <c r="G243" s="444">
        <v>117778.32</v>
      </c>
      <c r="H243" s="343" t="s">
        <v>880</v>
      </c>
      <c r="I243" s="511"/>
      <c r="J243" s="444">
        <v>0</v>
      </c>
      <c r="K243" s="343" t="s">
        <v>835</v>
      </c>
      <c r="L243" s="511"/>
      <c r="M243" s="444">
        <v>9059.8707692307689</v>
      </c>
      <c r="N243" s="343" t="s">
        <v>856</v>
      </c>
      <c r="O243" s="511"/>
      <c r="P243" s="512" t="str">
        <f t="shared" si="154"/>
        <v>Met</v>
      </c>
      <c r="Q243" s="511"/>
      <c r="R243" s="444">
        <f>VLOOKUP(A243,'2020-21'!$A$6:$F$319,6,0)</f>
        <v>0</v>
      </c>
      <c r="S243" s="513" t="str">
        <f t="shared" si="133"/>
        <v>Met</v>
      </c>
      <c r="U243" s="444">
        <f>VLOOKUP(A243,'2020-21'!$A$6:$G$319,7,0)</f>
        <v>78454.92</v>
      </c>
      <c r="V243" s="513" t="str">
        <f t="shared" si="134"/>
        <v>Did not Meet</v>
      </c>
      <c r="X243" s="444">
        <v>0</v>
      </c>
      <c r="Y243" s="513" t="str">
        <f t="shared" si="135"/>
        <v>Met</v>
      </c>
      <c r="AA243" s="444">
        <f>VLOOKUP(A243,'42. SEA or LEA Worksheet'!$A$4:$W$324,23,0)/VLOOKUP(compliance!A243,'42. SEA or LEA Worksheet'!$A$4:$T$324,20,0)</f>
        <v>8717.2133333333331</v>
      </c>
      <c r="AB243" s="513" t="str">
        <f t="shared" si="136"/>
        <v>Did not Meet</v>
      </c>
      <c r="AD243" s="512" t="str">
        <f t="shared" si="148"/>
        <v>Met</v>
      </c>
      <c r="AF243" s="444">
        <f>VLOOKUP(A243,'42. SEA or LEA Worksheet'!$A$4:$Z$324,26,0)</f>
        <v>0</v>
      </c>
      <c r="AG243" s="513" t="str">
        <f t="shared" si="137"/>
        <v>Met</v>
      </c>
      <c r="AI243" s="444">
        <f>VLOOKUP(A243,'42. SEA or LEA Worksheet'!$A$4:$AB$324,28,0)</f>
        <v>90508.21</v>
      </c>
      <c r="AJ243" s="513" t="str">
        <f t="shared" si="138"/>
        <v>Met</v>
      </c>
      <c r="AL243" s="444">
        <f>VLOOKUP(compliance!A243,'42. SEA or LEA Worksheet'!$A$4:$AB$324,26,0)/VLOOKUP(compliance!A243,'42. SEA or LEA Worksheet'!$A$4:$Y$324,25,0)</f>
        <v>0</v>
      </c>
      <c r="AM243" s="513" t="str">
        <f t="shared" si="139"/>
        <v>Met</v>
      </c>
      <c r="AO243" s="444">
        <f>VLOOKUP(A243,'42. SEA or LEA Worksheet'!$A$4:$AB$324,28,0)/VLOOKUP(compliance!A243,'42. SEA or LEA Worksheet'!$A$4:$Y$324,25,0)</f>
        <v>10056.467777777778</v>
      </c>
      <c r="AP243" s="513" t="str">
        <f t="shared" si="140"/>
        <v>Met</v>
      </c>
      <c r="AR243" s="512" t="str">
        <f t="shared" si="155"/>
        <v>Met</v>
      </c>
      <c r="AT243" s="444">
        <f>VLOOKUP(A243,'42. SEA or LEA Worksheet'!$A$4:$AE$324,31,0)</f>
        <v>0</v>
      </c>
      <c r="AU243" s="513" t="str">
        <f t="shared" si="156"/>
        <v>Met</v>
      </c>
      <c r="AW243" s="444">
        <f>VLOOKUP(A243,'42. SEA or LEA Worksheet'!$A$4:$AG$324,33,0)</f>
        <v>91259.67</v>
      </c>
      <c r="AX243" s="513" t="str">
        <f t="shared" si="157"/>
        <v>Met</v>
      </c>
      <c r="AZ243" s="444">
        <f>VLOOKUP(A243,'42. SEA or LEA Worksheet'!$A$4:$AG$324,31,0)/VLOOKUP(A243,'42. SEA or LEA Worksheet'!$A$4:$AD$324,30,0)</f>
        <v>0</v>
      </c>
      <c r="BA243" s="513" t="str">
        <f t="shared" si="158"/>
        <v>Met</v>
      </c>
      <c r="BC243" s="444">
        <f>VLOOKUP(A243,'42. SEA or LEA Worksheet'!$A$4:$AG$324,33,0)/VLOOKUP(A243,'42. SEA or LEA Worksheet'!$A$4:$AD$324,30,0)</f>
        <v>11407.45875</v>
      </c>
      <c r="BD243" s="513" t="str">
        <f t="shared" si="145"/>
        <v>Met</v>
      </c>
      <c r="BF243" s="512" t="str">
        <f>IF(AND(AU243="Did not Meet",AX243="Did not Meet", BA243="Did not Meet",BD243="Did not Meet"),"Did not Meet","Met")</f>
        <v>Met</v>
      </c>
      <c r="BG243" s="637">
        <f>VLOOKUP(A243,'42. SEA or LEA Worksheet'!$A$4:$AM$324,36,0)</f>
        <v>0</v>
      </c>
      <c r="BH243" s="638" t="str">
        <f t="shared" si="150"/>
        <v>Met</v>
      </c>
      <c r="BI243" s="639"/>
      <c r="BJ243" s="637">
        <f>VLOOKUP(A243,'42. SEA or LEA Worksheet'!$A$4:$AM$324,38,0)</f>
        <v>96775.2</v>
      </c>
      <c r="BK243" s="638" t="str">
        <f t="shared" si="151"/>
        <v>Met</v>
      </c>
      <c r="BM243" s="631">
        <f>VLOOKUP(A243,'42. SEA or LEA Worksheet'!$A$4:$AL$324,36,0)/VLOOKUP(A243,'42. SEA or LEA Worksheet'!$A$4:$AL$324,35,0)</f>
        <v>0</v>
      </c>
      <c r="BN243" s="632" t="str">
        <f t="shared" si="152"/>
        <v>Met</v>
      </c>
      <c r="BP243" s="631">
        <f>VLOOKUP(A243,'42. SEA or LEA Worksheet'!$A$4:$AL$324,38,0)/VLOOKUP(A243,'42. SEA or LEA Worksheet'!$A$4:$AL$324,35,0)</f>
        <v>8797.7454545454548</v>
      </c>
      <c r="BQ243" s="632" t="str">
        <f t="shared" si="153"/>
        <v>Met</v>
      </c>
      <c r="BS243" s="620" t="str">
        <f>IF(AND(BH243="Did not Meet",BK243="Did not Meet", BN243="Did not Meet",BQ243="Did not Meet"),"Did not Meet","Met")</f>
        <v>Met</v>
      </c>
    </row>
    <row r="244" spans="1:71" x14ac:dyDescent="0.25">
      <c r="A244" s="343" t="s">
        <v>673</v>
      </c>
      <c r="B244" s="510" t="s">
        <v>1059</v>
      </c>
      <c r="C244" s="511"/>
      <c r="D244" s="444">
        <v>0</v>
      </c>
      <c r="E244" s="343" t="s">
        <v>835</v>
      </c>
      <c r="F244" s="511"/>
      <c r="G244" s="444">
        <v>239720.58</v>
      </c>
      <c r="H244" s="343" t="s">
        <v>835</v>
      </c>
      <c r="I244" s="511"/>
      <c r="J244" s="444">
        <v>0</v>
      </c>
      <c r="K244" s="343" t="s">
        <v>835</v>
      </c>
      <c r="L244" s="511"/>
      <c r="M244" s="444">
        <v>10896.39</v>
      </c>
      <c r="N244" s="343" t="s">
        <v>856</v>
      </c>
      <c r="O244" s="511"/>
      <c r="P244" s="512" t="str">
        <f t="shared" si="154"/>
        <v>Met</v>
      </c>
      <c r="Q244" s="511"/>
      <c r="R244" s="444">
        <f>VLOOKUP(A244,'2020-21'!$A$6:$F$319,6,0)</f>
        <v>0</v>
      </c>
      <c r="S244" s="513" t="str">
        <f t="shared" si="133"/>
        <v>Met</v>
      </c>
      <c r="U244" s="444">
        <f>VLOOKUP(A244,'2020-21'!$A$6:$G$319,7,0)</f>
        <v>228084.95</v>
      </c>
      <c r="V244" s="513" t="str">
        <f t="shared" si="134"/>
        <v>Did not Meet</v>
      </c>
      <c r="X244" s="444">
        <f>VLOOKUP(A244,'2020-21'!$A$6:$F$319,6,0)/VLOOKUP(A244,'42. SEA or LEA Worksheet'!$A$4:$T$324,20,0)</f>
        <v>0</v>
      </c>
      <c r="Y244" s="513" t="str">
        <f t="shared" si="135"/>
        <v>Met</v>
      </c>
      <c r="AA244" s="444">
        <f>VLOOKUP(A244,'42. SEA or LEA Worksheet'!$A$4:$W$324,23,0)/VLOOKUP(compliance!A244,'42. SEA or LEA Worksheet'!$A$4:$T$324,20,0)</f>
        <v>14255.309375000001</v>
      </c>
      <c r="AB244" s="513" t="str">
        <f t="shared" si="136"/>
        <v>Met</v>
      </c>
      <c r="AD244" s="512" t="str">
        <f t="shared" si="148"/>
        <v>Met</v>
      </c>
      <c r="AF244" s="444">
        <f>VLOOKUP(A244,'42. SEA or LEA Worksheet'!$A$4:$Z$324,26,0)</f>
        <v>0</v>
      </c>
      <c r="AG244" s="513" t="str">
        <f t="shared" si="137"/>
        <v>Met</v>
      </c>
      <c r="AI244" s="444">
        <f>VLOOKUP(A244,'42. SEA or LEA Worksheet'!$A$4:$AB$324,28,0)</f>
        <v>204724.08</v>
      </c>
      <c r="AJ244" s="513" t="str">
        <f t="shared" si="138"/>
        <v>Did not Meet</v>
      </c>
      <c r="AL244" s="444">
        <f>VLOOKUP(compliance!A244,'42. SEA or LEA Worksheet'!$A$4:$AB$324,26,0)/VLOOKUP(compliance!A244,'42. SEA or LEA Worksheet'!$A$4:$Y$324,25,0)</f>
        <v>0</v>
      </c>
      <c r="AM244" s="513" t="str">
        <f t="shared" si="139"/>
        <v>Met</v>
      </c>
      <c r="AO244" s="444">
        <f>VLOOKUP(A244,'42. SEA or LEA Worksheet'!$A$4:$AB$324,28,0)/VLOOKUP(compliance!A244,'42. SEA or LEA Worksheet'!$A$4:$Y$324,25,0)</f>
        <v>14623.14857142857</v>
      </c>
      <c r="AP244" s="513" t="str">
        <f t="shared" si="140"/>
        <v>Met</v>
      </c>
      <c r="AR244" s="512" t="str">
        <f t="shared" si="155"/>
        <v>Met</v>
      </c>
      <c r="AT244" s="444">
        <f>VLOOKUP(A244,'42. SEA or LEA Worksheet'!$A$4:$AE$324,31,0)</f>
        <v>142114.82</v>
      </c>
      <c r="AU244" s="513" t="str">
        <f t="shared" si="156"/>
        <v>Met</v>
      </c>
      <c r="AW244" s="444">
        <f>VLOOKUP(A244,'42. SEA or LEA Worksheet'!$A$4:$AG$324,33,0)</f>
        <v>208295.55</v>
      </c>
      <c r="AX244" s="513" t="str">
        <f t="shared" si="157"/>
        <v>Met</v>
      </c>
      <c r="AZ244" s="444">
        <f>VLOOKUP(A244,'42. SEA or LEA Worksheet'!$A$4:$AG$324,31,0)/VLOOKUP(A244,'42. SEA or LEA Worksheet'!$A$4:$AD$324,30,0)</f>
        <v>10931.909230769232</v>
      </c>
      <c r="BA244" s="513" t="str">
        <f t="shared" si="158"/>
        <v>Met</v>
      </c>
      <c r="BC244" s="444">
        <f>VLOOKUP(A244,'42. SEA or LEA Worksheet'!$A$4:$AG$324,33,0)/VLOOKUP(A244,'42. SEA or LEA Worksheet'!$A$4:$AD$324,30,0)</f>
        <v>16022.734615384614</v>
      </c>
      <c r="BD244" s="513" t="str">
        <f t="shared" si="145"/>
        <v>Met</v>
      </c>
      <c r="BF244" s="512" t="str">
        <f>IF(AND(AU244="Did not Meet",AX244="Did not Meet", BA244="Did not Meet",BD244="Did not Meet"),"Did not Meet","Met")</f>
        <v>Met</v>
      </c>
      <c r="BG244" s="637">
        <f>VLOOKUP(A244,'42. SEA or LEA Worksheet'!$A$4:$AM$324,36,0)</f>
        <v>120184.54</v>
      </c>
      <c r="BH244" s="638" t="str">
        <f t="shared" si="150"/>
        <v>Did not Meet</v>
      </c>
      <c r="BI244" s="639"/>
      <c r="BJ244" s="637">
        <f>VLOOKUP(A244,'42. SEA or LEA Worksheet'!$A$4:$AM$324,38,0)</f>
        <v>224031.31</v>
      </c>
      <c r="BK244" s="638" t="str">
        <f t="shared" si="151"/>
        <v>Met</v>
      </c>
      <c r="BM244" s="631">
        <f>VLOOKUP(A244,'42. SEA or LEA Worksheet'!$A$4:$AL$324,36,0)/VLOOKUP(A244,'42. SEA or LEA Worksheet'!$A$4:$AL$324,35,0)</f>
        <v>7511.5337499999996</v>
      </c>
      <c r="BN244" s="632" t="str">
        <f t="shared" si="152"/>
        <v>Met</v>
      </c>
      <c r="BP244" s="631">
        <f>VLOOKUP(A244,'42. SEA or LEA Worksheet'!$A$4:$AL$324,38,0)/VLOOKUP(A244,'42. SEA or LEA Worksheet'!$A$4:$AL$324,35,0)</f>
        <v>14001.956875</v>
      </c>
      <c r="BQ244" s="632" t="str">
        <f t="shared" si="153"/>
        <v>Met</v>
      </c>
      <c r="BS244" s="620" t="str">
        <f>IF(AND(BH244="Did not Meet",BK244="Did not Meet", BN244="Did not Meet",BQ244="Did not Meet"),"Did not Meet","Met")</f>
        <v>Met</v>
      </c>
    </row>
    <row r="245" spans="1:71" x14ac:dyDescent="0.25">
      <c r="A245" s="343" t="s">
        <v>675</v>
      </c>
      <c r="B245" s="510" t="s">
        <v>1060</v>
      </c>
      <c r="C245" s="511"/>
      <c r="D245" s="444">
        <v>0</v>
      </c>
      <c r="E245" s="343" t="s">
        <v>856</v>
      </c>
      <c r="F245" s="511"/>
      <c r="G245" s="444">
        <v>19009224.129999999</v>
      </c>
      <c r="H245" s="343" t="s">
        <v>880</v>
      </c>
      <c r="I245" s="511"/>
      <c r="J245" s="444">
        <v>0</v>
      </c>
      <c r="K245" s="343" t="s">
        <v>856</v>
      </c>
      <c r="L245" s="511"/>
      <c r="M245" s="444">
        <v>15207.379304</v>
      </c>
      <c r="N245" s="343" t="s">
        <v>835</v>
      </c>
      <c r="O245" s="511"/>
      <c r="P245" s="512" t="str">
        <f t="shared" si="154"/>
        <v>Met</v>
      </c>
      <c r="Q245" s="511"/>
      <c r="R245" s="444">
        <f>VLOOKUP(A245,'2020-21'!$A$6:$F$319,6,0)</f>
        <v>0</v>
      </c>
      <c r="S245" s="513" t="str">
        <f t="shared" si="133"/>
        <v>Met</v>
      </c>
      <c r="U245" s="444">
        <f>VLOOKUP(A245,'2020-21'!$A$6:$G$319,7,0)</f>
        <v>18950982.18</v>
      </c>
      <c r="V245" s="513" t="str">
        <f t="shared" si="134"/>
        <v>Did not Meet</v>
      </c>
      <c r="X245" s="444">
        <f>VLOOKUP(A245,'2020-21'!$A$6:$F$319,6,0)/VLOOKUP(A245,'42. SEA or LEA Worksheet'!$A$4:$T$324,20,0)</f>
        <v>0</v>
      </c>
      <c r="Y245" s="513" t="str">
        <f t="shared" si="135"/>
        <v>Met</v>
      </c>
      <c r="AA245" s="444">
        <f>VLOOKUP(A245,'42. SEA or LEA Worksheet'!$A$4:$W$324,23,0)/VLOOKUP(compliance!A245,'42. SEA or LEA Worksheet'!$A$4:$T$324,20,0)</f>
        <v>15952.005202020202</v>
      </c>
      <c r="AB245" s="513" t="str">
        <f t="shared" si="136"/>
        <v>Met</v>
      </c>
      <c r="AD245" s="512" t="str">
        <f t="shared" si="148"/>
        <v>Met</v>
      </c>
      <c r="AF245" s="444">
        <f>VLOOKUP(A245,'42. SEA or LEA Worksheet'!$A$4:$Z$324,26,0)</f>
        <v>0</v>
      </c>
      <c r="AG245" s="513" t="str">
        <f t="shared" si="137"/>
        <v>Met</v>
      </c>
      <c r="AI245" s="444">
        <f>VLOOKUP(A245,'42. SEA or LEA Worksheet'!$A$4:$AB$324,28,0)</f>
        <v>19776758.550000001</v>
      </c>
      <c r="AJ245" s="513" t="str">
        <f t="shared" si="138"/>
        <v>Met</v>
      </c>
      <c r="AL245" s="444">
        <f>VLOOKUP(compliance!A245,'42. SEA or LEA Worksheet'!$A$4:$AB$324,26,0)/VLOOKUP(compliance!A245,'42. SEA or LEA Worksheet'!$A$4:$Y$324,25,0)</f>
        <v>0</v>
      </c>
      <c r="AM245" s="513" t="str">
        <f t="shared" si="139"/>
        <v>Met</v>
      </c>
      <c r="AO245" s="444">
        <f>VLOOKUP(A245,'42. SEA or LEA Worksheet'!$A$4:$AB$324,28,0)/VLOOKUP(compliance!A245,'42. SEA or LEA Worksheet'!$A$4:$Y$324,25,0)</f>
        <v>16619.124831932775</v>
      </c>
      <c r="AP245" s="513" t="str">
        <f t="shared" si="140"/>
        <v>Met</v>
      </c>
      <c r="AR245" s="512" t="str">
        <f t="shared" si="155"/>
        <v>Met</v>
      </c>
      <c r="AT245" s="444">
        <f>VLOOKUP(A245,'42. SEA or LEA Worksheet'!$A$4:$AE$324,31,0)</f>
        <v>0</v>
      </c>
      <c r="AU245" s="513" t="str">
        <f t="shared" si="156"/>
        <v>Met</v>
      </c>
      <c r="AW245" s="444">
        <f>VLOOKUP(A245,'42. SEA or LEA Worksheet'!$A$4:$AG$324,33,0)</f>
        <v>22761567.07</v>
      </c>
      <c r="AX245" s="513" t="str">
        <f t="shared" si="157"/>
        <v>Met</v>
      </c>
      <c r="AZ245" s="444">
        <f>VLOOKUP(A245,'42. SEA or LEA Worksheet'!$A$4:$AG$324,31,0)/VLOOKUP(A245,'42. SEA or LEA Worksheet'!$A$4:$AD$324,30,0)</f>
        <v>0</v>
      </c>
      <c r="BA245" s="513" t="str">
        <f t="shared" si="158"/>
        <v>Met</v>
      </c>
      <c r="BC245" s="444">
        <f>VLOOKUP(A245,'42. SEA or LEA Worksheet'!$A$4:$AG$324,33,0)/VLOOKUP(A245,'42. SEA or LEA Worksheet'!$A$4:$AD$324,30,0)</f>
        <v>18460.313925385239</v>
      </c>
      <c r="BD245" s="513" t="str">
        <f t="shared" si="145"/>
        <v>Met</v>
      </c>
      <c r="BF245" s="512" t="str">
        <f>IF(AND(AU245="Did not Meet",AX245="Did not Meet", BA245="Did not Meet",BD245="Did not Meet"),"Did not Meet","Met")</f>
        <v>Met</v>
      </c>
      <c r="BG245" s="637">
        <f>VLOOKUP(A245,'42. SEA or LEA Worksheet'!$A$4:$AM$324,36,0)</f>
        <v>0</v>
      </c>
      <c r="BH245" s="638" t="str">
        <f t="shared" si="150"/>
        <v>Met</v>
      </c>
      <c r="BI245" s="639"/>
      <c r="BJ245" s="637">
        <f>VLOOKUP(A245,'42. SEA or LEA Worksheet'!$A$4:$AM$324,38,0)</f>
        <v>24314835.120000001</v>
      </c>
      <c r="BK245" s="638" t="str">
        <f t="shared" si="151"/>
        <v>Met</v>
      </c>
      <c r="BM245" s="631">
        <f>VLOOKUP(A245,'42. SEA or LEA Worksheet'!$A$4:$AL$324,36,0)/VLOOKUP(A245,'42. SEA or LEA Worksheet'!$A$4:$AL$324,35,0)</f>
        <v>0</v>
      </c>
      <c r="BN245" s="632" t="str">
        <f t="shared" si="152"/>
        <v>Met</v>
      </c>
      <c r="BP245" s="631">
        <f>VLOOKUP(A245,'42. SEA or LEA Worksheet'!$A$4:$AL$324,38,0)/VLOOKUP(A245,'42. SEA or LEA Worksheet'!$A$4:$AL$324,35,0)</f>
        <v>18546.784988558353</v>
      </c>
      <c r="BQ245" s="632" t="str">
        <f t="shared" si="153"/>
        <v>Met</v>
      </c>
      <c r="BS245" s="620" t="str">
        <f>IF(AND(BH245="Did not Meet",BK245="Did not Meet", BN245="Did not Meet",BQ245="Did not Meet"),"Did not Meet","Met")</f>
        <v>Met</v>
      </c>
    </row>
    <row r="246" spans="1:71" x14ac:dyDescent="0.25">
      <c r="A246" s="343" t="s">
        <v>677</v>
      </c>
      <c r="B246" s="510" t="s">
        <v>1061</v>
      </c>
      <c r="C246" s="511"/>
      <c r="D246" s="444">
        <v>801761.25</v>
      </c>
      <c r="E246" s="343" t="s">
        <v>856</v>
      </c>
      <c r="F246" s="511"/>
      <c r="G246" s="444">
        <v>11798150.199999999</v>
      </c>
      <c r="H246" s="343" t="s">
        <v>835</v>
      </c>
      <c r="I246" s="511"/>
      <c r="J246" s="444">
        <v>995.97670807453414</v>
      </c>
      <c r="K246" s="343" t="s">
        <v>856</v>
      </c>
      <c r="L246" s="511"/>
      <c r="M246" s="444">
        <v>14656.087204968942</v>
      </c>
      <c r="N246" s="343" t="s">
        <v>835</v>
      </c>
      <c r="O246" s="511"/>
      <c r="P246" s="512" t="str">
        <f t="shared" si="154"/>
        <v>Met</v>
      </c>
      <c r="Q246" s="511"/>
      <c r="R246" s="444">
        <f>VLOOKUP(A246,'2020-21'!$A$6:$F$319,6,0)</f>
        <v>2763656.08</v>
      </c>
      <c r="S246" s="513" t="str">
        <f t="shared" si="133"/>
        <v>Met</v>
      </c>
      <c r="U246" s="444">
        <f>VLOOKUP(A246,'2020-21'!$A$6:$G$319,7,0)</f>
        <v>12609756.449999999</v>
      </c>
      <c r="V246" s="513" t="str">
        <f t="shared" si="134"/>
        <v>Met</v>
      </c>
      <c r="X246" s="444">
        <f>VLOOKUP(A246,'2020-21'!$A$6:$F$319,6,0)/VLOOKUP(A246,'42. SEA or LEA Worksheet'!$A$4:$T$324,20,0)</f>
        <v>3785.8302465753427</v>
      </c>
      <c r="Y246" s="513" t="str">
        <f t="shared" si="135"/>
        <v>Met</v>
      </c>
      <c r="AA246" s="444">
        <f>VLOOKUP(A246,'42. SEA or LEA Worksheet'!$A$4:$W$324,23,0)/VLOOKUP(compliance!A246,'42. SEA or LEA Worksheet'!$A$4:$T$324,20,0)</f>
        <v>17273.638972602737</v>
      </c>
      <c r="AB246" s="513" t="str">
        <f t="shared" si="136"/>
        <v>Met</v>
      </c>
      <c r="AD246" s="512" t="str">
        <f t="shared" si="148"/>
        <v>Met</v>
      </c>
      <c r="AF246" s="444">
        <f>VLOOKUP(A246,'42. SEA or LEA Worksheet'!$A$4:$Z$324,26,0)</f>
        <v>3847184.56</v>
      </c>
      <c r="AG246" s="513" t="str">
        <f t="shared" si="137"/>
        <v>Met</v>
      </c>
      <c r="AI246" s="444">
        <f>VLOOKUP(A246,'42. SEA or LEA Worksheet'!$A$4:$AB$324,28,0)</f>
        <v>13687335.9</v>
      </c>
      <c r="AJ246" s="513" t="str">
        <f t="shared" si="138"/>
        <v>Met</v>
      </c>
      <c r="AL246" s="444">
        <f>VLOOKUP(compliance!A246,'42. SEA or LEA Worksheet'!$A$4:$AB$324,26,0)/VLOOKUP(compliance!A246,'42. SEA or LEA Worksheet'!$A$4:$Y$324,25,0)</f>
        <v>5380.6777062937063</v>
      </c>
      <c r="AM246" s="513" t="str">
        <f t="shared" si="139"/>
        <v>Met</v>
      </c>
      <c r="AO246" s="444">
        <f>VLOOKUP(A246,'42. SEA or LEA Worksheet'!$A$4:$AB$324,28,0)/VLOOKUP(compliance!A246,'42. SEA or LEA Worksheet'!$A$4:$Y$324,25,0)</f>
        <v>19143.127132867132</v>
      </c>
      <c r="AP246" s="513" t="str">
        <f t="shared" si="140"/>
        <v>Met</v>
      </c>
      <c r="AR246" s="512" t="str">
        <f t="shared" si="155"/>
        <v>Met</v>
      </c>
      <c r="AT246" s="444">
        <f>VLOOKUP(A246,'42. SEA or LEA Worksheet'!$A$4:$AE$324,31,0)</f>
        <v>3148430.11</v>
      </c>
      <c r="AU246" s="513" t="str">
        <f t="shared" si="156"/>
        <v>Did not Meet</v>
      </c>
      <c r="AW246" s="444">
        <f>VLOOKUP(A246,'42. SEA or LEA Worksheet'!$A$4:$AG$324,33,0)</f>
        <v>15192094.66</v>
      </c>
      <c r="AX246" s="513" t="str">
        <f t="shared" si="157"/>
        <v>Met</v>
      </c>
      <c r="AZ246" s="444">
        <f>VLOOKUP(A246,'42. SEA or LEA Worksheet'!$A$4:$AG$324,31,0)/VLOOKUP(A246,'42. SEA or LEA Worksheet'!$A$4:$AD$324,30,0)</f>
        <v>4301.1340300546444</v>
      </c>
      <c r="BA246" s="513" t="str">
        <f t="shared" si="158"/>
        <v>Did not Meet</v>
      </c>
      <c r="BC246" s="444">
        <f>VLOOKUP(A246,'42. SEA or LEA Worksheet'!$A$4:$AG$324,33,0)/VLOOKUP(A246,'42. SEA or LEA Worksheet'!$A$4:$AD$324,30,0)</f>
        <v>20754.227677595627</v>
      </c>
      <c r="BD246" s="513" t="str">
        <f t="shared" ref="BD246:BD277" si="159">IF(BC246&gt;=AO246,"Met","Did not Meet")</f>
        <v>Met</v>
      </c>
      <c r="BF246" s="512" t="str">
        <f>IF(AND(AU246="Did not Meet",AX246="Did not Meet", BA246="Did not Meet",BD246="Did not Meet",),"Did not Meet","Met")</f>
        <v>Met</v>
      </c>
      <c r="BG246" s="637">
        <f>VLOOKUP(A246,'42. SEA or LEA Worksheet'!$A$4:$AM$324,36,0)</f>
        <v>1785665.7</v>
      </c>
      <c r="BH246" s="638" t="str">
        <f t="shared" si="150"/>
        <v>Did not Meet</v>
      </c>
      <c r="BI246" s="639"/>
      <c r="BJ246" s="637">
        <f>VLOOKUP(A246,'42. SEA or LEA Worksheet'!$A$4:$AM$324,38,0)</f>
        <v>16160659.149999999</v>
      </c>
      <c r="BK246" s="638" t="str">
        <f t="shared" si="151"/>
        <v>Met</v>
      </c>
      <c r="BM246" s="631">
        <f>VLOOKUP(A246,'42. SEA or LEA Worksheet'!$A$4:$AL$324,36,0)/VLOOKUP(A246,'42. SEA or LEA Worksheet'!$A$4:$AL$324,35,0)</f>
        <v>2304.0847741935481</v>
      </c>
      <c r="BN246" s="632" t="str">
        <f t="shared" si="152"/>
        <v>Met</v>
      </c>
      <c r="BP246" s="631">
        <f>VLOOKUP(A246,'42. SEA or LEA Worksheet'!$A$4:$AL$324,38,0)/VLOOKUP(A246,'42. SEA or LEA Worksheet'!$A$4:$AL$324,35,0)</f>
        <v>20852.463419354837</v>
      </c>
      <c r="BQ246" s="632" t="str">
        <f t="shared" si="153"/>
        <v>Met</v>
      </c>
      <c r="BS246" s="620" t="str">
        <f>IF(AND(BH246="Did not Meet",BK246="Did not Meet", BN246="Did not Meet",BQ246="Did not Meet",),"Did not Meet","Met")</f>
        <v>Met</v>
      </c>
    </row>
    <row r="247" spans="1:71" x14ac:dyDescent="0.25">
      <c r="A247" s="343" t="s">
        <v>679</v>
      </c>
      <c r="B247" s="510" t="s">
        <v>1062</v>
      </c>
      <c r="C247" s="511"/>
      <c r="D247" s="444">
        <v>0</v>
      </c>
      <c r="E247" s="343" t="s">
        <v>856</v>
      </c>
      <c r="F247" s="511"/>
      <c r="G247" s="444">
        <v>760821.21</v>
      </c>
      <c r="H247" s="343" t="s">
        <v>835</v>
      </c>
      <c r="I247" s="511"/>
      <c r="J247" s="444">
        <v>0</v>
      </c>
      <c r="K247" s="343" t="s">
        <v>856</v>
      </c>
      <c r="L247" s="511"/>
      <c r="M247" s="444">
        <v>9057.3953571428574</v>
      </c>
      <c r="N247" s="343" t="s">
        <v>856</v>
      </c>
      <c r="O247" s="511"/>
      <c r="P247" s="512" t="str">
        <f t="shared" si="154"/>
        <v>Met</v>
      </c>
      <c r="Q247" s="511"/>
      <c r="R247" s="444">
        <f>VLOOKUP(A247,'2020-21'!$A$6:$F$319,6,0)</f>
        <v>0</v>
      </c>
      <c r="S247" s="513" t="str">
        <f t="shared" si="133"/>
        <v>Met</v>
      </c>
      <c r="U247" s="444">
        <f>VLOOKUP(A247,'2020-21'!$A$6:$G$319,7,0)</f>
        <v>773340.54</v>
      </c>
      <c r="V247" s="513" t="str">
        <f t="shared" si="134"/>
        <v>Met</v>
      </c>
      <c r="X247" s="444">
        <f>VLOOKUP(A247,'2020-21'!$A$6:$F$319,6,0)/VLOOKUP(A247,'42. SEA or LEA Worksheet'!$A$4:$T$324,20,0)</f>
        <v>0</v>
      </c>
      <c r="Y247" s="513" t="str">
        <f t="shared" si="135"/>
        <v>Met</v>
      </c>
      <c r="AA247" s="444">
        <f>VLOOKUP(A247,'42. SEA or LEA Worksheet'!$A$4:$W$324,23,0)/VLOOKUP(compliance!A247,'42. SEA or LEA Worksheet'!$A$4:$T$324,20,0)</f>
        <v>8888.9717241379312</v>
      </c>
      <c r="AB247" s="513" t="str">
        <f t="shared" si="136"/>
        <v>Did not Meet</v>
      </c>
      <c r="AD247" s="512" t="str">
        <f t="shared" si="148"/>
        <v>Met</v>
      </c>
      <c r="AF247" s="444">
        <f>VLOOKUP(A247,'42. SEA or LEA Worksheet'!$A$4:$Z$324,26,0)</f>
        <v>88699.44</v>
      </c>
      <c r="AG247" s="513" t="str">
        <f t="shared" si="137"/>
        <v>Met</v>
      </c>
      <c r="AI247" s="444">
        <f>VLOOKUP(A247,'42. SEA or LEA Worksheet'!$A$4:$AB$324,28,0)</f>
        <v>857778.69</v>
      </c>
      <c r="AJ247" s="513" t="str">
        <f t="shared" si="138"/>
        <v>Met</v>
      </c>
      <c r="AL247" s="444">
        <f>VLOOKUP(compliance!A247,'42. SEA or LEA Worksheet'!$A$4:$AB$324,26,0)/VLOOKUP(compliance!A247,'42. SEA or LEA Worksheet'!$A$4:$Y$324,25,0)</f>
        <v>828.96672897196265</v>
      </c>
      <c r="AM247" s="513" t="str">
        <f t="shared" si="139"/>
        <v>Met</v>
      </c>
      <c r="AO247" s="444">
        <f>VLOOKUP(A247,'42. SEA or LEA Worksheet'!$A$4:$AB$324,28,0)/VLOOKUP(compliance!A247,'42. SEA or LEA Worksheet'!$A$4:$Y$324,25,0)</f>
        <v>8016.6232710280365</v>
      </c>
      <c r="AP247" s="513" t="str">
        <f t="shared" si="140"/>
        <v>Did not Meet</v>
      </c>
      <c r="AR247" s="512" t="str">
        <f t="shared" si="155"/>
        <v>Met</v>
      </c>
      <c r="AT247" s="444">
        <f>VLOOKUP(A247,'42. SEA or LEA Worksheet'!$A$4:$AE$324,31,0)</f>
        <v>286672.08</v>
      </c>
      <c r="AU247" s="513" t="str">
        <f t="shared" si="156"/>
        <v>Met</v>
      </c>
      <c r="AW247" s="444">
        <f>VLOOKUP(A247,'42. SEA or LEA Worksheet'!$A$4:$AG$324,33,0)</f>
        <v>1090094.3600000001</v>
      </c>
      <c r="AX247" s="513" t="str">
        <f t="shared" si="157"/>
        <v>Met</v>
      </c>
      <c r="AZ247" s="444">
        <f>VLOOKUP(A247,'42. SEA or LEA Worksheet'!$A$4:$AG$324,31,0)/VLOOKUP(A247,'42. SEA or LEA Worksheet'!$A$4:$AD$324,30,0)</f>
        <v>2866.7208000000001</v>
      </c>
      <c r="BA247" s="513" t="str">
        <f t="shared" si="158"/>
        <v>Met</v>
      </c>
      <c r="BC247" s="444">
        <f>VLOOKUP(A247,'42. SEA or LEA Worksheet'!$A$4:$AG$324,33,0)/VLOOKUP(A247,'42. SEA or LEA Worksheet'!$A$4:$AD$324,30,0)</f>
        <v>10900.943600000001</v>
      </c>
      <c r="BD247" s="513" t="str">
        <f t="shared" si="159"/>
        <v>Met</v>
      </c>
      <c r="BF247" s="512" t="str">
        <f>IF(AND(AU247="Did not Meet",AX247="Did not Meet", BA247="Did not Meet",BD247="Did not Meet"),"Did not Meet","Met")</f>
        <v>Met</v>
      </c>
      <c r="BG247" s="637">
        <f>VLOOKUP(A247,'42. SEA or LEA Worksheet'!$A$4:$AM$324,36,0)</f>
        <v>0</v>
      </c>
      <c r="BH247" s="638" t="str">
        <f t="shared" si="150"/>
        <v>Did not Meet</v>
      </c>
      <c r="BI247" s="639"/>
      <c r="BJ247" s="637">
        <f>VLOOKUP(A247,'42. SEA or LEA Worksheet'!$A$4:$AM$324,38,0)</f>
        <v>1189003.1000000001</v>
      </c>
      <c r="BK247" s="638" t="str">
        <f t="shared" si="151"/>
        <v>Met</v>
      </c>
      <c r="BM247" s="631">
        <f>VLOOKUP(A247,'42. SEA or LEA Worksheet'!$A$4:$AL$324,36,0)/VLOOKUP(A247,'42. SEA or LEA Worksheet'!$A$4:$AL$324,35,0)</f>
        <v>0</v>
      </c>
      <c r="BN247" s="632" t="str">
        <f t="shared" si="152"/>
        <v>Met</v>
      </c>
      <c r="BP247" s="631">
        <f>VLOOKUP(A247,'42. SEA or LEA Worksheet'!$A$4:$AL$324,38,0)/VLOOKUP(A247,'42. SEA or LEA Worksheet'!$A$4:$AL$324,35,0)</f>
        <v>11890.031000000001</v>
      </c>
      <c r="BQ247" s="632" t="str">
        <f t="shared" si="153"/>
        <v>Met</v>
      </c>
      <c r="BS247" s="620" t="str">
        <f>IF(AND(BH247="Did not Meet",BK247="Did not Meet", BN247="Did not Meet",BQ247="Did not Meet"),"Did not Meet","Met")</f>
        <v>Met</v>
      </c>
    </row>
    <row r="248" spans="1:71" s="533" customFormat="1" ht="30" x14ac:dyDescent="0.25">
      <c r="A248" s="502" t="s">
        <v>681</v>
      </c>
      <c r="B248" s="503" t="s">
        <v>1360</v>
      </c>
      <c r="C248" s="505"/>
      <c r="D248" s="506">
        <v>0</v>
      </c>
      <c r="E248" s="502" t="s">
        <v>856</v>
      </c>
      <c r="F248" s="505"/>
      <c r="G248" s="617">
        <v>0</v>
      </c>
      <c r="H248" s="502" t="s">
        <v>856</v>
      </c>
      <c r="I248" s="505"/>
      <c r="J248" s="506">
        <v>0</v>
      </c>
      <c r="K248" s="502" t="s">
        <v>1151</v>
      </c>
      <c r="L248" s="505"/>
      <c r="M248" s="506">
        <v>0</v>
      </c>
      <c r="N248" s="502" t="s">
        <v>1151</v>
      </c>
      <c r="O248" s="505"/>
      <c r="P248" s="507" t="s">
        <v>1381</v>
      </c>
      <c r="Q248" s="505"/>
      <c r="R248" s="506">
        <v>0</v>
      </c>
      <c r="S248" s="508" t="str">
        <f t="shared" si="133"/>
        <v>Met</v>
      </c>
      <c r="T248" s="505"/>
      <c r="U248" s="506">
        <v>0</v>
      </c>
      <c r="V248" s="618" t="str">
        <f t="shared" si="134"/>
        <v>Met</v>
      </c>
      <c r="W248" s="505"/>
      <c r="X248" s="506">
        <v>0</v>
      </c>
      <c r="Y248" s="508" t="str">
        <f t="shared" si="135"/>
        <v>Met</v>
      </c>
      <c r="Z248" s="505"/>
      <c r="AA248" s="506">
        <v>0</v>
      </c>
      <c r="AB248" s="508" t="str">
        <f t="shared" si="136"/>
        <v>Met</v>
      </c>
      <c r="AC248" s="505"/>
      <c r="AD248" s="507" t="s">
        <v>1381</v>
      </c>
      <c r="AE248" s="505"/>
      <c r="AF248" s="617">
        <f>VLOOKUP(A248,'42. SEA or LEA Worksheet'!$A$4:$Z$324,26,0)</f>
        <v>0</v>
      </c>
      <c r="AG248" s="508" t="str">
        <f t="shared" si="137"/>
        <v>Met</v>
      </c>
      <c r="AH248" s="505"/>
      <c r="AI248" s="617">
        <f>VLOOKUP(A248,'42. SEA or LEA Worksheet'!$A$4:$AB$324,28,0)</f>
        <v>0</v>
      </c>
      <c r="AJ248" s="508" t="str">
        <f t="shared" si="138"/>
        <v>Met</v>
      </c>
      <c r="AK248" s="505"/>
      <c r="AL248" s="617">
        <v>0</v>
      </c>
      <c r="AM248" s="508" t="str">
        <f t="shared" si="139"/>
        <v>Met</v>
      </c>
      <c r="AN248" s="505"/>
      <c r="AO248" s="617">
        <v>0</v>
      </c>
      <c r="AP248" s="508" t="str">
        <f t="shared" si="140"/>
        <v>Met</v>
      </c>
      <c r="AQ248" s="505"/>
      <c r="AR248" s="507" t="s">
        <v>1361</v>
      </c>
      <c r="AS248" s="505"/>
      <c r="AT248" s="617">
        <f>VLOOKUP(A248,'42. SEA or LEA Worksheet'!$A$4:$AE$324,31,0)</f>
        <v>0</v>
      </c>
      <c r="AU248" s="508" t="str">
        <f t="shared" si="156"/>
        <v>Met</v>
      </c>
      <c r="AV248" s="505"/>
      <c r="AW248" s="617">
        <f>VLOOKUP(A248,'42. SEA or LEA Worksheet'!$A$4:$AG$324,33,0)</f>
        <v>0</v>
      </c>
      <c r="AX248" s="508" t="str">
        <f t="shared" si="157"/>
        <v>Met</v>
      </c>
      <c r="AY248" s="505"/>
      <c r="AZ248" s="617">
        <v>0</v>
      </c>
      <c r="BA248" s="508" t="str">
        <f t="shared" si="158"/>
        <v>Met</v>
      </c>
      <c r="BB248" s="505"/>
      <c r="BC248" s="617">
        <v>0</v>
      </c>
      <c r="BD248" s="618" t="str">
        <f t="shared" si="159"/>
        <v>Met</v>
      </c>
      <c r="BE248" s="505"/>
      <c r="BF248" s="507" t="s">
        <v>1381</v>
      </c>
      <c r="BG248" s="637">
        <f>VLOOKUP(A248,'42. SEA or LEA Worksheet'!$A$4:$AM$324,36,0)</f>
        <v>0</v>
      </c>
      <c r="BH248" s="623" t="s">
        <v>1151</v>
      </c>
      <c r="BI248" s="622"/>
      <c r="BJ248" s="637">
        <f>VLOOKUP(A248,'42. SEA or LEA Worksheet'!$A$4:$AM$324,38,0)</f>
        <v>0</v>
      </c>
      <c r="BK248" s="623" t="s">
        <v>1151</v>
      </c>
      <c r="BL248" s="622"/>
      <c r="BM248" s="631" t="e">
        <f>VLOOKUP(A248,'42. SEA or LEA Worksheet'!$A$4:$AL$324,36,0)/VLOOKUP(A248,'42. SEA or LEA Worksheet'!$A$4:$AL$324,35,0)</f>
        <v>#DIV/0!</v>
      </c>
      <c r="BN248" s="621" t="s">
        <v>1151</v>
      </c>
      <c r="BO248" s="622"/>
      <c r="BP248" s="631" t="e">
        <f>VLOOKUP(A248,'42. SEA or LEA Worksheet'!$A$4:$AL$324,38,0)/VLOOKUP(A248,'42. SEA or LEA Worksheet'!$A$4:$AL$324,35,0)</f>
        <v>#DIV/0!</v>
      </c>
      <c r="BQ248" s="623" t="s">
        <v>1151</v>
      </c>
      <c r="BR248" s="622"/>
      <c r="BS248" s="619" t="s">
        <v>1381</v>
      </c>
    </row>
    <row r="249" spans="1:71" x14ac:dyDescent="0.25">
      <c r="A249" s="343" t="s">
        <v>682</v>
      </c>
      <c r="B249" s="510" t="s">
        <v>1063</v>
      </c>
      <c r="C249" s="511"/>
      <c r="D249" s="444">
        <v>0</v>
      </c>
      <c r="E249" s="343" t="s">
        <v>856</v>
      </c>
      <c r="F249" s="511"/>
      <c r="G249" s="444">
        <v>896370.31</v>
      </c>
      <c r="H249" s="343" t="s">
        <v>835</v>
      </c>
      <c r="I249" s="511"/>
      <c r="J249" s="444">
        <v>0</v>
      </c>
      <c r="K249" s="343" t="s">
        <v>856</v>
      </c>
      <c r="L249" s="511"/>
      <c r="M249" s="444">
        <v>10545.53305882353</v>
      </c>
      <c r="N249" s="343" t="s">
        <v>835</v>
      </c>
      <c r="O249" s="511"/>
      <c r="P249" s="512" t="str">
        <f t="shared" ref="P249:P280" si="160">IF(AND(E249="Did not Meet",H249="Did not Meet",K249="Did not Meet", N249="Did not Meet"),"Did not Meet","Met")</f>
        <v>Met</v>
      </c>
      <c r="Q249" s="511"/>
      <c r="R249" s="444">
        <f>VLOOKUP(A249,'2020-21'!$A$6:$F$319,6,0)</f>
        <v>17764.400000000001</v>
      </c>
      <c r="S249" s="513" t="str">
        <f t="shared" si="133"/>
        <v>Met</v>
      </c>
      <c r="U249" s="444">
        <f>VLOOKUP(A249,'2020-21'!$A$6:$G$319,7,0)</f>
        <v>853360.43</v>
      </c>
      <c r="V249" s="513" t="str">
        <f t="shared" si="134"/>
        <v>Did not Meet</v>
      </c>
      <c r="X249" s="444">
        <f>VLOOKUP(A249,'2020-21'!$A$6:$F$319,6,0)/VLOOKUP(A249,'42. SEA or LEA Worksheet'!$A$4:$T$324,20,0)</f>
        <v>246.72777777777779</v>
      </c>
      <c r="Y249" s="513" t="str">
        <f t="shared" si="135"/>
        <v>Met</v>
      </c>
      <c r="AA249" s="444">
        <f>VLOOKUP(A249,'42. SEA or LEA Worksheet'!$A$4:$W$324,23,0)/VLOOKUP(compliance!A249,'42. SEA or LEA Worksheet'!$A$4:$T$324,20,0)</f>
        <v>11852.228194444446</v>
      </c>
      <c r="AB249" s="513" t="str">
        <f t="shared" si="136"/>
        <v>Met</v>
      </c>
      <c r="AD249" s="512" t="str">
        <f t="shared" ref="AD249:AD280" si="161">IF(AND(S249="Did not Meet",V249="Did not Meet", Y249="Did not Meet",AB249="Did not Meet"),"Did not Meet","Met")</f>
        <v>Met</v>
      </c>
      <c r="AF249" s="444">
        <f>VLOOKUP(A249,'42. SEA or LEA Worksheet'!$A$4:$Z$324,26,0)</f>
        <v>17763.759999999998</v>
      </c>
      <c r="AG249" s="513" t="str">
        <f t="shared" si="137"/>
        <v>Did not Meet</v>
      </c>
      <c r="AI249" s="444">
        <f>VLOOKUP(A249,'42. SEA or LEA Worksheet'!$A$4:$AB$324,28,0)</f>
        <v>877858.85</v>
      </c>
      <c r="AJ249" s="513" t="str">
        <f t="shared" si="138"/>
        <v>Met</v>
      </c>
      <c r="AL249" s="444">
        <f>VLOOKUP(compliance!A249,'42. SEA or LEA Worksheet'!$A$4:$AB$324,26,0)/VLOOKUP(compliance!A249,'42. SEA or LEA Worksheet'!$A$4:$Y$324,25,0)</f>
        <v>222.04699999999997</v>
      </c>
      <c r="AM249" s="513" t="str">
        <f t="shared" si="139"/>
        <v>Did not Meet</v>
      </c>
      <c r="AO249" s="444">
        <f>VLOOKUP(A249,'42. SEA or LEA Worksheet'!$A$4:$AB$324,28,0)/VLOOKUP(compliance!A249,'42. SEA or LEA Worksheet'!$A$4:$Y$324,25,0)</f>
        <v>10973.235624999999</v>
      </c>
      <c r="AP249" s="513" t="str">
        <f t="shared" si="140"/>
        <v>Did not Meet</v>
      </c>
      <c r="AR249" s="512" t="str">
        <f t="shared" ref="AR249:AR257" si="162">IF(AND(AG249="Did not Meet",AJ249="Did not Meet", AM249="Did not Meet",AP249="Did not Meet"),"Did not Meet","Met")</f>
        <v>Met</v>
      </c>
      <c r="AT249" s="444">
        <f>VLOOKUP(A249,'42. SEA or LEA Worksheet'!$A$4:$AE$324,31,0)</f>
        <v>16178.33</v>
      </c>
      <c r="AU249" s="513" t="str">
        <f t="shared" si="156"/>
        <v>Did not Meet</v>
      </c>
      <c r="AW249" s="444">
        <f>VLOOKUP(A249,'42. SEA or LEA Worksheet'!$A$4:$AG$324,33,0)</f>
        <v>1002904.6</v>
      </c>
      <c r="AX249" s="513" t="str">
        <f t="shared" si="157"/>
        <v>Met</v>
      </c>
      <c r="AZ249" s="444">
        <f>VLOOKUP(A249,'42. SEA or LEA Worksheet'!$A$4:$AG$324,31,0)/VLOOKUP(A249,'42. SEA or LEA Worksheet'!$A$4:$AD$324,30,0)</f>
        <v>183.84465909090909</v>
      </c>
      <c r="BA249" s="513" t="str">
        <f t="shared" si="158"/>
        <v>Did not Meet</v>
      </c>
      <c r="BC249" s="444">
        <f>VLOOKUP(A249,'42. SEA or LEA Worksheet'!$A$4:$AG$324,33,0)/VLOOKUP(A249,'42. SEA or LEA Worksheet'!$A$4:$AD$324,30,0)</f>
        <v>11396.643181818181</v>
      </c>
      <c r="BD249" s="513" t="str">
        <f t="shared" si="159"/>
        <v>Met</v>
      </c>
      <c r="BF249" s="512" t="str">
        <f t="shared" ref="BF249:BF257" si="163">IF(AND(AU249="Did not Meet",AX249="Did not Meet", BA249="Did not Meet",BD249="Did not Meet"),"Did not Meet","Met")</f>
        <v>Met</v>
      </c>
      <c r="BG249" s="637">
        <f>VLOOKUP(A249,'42. SEA or LEA Worksheet'!$A$4:$AM$324,36,0)</f>
        <v>2890.79</v>
      </c>
      <c r="BH249" s="638" t="str">
        <f t="shared" ref="BH249:BH259" si="164">IF(BG249&gt;=AT249,"Met","Did not Meet")</f>
        <v>Did not Meet</v>
      </c>
      <c r="BI249" s="639"/>
      <c r="BJ249" s="637">
        <f>VLOOKUP(A249,'42. SEA or LEA Worksheet'!$A$4:$AM$324,38,0)</f>
        <v>1009753.68</v>
      </c>
      <c r="BK249" s="638" t="str">
        <f t="shared" ref="BK249:BK259" si="165">IF(BJ249&gt;=AW249,"Met","Did not Meet")</f>
        <v>Met</v>
      </c>
      <c r="BM249" s="631">
        <f>VLOOKUP(A249,'42. SEA or LEA Worksheet'!$A$4:$AL$324,36,0)/VLOOKUP(A249,'42. SEA or LEA Worksheet'!$A$4:$AL$324,35,0)</f>
        <v>30.753085106382979</v>
      </c>
      <c r="BN249" s="632" t="str">
        <f t="shared" ref="BN249:BN259" si="166">IF(BM249&gt;=AY249,"Met","Did not Meet")</f>
        <v>Met</v>
      </c>
      <c r="BP249" s="631">
        <f>VLOOKUP(A249,'42. SEA or LEA Worksheet'!$A$4:$AL$324,38,0)/VLOOKUP(A249,'42. SEA or LEA Worksheet'!$A$4:$AL$324,35,0)</f>
        <v>10742.060425531916</v>
      </c>
      <c r="BQ249" s="632" t="str">
        <f t="shared" ref="BQ249:BQ259" si="167">IF(BP249&gt;=BB249,"Met","Did not Meet")</f>
        <v>Met</v>
      </c>
      <c r="BS249" s="620" t="str">
        <f t="shared" ref="BS249:BS257" si="168">IF(AND(BH249="Did not Meet",BK249="Did not Meet", BN249="Did not Meet",BQ249="Did not Meet"),"Did not Meet","Met")</f>
        <v>Met</v>
      </c>
    </row>
    <row r="250" spans="1:71" x14ac:dyDescent="0.25">
      <c r="A250" s="343" t="s">
        <v>684</v>
      </c>
      <c r="B250" s="510" t="s">
        <v>1064</v>
      </c>
      <c r="C250" s="511"/>
      <c r="D250" s="444">
        <v>2548471.71</v>
      </c>
      <c r="E250" s="343" t="s">
        <v>835</v>
      </c>
      <c r="F250" s="511"/>
      <c r="G250" s="444">
        <v>20756008.240000002</v>
      </c>
      <c r="H250" s="343" t="s">
        <v>835</v>
      </c>
      <c r="I250" s="511"/>
      <c r="J250" s="444">
        <v>1664.5798236446767</v>
      </c>
      <c r="K250" s="343" t="s">
        <v>835</v>
      </c>
      <c r="L250" s="511"/>
      <c r="M250" s="444">
        <v>13557.157570215546</v>
      </c>
      <c r="N250" s="343" t="s">
        <v>835</v>
      </c>
      <c r="O250" s="511"/>
      <c r="P250" s="512" t="str">
        <f t="shared" si="160"/>
        <v>Met</v>
      </c>
      <c r="Q250" s="511"/>
      <c r="R250" s="444">
        <f>VLOOKUP(A250,'2020-21'!$A$6:$F$319,6,0)</f>
        <v>4250817.3499999996</v>
      </c>
      <c r="S250" s="513" t="str">
        <f t="shared" si="133"/>
        <v>Met</v>
      </c>
      <c r="U250" s="444">
        <f>VLOOKUP(A250,'2020-21'!$A$6:$G$319,7,0)</f>
        <v>22286001.979999997</v>
      </c>
      <c r="V250" s="513" t="str">
        <f t="shared" si="134"/>
        <v>Met</v>
      </c>
      <c r="X250" s="444">
        <f>VLOOKUP(A250,'2020-21'!$A$6:$F$319,6,0)/VLOOKUP(A250,'42. SEA or LEA Worksheet'!$A$4:$T$324,20,0)</f>
        <v>2740.694616376531</v>
      </c>
      <c r="Y250" s="513" t="str">
        <f t="shared" si="135"/>
        <v>Met</v>
      </c>
      <c r="AA250" s="444">
        <f>VLOOKUP(A250,'42. SEA or LEA Worksheet'!$A$4:$W$324,23,0)/VLOOKUP(compliance!A250,'42. SEA or LEA Worksheet'!$A$4:$T$324,20,0)</f>
        <v>14368.795602836877</v>
      </c>
      <c r="AB250" s="513" t="str">
        <f t="shared" si="136"/>
        <v>Met</v>
      </c>
      <c r="AD250" s="512" t="str">
        <f t="shared" si="161"/>
        <v>Met</v>
      </c>
      <c r="AF250" s="444">
        <f>VLOOKUP(A250,'42. SEA or LEA Worksheet'!$A$4:$Z$324,26,0)</f>
        <v>5431314</v>
      </c>
      <c r="AG250" s="513" t="str">
        <f t="shared" si="137"/>
        <v>Met</v>
      </c>
      <c r="AI250" s="444">
        <f>VLOOKUP(A250,'42. SEA or LEA Worksheet'!$A$4:$AB$324,28,0)</f>
        <v>23339021.350000001</v>
      </c>
      <c r="AJ250" s="513" t="str">
        <f t="shared" si="138"/>
        <v>Met</v>
      </c>
      <c r="AL250" s="444">
        <f>VLOOKUP(compliance!A250,'42. SEA or LEA Worksheet'!$A$4:$AB$324,26,0)/VLOOKUP(compliance!A250,'42. SEA or LEA Worksheet'!$A$4:$Y$324,25,0)</f>
        <v>3582.6609498680737</v>
      </c>
      <c r="AM250" s="513" t="str">
        <f t="shared" si="139"/>
        <v>Met</v>
      </c>
      <c r="AO250" s="444">
        <f>VLOOKUP(A250,'42. SEA or LEA Worksheet'!$A$4:$AB$324,28,0)/VLOOKUP(compliance!A250,'42. SEA or LEA Worksheet'!$A$4:$Y$324,25,0)</f>
        <v>15395.132816622692</v>
      </c>
      <c r="AP250" s="513" t="str">
        <f t="shared" si="140"/>
        <v>Met</v>
      </c>
      <c r="AR250" s="512" t="str">
        <f t="shared" si="162"/>
        <v>Met</v>
      </c>
      <c r="AT250" s="444">
        <f>VLOOKUP(A250,'42. SEA or LEA Worksheet'!$A$4:$AE$324,31,0)</f>
        <v>2078955.53</v>
      </c>
      <c r="AU250" s="513" t="str">
        <f t="shared" si="156"/>
        <v>Did not Meet</v>
      </c>
      <c r="AW250" s="444">
        <f>VLOOKUP(A250,'42. SEA or LEA Worksheet'!$A$4:$AG$324,33,0)</f>
        <v>26092163.07</v>
      </c>
      <c r="AX250" s="513" t="str">
        <f t="shared" si="157"/>
        <v>Met</v>
      </c>
      <c r="AZ250" s="444">
        <f>VLOOKUP(A250,'42. SEA or LEA Worksheet'!$A$4:$AG$324,31,0)/VLOOKUP(A250,'42. SEA or LEA Worksheet'!$A$4:$AD$324,30,0)</f>
        <v>1433.7624344827586</v>
      </c>
      <c r="BA250" s="513" t="str">
        <f t="shared" si="158"/>
        <v>Did not Meet</v>
      </c>
      <c r="BC250" s="444">
        <f>VLOOKUP(A250,'42. SEA or LEA Worksheet'!$A$4:$AG$324,33,0)/VLOOKUP(A250,'42. SEA or LEA Worksheet'!$A$4:$AD$324,30,0)</f>
        <v>17994.595220689655</v>
      </c>
      <c r="BD250" s="513" t="str">
        <f t="shared" si="159"/>
        <v>Met</v>
      </c>
      <c r="BF250" s="512" t="str">
        <f t="shared" si="163"/>
        <v>Met</v>
      </c>
      <c r="BG250" s="637">
        <f>VLOOKUP(A250,'42. SEA or LEA Worksheet'!$A$4:$AM$324,36,0)</f>
        <v>5602044.9299999997</v>
      </c>
      <c r="BH250" s="638" t="str">
        <f t="shared" si="164"/>
        <v>Met</v>
      </c>
      <c r="BI250" s="639"/>
      <c r="BJ250" s="637">
        <f>VLOOKUP(A250,'42. SEA or LEA Worksheet'!$A$4:$AM$324,38,0)</f>
        <v>28924721.84</v>
      </c>
      <c r="BK250" s="638" t="str">
        <f t="shared" si="165"/>
        <v>Met</v>
      </c>
      <c r="BM250" s="631">
        <f>VLOOKUP(A250,'42. SEA or LEA Worksheet'!$A$4:$AL$324,36,0)/VLOOKUP(A250,'42. SEA or LEA Worksheet'!$A$4:$AL$324,35,0)</f>
        <v>3554.5970368020303</v>
      </c>
      <c r="BN250" s="632" t="str">
        <f t="shared" si="166"/>
        <v>Met</v>
      </c>
      <c r="BP250" s="631">
        <f>VLOOKUP(A250,'42. SEA or LEA Worksheet'!$A$4:$AL$324,38,0)/VLOOKUP(A250,'42. SEA or LEA Worksheet'!$A$4:$AL$324,35,0)</f>
        <v>18353.249898477156</v>
      </c>
      <c r="BQ250" s="632" t="str">
        <f t="shared" si="167"/>
        <v>Met</v>
      </c>
      <c r="BS250" s="620" t="str">
        <f t="shared" si="168"/>
        <v>Met</v>
      </c>
    </row>
    <row r="251" spans="1:71" x14ac:dyDescent="0.25">
      <c r="A251" s="343" t="s">
        <v>686</v>
      </c>
      <c r="B251" s="510" t="s">
        <v>1065</v>
      </c>
      <c r="C251" s="511"/>
      <c r="D251" s="444">
        <v>0</v>
      </c>
      <c r="E251" s="343" t="s">
        <v>835</v>
      </c>
      <c r="F251" s="511"/>
      <c r="G251" s="444">
        <v>2516838.62</v>
      </c>
      <c r="H251" s="343" t="s">
        <v>835</v>
      </c>
      <c r="I251" s="511"/>
      <c r="J251" s="444">
        <v>0</v>
      </c>
      <c r="K251" s="343" t="s">
        <v>835</v>
      </c>
      <c r="L251" s="511"/>
      <c r="M251" s="444">
        <v>12337.444215686275</v>
      </c>
      <c r="N251" s="343" t="s">
        <v>835</v>
      </c>
      <c r="O251" s="511"/>
      <c r="P251" s="512" t="str">
        <f t="shared" si="160"/>
        <v>Met</v>
      </c>
      <c r="Q251" s="511"/>
      <c r="R251" s="444">
        <f>VLOOKUP(A251,'2020-21'!$A$6:$F$319,6,0)</f>
        <v>0</v>
      </c>
      <c r="S251" s="513" t="str">
        <f t="shared" si="133"/>
        <v>Met</v>
      </c>
      <c r="U251" s="444">
        <f>VLOOKUP(A251,'2020-21'!$A$6:$G$319,7,0)</f>
        <v>2403087.79</v>
      </c>
      <c r="V251" s="513" t="str">
        <f t="shared" si="134"/>
        <v>Did not Meet</v>
      </c>
      <c r="X251" s="444">
        <f>VLOOKUP(A251,'2020-21'!$A$6:$F$319,6,0)/VLOOKUP(A251,'42. SEA or LEA Worksheet'!$A$4:$T$324,20,0)</f>
        <v>0</v>
      </c>
      <c r="Y251" s="513" t="str">
        <f t="shared" si="135"/>
        <v>Met</v>
      </c>
      <c r="AA251" s="444">
        <f>VLOOKUP(A251,'42. SEA or LEA Worksheet'!$A$4:$W$324,23,0)/VLOOKUP(compliance!A251,'42. SEA or LEA Worksheet'!$A$4:$T$324,20,0)</f>
        <v>12714.750211640212</v>
      </c>
      <c r="AB251" s="513" t="str">
        <f t="shared" si="136"/>
        <v>Met</v>
      </c>
      <c r="AD251" s="512" t="str">
        <f t="shared" si="161"/>
        <v>Met</v>
      </c>
      <c r="AF251" s="444">
        <f>VLOOKUP(A251,'42. SEA or LEA Worksheet'!$A$4:$Z$324,26,0)</f>
        <v>0</v>
      </c>
      <c r="AG251" s="513" t="str">
        <f t="shared" si="137"/>
        <v>Met</v>
      </c>
      <c r="AI251" s="444">
        <f>VLOOKUP(A251,'42. SEA or LEA Worksheet'!$A$4:$AB$324,28,0)</f>
        <v>2683531.85</v>
      </c>
      <c r="AJ251" s="513" t="str">
        <f t="shared" si="138"/>
        <v>Met</v>
      </c>
      <c r="AL251" s="444">
        <f>VLOOKUP(compliance!A251,'42. SEA or LEA Worksheet'!$A$4:$AB$324,26,0)/VLOOKUP(compliance!A251,'42. SEA or LEA Worksheet'!$A$4:$Y$324,25,0)</f>
        <v>0</v>
      </c>
      <c r="AM251" s="513" t="str">
        <f t="shared" si="139"/>
        <v>Met</v>
      </c>
      <c r="AO251" s="444">
        <f>VLOOKUP(A251,'42. SEA or LEA Worksheet'!$A$4:$AB$324,28,0)/VLOOKUP(compliance!A251,'42. SEA or LEA Worksheet'!$A$4:$Y$324,25,0)</f>
        <v>14664.108469945355</v>
      </c>
      <c r="AP251" s="513" t="str">
        <f t="shared" si="140"/>
        <v>Met</v>
      </c>
      <c r="AR251" s="512" t="str">
        <f t="shared" si="162"/>
        <v>Met</v>
      </c>
      <c r="AT251" s="444">
        <f>VLOOKUP(A251,'42. SEA or LEA Worksheet'!$A$4:$AE$324,31,0)</f>
        <v>0</v>
      </c>
      <c r="AU251" s="513" t="str">
        <f t="shared" si="156"/>
        <v>Met</v>
      </c>
      <c r="AW251" s="444">
        <f>VLOOKUP(A251,'42. SEA or LEA Worksheet'!$A$4:$AG$324,33,0)</f>
        <v>2685147.94</v>
      </c>
      <c r="AX251" s="513" t="str">
        <f t="shared" si="157"/>
        <v>Met</v>
      </c>
      <c r="AZ251" s="444">
        <f>VLOOKUP(A251,'42. SEA or LEA Worksheet'!$A$4:$AG$324,31,0)/VLOOKUP(A251,'42. SEA or LEA Worksheet'!$A$4:$AD$324,30,0)</f>
        <v>0</v>
      </c>
      <c r="BA251" s="513" t="str">
        <f t="shared" si="158"/>
        <v>Met</v>
      </c>
      <c r="BC251" s="444">
        <f>VLOOKUP(A251,'42. SEA or LEA Worksheet'!$A$4:$AG$324,33,0)/VLOOKUP(A251,'42. SEA or LEA Worksheet'!$A$4:$AD$324,30,0)</f>
        <v>15170.327344632768</v>
      </c>
      <c r="BD251" s="513" t="str">
        <f t="shared" si="159"/>
        <v>Met</v>
      </c>
      <c r="BF251" s="512" t="str">
        <f t="shared" si="163"/>
        <v>Met</v>
      </c>
      <c r="BG251" s="637">
        <f>VLOOKUP(A251,'42. SEA or LEA Worksheet'!$A$4:$AM$324,36,0)</f>
        <v>0</v>
      </c>
      <c r="BH251" s="638" t="str">
        <f t="shared" si="164"/>
        <v>Met</v>
      </c>
      <c r="BI251" s="639"/>
      <c r="BJ251" s="637">
        <f>VLOOKUP(A251,'42. SEA or LEA Worksheet'!$A$4:$AM$324,38,0)</f>
        <v>2868223.34</v>
      </c>
      <c r="BK251" s="638" t="str">
        <f t="shared" si="165"/>
        <v>Met</v>
      </c>
      <c r="BM251" s="631">
        <f>VLOOKUP(A251,'42. SEA or LEA Worksheet'!$A$4:$AL$324,36,0)/VLOOKUP(A251,'42. SEA or LEA Worksheet'!$A$4:$AL$324,35,0)</f>
        <v>0</v>
      </c>
      <c r="BN251" s="632" t="str">
        <f t="shared" si="166"/>
        <v>Met</v>
      </c>
      <c r="BP251" s="631">
        <f>VLOOKUP(A251,'42. SEA or LEA Worksheet'!$A$4:$AL$324,38,0)/VLOOKUP(A251,'42. SEA or LEA Worksheet'!$A$4:$AL$324,35,0)</f>
        <v>15759.4689010989</v>
      </c>
      <c r="BQ251" s="632" t="str">
        <f t="shared" si="167"/>
        <v>Met</v>
      </c>
      <c r="BS251" s="620" t="str">
        <f t="shared" si="168"/>
        <v>Met</v>
      </c>
    </row>
    <row r="252" spans="1:71" x14ac:dyDescent="0.25">
      <c r="A252" s="343" t="s">
        <v>688</v>
      </c>
      <c r="B252" s="510" t="s">
        <v>1066</v>
      </c>
      <c r="C252" s="511"/>
      <c r="D252" s="444">
        <v>0</v>
      </c>
      <c r="E252" s="343" t="s">
        <v>835</v>
      </c>
      <c r="F252" s="511"/>
      <c r="G252" s="444">
        <v>262579.42</v>
      </c>
      <c r="H252" s="343" t="s">
        <v>835</v>
      </c>
      <c r="I252" s="511"/>
      <c r="J252" s="444">
        <v>0</v>
      </c>
      <c r="K252" s="343" t="s">
        <v>835</v>
      </c>
      <c r="L252" s="511"/>
      <c r="M252" s="444">
        <v>8752.6473333333324</v>
      </c>
      <c r="N252" s="343" t="s">
        <v>856</v>
      </c>
      <c r="O252" s="511"/>
      <c r="P252" s="512" t="str">
        <f t="shared" si="160"/>
        <v>Met</v>
      </c>
      <c r="Q252" s="511"/>
      <c r="R252" s="444">
        <f>VLOOKUP(A252,'2020-21'!$A$6:$F$319,6,0)</f>
        <v>0</v>
      </c>
      <c r="S252" s="513" t="str">
        <f t="shared" si="133"/>
        <v>Met</v>
      </c>
      <c r="U252" s="444">
        <f>VLOOKUP(A252,'2020-21'!$A$6:$G$319,7,0)</f>
        <v>247390</v>
      </c>
      <c r="V252" s="513" t="str">
        <f t="shared" si="134"/>
        <v>Did not Meet</v>
      </c>
      <c r="X252" s="444">
        <f>VLOOKUP(A252,'2020-21'!$A$6:$F$319,6,0)/VLOOKUP(A252,'42. SEA or LEA Worksheet'!$A$4:$T$324,20,0)</f>
        <v>0</v>
      </c>
      <c r="Y252" s="513" t="str">
        <f t="shared" si="135"/>
        <v>Met</v>
      </c>
      <c r="AA252" s="444">
        <f>VLOOKUP(A252,'42. SEA or LEA Worksheet'!$A$4:$W$324,23,0)/VLOOKUP(compliance!A252,'42. SEA or LEA Worksheet'!$A$4:$T$324,20,0)</f>
        <v>7980.322580645161</v>
      </c>
      <c r="AB252" s="513" t="str">
        <f t="shared" si="136"/>
        <v>Did not Meet</v>
      </c>
      <c r="AD252" s="512" t="str">
        <f t="shared" si="161"/>
        <v>Met</v>
      </c>
      <c r="AF252" s="444">
        <f>VLOOKUP(A252,'42. SEA or LEA Worksheet'!$A$4:$Z$324,26,0)</f>
        <v>0</v>
      </c>
      <c r="AG252" s="513" t="str">
        <f t="shared" si="137"/>
        <v>Met</v>
      </c>
      <c r="AI252" s="444">
        <f>VLOOKUP(A252,'42. SEA or LEA Worksheet'!$A$4:$AB$324,28,0)</f>
        <v>291322.62</v>
      </c>
      <c r="AJ252" s="513" t="str">
        <f t="shared" si="138"/>
        <v>Met</v>
      </c>
      <c r="AL252" s="444">
        <f>VLOOKUP(compliance!A252,'42. SEA or LEA Worksheet'!$A$4:$AB$324,26,0)/VLOOKUP(compliance!A252,'42. SEA or LEA Worksheet'!$A$4:$Y$324,25,0)</f>
        <v>0</v>
      </c>
      <c r="AM252" s="513" t="str">
        <f t="shared" si="139"/>
        <v>Met</v>
      </c>
      <c r="AO252" s="444">
        <f>VLOOKUP(A252,'42. SEA or LEA Worksheet'!$A$4:$AB$324,28,0)/VLOOKUP(compliance!A252,'42. SEA or LEA Worksheet'!$A$4:$Y$324,25,0)</f>
        <v>9397.503870967741</v>
      </c>
      <c r="AP252" s="513" t="str">
        <f t="shared" si="140"/>
        <v>Met</v>
      </c>
      <c r="AR252" s="512" t="str">
        <f t="shared" si="162"/>
        <v>Met</v>
      </c>
      <c r="AT252" s="444">
        <f>VLOOKUP(A252,'42. SEA or LEA Worksheet'!$A$4:$AE$324,31,0)</f>
        <v>0</v>
      </c>
      <c r="AU252" s="513" t="str">
        <f t="shared" si="156"/>
        <v>Met</v>
      </c>
      <c r="AW252" s="444">
        <f>VLOOKUP(A252,'42. SEA or LEA Worksheet'!$A$4:$AG$324,33,0)</f>
        <v>265986.53999999998</v>
      </c>
      <c r="AX252" s="513" t="str">
        <f t="shared" si="157"/>
        <v>Did not Meet</v>
      </c>
      <c r="AZ252" s="444">
        <f>VLOOKUP(A252,'42. SEA or LEA Worksheet'!$A$4:$AG$324,31,0)/VLOOKUP(A252,'42. SEA or LEA Worksheet'!$A$4:$AD$324,30,0)</f>
        <v>0</v>
      </c>
      <c r="BA252" s="513" t="str">
        <f t="shared" si="158"/>
        <v>Met</v>
      </c>
      <c r="BC252" s="444">
        <f>VLOOKUP(A252,'42. SEA or LEA Worksheet'!$A$4:$AG$324,33,0)/VLOOKUP(A252,'42. SEA or LEA Worksheet'!$A$4:$AD$324,30,0)</f>
        <v>9499.5192857142847</v>
      </c>
      <c r="BD252" s="513" t="str">
        <f t="shared" si="159"/>
        <v>Met</v>
      </c>
      <c r="BF252" s="512" t="str">
        <f t="shared" si="163"/>
        <v>Met</v>
      </c>
      <c r="BG252" s="637">
        <f>VLOOKUP(A252,'42. SEA or LEA Worksheet'!$A$4:$AM$324,36,0)</f>
        <v>122536.89</v>
      </c>
      <c r="BH252" s="638" t="str">
        <f t="shared" si="164"/>
        <v>Met</v>
      </c>
      <c r="BI252" s="639"/>
      <c r="BJ252" s="637">
        <f>VLOOKUP(A252,'42. SEA or LEA Worksheet'!$A$4:$AM$324,38,0)</f>
        <v>536523.30999999994</v>
      </c>
      <c r="BK252" s="638" t="str">
        <f t="shared" si="165"/>
        <v>Met</v>
      </c>
      <c r="BM252" s="631">
        <f>VLOOKUP(A252,'42. SEA or LEA Worksheet'!$A$4:$AL$324,36,0)/VLOOKUP(A252,'42. SEA or LEA Worksheet'!$A$4:$AL$324,35,0)</f>
        <v>3604.0261764705883</v>
      </c>
      <c r="BN252" s="632" t="str">
        <f t="shared" si="166"/>
        <v>Met</v>
      </c>
      <c r="BP252" s="631">
        <f>VLOOKUP(A252,'42. SEA or LEA Worksheet'!$A$4:$AL$324,38,0)/VLOOKUP(A252,'42. SEA or LEA Worksheet'!$A$4:$AL$324,35,0)</f>
        <v>15780.097352941175</v>
      </c>
      <c r="BQ252" s="632" t="str">
        <f t="shared" si="167"/>
        <v>Met</v>
      </c>
      <c r="BS252" s="620" t="str">
        <f t="shared" si="168"/>
        <v>Met</v>
      </c>
    </row>
    <row r="253" spans="1:71" x14ac:dyDescent="0.25">
      <c r="A253" s="343" t="s">
        <v>690</v>
      </c>
      <c r="B253" s="510" t="s">
        <v>1067</v>
      </c>
      <c r="C253" s="511"/>
      <c r="D253" s="444">
        <v>2116191.62</v>
      </c>
      <c r="E253" s="343" t="s">
        <v>856</v>
      </c>
      <c r="F253" s="511"/>
      <c r="G253" s="444">
        <v>52815693.409999996</v>
      </c>
      <c r="H253" s="343" t="s">
        <v>835</v>
      </c>
      <c r="I253" s="511"/>
      <c r="J253" s="444">
        <v>440.13968801996674</v>
      </c>
      <c r="K253" s="343" t="s">
        <v>856</v>
      </c>
      <c r="L253" s="511"/>
      <c r="M253" s="444">
        <v>10984.961191763727</v>
      </c>
      <c r="N253" s="343" t="s">
        <v>856</v>
      </c>
      <c r="O253" s="511"/>
      <c r="P253" s="512" t="str">
        <f t="shared" si="160"/>
        <v>Met</v>
      </c>
      <c r="Q253" s="511"/>
      <c r="R253" s="444">
        <f>VLOOKUP(A253,'2020-21'!$A$6:$F$319,6,0)</f>
        <v>8951194.8499999996</v>
      </c>
      <c r="S253" s="513" t="str">
        <f t="shared" si="133"/>
        <v>Met</v>
      </c>
      <c r="U253" s="444">
        <f>VLOOKUP(A253,'2020-21'!$A$6:$G$319,7,0)</f>
        <v>57073292.440000005</v>
      </c>
      <c r="V253" s="513" t="str">
        <f t="shared" si="134"/>
        <v>Met</v>
      </c>
      <c r="X253" s="444">
        <f>VLOOKUP(A253,'2020-21'!$A$6:$F$319,6,0)/VLOOKUP(A253,'42. SEA or LEA Worksheet'!$A$4:$T$324,20,0)</f>
        <v>1922.5074849656357</v>
      </c>
      <c r="Y253" s="513" t="str">
        <f t="shared" si="135"/>
        <v>Met</v>
      </c>
      <c r="AA253" s="444">
        <f>VLOOKUP(A253,'42. SEA or LEA Worksheet'!$A$4:$W$324,23,0)/VLOOKUP(compliance!A253,'42. SEA or LEA Worksheet'!$A$4:$T$324,20,0)</f>
        <v>12258.009544673541</v>
      </c>
      <c r="AB253" s="513" t="str">
        <f t="shared" si="136"/>
        <v>Met</v>
      </c>
      <c r="AD253" s="512" t="str">
        <f t="shared" si="161"/>
        <v>Met</v>
      </c>
      <c r="AF253" s="444">
        <f>VLOOKUP(A253,'42. SEA or LEA Worksheet'!$A$4:$Z$324,26,0)</f>
        <v>8969202.1899999995</v>
      </c>
      <c r="AG253" s="513" t="str">
        <f t="shared" si="137"/>
        <v>Met</v>
      </c>
      <c r="AI253" s="444">
        <f>VLOOKUP(A253,'42. SEA or LEA Worksheet'!$A$4:$AB$324,28,0)</f>
        <v>57282780.349999994</v>
      </c>
      <c r="AJ253" s="513" t="str">
        <f t="shared" si="138"/>
        <v>Met</v>
      </c>
      <c r="AL253" s="444">
        <f>VLOOKUP(compliance!A253,'42. SEA or LEA Worksheet'!$A$4:$AB$324,26,0)/VLOOKUP(compliance!A253,'42. SEA or LEA Worksheet'!$A$4:$Y$324,25,0)</f>
        <v>1899.0476794410331</v>
      </c>
      <c r="AM253" s="513" t="str">
        <f t="shared" si="139"/>
        <v>Did not Meet</v>
      </c>
      <c r="AO253" s="444">
        <f>VLOOKUP(A253,'42. SEA or LEA Worksheet'!$A$4:$AB$324,28,0)/VLOOKUP(compliance!A253,'42. SEA or LEA Worksheet'!$A$4:$Y$324,25,0)</f>
        <v>12128.473502011431</v>
      </c>
      <c r="AP253" s="513" t="str">
        <f t="shared" si="140"/>
        <v>Did not Meet</v>
      </c>
      <c r="AR253" s="512" t="str">
        <f t="shared" si="162"/>
        <v>Met</v>
      </c>
      <c r="AT253" s="444">
        <f>VLOOKUP(A253,'42. SEA or LEA Worksheet'!$A$4:$AE$324,31,0)</f>
        <v>5723875.46</v>
      </c>
      <c r="AU253" s="513" t="str">
        <f t="shared" si="156"/>
        <v>Did not Meet</v>
      </c>
      <c r="AW253" s="444">
        <f>VLOOKUP(A253,'42. SEA or LEA Worksheet'!$A$4:$AG$324,33,0)</f>
        <v>57390441.130000003</v>
      </c>
      <c r="AX253" s="513" t="str">
        <f t="shared" si="157"/>
        <v>Met</v>
      </c>
      <c r="AZ253" s="444">
        <f>VLOOKUP(A253,'42. SEA or LEA Worksheet'!$A$4:$AG$324,31,0)/VLOOKUP(A253,'42. SEA or LEA Worksheet'!$A$4:$AD$324,30,0)</f>
        <v>1160.7940498884607</v>
      </c>
      <c r="BA253" s="513" t="str">
        <f t="shared" si="158"/>
        <v>Did not Meet</v>
      </c>
      <c r="BC253" s="444">
        <f>VLOOKUP(A253,'42. SEA or LEA Worksheet'!$A$4:$AG$324,33,0)/VLOOKUP(A253,'42. SEA or LEA Worksheet'!$A$4:$AD$324,30,0)</f>
        <v>11638.702317988238</v>
      </c>
      <c r="BD253" s="513" t="str">
        <f t="shared" si="159"/>
        <v>Did not Meet</v>
      </c>
      <c r="BF253" s="512" t="str">
        <f t="shared" si="163"/>
        <v>Met</v>
      </c>
      <c r="BG253" s="637">
        <f>VLOOKUP(A253,'42. SEA or LEA Worksheet'!$A$4:$AM$324,36,0)</f>
        <v>3265786.29</v>
      </c>
      <c r="BH253" s="638" t="str">
        <f t="shared" si="164"/>
        <v>Did not Meet</v>
      </c>
      <c r="BI253" s="639"/>
      <c r="BJ253" s="637">
        <f>VLOOKUP(A253,'42. SEA or LEA Worksheet'!$A$4:$AM$324,38,0)</f>
        <v>66124487.259999998</v>
      </c>
      <c r="BK253" s="638" t="str">
        <f t="shared" si="165"/>
        <v>Met</v>
      </c>
      <c r="BM253" s="631">
        <f>VLOOKUP(A253,'42. SEA or LEA Worksheet'!$A$4:$AL$324,36,0)/VLOOKUP(A253,'42. SEA or LEA Worksheet'!$A$4:$AL$324,35,0)</f>
        <v>620.87191825095056</v>
      </c>
      <c r="BN253" s="632" t="str">
        <f t="shared" si="166"/>
        <v>Met</v>
      </c>
      <c r="BP253" s="631">
        <f>VLOOKUP(A253,'42. SEA or LEA Worksheet'!$A$4:$AL$324,38,0)/VLOOKUP(A253,'42. SEA or LEA Worksheet'!$A$4:$AL$324,35,0)</f>
        <v>12571.195296577946</v>
      </c>
      <c r="BQ253" s="632" t="str">
        <f t="shared" si="167"/>
        <v>Met</v>
      </c>
      <c r="BS253" s="620" t="str">
        <f t="shared" si="168"/>
        <v>Met</v>
      </c>
    </row>
    <row r="254" spans="1:71" s="533" customFormat="1" x14ac:dyDescent="0.25">
      <c r="A254" s="533" t="s">
        <v>692</v>
      </c>
      <c r="B254" s="530" t="s">
        <v>1068</v>
      </c>
      <c r="C254" s="531"/>
      <c r="D254" s="532">
        <v>0</v>
      </c>
      <c r="E254" s="533" t="s">
        <v>835</v>
      </c>
      <c r="F254" s="531"/>
      <c r="G254" s="444">
        <v>460168.03</v>
      </c>
      <c r="H254" s="533" t="s">
        <v>835</v>
      </c>
      <c r="I254" s="531"/>
      <c r="J254" s="532">
        <v>0</v>
      </c>
      <c r="K254" s="533" t="s">
        <v>835</v>
      </c>
      <c r="L254" s="531"/>
      <c r="M254" s="532">
        <v>8217.286250000001</v>
      </c>
      <c r="N254" s="533" t="s">
        <v>835</v>
      </c>
      <c r="O254" s="531"/>
      <c r="P254" s="534" t="str">
        <f t="shared" si="160"/>
        <v>Met</v>
      </c>
      <c r="Q254" s="531"/>
      <c r="R254" s="532">
        <f>VLOOKUP(A254,'2020-21'!$A$6:$F$319,6,0)</f>
        <v>0</v>
      </c>
      <c r="S254" s="535" t="str">
        <f t="shared" si="133"/>
        <v>Met</v>
      </c>
      <c r="T254" s="531"/>
      <c r="U254" s="532">
        <f>VLOOKUP(A254,'2020-21'!$A$6:$G$319,7,0)</f>
        <v>551642.74</v>
      </c>
      <c r="V254" s="513" t="str">
        <f t="shared" si="134"/>
        <v>Met</v>
      </c>
      <c r="W254" s="531"/>
      <c r="X254" s="532">
        <f>VLOOKUP(A254,'2020-21'!$A$6:$F$319,6,0)/VLOOKUP(A254,'42. SEA or LEA Worksheet'!$A$4:$T$324,20,0)</f>
        <v>0</v>
      </c>
      <c r="Y254" s="535" t="str">
        <f t="shared" si="135"/>
        <v>Met</v>
      </c>
      <c r="Z254" s="531"/>
      <c r="AA254" s="532">
        <f>VLOOKUP(A254,'42. SEA or LEA Worksheet'!$A$4:$W$324,23,0)/VLOOKUP(compliance!A254,'42. SEA or LEA Worksheet'!$A$4:$T$324,20,0)</f>
        <v>8486.8113846153847</v>
      </c>
      <c r="AB254" s="535" t="str">
        <f t="shared" si="136"/>
        <v>Met</v>
      </c>
      <c r="AC254" s="531"/>
      <c r="AD254" s="534" t="str">
        <f t="shared" si="161"/>
        <v>Met</v>
      </c>
      <c r="AE254" s="531"/>
      <c r="AF254" s="444">
        <f>VLOOKUP(A254,'42. SEA or LEA Worksheet'!$A$4:$Z$324,26,0)</f>
        <v>0</v>
      </c>
      <c r="AG254" s="535" t="str">
        <f t="shared" si="137"/>
        <v>Met</v>
      </c>
      <c r="AH254" s="531"/>
      <c r="AI254" s="444">
        <f>VLOOKUP(A254,'42. SEA or LEA Worksheet'!$A$4:$AB$324,28,0)</f>
        <v>678447.87</v>
      </c>
      <c r="AJ254" s="535" t="str">
        <f t="shared" si="138"/>
        <v>Met</v>
      </c>
      <c r="AK254" s="531"/>
      <c r="AL254" s="444">
        <f>VLOOKUP(compliance!A254,'42. SEA or LEA Worksheet'!$A$4:$AB$324,26,0)/VLOOKUP(compliance!A254,'42. SEA or LEA Worksheet'!$A$4:$Y$324,25,0)</f>
        <v>0</v>
      </c>
      <c r="AM254" s="535" t="str">
        <f t="shared" si="139"/>
        <v>Met</v>
      </c>
      <c r="AN254" s="531"/>
      <c r="AO254" s="444">
        <f>VLOOKUP(A254,'42. SEA or LEA Worksheet'!$A$4:$AB$324,28,0)/VLOOKUP(compliance!A254,'42. SEA or LEA Worksheet'!$A$4:$Y$324,25,0)</f>
        <v>8698.0496153846161</v>
      </c>
      <c r="AP254" s="535" t="str">
        <f t="shared" si="140"/>
        <v>Met</v>
      </c>
      <c r="AQ254" s="531"/>
      <c r="AR254" s="534" t="str">
        <f t="shared" si="162"/>
        <v>Met</v>
      </c>
      <c r="AS254" s="531"/>
      <c r="AT254" s="444">
        <f>VLOOKUP(A254,'42. SEA or LEA Worksheet'!$A$4:$AE$324,31,0)</f>
        <v>0</v>
      </c>
      <c r="AU254" s="535" t="str">
        <f t="shared" si="156"/>
        <v>Met</v>
      </c>
      <c r="AV254" s="531"/>
      <c r="AW254" s="444">
        <f>VLOOKUP(A254,'42. SEA or LEA Worksheet'!$A$4:$AG$324,33,0)</f>
        <v>725815.7</v>
      </c>
      <c r="AX254" s="535" t="str">
        <f t="shared" si="157"/>
        <v>Met</v>
      </c>
      <c r="AY254" s="531"/>
      <c r="AZ254" s="444">
        <f>VLOOKUP(A254,'42. SEA or LEA Worksheet'!$A$4:$AG$324,31,0)/VLOOKUP(A254,'42. SEA or LEA Worksheet'!$A$4:$AD$324,30,0)</f>
        <v>0</v>
      </c>
      <c r="BA254" s="535" t="str">
        <f t="shared" si="158"/>
        <v>Met</v>
      </c>
      <c r="BB254" s="531"/>
      <c r="BC254" s="444">
        <f>VLOOKUP(A254,'42. SEA or LEA Worksheet'!$A$4:$AG$324,33,0)/VLOOKUP(A254,'42. SEA or LEA Worksheet'!$A$4:$AD$324,30,0)</f>
        <v>9187.5405063291128</v>
      </c>
      <c r="BD254" s="513" t="str">
        <f t="shared" si="159"/>
        <v>Met</v>
      </c>
      <c r="BE254" s="531"/>
      <c r="BF254" s="534" t="str">
        <f t="shared" si="163"/>
        <v>Met</v>
      </c>
      <c r="BG254" s="637">
        <f>VLOOKUP(A254,'42. SEA or LEA Worksheet'!$A$4:$AM$324,36,0)</f>
        <v>0</v>
      </c>
      <c r="BH254" s="638" t="str">
        <f t="shared" si="164"/>
        <v>Met</v>
      </c>
      <c r="BI254" s="640"/>
      <c r="BJ254" s="637">
        <f>VLOOKUP(A254,'42. SEA or LEA Worksheet'!$A$4:$AM$324,38,0)</f>
        <v>786765.84</v>
      </c>
      <c r="BK254" s="638" t="str">
        <f t="shared" si="165"/>
        <v>Met</v>
      </c>
      <c r="BL254" s="641"/>
      <c r="BM254" s="631">
        <f>VLOOKUP(A254,'42. SEA or LEA Worksheet'!$A$4:$AL$324,36,0)/VLOOKUP(A254,'42. SEA or LEA Worksheet'!$A$4:$AL$324,35,0)</f>
        <v>0</v>
      </c>
      <c r="BN254" s="642" t="str">
        <f t="shared" si="166"/>
        <v>Met</v>
      </c>
      <c r="BO254" s="641"/>
      <c r="BP254" s="631">
        <f>VLOOKUP(A254,'42. SEA or LEA Worksheet'!$A$4:$AL$324,38,0)/VLOOKUP(A254,'42. SEA or LEA Worksheet'!$A$4:$AL$324,35,0)</f>
        <v>16056.445714285714</v>
      </c>
      <c r="BQ254" s="632" t="str">
        <f t="shared" si="167"/>
        <v>Met</v>
      </c>
      <c r="BR254" s="641"/>
      <c r="BS254" s="643" t="str">
        <f t="shared" si="168"/>
        <v>Met</v>
      </c>
    </row>
    <row r="255" spans="1:71" x14ac:dyDescent="0.25">
      <c r="A255" s="343" t="s">
        <v>694</v>
      </c>
      <c r="B255" s="510" t="s">
        <v>1069</v>
      </c>
      <c r="C255" s="511"/>
      <c r="D255" s="444">
        <v>0</v>
      </c>
      <c r="E255" s="343" t="s">
        <v>835</v>
      </c>
      <c r="F255" s="511"/>
      <c r="G255" s="444">
        <v>125378.32</v>
      </c>
      <c r="H255" s="343" t="s">
        <v>880</v>
      </c>
      <c r="I255" s="511"/>
      <c r="J255" s="444">
        <v>0</v>
      </c>
      <c r="K255" s="343" t="s">
        <v>856</v>
      </c>
      <c r="L255" s="511"/>
      <c r="M255" s="444">
        <v>11398.029090909091</v>
      </c>
      <c r="N255" s="343" t="s">
        <v>856</v>
      </c>
      <c r="O255" s="511"/>
      <c r="P255" s="512" t="str">
        <f t="shared" si="160"/>
        <v>Met</v>
      </c>
      <c r="Q255" s="511"/>
      <c r="R255" s="444">
        <f>VLOOKUP(A255,'2020-21'!$A$6:$F$319,6,0)</f>
        <v>0</v>
      </c>
      <c r="S255" s="513" t="str">
        <f t="shared" si="133"/>
        <v>Met</v>
      </c>
      <c r="U255" s="444">
        <f>VLOOKUP(A255,'2020-21'!$A$6:$G$319,7,0)</f>
        <v>135764.09</v>
      </c>
      <c r="V255" s="513" t="str">
        <f t="shared" si="134"/>
        <v>Met</v>
      </c>
      <c r="X255" s="444">
        <f>VLOOKUP(A255,'2020-21'!$A$6:$F$319,6,0)/VLOOKUP(A255,'42. SEA or LEA Worksheet'!$A$4:$T$324,20,0)</f>
        <v>0</v>
      </c>
      <c r="Y255" s="513" t="str">
        <f t="shared" si="135"/>
        <v>Met</v>
      </c>
      <c r="AA255" s="444">
        <f>VLOOKUP(A255,'42. SEA or LEA Worksheet'!$A$4:$W$324,23,0)/VLOOKUP(compliance!A255,'42. SEA or LEA Worksheet'!$A$4:$T$324,20,0)</f>
        <v>12342.19</v>
      </c>
      <c r="AB255" s="513" t="str">
        <f t="shared" si="136"/>
        <v>Met</v>
      </c>
      <c r="AD255" s="512" t="str">
        <f t="shared" si="161"/>
        <v>Met</v>
      </c>
      <c r="AF255" s="444">
        <f>VLOOKUP(A255,'42. SEA or LEA Worksheet'!$A$4:$Z$324,26,0)</f>
        <v>0</v>
      </c>
      <c r="AG255" s="513" t="str">
        <f t="shared" si="137"/>
        <v>Met</v>
      </c>
      <c r="AI255" s="444">
        <f>VLOOKUP(A255,'42. SEA or LEA Worksheet'!$A$4:$AB$324,28,0)</f>
        <v>166823.67000000001</v>
      </c>
      <c r="AJ255" s="513" t="str">
        <f t="shared" si="138"/>
        <v>Met</v>
      </c>
      <c r="AL255" s="444">
        <f>VLOOKUP(compliance!A255,'42. SEA or LEA Worksheet'!$A$4:$AB$324,26,0)/VLOOKUP(compliance!A255,'42. SEA or LEA Worksheet'!$A$4:$Y$324,25,0)</f>
        <v>0</v>
      </c>
      <c r="AM255" s="513" t="str">
        <f t="shared" si="139"/>
        <v>Met</v>
      </c>
      <c r="AO255" s="444">
        <f>VLOOKUP(A255,'42. SEA or LEA Worksheet'!$A$4:$AB$324,28,0)/VLOOKUP(compliance!A255,'42. SEA or LEA Worksheet'!$A$4:$Y$324,25,0)</f>
        <v>11915.97642857143</v>
      </c>
      <c r="AP255" s="513" t="str">
        <f t="shared" si="140"/>
        <v>Did not Meet</v>
      </c>
      <c r="AR255" s="512" t="str">
        <f t="shared" si="162"/>
        <v>Met</v>
      </c>
      <c r="AT255" s="444">
        <f>VLOOKUP(A255,'42. SEA or LEA Worksheet'!$A$4:$AE$324,31,0)</f>
        <v>0</v>
      </c>
      <c r="AU255" s="513" t="str">
        <f t="shared" si="156"/>
        <v>Met</v>
      </c>
      <c r="AW255" s="444">
        <f>VLOOKUP(A255,'42. SEA or LEA Worksheet'!$A$4:$AG$324,33,0)</f>
        <v>182270.24</v>
      </c>
      <c r="AX255" s="513" t="str">
        <f t="shared" si="157"/>
        <v>Met</v>
      </c>
      <c r="AZ255" s="444">
        <f>VLOOKUP(A255,'42. SEA or LEA Worksheet'!$A$4:$AG$324,31,0)/VLOOKUP(A255,'42. SEA or LEA Worksheet'!$A$4:$AD$324,30,0)</f>
        <v>0</v>
      </c>
      <c r="BA255" s="513" t="str">
        <f t="shared" si="158"/>
        <v>Met</v>
      </c>
      <c r="BC255" s="444">
        <f>VLOOKUP(A255,'42. SEA or LEA Worksheet'!$A$4:$AG$324,33,0)/VLOOKUP(A255,'42. SEA or LEA Worksheet'!$A$4:$AD$324,30,0)</f>
        <v>12151.349333333334</v>
      </c>
      <c r="BD255" s="513" t="str">
        <f t="shared" si="159"/>
        <v>Met</v>
      </c>
      <c r="BF255" s="512" t="str">
        <f t="shared" si="163"/>
        <v>Met</v>
      </c>
      <c r="BG255" s="637">
        <f>VLOOKUP(A255,'42. SEA or LEA Worksheet'!$A$4:$AM$324,36,0)</f>
        <v>0</v>
      </c>
      <c r="BH255" s="638" t="str">
        <f t="shared" si="164"/>
        <v>Met</v>
      </c>
      <c r="BI255" s="639"/>
      <c r="BJ255" s="637">
        <f>VLOOKUP(A255,'42. SEA or LEA Worksheet'!$A$4:$AM$324,38,0)</f>
        <v>187211.95</v>
      </c>
      <c r="BK255" s="638" t="str">
        <f t="shared" si="165"/>
        <v>Met</v>
      </c>
      <c r="BM255" s="631">
        <f>VLOOKUP(A255,'42. SEA or LEA Worksheet'!$A$4:$AL$324,36,0)/VLOOKUP(A255,'42. SEA or LEA Worksheet'!$A$4:$AL$324,35,0)</f>
        <v>0</v>
      </c>
      <c r="BN255" s="632" t="str">
        <f t="shared" si="166"/>
        <v>Met</v>
      </c>
      <c r="BP255" s="631">
        <f>VLOOKUP(A255,'42. SEA or LEA Worksheet'!$A$4:$AL$324,38,0)/VLOOKUP(A255,'42. SEA or LEA Worksheet'!$A$4:$AL$324,35,0)</f>
        <v>13372.282142857144</v>
      </c>
      <c r="BQ255" s="632" t="str">
        <f t="shared" si="167"/>
        <v>Met</v>
      </c>
      <c r="BS255" s="620" t="str">
        <f t="shared" si="168"/>
        <v>Met</v>
      </c>
    </row>
    <row r="256" spans="1:71" x14ac:dyDescent="0.25">
      <c r="A256" s="343" t="s">
        <v>696</v>
      </c>
      <c r="B256" s="510" t="s">
        <v>1070</v>
      </c>
      <c r="C256" s="511"/>
      <c r="D256" s="444">
        <v>0</v>
      </c>
      <c r="E256" s="343" t="s">
        <v>835</v>
      </c>
      <c r="F256" s="511"/>
      <c r="G256" s="444">
        <v>143892.69</v>
      </c>
      <c r="H256" s="343" t="s">
        <v>856</v>
      </c>
      <c r="I256" s="511"/>
      <c r="J256" s="444">
        <v>0</v>
      </c>
      <c r="K256" s="343" t="s">
        <v>835</v>
      </c>
      <c r="L256" s="511"/>
      <c r="M256" s="444">
        <v>10278.049285714285</v>
      </c>
      <c r="N256" s="343" t="s">
        <v>856</v>
      </c>
      <c r="O256" s="511"/>
      <c r="P256" s="512" t="str">
        <f t="shared" si="160"/>
        <v>Met</v>
      </c>
      <c r="Q256" s="511"/>
      <c r="R256" s="444">
        <f>VLOOKUP(A256,'2020-21'!$A$6:$F$319,6,0)</f>
        <v>0</v>
      </c>
      <c r="S256" s="513" t="str">
        <f t="shared" si="133"/>
        <v>Met</v>
      </c>
      <c r="U256" s="444">
        <f>VLOOKUP(A256,'2020-21'!$A$6:$G$319,7,0)</f>
        <v>163928.12</v>
      </c>
      <c r="V256" s="513" t="str">
        <f t="shared" si="134"/>
        <v>Met</v>
      </c>
      <c r="X256" s="444">
        <f>VLOOKUP(A256,'2020-21'!$A$6:$F$319,6,0)/VLOOKUP(A256,'42. SEA or LEA Worksheet'!$A$4:$T$324,20,0)</f>
        <v>0</v>
      </c>
      <c r="Y256" s="513" t="str">
        <f t="shared" si="135"/>
        <v>Met</v>
      </c>
      <c r="AA256" s="444">
        <f>VLOOKUP(A256,'42. SEA or LEA Worksheet'!$A$4:$W$324,23,0)/VLOOKUP(compliance!A256,'42. SEA or LEA Worksheet'!$A$4:$T$324,20,0)</f>
        <v>10245.5075</v>
      </c>
      <c r="AB256" s="513" t="str">
        <f t="shared" si="136"/>
        <v>Did not Meet</v>
      </c>
      <c r="AD256" s="512" t="str">
        <f t="shared" si="161"/>
        <v>Met</v>
      </c>
      <c r="AF256" s="444">
        <f>VLOOKUP(A256,'42. SEA or LEA Worksheet'!$A$4:$Z$324,26,0)</f>
        <v>0</v>
      </c>
      <c r="AG256" s="513" t="str">
        <f t="shared" si="137"/>
        <v>Met</v>
      </c>
      <c r="AI256" s="444">
        <f>VLOOKUP(A256,'42. SEA or LEA Worksheet'!$A$4:$AB$324,28,0)</f>
        <v>170870.33</v>
      </c>
      <c r="AJ256" s="513" t="str">
        <f t="shared" si="138"/>
        <v>Met</v>
      </c>
      <c r="AL256" s="444">
        <f>VLOOKUP(compliance!A256,'42. SEA or LEA Worksheet'!$A$4:$AB$324,26,0)/VLOOKUP(compliance!A256,'42. SEA or LEA Worksheet'!$A$4:$Y$324,25,0)</f>
        <v>0</v>
      </c>
      <c r="AM256" s="513" t="str">
        <f t="shared" si="139"/>
        <v>Met</v>
      </c>
      <c r="AO256" s="444">
        <f>VLOOKUP(A256,'42. SEA or LEA Worksheet'!$A$4:$AB$324,28,0)/VLOOKUP(compliance!A256,'42. SEA or LEA Worksheet'!$A$4:$Y$324,25,0)</f>
        <v>12205.02357142857</v>
      </c>
      <c r="AP256" s="513" t="str">
        <f t="shared" si="140"/>
        <v>Met</v>
      </c>
      <c r="AR256" s="512" t="str">
        <f t="shared" si="162"/>
        <v>Met</v>
      </c>
      <c r="AT256" s="444">
        <f>VLOOKUP(A256,'42. SEA or LEA Worksheet'!$A$4:$AE$324,31,0)</f>
        <v>0</v>
      </c>
      <c r="AU256" s="513" t="str">
        <f t="shared" si="156"/>
        <v>Met</v>
      </c>
      <c r="AW256" s="444">
        <f>VLOOKUP(A256,'42. SEA or LEA Worksheet'!$A$4:$AG$324,33,0)</f>
        <v>185753.43</v>
      </c>
      <c r="AX256" s="513" t="str">
        <f t="shared" si="157"/>
        <v>Met</v>
      </c>
      <c r="AZ256" s="444">
        <f>VLOOKUP(A256,'42. SEA or LEA Worksheet'!$A$4:$AG$324,31,0)/VLOOKUP(A256,'42. SEA or LEA Worksheet'!$A$4:$AD$324,30,0)</f>
        <v>0</v>
      </c>
      <c r="BA256" s="513" t="str">
        <f t="shared" si="158"/>
        <v>Met</v>
      </c>
      <c r="BC256" s="444">
        <f>VLOOKUP(A256,'42. SEA or LEA Worksheet'!$A$4:$AG$324,33,0)/VLOOKUP(A256,'42. SEA or LEA Worksheet'!$A$4:$AD$324,30,0)</f>
        <v>10319.635</v>
      </c>
      <c r="BD256" s="513" t="str">
        <f t="shared" si="159"/>
        <v>Did not Meet</v>
      </c>
      <c r="BF256" s="512" t="str">
        <f t="shared" si="163"/>
        <v>Met</v>
      </c>
      <c r="BG256" s="637">
        <f>VLOOKUP(A256,'42. SEA or LEA Worksheet'!$A$4:$AM$324,36,0)</f>
        <v>0</v>
      </c>
      <c r="BH256" s="638" t="str">
        <f t="shared" si="164"/>
        <v>Met</v>
      </c>
      <c r="BI256" s="639"/>
      <c r="BJ256" s="637">
        <f>VLOOKUP(A256,'42. SEA or LEA Worksheet'!$A$4:$AM$324,38,0)</f>
        <v>261479.42</v>
      </c>
      <c r="BK256" s="638" t="str">
        <f t="shared" si="165"/>
        <v>Met</v>
      </c>
      <c r="BM256" s="631">
        <f>VLOOKUP(A256,'42. SEA or LEA Worksheet'!$A$4:$AL$324,36,0)/VLOOKUP(A256,'42. SEA or LEA Worksheet'!$A$4:$AL$324,35,0)</f>
        <v>0</v>
      </c>
      <c r="BN256" s="632" t="str">
        <f t="shared" si="166"/>
        <v>Met</v>
      </c>
      <c r="BP256" s="631">
        <f>VLOOKUP(A256,'42. SEA or LEA Worksheet'!$A$4:$AL$324,38,0)/VLOOKUP(A256,'42. SEA or LEA Worksheet'!$A$4:$AL$324,35,0)</f>
        <v>15381.142352941177</v>
      </c>
      <c r="BQ256" s="632" t="str">
        <f t="shared" si="167"/>
        <v>Met</v>
      </c>
      <c r="BS256" s="620" t="str">
        <f t="shared" si="168"/>
        <v>Met</v>
      </c>
    </row>
    <row r="257" spans="1:71" x14ac:dyDescent="0.25">
      <c r="A257" s="343" t="s">
        <v>698</v>
      </c>
      <c r="B257" s="510" t="s">
        <v>1071</v>
      </c>
      <c r="C257" s="511"/>
      <c r="D257" s="444">
        <v>0</v>
      </c>
      <c r="E257" s="343" t="s">
        <v>835</v>
      </c>
      <c r="F257" s="511"/>
      <c r="G257" s="444">
        <v>10480035.369999999</v>
      </c>
      <c r="H257" s="343" t="s">
        <v>835</v>
      </c>
      <c r="I257" s="511"/>
      <c r="J257" s="444">
        <v>0</v>
      </c>
      <c r="K257" s="343" t="s">
        <v>835</v>
      </c>
      <c r="L257" s="511"/>
      <c r="M257" s="444">
        <v>14823.246633663366</v>
      </c>
      <c r="N257" s="343" t="s">
        <v>835</v>
      </c>
      <c r="O257" s="511"/>
      <c r="P257" s="512" t="str">
        <f t="shared" si="160"/>
        <v>Met</v>
      </c>
      <c r="Q257" s="511"/>
      <c r="R257" s="444">
        <f>VLOOKUP(A257,'2020-21'!$A$6:$F$319,6,0)</f>
        <v>0</v>
      </c>
      <c r="S257" s="513" t="str">
        <f t="shared" si="133"/>
        <v>Met</v>
      </c>
      <c r="U257" s="444">
        <f>VLOOKUP(A257,'2020-21'!$A$6:$G$319,7,0)</f>
        <v>11227348.35</v>
      </c>
      <c r="V257" s="513" t="str">
        <f t="shared" si="134"/>
        <v>Met</v>
      </c>
      <c r="X257" s="444">
        <f>VLOOKUP(A257,'2020-21'!$A$6:$F$319,6,0)/VLOOKUP(A257,'42. SEA or LEA Worksheet'!$A$4:$T$324,20,0)</f>
        <v>0</v>
      </c>
      <c r="Y257" s="513" t="str">
        <f t="shared" si="135"/>
        <v>Met</v>
      </c>
      <c r="AA257" s="444">
        <f>VLOOKUP(A257,'42. SEA or LEA Worksheet'!$A$4:$W$324,23,0)/VLOOKUP(compliance!A257,'42. SEA or LEA Worksheet'!$A$4:$T$324,20,0)</f>
        <v>16062.014806866951</v>
      </c>
      <c r="AB257" s="513" t="str">
        <f t="shared" si="136"/>
        <v>Met</v>
      </c>
      <c r="AD257" s="512" t="str">
        <f t="shared" si="161"/>
        <v>Met</v>
      </c>
      <c r="AF257" s="444">
        <f>VLOOKUP(A257,'42. SEA or LEA Worksheet'!$A$4:$Z$324,26,0)</f>
        <v>0</v>
      </c>
      <c r="AG257" s="513" t="str">
        <f t="shared" si="137"/>
        <v>Met</v>
      </c>
      <c r="AI257" s="444">
        <f>VLOOKUP(A257,'42. SEA or LEA Worksheet'!$A$4:$AB$324,28,0)</f>
        <v>12429947.23</v>
      </c>
      <c r="AJ257" s="513" t="str">
        <f t="shared" si="138"/>
        <v>Met</v>
      </c>
      <c r="AL257" s="444">
        <f>VLOOKUP(compliance!A257,'42. SEA or LEA Worksheet'!$A$4:$AB$324,26,0)/VLOOKUP(compliance!A257,'42. SEA or LEA Worksheet'!$A$4:$Y$324,25,0)</f>
        <v>0</v>
      </c>
      <c r="AM257" s="513" t="str">
        <f t="shared" si="139"/>
        <v>Met</v>
      </c>
      <c r="AO257" s="444">
        <f>VLOOKUP(A257,'42. SEA or LEA Worksheet'!$A$4:$AB$324,28,0)/VLOOKUP(compliance!A257,'42. SEA or LEA Worksheet'!$A$4:$Y$324,25,0)</f>
        <v>18199.044260614934</v>
      </c>
      <c r="AP257" s="513" t="str">
        <f t="shared" si="140"/>
        <v>Met</v>
      </c>
      <c r="AR257" s="512" t="str">
        <f t="shared" si="162"/>
        <v>Met</v>
      </c>
      <c r="AT257" s="444">
        <f>VLOOKUP(A257,'42. SEA or LEA Worksheet'!$A$4:$AE$324,31,0)</f>
        <v>8125</v>
      </c>
      <c r="AU257" s="513" t="str">
        <f t="shared" si="156"/>
        <v>Met</v>
      </c>
      <c r="AW257" s="444">
        <f>VLOOKUP(A257,'42. SEA or LEA Worksheet'!$A$4:$AG$324,33,0)</f>
        <v>14065349.390000001</v>
      </c>
      <c r="AX257" s="513" t="str">
        <f t="shared" si="157"/>
        <v>Met</v>
      </c>
      <c r="AZ257" s="444">
        <f>VLOOKUP(A257,'42. SEA or LEA Worksheet'!$A$4:$AG$324,31,0)/VLOOKUP(A257,'42. SEA or LEA Worksheet'!$A$4:$AD$324,30,0)</f>
        <v>11.114911080711355</v>
      </c>
      <c r="BA257" s="513" t="str">
        <f t="shared" si="158"/>
        <v>Met</v>
      </c>
      <c r="BC257" s="444">
        <f>VLOOKUP(A257,'42. SEA or LEA Worksheet'!$A$4:$AG$324,33,0)/VLOOKUP(A257,'42. SEA or LEA Worksheet'!$A$4:$AD$324,30,0)</f>
        <v>19241.244035567717</v>
      </c>
      <c r="BD257" s="513" t="str">
        <f t="shared" si="159"/>
        <v>Met</v>
      </c>
      <c r="BF257" s="512" t="str">
        <f t="shared" si="163"/>
        <v>Met</v>
      </c>
      <c r="BG257" s="637">
        <f>VLOOKUP(A257,'42. SEA or LEA Worksheet'!$A$4:$AM$324,36,0)</f>
        <v>263378.56</v>
      </c>
      <c r="BH257" s="638" t="str">
        <f t="shared" si="164"/>
        <v>Met</v>
      </c>
      <c r="BI257" s="639"/>
      <c r="BJ257" s="637">
        <f>VLOOKUP(A257,'42. SEA or LEA Worksheet'!$A$4:$AM$324,38,0)</f>
        <v>15481637.18</v>
      </c>
      <c r="BK257" s="638" t="str">
        <f t="shared" si="165"/>
        <v>Met</v>
      </c>
      <c r="BM257" s="631">
        <f>VLOOKUP(A257,'42. SEA or LEA Worksheet'!$A$4:$AL$324,36,0)/VLOOKUP(A257,'42. SEA or LEA Worksheet'!$A$4:$AL$324,35,0)</f>
        <v>347.92412153236461</v>
      </c>
      <c r="BN257" s="632" t="str">
        <f t="shared" si="166"/>
        <v>Met</v>
      </c>
      <c r="BP257" s="631">
        <f>VLOOKUP(A257,'42. SEA or LEA Worksheet'!$A$4:$AL$324,38,0)/VLOOKUP(A257,'42. SEA or LEA Worksheet'!$A$4:$AL$324,35,0)</f>
        <v>20451.304068692207</v>
      </c>
      <c r="BQ257" s="632" t="str">
        <f t="shared" si="167"/>
        <v>Met</v>
      </c>
      <c r="BS257" s="620" t="str">
        <f t="shared" si="168"/>
        <v>Met</v>
      </c>
    </row>
    <row r="258" spans="1:71" x14ac:dyDescent="0.25">
      <c r="A258" s="343" t="s">
        <v>700</v>
      </c>
      <c r="B258" s="510" t="s">
        <v>1146</v>
      </c>
      <c r="C258" s="511"/>
      <c r="D258" s="444">
        <v>0</v>
      </c>
      <c r="E258" s="343" t="s">
        <v>856</v>
      </c>
      <c r="F258" s="511"/>
      <c r="G258" s="444">
        <v>0</v>
      </c>
      <c r="H258" s="343" t="s">
        <v>856</v>
      </c>
      <c r="I258" s="511"/>
      <c r="J258" s="444">
        <v>0</v>
      </c>
      <c r="K258" s="343" t="s">
        <v>1151</v>
      </c>
      <c r="L258" s="511"/>
      <c r="M258" s="444">
        <v>0</v>
      </c>
      <c r="N258" s="343" t="s">
        <v>1151</v>
      </c>
      <c r="O258" s="511"/>
      <c r="P258" s="512" t="str">
        <f t="shared" si="160"/>
        <v>Met</v>
      </c>
      <c r="Q258" s="511"/>
      <c r="R258" s="444">
        <f>VLOOKUP(A258,'2020-21'!$A$6:$F$319,6,0)</f>
        <v>0</v>
      </c>
      <c r="S258" s="513" t="str">
        <f t="shared" si="133"/>
        <v>Met</v>
      </c>
      <c r="U258" s="444">
        <f>VLOOKUP(A258,'2020-21'!$A$6:$G$319,7,0)</f>
        <v>0</v>
      </c>
      <c r="V258" s="513" t="str">
        <f t="shared" si="134"/>
        <v>Met</v>
      </c>
      <c r="X258" s="444">
        <v>0</v>
      </c>
      <c r="Y258" s="513" t="str">
        <f t="shared" si="135"/>
        <v>Met</v>
      </c>
      <c r="AA258" s="444">
        <v>0</v>
      </c>
      <c r="AB258" s="513" t="str">
        <f t="shared" si="136"/>
        <v>Met</v>
      </c>
      <c r="AD258" s="512" t="str">
        <f t="shared" si="161"/>
        <v>Met</v>
      </c>
      <c r="AF258" s="444">
        <f>VLOOKUP(A258,'42. SEA or LEA Worksheet'!$A$4:$Z$324,26,0)</f>
        <v>0</v>
      </c>
      <c r="AG258" s="513" t="str">
        <f t="shared" si="137"/>
        <v>Met</v>
      </c>
      <c r="AI258" s="444">
        <f>VLOOKUP(A258,'42. SEA or LEA Worksheet'!$A$4:$AB$324,28,0)</f>
        <v>0</v>
      </c>
      <c r="AJ258" s="513" t="str">
        <f t="shared" si="138"/>
        <v>Met</v>
      </c>
      <c r="AL258" s="444">
        <v>0</v>
      </c>
      <c r="AM258" s="513" t="str">
        <f t="shared" si="139"/>
        <v>Met</v>
      </c>
      <c r="AO258" s="444">
        <v>0</v>
      </c>
      <c r="AP258" s="513" t="str">
        <f t="shared" si="140"/>
        <v>Met</v>
      </c>
      <c r="AR258" s="512" t="s">
        <v>1382</v>
      </c>
      <c r="AT258" s="444">
        <f>VLOOKUP(A258,'42. SEA or LEA Worksheet'!$A$4:$AE$324,31,0)</f>
        <v>0</v>
      </c>
      <c r="AU258" s="513" t="str">
        <f t="shared" si="156"/>
        <v>Met</v>
      </c>
      <c r="AW258" s="444">
        <f>VLOOKUP(A258,'42. SEA or LEA Worksheet'!$A$4:$AG$324,33,0)</f>
        <v>2716.45</v>
      </c>
      <c r="AX258" s="513" t="str">
        <f t="shared" si="157"/>
        <v>Met</v>
      </c>
      <c r="AZ258" s="444">
        <v>0</v>
      </c>
      <c r="BA258" s="513" t="str">
        <f t="shared" si="158"/>
        <v>Met</v>
      </c>
      <c r="BC258" s="444">
        <v>0</v>
      </c>
      <c r="BD258" s="513" t="str">
        <f t="shared" si="159"/>
        <v>Met</v>
      </c>
      <c r="BF258" s="512" t="s">
        <v>1443</v>
      </c>
      <c r="BG258" s="637">
        <f>VLOOKUP(A258,'42. SEA or LEA Worksheet'!$A$4:$AM$324,36,0)</f>
        <v>0</v>
      </c>
      <c r="BH258" s="638" t="str">
        <f t="shared" si="164"/>
        <v>Met</v>
      </c>
      <c r="BI258" s="639"/>
      <c r="BJ258" s="637">
        <f>VLOOKUP(A258,'42. SEA or LEA Worksheet'!$A$4:$AM$324,38,0)</f>
        <v>37.5</v>
      </c>
      <c r="BK258" s="638" t="str">
        <f t="shared" si="165"/>
        <v>Did not Meet</v>
      </c>
      <c r="BM258" s="631" t="e">
        <f>VLOOKUP(A258,'42. SEA or LEA Worksheet'!$A$4:$AL$324,36,0)/VLOOKUP(A258,'42. SEA or LEA Worksheet'!$A$4:$AL$324,35,0)</f>
        <v>#DIV/0!</v>
      </c>
      <c r="BN258" s="632" t="e">
        <f t="shared" si="166"/>
        <v>#DIV/0!</v>
      </c>
      <c r="BP258" s="631" t="e">
        <f>VLOOKUP(A258,'42. SEA or LEA Worksheet'!$A$4:$AL$324,38,0)/VLOOKUP(A258,'42. SEA or LEA Worksheet'!$A$4:$AL$324,35,0)</f>
        <v>#DIV/0!</v>
      </c>
      <c r="BQ258" s="632" t="e">
        <f t="shared" si="167"/>
        <v>#DIV/0!</v>
      </c>
      <c r="BS258" s="620" t="s">
        <v>1443</v>
      </c>
    </row>
    <row r="259" spans="1:71" x14ac:dyDescent="0.25">
      <c r="A259" s="343" t="s">
        <v>702</v>
      </c>
      <c r="B259" s="510" t="s">
        <v>1072</v>
      </c>
      <c r="C259" s="511"/>
      <c r="D259" s="444">
        <v>0</v>
      </c>
      <c r="E259" s="343" t="s">
        <v>856</v>
      </c>
      <c r="F259" s="511"/>
      <c r="G259" s="444">
        <v>33562.04</v>
      </c>
      <c r="H259" s="343" t="s">
        <v>835</v>
      </c>
      <c r="I259" s="511"/>
      <c r="J259" s="444">
        <v>0</v>
      </c>
      <c r="K259" s="343" t="s">
        <v>856</v>
      </c>
      <c r="L259" s="511"/>
      <c r="M259" s="444">
        <v>6712.4080000000004</v>
      </c>
      <c r="N259" s="343" t="s">
        <v>856</v>
      </c>
      <c r="O259" s="511"/>
      <c r="P259" s="512" t="str">
        <f t="shared" si="160"/>
        <v>Met</v>
      </c>
      <c r="Q259" s="511"/>
      <c r="R259" s="444">
        <f>VLOOKUP(A259,'2020-21'!$A$6:$F$319,6,0)</f>
        <v>0</v>
      </c>
      <c r="S259" s="513" t="str">
        <f t="shared" si="133"/>
        <v>Met</v>
      </c>
      <c r="U259" s="444">
        <f>VLOOKUP(A259,'2020-21'!$A$6:$G$319,7,0)</f>
        <v>39613.370000000003</v>
      </c>
      <c r="V259" s="513" t="str">
        <f t="shared" si="134"/>
        <v>Met</v>
      </c>
      <c r="X259" s="444">
        <f>VLOOKUP(A259,'2020-21'!$A$6:$F$319,6,0)/VLOOKUP(A259,'42. SEA or LEA Worksheet'!$A$4:$T$324,20,0)</f>
        <v>0</v>
      </c>
      <c r="Y259" s="513" t="str">
        <f t="shared" si="135"/>
        <v>Met</v>
      </c>
      <c r="AA259" s="444">
        <f>VLOOKUP(A259,'42. SEA or LEA Worksheet'!$A$4:$W$324,23,0)/VLOOKUP(compliance!A259,'42. SEA or LEA Worksheet'!$A$4:$T$324,20,0)</f>
        <v>19806.685000000001</v>
      </c>
      <c r="AB259" s="513" t="str">
        <f t="shared" si="136"/>
        <v>Met</v>
      </c>
      <c r="AD259" s="512" t="str">
        <f t="shared" si="161"/>
        <v>Met</v>
      </c>
      <c r="AF259" s="444">
        <f>VLOOKUP(A259,'42. SEA or LEA Worksheet'!$A$4:$Z$324,26,0)</f>
        <v>0</v>
      </c>
      <c r="AG259" s="513" t="str">
        <f t="shared" si="137"/>
        <v>Met</v>
      </c>
      <c r="AI259" s="444">
        <f>VLOOKUP(A259,'42. SEA or LEA Worksheet'!$A$4:$AB$324,28,0)</f>
        <v>271237.99</v>
      </c>
      <c r="AJ259" s="513" t="str">
        <f t="shared" si="138"/>
        <v>Met</v>
      </c>
      <c r="AL259" s="444">
        <f>VLOOKUP(compliance!A259,'42. SEA or LEA Worksheet'!$A$4:$AB$324,26,0)/VLOOKUP(compliance!A259,'42. SEA or LEA Worksheet'!$A$4:$Y$324,25,0)</f>
        <v>0</v>
      </c>
      <c r="AM259" s="513" t="str">
        <f t="shared" si="139"/>
        <v>Met</v>
      </c>
      <c r="AO259" s="444">
        <f>VLOOKUP(A259,'42. SEA or LEA Worksheet'!$A$4:$AB$324,28,0)/VLOOKUP(compliance!A259,'42. SEA or LEA Worksheet'!$A$4:$Y$324,25,0)</f>
        <v>271237.99</v>
      </c>
      <c r="AP259" s="513" t="str">
        <f t="shared" si="140"/>
        <v>Met</v>
      </c>
      <c r="AR259" s="512" t="str">
        <f>IF(AND(AG259="Did not Meet",AJ259="Did not Meet", AM259="Did not Meet",AP259="Did not Meet"),"Did not Meet","Met")</f>
        <v>Met</v>
      </c>
      <c r="AT259" s="444">
        <f>VLOOKUP(A259,'42. SEA or LEA Worksheet'!$A$4:$AE$324,31,0)</f>
        <v>0</v>
      </c>
      <c r="AU259" s="513" t="str">
        <f t="shared" si="156"/>
        <v>Met</v>
      </c>
      <c r="AW259" s="444">
        <f>VLOOKUP(A259,'42. SEA or LEA Worksheet'!$A$4:$AG$324,33,0)</f>
        <v>513156.55</v>
      </c>
      <c r="AX259" s="513" t="str">
        <f t="shared" si="157"/>
        <v>Met</v>
      </c>
      <c r="AZ259" s="444">
        <v>0</v>
      </c>
      <c r="BA259" s="513" t="str">
        <f t="shared" si="158"/>
        <v>Met</v>
      </c>
      <c r="BC259" s="444">
        <v>0</v>
      </c>
      <c r="BD259" s="513" t="str">
        <f t="shared" si="159"/>
        <v>Did not Meet</v>
      </c>
      <c r="BF259" s="512" t="s">
        <v>1373</v>
      </c>
      <c r="BG259" s="637">
        <f>VLOOKUP(A259,'42. SEA or LEA Worksheet'!$A$4:$AM$324,36,0)</f>
        <v>0</v>
      </c>
      <c r="BH259" s="638" t="str">
        <f t="shared" si="164"/>
        <v>Met</v>
      </c>
      <c r="BI259" s="639"/>
      <c r="BJ259" s="637">
        <f>VLOOKUP(A259,'42. SEA or LEA Worksheet'!$A$4:$AM$324,38,0)</f>
        <v>994078.03</v>
      </c>
      <c r="BK259" s="638" t="str">
        <f t="shared" si="165"/>
        <v>Met</v>
      </c>
      <c r="BM259" s="631">
        <f>VLOOKUP(A259,'42. SEA or LEA Worksheet'!$A$4:$AL$324,36,0)/VLOOKUP(A259,'42. SEA or LEA Worksheet'!$A$4:$AL$324,35,0)</f>
        <v>0</v>
      </c>
      <c r="BN259" s="632" t="str">
        <f t="shared" si="166"/>
        <v>Met</v>
      </c>
      <c r="BP259" s="631">
        <f>VLOOKUP(A259,'42. SEA or LEA Worksheet'!$A$4:$AL$324,38,0)/VLOOKUP(A259,'42. SEA or LEA Worksheet'!$A$4:$AL$324,35,0)</f>
        <v>9119.9819266055056</v>
      </c>
      <c r="BQ259" s="632" t="str">
        <f t="shared" si="167"/>
        <v>Met</v>
      </c>
      <c r="BS259" s="620" t="s">
        <v>1373</v>
      </c>
    </row>
    <row r="260" spans="1:71" x14ac:dyDescent="0.25">
      <c r="A260" s="624" t="s">
        <v>704</v>
      </c>
      <c r="B260" s="625" t="s">
        <v>1503</v>
      </c>
      <c r="C260" s="626"/>
      <c r="D260" s="627">
        <v>0</v>
      </c>
      <c r="E260" s="624" t="s">
        <v>835</v>
      </c>
      <c r="F260" s="626"/>
      <c r="G260" s="627">
        <v>0</v>
      </c>
      <c r="H260" s="624" t="s">
        <v>835</v>
      </c>
      <c r="I260" s="626"/>
      <c r="J260" s="627">
        <v>0</v>
      </c>
      <c r="K260" s="624" t="s">
        <v>835</v>
      </c>
      <c r="L260" s="626"/>
      <c r="M260" s="627">
        <v>0</v>
      </c>
      <c r="N260" s="624" t="s">
        <v>835</v>
      </c>
      <c r="O260" s="626"/>
      <c r="P260" s="628" t="str">
        <f t="shared" si="160"/>
        <v>Met</v>
      </c>
      <c r="Q260" s="626"/>
      <c r="R260" s="627">
        <f>VLOOKUP(A260,'2020-21'!$A$6:$F$319,6,0)</f>
        <v>0</v>
      </c>
      <c r="S260" s="629" t="str">
        <f t="shared" si="133"/>
        <v>Met</v>
      </c>
      <c r="T260" s="626"/>
      <c r="U260" s="627">
        <f>VLOOKUP(A260,'2020-21'!$A$6:$G$319,7,0)</f>
        <v>0</v>
      </c>
      <c r="V260" s="629" t="str">
        <f t="shared" si="134"/>
        <v>Met</v>
      </c>
      <c r="W260" s="626"/>
      <c r="X260" s="627">
        <v>0</v>
      </c>
      <c r="Y260" s="629" t="str">
        <f t="shared" si="135"/>
        <v>Met</v>
      </c>
      <c r="Z260" s="626"/>
      <c r="AA260" s="627">
        <v>0</v>
      </c>
      <c r="AB260" s="629" t="str">
        <f t="shared" si="136"/>
        <v>Met</v>
      </c>
      <c r="AC260" s="626"/>
      <c r="AD260" s="628" t="str">
        <f t="shared" si="161"/>
        <v>Met</v>
      </c>
      <c r="AE260" s="626"/>
      <c r="AF260" s="627">
        <f>VLOOKUP(A260,'42. SEA or LEA Worksheet'!$A$4:$Z$324,26,0)</f>
        <v>0</v>
      </c>
      <c r="AG260" s="629" t="str">
        <f t="shared" si="137"/>
        <v>Met</v>
      </c>
      <c r="AH260" s="626"/>
      <c r="AI260" s="627">
        <f>VLOOKUP(A260,'42. SEA or LEA Worksheet'!$A$4:$AB$324,28,0)</f>
        <v>0</v>
      </c>
      <c r="AJ260" s="629" t="str">
        <f t="shared" si="138"/>
        <v>Met</v>
      </c>
      <c r="AK260" s="626"/>
      <c r="AL260" s="627">
        <v>0</v>
      </c>
      <c r="AM260" s="629" t="str">
        <f t="shared" si="139"/>
        <v>Met</v>
      </c>
      <c r="AN260" s="626"/>
      <c r="AO260" s="627">
        <v>0</v>
      </c>
      <c r="AP260" s="629" t="str">
        <f t="shared" si="140"/>
        <v>Met</v>
      </c>
      <c r="AQ260" s="626"/>
      <c r="AR260" s="628" t="s">
        <v>1151</v>
      </c>
      <c r="AS260" s="626"/>
      <c r="AT260" s="627">
        <f>VLOOKUP(A260,'42. SEA or LEA Worksheet'!$A$4:$AE$324,31,0)</f>
        <v>0</v>
      </c>
      <c r="AU260" s="629" t="s">
        <v>1151</v>
      </c>
      <c r="AV260" s="626"/>
      <c r="AW260" s="627">
        <f>VLOOKUP(A260,'42. SEA or LEA Worksheet'!$A$4:$AG$324,33,0)</f>
        <v>0</v>
      </c>
      <c r="AX260" s="629" t="s">
        <v>1151</v>
      </c>
      <c r="AY260" s="626"/>
      <c r="AZ260" s="627">
        <v>0</v>
      </c>
      <c r="BA260" s="629" t="s">
        <v>1151</v>
      </c>
      <c r="BB260" s="626"/>
      <c r="BC260" s="627">
        <v>0</v>
      </c>
      <c r="BD260" s="629" t="str">
        <f t="shared" si="159"/>
        <v>Met</v>
      </c>
      <c r="BE260" s="626"/>
      <c r="BF260" s="628" t="s">
        <v>1376</v>
      </c>
      <c r="BG260" s="637">
        <f>VLOOKUP(A260,'42. SEA or LEA Worksheet'!$A$4:$AM$324,36,0)</f>
        <v>0</v>
      </c>
      <c r="BH260" s="633" t="s">
        <v>1151</v>
      </c>
      <c r="BI260" s="635"/>
      <c r="BJ260" s="637">
        <f>VLOOKUP(A260,'42. SEA or LEA Worksheet'!$A$4:$AM$324,38,0)</f>
        <v>0</v>
      </c>
      <c r="BK260" s="633" t="s">
        <v>1151</v>
      </c>
      <c r="BL260" s="635"/>
      <c r="BM260" s="631" t="e">
        <f>VLOOKUP(A260,'42. SEA or LEA Worksheet'!$A$4:$AL$324,36,0)/VLOOKUP(A260,'42. SEA or LEA Worksheet'!$A$4:$AL$324,35,0)</f>
        <v>#DIV/0!</v>
      </c>
      <c r="BN260" s="633" t="s">
        <v>1151</v>
      </c>
      <c r="BO260" s="635"/>
      <c r="BP260" s="631" t="e">
        <f>VLOOKUP(A260,'42. SEA or LEA Worksheet'!$A$4:$AL$324,38,0)/VLOOKUP(A260,'42. SEA or LEA Worksheet'!$A$4:$AL$324,35,0)</f>
        <v>#DIV/0!</v>
      </c>
      <c r="BQ260" s="633" t="s">
        <v>1151</v>
      </c>
      <c r="BR260" s="635"/>
      <c r="BS260" s="630" t="s">
        <v>1376</v>
      </c>
    </row>
    <row r="261" spans="1:71" x14ac:dyDescent="0.25">
      <c r="A261" s="343" t="s">
        <v>706</v>
      </c>
      <c r="B261" s="510" t="s">
        <v>1073</v>
      </c>
      <c r="C261" s="511"/>
      <c r="D261" s="444">
        <v>0</v>
      </c>
      <c r="E261" s="343" t="s">
        <v>835</v>
      </c>
      <c r="F261" s="511"/>
      <c r="G261" s="444">
        <v>5008961.54</v>
      </c>
      <c r="H261" s="343" t="s">
        <v>835</v>
      </c>
      <c r="I261" s="511"/>
      <c r="J261" s="444">
        <v>0</v>
      </c>
      <c r="K261" s="343" t="s">
        <v>835</v>
      </c>
      <c r="L261" s="511"/>
      <c r="M261" s="444">
        <v>11306.9109255079</v>
      </c>
      <c r="N261" s="343" t="s">
        <v>856</v>
      </c>
      <c r="O261" s="511"/>
      <c r="P261" s="512" t="str">
        <f t="shared" si="160"/>
        <v>Met</v>
      </c>
      <c r="Q261" s="511"/>
      <c r="R261" s="444">
        <f>VLOOKUP(A261,'2020-21'!$A$6:$F$319,6,0)</f>
        <v>475972.43</v>
      </c>
      <c r="S261" s="513" t="str">
        <f t="shared" si="133"/>
        <v>Met</v>
      </c>
      <c r="U261" s="444">
        <f>VLOOKUP(A261,'2020-21'!$A$6:$G$319,7,0)</f>
        <v>5170219.8999999994</v>
      </c>
      <c r="V261" s="513" t="str">
        <f t="shared" si="134"/>
        <v>Met</v>
      </c>
      <c r="X261" s="444">
        <f>VLOOKUP(A261,'2020-21'!$A$6:$F$319,6,0)/VLOOKUP(A261,'42. SEA or LEA Worksheet'!$A$4:$T$324,20,0)</f>
        <v>1149.6918599033816</v>
      </c>
      <c r="Y261" s="513" t="str">
        <f t="shared" si="135"/>
        <v>Met</v>
      </c>
      <c r="AA261" s="444">
        <f>VLOOKUP(A261,'42. SEA or LEA Worksheet'!$A$4:$W$324,23,0)/VLOOKUP(compliance!A261,'42. SEA or LEA Worksheet'!$A$4:$T$324,20,0)</f>
        <v>12488.453864734298</v>
      </c>
      <c r="AB261" s="513" t="str">
        <f t="shared" si="136"/>
        <v>Met</v>
      </c>
      <c r="AD261" s="512" t="str">
        <f t="shared" si="161"/>
        <v>Met</v>
      </c>
      <c r="AF261" s="444">
        <f>VLOOKUP(A261,'42. SEA or LEA Worksheet'!$A$4:$Z$324,26,0)</f>
        <v>964842.95</v>
      </c>
      <c r="AG261" s="513" t="str">
        <f t="shared" si="137"/>
        <v>Met</v>
      </c>
      <c r="AI261" s="444">
        <f>VLOOKUP(A261,'42. SEA or LEA Worksheet'!$A$4:$AB$324,28,0)</f>
        <v>5795635.9500000002</v>
      </c>
      <c r="AJ261" s="513" t="str">
        <f t="shared" si="138"/>
        <v>Met</v>
      </c>
      <c r="AL261" s="444">
        <f>VLOOKUP(compliance!A261,'42. SEA or LEA Worksheet'!$A$4:$AB$324,26,0)/VLOOKUP(compliance!A261,'42. SEA or LEA Worksheet'!$A$4:$Y$324,25,0)</f>
        <v>2254.305957943925</v>
      </c>
      <c r="AM261" s="513" t="str">
        <f t="shared" si="139"/>
        <v>Met</v>
      </c>
      <c r="AO261" s="444">
        <f>VLOOKUP(A261,'42. SEA or LEA Worksheet'!$A$4:$AB$324,28,0)/VLOOKUP(compliance!A261,'42. SEA or LEA Worksheet'!$A$4:$Y$324,25,0)</f>
        <v>13541.205490654205</v>
      </c>
      <c r="AP261" s="513" t="str">
        <f t="shared" si="140"/>
        <v>Met</v>
      </c>
      <c r="AR261" s="512" t="str">
        <f t="shared" ref="AR261:AR292" si="169">IF(AND(AG261="Did not Meet",AJ261="Did not Meet", AM261="Did not Meet",AP261="Did not Meet"),"Did not Meet","Met")</f>
        <v>Met</v>
      </c>
      <c r="AT261" s="444">
        <f>VLOOKUP(A261,'42. SEA or LEA Worksheet'!$A$4:$AE$324,31,0)</f>
        <v>524467.76</v>
      </c>
      <c r="AU261" s="513" t="str">
        <f t="shared" ref="AU261:AU295" si="170">IF(AT261&gt;=AF261,"Met","Did not Meet")</f>
        <v>Did not Meet</v>
      </c>
      <c r="AW261" s="444">
        <f>VLOOKUP(A261,'42. SEA or LEA Worksheet'!$A$4:$AG$324,33,0)</f>
        <v>5824495.2699999996</v>
      </c>
      <c r="AX261" s="513" t="str">
        <f t="shared" ref="AX261:AX295" si="171">IF(AW261&gt;=AI261,"Met","Did not Meet")</f>
        <v>Met</v>
      </c>
      <c r="AZ261" s="444">
        <f>VLOOKUP(A261,'42. SEA or LEA Worksheet'!$A$4:$AG$324,31,0)/VLOOKUP(A261,'42. SEA or LEA Worksheet'!$A$4:$AD$324,30,0)</f>
        <v>1245.7666508313539</v>
      </c>
      <c r="BA261" s="513" t="str">
        <f t="shared" ref="BA261:BA295" si="172">IF(AZ261&gt;=AL261,"Met","Did not Meet")</f>
        <v>Did not Meet</v>
      </c>
      <c r="BC261" s="444">
        <f>VLOOKUP(A261,'42. SEA or LEA Worksheet'!$A$4:$AG$324,33,0)/VLOOKUP(A261,'42. SEA or LEA Worksheet'!$A$4:$AD$324,30,0)</f>
        <v>13834.90562945368</v>
      </c>
      <c r="BD261" s="513" t="str">
        <f t="shared" si="159"/>
        <v>Met</v>
      </c>
      <c r="BF261" s="512" t="str">
        <f>IF(AND(AU261="Did not Meet",AX261="Did not Meet", BA261="Did not Meet",BD261="Did not Meet"),"Did not Meet","Met")</f>
        <v>Met</v>
      </c>
      <c r="BG261" s="637">
        <f>VLOOKUP(A261,'42. SEA or LEA Worksheet'!$A$4:$AM$324,36,0)</f>
        <v>469514.62</v>
      </c>
      <c r="BH261" s="638" t="str">
        <f t="shared" ref="BH261:BH292" si="173">IF(BG261&gt;=AT261,"Met","Did not Meet")</f>
        <v>Did not Meet</v>
      </c>
      <c r="BI261" s="639"/>
      <c r="BJ261" s="637">
        <f>VLOOKUP(A261,'42. SEA or LEA Worksheet'!$A$4:$AM$324,38,0)</f>
        <v>6446312.7300000004</v>
      </c>
      <c r="BK261" s="638" t="str">
        <f t="shared" ref="BK261:BK292" si="174">IF(BJ261&gt;=AW261,"Met","Did not Meet")</f>
        <v>Met</v>
      </c>
      <c r="BM261" s="631">
        <f>VLOOKUP(A261,'42. SEA or LEA Worksheet'!$A$4:$AL$324,36,0)/VLOOKUP(A261,'42. SEA or LEA Worksheet'!$A$4:$AL$324,35,0)</f>
        <v>1067.0786818181818</v>
      </c>
      <c r="BN261" s="632" t="str">
        <f t="shared" ref="BN261:BN292" si="175">IF(BM261&gt;=AY261,"Met","Did not Meet")</f>
        <v>Met</v>
      </c>
      <c r="BP261" s="631">
        <f>VLOOKUP(A261,'42. SEA or LEA Worksheet'!$A$4:$AL$324,38,0)/VLOOKUP(A261,'42. SEA or LEA Worksheet'!$A$4:$AL$324,35,0)</f>
        <v>14650.71075</v>
      </c>
      <c r="BQ261" s="632" t="str">
        <f t="shared" ref="BQ261:BQ292" si="176">IF(BP261&gt;=BB261,"Met","Did not Meet")</f>
        <v>Met</v>
      </c>
      <c r="BS261" s="620" t="str">
        <f>IF(AND(BH261="Did not Meet",BK261="Did not Meet", BN261="Did not Meet",BQ261="Did not Meet"),"Did not Meet","Met")</f>
        <v>Met</v>
      </c>
    </row>
    <row r="262" spans="1:71" x14ac:dyDescent="0.25">
      <c r="A262" s="343" t="s">
        <v>708</v>
      </c>
      <c r="B262" s="510" t="s">
        <v>1074</v>
      </c>
      <c r="C262" s="511"/>
      <c r="D262" s="444">
        <v>0</v>
      </c>
      <c r="E262" s="343" t="s">
        <v>835</v>
      </c>
      <c r="F262" s="511"/>
      <c r="G262" s="444">
        <v>47212.04</v>
      </c>
      <c r="H262" s="343" t="s">
        <v>835</v>
      </c>
      <c r="I262" s="511"/>
      <c r="J262" s="444">
        <v>0</v>
      </c>
      <c r="K262" s="343" t="s">
        <v>835</v>
      </c>
      <c r="L262" s="511"/>
      <c r="M262" s="444">
        <v>5901.5050000000001</v>
      </c>
      <c r="N262" s="343" t="s">
        <v>856</v>
      </c>
      <c r="O262" s="511"/>
      <c r="P262" s="512" t="str">
        <f t="shared" si="160"/>
        <v>Met</v>
      </c>
      <c r="Q262" s="511"/>
      <c r="R262" s="444">
        <f>VLOOKUP(A262,'2020-21'!$A$6:$F$319,6,0)</f>
        <v>0</v>
      </c>
      <c r="S262" s="513" t="str">
        <f t="shared" ref="S262:S309" si="177">IF(R262&gt;=D262,"Met","Did not Meet")</f>
        <v>Met</v>
      </c>
      <c r="U262" s="444">
        <f>VLOOKUP(A262,'2020-21'!$A$6:$G$319,7,0)</f>
        <v>52175.06</v>
      </c>
      <c r="V262" s="513" t="str">
        <f t="shared" ref="V262:V317" si="178">IF(U262&gt;=G262,"Met","Did not Meet")</f>
        <v>Met</v>
      </c>
      <c r="X262" s="444">
        <f>VLOOKUP(A262,'2020-21'!$A$6:$F$319,6,0)/VLOOKUP(A262,'42. SEA or LEA Worksheet'!$A$4:$T$324,20,0)</f>
        <v>0</v>
      </c>
      <c r="Y262" s="513" t="str">
        <f t="shared" ref="Y262:Y309" si="179">IF(X262&gt;=J262,"Met","Did not Meet")</f>
        <v>Met</v>
      </c>
      <c r="AA262" s="444">
        <f>VLOOKUP(A262,'42. SEA or LEA Worksheet'!$A$4:$W$324,23,0)/VLOOKUP(compliance!A262,'42. SEA or LEA Worksheet'!$A$4:$T$324,20,0)</f>
        <v>8695.8433333333323</v>
      </c>
      <c r="AB262" s="513" t="str">
        <f t="shared" ref="AB262:AB309" si="180">IF(AA262&gt;=M262,"Met","Did not Meet")</f>
        <v>Met</v>
      </c>
      <c r="AD262" s="512" t="str">
        <f t="shared" si="161"/>
        <v>Met</v>
      </c>
      <c r="AF262" s="444">
        <f>VLOOKUP(A262,'42. SEA or LEA Worksheet'!$A$4:$Z$324,26,0)</f>
        <v>0</v>
      </c>
      <c r="AG262" s="513" t="str">
        <f t="shared" ref="AG262:AG309" si="181">IF(AF262&gt;=R262,"Met","Did not Meet")</f>
        <v>Met</v>
      </c>
      <c r="AI262" s="444">
        <f>VLOOKUP(A262,'42. SEA or LEA Worksheet'!$A$4:$AB$324,28,0)</f>
        <v>48793.69</v>
      </c>
      <c r="AJ262" s="513" t="str">
        <f t="shared" ref="AJ262:AJ309" si="182">IF(AI262&gt;=U262,"Met","Did not Meet")</f>
        <v>Did not Meet</v>
      </c>
      <c r="AL262" s="444">
        <f>VLOOKUP(compliance!A262,'42. SEA or LEA Worksheet'!$A$4:$AB$324,26,0)/VLOOKUP(compliance!A262,'42. SEA or LEA Worksheet'!$A$4:$Y$324,25,0)</f>
        <v>0</v>
      </c>
      <c r="AM262" s="513" t="str">
        <f t="shared" ref="AM262:AM309" si="183">IF(AL262&gt;=X262,"Met","Did not Meet")</f>
        <v>Met</v>
      </c>
      <c r="AO262" s="444">
        <f>VLOOKUP(A262,'42. SEA or LEA Worksheet'!$A$4:$AB$324,28,0)/VLOOKUP(compliance!A262,'42. SEA or LEA Worksheet'!$A$4:$Y$324,25,0)</f>
        <v>6970.5271428571432</v>
      </c>
      <c r="AP262" s="513" t="str">
        <f t="shared" ref="AP262:AP309" si="184">IF(AO262&gt;=AA262,"Met","Did not Meet")</f>
        <v>Did not Meet</v>
      </c>
      <c r="AR262" s="512" t="str">
        <f t="shared" si="169"/>
        <v>Met</v>
      </c>
      <c r="AT262" s="444">
        <f>VLOOKUP(A262,'42. SEA or LEA Worksheet'!$A$4:$AE$324,31,0)</f>
        <v>0</v>
      </c>
      <c r="AU262" s="513" t="str">
        <f t="shared" si="170"/>
        <v>Met</v>
      </c>
      <c r="AW262" s="444">
        <f>VLOOKUP(A262,'42. SEA or LEA Worksheet'!$A$4:$AG$324,33,0)</f>
        <v>54778.46</v>
      </c>
      <c r="AX262" s="513" t="str">
        <f t="shared" si="171"/>
        <v>Met</v>
      </c>
      <c r="AZ262" s="444">
        <f>VLOOKUP(A262,'42. SEA or LEA Worksheet'!$A$4:$AG$324,31,0)/VLOOKUP(A262,'42. SEA or LEA Worksheet'!$A$4:$AD$324,30,0)</f>
        <v>0</v>
      </c>
      <c r="BA262" s="513" t="str">
        <f t="shared" si="172"/>
        <v>Met</v>
      </c>
      <c r="BC262" s="444">
        <f>VLOOKUP(A262,'42. SEA or LEA Worksheet'!$A$4:$AG$324,33,0)/VLOOKUP(A262,'42. SEA or LEA Worksheet'!$A$4:$AD$324,30,0)</f>
        <v>13694.615</v>
      </c>
      <c r="BD262" s="513" t="str">
        <f t="shared" si="159"/>
        <v>Met</v>
      </c>
      <c r="BF262" s="512" t="str">
        <f>IF(AND(AU262="Did not Meet",AX262="Did not Meet", BA262="Did not Meet",BD262="Did not Meet",),"Did not Meet","Met")</f>
        <v>Met</v>
      </c>
      <c r="BG262" s="637">
        <f>VLOOKUP(A262,'42. SEA or LEA Worksheet'!$A$4:$AM$324,36,0)</f>
        <v>0</v>
      </c>
      <c r="BH262" s="638" t="str">
        <f t="shared" si="173"/>
        <v>Met</v>
      </c>
      <c r="BI262" s="639"/>
      <c r="BJ262" s="637">
        <f>VLOOKUP(A262,'42. SEA or LEA Worksheet'!$A$4:$AM$324,38,0)</f>
        <v>60504.42</v>
      </c>
      <c r="BK262" s="638" t="str">
        <f t="shared" si="174"/>
        <v>Met</v>
      </c>
      <c r="BM262" s="631">
        <f>VLOOKUP(A262,'42. SEA or LEA Worksheet'!$A$4:$AL$324,36,0)/VLOOKUP(A262,'42. SEA or LEA Worksheet'!$A$4:$AL$324,35,0)</f>
        <v>0</v>
      </c>
      <c r="BN262" s="632" t="str">
        <f t="shared" si="175"/>
        <v>Met</v>
      </c>
      <c r="BP262" s="631">
        <f>VLOOKUP(A262,'42. SEA or LEA Worksheet'!$A$4:$AL$324,38,0)/VLOOKUP(A262,'42. SEA or LEA Worksheet'!$A$4:$AL$324,35,0)</f>
        <v>8643.488571428572</v>
      </c>
      <c r="BQ262" s="632" t="str">
        <f t="shared" si="176"/>
        <v>Met</v>
      </c>
      <c r="BS262" s="620" t="str">
        <f>IF(AND(BH262="Did not Meet",BK262="Did not Meet", BN262="Did not Meet",BQ262="Did not Meet",),"Did not Meet","Met")</f>
        <v>Met</v>
      </c>
    </row>
    <row r="263" spans="1:71" x14ac:dyDescent="0.25">
      <c r="A263" s="343" t="s">
        <v>710</v>
      </c>
      <c r="B263" s="510" t="s">
        <v>1075</v>
      </c>
      <c r="C263" s="511"/>
      <c r="D263" s="444">
        <v>0</v>
      </c>
      <c r="E263" s="343" t="s">
        <v>835</v>
      </c>
      <c r="F263" s="511"/>
      <c r="G263" s="444">
        <v>1423619.37</v>
      </c>
      <c r="H263" s="343" t="s">
        <v>835</v>
      </c>
      <c r="I263" s="511"/>
      <c r="J263" s="444">
        <v>0</v>
      </c>
      <c r="K263" s="343" t="s">
        <v>835</v>
      </c>
      <c r="L263" s="511"/>
      <c r="M263" s="444">
        <v>8953.5809433962277</v>
      </c>
      <c r="N263" s="343" t="s">
        <v>835</v>
      </c>
      <c r="O263" s="511"/>
      <c r="P263" s="512" t="str">
        <f t="shared" si="160"/>
        <v>Met</v>
      </c>
      <c r="Q263" s="511"/>
      <c r="R263" s="444">
        <f>VLOOKUP(A263,'2020-21'!$A$6:$F$319,6,0)</f>
        <v>0</v>
      </c>
      <c r="S263" s="513" t="str">
        <f t="shared" si="177"/>
        <v>Met</v>
      </c>
      <c r="U263" s="444">
        <f>VLOOKUP(A263,'2020-21'!$A$6:$G$319,7,0)</f>
        <v>1401999.4</v>
      </c>
      <c r="V263" s="513" t="str">
        <f t="shared" si="178"/>
        <v>Did not Meet</v>
      </c>
      <c r="X263" s="444">
        <v>0</v>
      </c>
      <c r="Y263" s="513" t="str">
        <f t="shared" si="179"/>
        <v>Met</v>
      </c>
      <c r="AA263" s="444">
        <f>VLOOKUP(A263,'42. SEA or LEA Worksheet'!$A$4:$W$324,23,0)/VLOOKUP(compliance!A263,'42. SEA or LEA Worksheet'!$A$4:$T$324,20,0)</f>
        <v>9804.1916083916076</v>
      </c>
      <c r="AB263" s="513" t="str">
        <f t="shared" si="180"/>
        <v>Met</v>
      </c>
      <c r="AD263" s="512" t="str">
        <f t="shared" si="161"/>
        <v>Met</v>
      </c>
      <c r="AF263" s="444">
        <f>VLOOKUP(A263,'42. SEA or LEA Worksheet'!$A$4:$Z$324,26,0)</f>
        <v>0</v>
      </c>
      <c r="AG263" s="513" t="str">
        <f t="shared" si="181"/>
        <v>Met</v>
      </c>
      <c r="AI263" s="444">
        <f>VLOOKUP(A263,'42. SEA or LEA Worksheet'!$A$4:$AB$324,28,0)</f>
        <v>1350476.42</v>
      </c>
      <c r="AJ263" s="513" t="str">
        <f t="shared" si="182"/>
        <v>Did not Meet</v>
      </c>
      <c r="AL263" s="444">
        <f>VLOOKUP(compliance!A263,'42. SEA or LEA Worksheet'!$A$4:$AB$324,26,0)/VLOOKUP(compliance!A263,'42. SEA or LEA Worksheet'!$A$4:$Y$324,25,0)</f>
        <v>0</v>
      </c>
      <c r="AM263" s="513" t="str">
        <f t="shared" si="183"/>
        <v>Met</v>
      </c>
      <c r="AO263" s="444">
        <f>VLOOKUP(A263,'42. SEA or LEA Worksheet'!$A$4:$AB$324,28,0)/VLOOKUP(compliance!A263,'42. SEA or LEA Worksheet'!$A$4:$Y$324,25,0)</f>
        <v>10003.529037037037</v>
      </c>
      <c r="AP263" s="513" t="str">
        <f t="shared" si="184"/>
        <v>Met</v>
      </c>
      <c r="AR263" s="512" t="str">
        <f t="shared" si="169"/>
        <v>Met</v>
      </c>
      <c r="AT263" s="444">
        <f>VLOOKUP(A263,'42. SEA or LEA Worksheet'!$A$4:$AE$324,31,0)</f>
        <v>0</v>
      </c>
      <c r="AU263" s="513" t="str">
        <f t="shared" si="170"/>
        <v>Met</v>
      </c>
      <c r="AW263" s="444">
        <f>VLOOKUP(A263,'42. SEA or LEA Worksheet'!$A$4:$AG$324,33,0)</f>
        <v>1379803.61</v>
      </c>
      <c r="AX263" s="513" t="str">
        <f t="shared" si="171"/>
        <v>Met</v>
      </c>
      <c r="AZ263" s="444">
        <f>VLOOKUP(A263,'42. SEA or LEA Worksheet'!$A$4:$AG$324,31,0)/VLOOKUP(A263,'42. SEA or LEA Worksheet'!$A$4:$AD$324,30,0)</f>
        <v>0</v>
      </c>
      <c r="BA263" s="513" t="str">
        <f t="shared" si="172"/>
        <v>Met</v>
      </c>
      <c r="BC263" s="444">
        <f>VLOOKUP(A263,'42. SEA or LEA Worksheet'!$A$4:$AG$324,33,0)/VLOOKUP(A263,'42. SEA or LEA Worksheet'!$A$4:$AD$324,30,0)</f>
        <v>10145.614779411766</v>
      </c>
      <c r="BD263" s="513" t="str">
        <f t="shared" si="159"/>
        <v>Met</v>
      </c>
      <c r="BF263" s="512" t="str">
        <f>IF(AND(AU263="Did not Meet",AX263="Did not Meet", BA263="Did not Meet",BD263="Did not Meet",),"Did not Meet","Met")</f>
        <v>Met</v>
      </c>
      <c r="BG263" s="637">
        <f>VLOOKUP(A263,'42. SEA or LEA Worksheet'!$A$4:$AM$324,36,0)</f>
        <v>0</v>
      </c>
      <c r="BH263" s="638" t="str">
        <f t="shared" si="173"/>
        <v>Met</v>
      </c>
      <c r="BI263" s="639"/>
      <c r="BJ263" s="637">
        <f>VLOOKUP(A263,'42. SEA or LEA Worksheet'!$A$4:$AM$324,38,0)</f>
        <v>1564961.08</v>
      </c>
      <c r="BK263" s="638" t="str">
        <f t="shared" si="174"/>
        <v>Met</v>
      </c>
      <c r="BM263" s="631">
        <f>VLOOKUP(A263,'42. SEA or LEA Worksheet'!$A$4:$AL$324,36,0)/VLOOKUP(A263,'42. SEA or LEA Worksheet'!$A$4:$AL$324,35,0)</f>
        <v>0</v>
      </c>
      <c r="BN263" s="632" t="str">
        <f t="shared" si="175"/>
        <v>Met</v>
      </c>
      <c r="BP263" s="631">
        <f>VLOOKUP(A263,'42. SEA or LEA Worksheet'!$A$4:$AL$324,38,0)/VLOOKUP(A263,'42. SEA or LEA Worksheet'!$A$4:$AL$324,35,0)</f>
        <v>12827.549836065575</v>
      </c>
      <c r="BQ263" s="632" t="str">
        <f t="shared" si="176"/>
        <v>Met</v>
      </c>
      <c r="BS263" s="620" t="str">
        <f>IF(AND(BH263="Did not Meet",BK263="Did not Meet", BN263="Did not Meet",BQ263="Did not Meet",),"Did not Meet","Met")</f>
        <v>Met</v>
      </c>
    </row>
    <row r="264" spans="1:71" x14ac:dyDescent="0.25">
      <c r="A264" s="343" t="s">
        <v>712</v>
      </c>
      <c r="B264" s="510" t="s">
        <v>1076</v>
      </c>
      <c r="C264" s="511"/>
      <c r="D264" s="444">
        <v>0</v>
      </c>
      <c r="E264" s="343" t="s">
        <v>856</v>
      </c>
      <c r="F264" s="511"/>
      <c r="G264" s="444">
        <v>4563153.67</v>
      </c>
      <c r="H264" s="343" t="s">
        <v>835</v>
      </c>
      <c r="I264" s="511"/>
      <c r="J264" s="444">
        <v>0</v>
      </c>
      <c r="K264" s="343" t="s">
        <v>856</v>
      </c>
      <c r="L264" s="511"/>
      <c r="M264" s="444">
        <v>13785.962749244713</v>
      </c>
      <c r="N264" s="343" t="s">
        <v>835</v>
      </c>
      <c r="O264" s="511"/>
      <c r="P264" s="512" t="str">
        <f t="shared" si="160"/>
        <v>Met</v>
      </c>
      <c r="Q264" s="511"/>
      <c r="R264" s="444">
        <f>VLOOKUP(A264,'2020-21'!$A$6:$F$319,6,0)</f>
        <v>1562.27</v>
      </c>
      <c r="S264" s="513" t="str">
        <f t="shared" si="177"/>
        <v>Met</v>
      </c>
      <c r="U264" s="444">
        <f>VLOOKUP(A264,'2020-21'!$A$6:$G$319,7,0)</f>
        <v>4348867.3199999994</v>
      </c>
      <c r="V264" s="513" t="str">
        <f t="shared" si="178"/>
        <v>Did not Meet</v>
      </c>
      <c r="X264" s="444">
        <f>VLOOKUP(A264,'2020-21'!$A$6:$F$319,6,0)/VLOOKUP(A264,'42. SEA or LEA Worksheet'!$A$4:$T$324,20,0)</f>
        <v>4.7198489425981869</v>
      </c>
      <c r="Y264" s="513" t="str">
        <f t="shared" si="179"/>
        <v>Met</v>
      </c>
      <c r="AA264" s="444">
        <f>VLOOKUP(A264,'42. SEA or LEA Worksheet'!$A$4:$W$324,23,0)/VLOOKUP(compliance!A264,'42. SEA or LEA Worksheet'!$A$4:$T$324,20,0)</f>
        <v>13138.571963746223</v>
      </c>
      <c r="AB264" s="513" t="str">
        <f t="shared" si="180"/>
        <v>Did not Meet</v>
      </c>
      <c r="AD264" s="512" t="str">
        <f t="shared" si="161"/>
        <v>Met</v>
      </c>
      <c r="AF264" s="444">
        <f>VLOOKUP(A264,'42. SEA or LEA Worksheet'!$A$4:$Z$324,26,0)</f>
        <v>0</v>
      </c>
      <c r="AG264" s="513" t="str">
        <f t="shared" si="181"/>
        <v>Did not Meet</v>
      </c>
      <c r="AI264" s="444">
        <f>VLOOKUP(A264,'42. SEA or LEA Worksheet'!$A$4:$AB$324,28,0)</f>
        <v>4399572.7699999996</v>
      </c>
      <c r="AJ264" s="513" t="str">
        <f t="shared" si="182"/>
        <v>Met</v>
      </c>
      <c r="AL264" s="444">
        <f>VLOOKUP(compliance!A264,'42. SEA or LEA Worksheet'!$A$4:$AB$324,26,0)/VLOOKUP(compliance!A264,'42. SEA or LEA Worksheet'!$A$4:$Y$324,25,0)</f>
        <v>0</v>
      </c>
      <c r="AM264" s="513" t="str">
        <f t="shared" si="183"/>
        <v>Did not Meet</v>
      </c>
      <c r="AO264" s="444">
        <f>VLOOKUP(A264,'42. SEA or LEA Worksheet'!$A$4:$AB$324,28,0)/VLOOKUP(compliance!A264,'42. SEA or LEA Worksheet'!$A$4:$Y$324,25,0)</f>
        <v>13055.112077151334</v>
      </c>
      <c r="AP264" s="513" t="str">
        <f t="shared" si="184"/>
        <v>Did not Meet</v>
      </c>
      <c r="AR264" s="512" t="str">
        <f t="shared" si="169"/>
        <v>Met</v>
      </c>
      <c r="AT264" s="444">
        <f>VLOOKUP(A264,'42. SEA or LEA Worksheet'!$A$4:$AE$324,31,0)</f>
        <v>1690</v>
      </c>
      <c r="AU264" s="513" t="str">
        <f t="shared" si="170"/>
        <v>Met</v>
      </c>
      <c r="AW264" s="444">
        <f>VLOOKUP(A264,'42. SEA or LEA Worksheet'!$A$4:$AG$324,33,0)</f>
        <v>5045536.55</v>
      </c>
      <c r="AX264" s="513" t="str">
        <f t="shared" si="171"/>
        <v>Met</v>
      </c>
      <c r="AZ264" s="444">
        <f>VLOOKUP(A264,'42. SEA or LEA Worksheet'!$A$4:$AG$324,31,0)/VLOOKUP(A264,'42. SEA or LEA Worksheet'!$A$4:$AD$324,30,0)</f>
        <v>5.1212121212121211</v>
      </c>
      <c r="BA264" s="513" t="str">
        <f t="shared" si="172"/>
        <v>Met</v>
      </c>
      <c r="BC264" s="444">
        <f>VLOOKUP(A264,'42. SEA or LEA Worksheet'!$A$4:$AG$324,33,0)/VLOOKUP(A264,'42. SEA or LEA Worksheet'!$A$4:$AD$324,30,0)</f>
        <v>15289.504696969696</v>
      </c>
      <c r="BD264" s="513" t="str">
        <f t="shared" si="159"/>
        <v>Met</v>
      </c>
      <c r="BF264" s="512" t="str">
        <f>IF(AND(AU264="Did not Meet",AX264="Did not Meet", BA264="Did not Meet",BD264="Did not Meet"),"Did not Meet","Met")</f>
        <v>Met</v>
      </c>
      <c r="BG264" s="637">
        <f>VLOOKUP(A264,'42. SEA or LEA Worksheet'!$A$4:$AM$324,36,0)</f>
        <v>1725</v>
      </c>
      <c r="BH264" s="638" t="str">
        <f t="shared" si="173"/>
        <v>Met</v>
      </c>
      <c r="BI264" s="639"/>
      <c r="BJ264" s="637">
        <f>VLOOKUP(A264,'42. SEA or LEA Worksheet'!$A$4:$AM$324,38,0)</f>
        <v>5059163.51</v>
      </c>
      <c r="BK264" s="638" t="str">
        <f t="shared" si="174"/>
        <v>Met</v>
      </c>
      <c r="BM264" s="631">
        <f>VLOOKUP(A264,'42. SEA or LEA Worksheet'!$A$4:$AL$324,36,0)/VLOOKUP(A264,'42. SEA or LEA Worksheet'!$A$4:$AL$324,35,0)</f>
        <v>5.1035502958579881</v>
      </c>
      <c r="BN264" s="632" t="str">
        <f t="shared" si="175"/>
        <v>Met</v>
      </c>
      <c r="BP264" s="631">
        <f>VLOOKUP(A264,'42. SEA or LEA Worksheet'!$A$4:$AL$324,38,0)/VLOOKUP(A264,'42. SEA or LEA Worksheet'!$A$4:$AL$324,35,0)</f>
        <v>14967.939378698224</v>
      </c>
      <c r="BQ264" s="632" t="str">
        <f t="shared" si="176"/>
        <v>Met</v>
      </c>
      <c r="BS264" s="620" t="str">
        <f>IF(AND(BH264="Did not Meet",BK264="Did not Meet", BN264="Did not Meet",BQ264="Did not Meet"),"Did not Meet","Met")</f>
        <v>Met</v>
      </c>
    </row>
    <row r="265" spans="1:71" x14ac:dyDescent="0.25">
      <c r="A265" s="343" t="s">
        <v>714</v>
      </c>
      <c r="B265" s="510" t="s">
        <v>1077</v>
      </c>
      <c r="C265" s="511"/>
      <c r="D265" s="444">
        <v>0</v>
      </c>
      <c r="E265" s="343" t="s">
        <v>835</v>
      </c>
      <c r="F265" s="511"/>
      <c r="G265" s="444">
        <v>579055.32999999996</v>
      </c>
      <c r="H265" s="343" t="s">
        <v>880</v>
      </c>
      <c r="I265" s="511"/>
      <c r="J265" s="444">
        <v>0</v>
      </c>
      <c r="K265" s="343" t="s">
        <v>835</v>
      </c>
      <c r="L265" s="511"/>
      <c r="M265" s="444">
        <v>7520.19909090909</v>
      </c>
      <c r="N265" s="343" t="s">
        <v>856</v>
      </c>
      <c r="O265" s="511"/>
      <c r="P265" s="512" t="str">
        <f t="shared" si="160"/>
        <v>Met</v>
      </c>
      <c r="Q265" s="511"/>
      <c r="R265" s="444">
        <f>VLOOKUP(A265,'2020-21'!$A$6:$F$319,6,0)</f>
        <v>0</v>
      </c>
      <c r="S265" s="513" t="str">
        <f t="shared" si="177"/>
        <v>Met</v>
      </c>
      <c r="U265" s="444">
        <f>VLOOKUP(A265,'2020-21'!$A$6:$G$319,7,0)</f>
        <v>837294.65</v>
      </c>
      <c r="V265" s="513" t="str">
        <f t="shared" si="178"/>
        <v>Met</v>
      </c>
      <c r="X265" s="444">
        <f>VLOOKUP(A265,'2020-21'!$A$6:$F$319,6,0)/VLOOKUP(A265,'42. SEA or LEA Worksheet'!$A$4:$T$324,20,0)</f>
        <v>0</v>
      </c>
      <c r="Y265" s="513" t="str">
        <f t="shared" si="179"/>
        <v>Met</v>
      </c>
      <c r="AA265" s="444">
        <f>VLOOKUP(A265,'42. SEA or LEA Worksheet'!$A$4:$W$324,23,0)/VLOOKUP(compliance!A265,'42. SEA or LEA Worksheet'!$A$4:$T$324,20,0)</f>
        <v>11163.928666666667</v>
      </c>
      <c r="AB265" s="513" t="str">
        <f t="shared" si="180"/>
        <v>Met</v>
      </c>
      <c r="AD265" s="512" t="str">
        <f t="shared" si="161"/>
        <v>Met</v>
      </c>
      <c r="AF265" s="444">
        <f>VLOOKUP(A265,'42. SEA or LEA Worksheet'!$A$4:$Z$324,26,0)</f>
        <v>10991.68</v>
      </c>
      <c r="AG265" s="513" t="str">
        <f t="shared" si="181"/>
        <v>Met</v>
      </c>
      <c r="AI265" s="444">
        <f>VLOOKUP(A265,'42. SEA or LEA Worksheet'!$A$4:$AB$324,28,0)</f>
        <v>762191.82000000007</v>
      </c>
      <c r="AJ265" s="513" t="str">
        <f t="shared" si="182"/>
        <v>Did not Meet</v>
      </c>
      <c r="AL265" s="444">
        <f>VLOOKUP(compliance!A265,'42. SEA or LEA Worksheet'!$A$4:$AB$324,26,0)/VLOOKUP(compliance!A265,'42. SEA or LEA Worksheet'!$A$4:$Y$324,25,0)</f>
        <v>127.81023255813953</v>
      </c>
      <c r="AM265" s="513" t="str">
        <f t="shared" si="183"/>
        <v>Met</v>
      </c>
      <c r="AO265" s="444">
        <f>VLOOKUP(A265,'42. SEA or LEA Worksheet'!$A$4:$AB$324,28,0)/VLOOKUP(compliance!A265,'42. SEA or LEA Worksheet'!$A$4:$Y$324,25,0)</f>
        <v>8862.69558139535</v>
      </c>
      <c r="AP265" s="513" t="str">
        <f t="shared" si="184"/>
        <v>Did not Meet</v>
      </c>
      <c r="AR265" s="512" t="str">
        <f t="shared" si="169"/>
        <v>Met</v>
      </c>
      <c r="AT265" s="444">
        <f>VLOOKUP(A265,'42. SEA or LEA Worksheet'!$A$4:$AE$324,31,0)</f>
        <v>0</v>
      </c>
      <c r="AU265" s="513" t="str">
        <f t="shared" si="170"/>
        <v>Did not Meet</v>
      </c>
      <c r="AW265" s="444">
        <f>VLOOKUP(A265,'42. SEA or LEA Worksheet'!$A$4:$AG$324,33,0)</f>
        <v>774163.03</v>
      </c>
      <c r="AX265" s="513" t="str">
        <f t="shared" si="171"/>
        <v>Met</v>
      </c>
      <c r="AZ265" s="444">
        <f>VLOOKUP(A265,'42. SEA or LEA Worksheet'!$A$4:$AG$324,31,0)/VLOOKUP(A265,'42. SEA or LEA Worksheet'!$A$4:$AD$324,30,0)</f>
        <v>0</v>
      </c>
      <c r="BA265" s="513" t="str">
        <f t="shared" si="172"/>
        <v>Did not Meet</v>
      </c>
      <c r="BC265" s="444">
        <f>VLOOKUP(A265,'42. SEA or LEA Worksheet'!$A$4:$AG$324,33,0)/VLOOKUP(A265,'42. SEA or LEA Worksheet'!$A$4:$AD$324,30,0)</f>
        <v>8324.3336559139789</v>
      </c>
      <c r="BD265" s="513" t="str">
        <f t="shared" si="159"/>
        <v>Did not Meet</v>
      </c>
      <c r="BF265" s="512" t="str">
        <f>IF(AND(AU265="Did not Meet",AX265="Did not Meet", BA265="Did not Meet",BD265="Did not Meet",),"Did not Meet","Met")</f>
        <v>Met</v>
      </c>
      <c r="BG265" s="637">
        <f>VLOOKUP(A265,'42. SEA or LEA Worksheet'!$A$4:$AM$324,36,0)</f>
        <v>0</v>
      </c>
      <c r="BH265" s="638" t="str">
        <f t="shared" si="173"/>
        <v>Met</v>
      </c>
      <c r="BI265" s="639"/>
      <c r="BJ265" s="637">
        <f>VLOOKUP(A265,'42. SEA or LEA Worksheet'!$A$4:$AM$324,38,0)</f>
        <v>1088549.99</v>
      </c>
      <c r="BK265" s="638" t="str">
        <f t="shared" si="174"/>
        <v>Met</v>
      </c>
      <c r="BM265" s="631">
        <f>VLOOKUP(A265,'42. SEA or LEA Worksheet'!$A$4:$AL$324,36,0)/VLOOKUP(A265,'42. SEA or LEA Worksheet'!$A$4:$AL$324,35,0)</f>
        <v>0</v>
      </c>
      <c r="BN265" s="632" t="str">
        <f t="shared" si="175"/>
        <v>Met</v>
      </c>
      <c r="BP265" s="631">
        <f>VLOOKUP(A265,'42. SEA or LEA Worksheet'!$A$4:$AL$324,38,0)/VLOOKUP(A265,'42. SEA or LEA Worksheet'!$A$4:$AL$324,35,0)</f>
        <v>9548.684122807017</v>
      </c>
      <c r="BQ265" s="632" t="str">
        <f t="shared" si="176"/>
        <v>Met</v>
      </c>
      <c r="BS265" s="620" t="str">
        <f>IF(AND(BH265="Did not Meet",BK265="Did not Meet", BN265="Did not Meet",BQ265="Did not Meet",),"Did not Meet","Met")</f>
        <v>Met</v>
      </c>
    </row>
    <row r="266" spans="1:71" x14ac:dyDescent="0.25">
      <c r="A266" s="343" t="s">
        <v>716</v>
      </c>
      <c r="B266" s="510" t="s">
        <v>1078</v>
      </c>
      <c r="C266" s="511"/>
      <c r="D266" s="444">
        <v>0</v>
      </c>
      <c r="E266" s="343" t="s">
        <v>835</v>
      </c>
      <c r="F266" s="511"/>
      <c r="G266" s="444">
        <v>250004.72</v>
      </c>
      <c r="H266" s="343" t="s">
        <v>880</v>
      </c>
      <c r="I266" s="511"/>
      <c r="J266" s="444">
        <v>0</v>
      </c>
      <c r="K266" s="343" t="s">
        <v>835</v>
      </c>
      <c r="L266" s="511"/>
      <c r="M266" s="444">
        <v>5681.9254545454542</v>
      </c>
      <c r="N266" s="343" t="s">
        <v>856</v>
      </c>
      <c r="O266" s="511"/>
      <c r="P266" s="512" t="str">
        <f t="shared" si="160"/>
        <v>Met</v>
      </c>
      <c r="Q266" s="511"/>
      <c r="R266" s="444">
        <f>VLOOKUP(A266,'2020-21'!$A$6:$F$319,6,0)</f>
        <v>0</v>
      </c>
      <c r="S266" s="513" t="str">
        <f t="shared" si="177"/>
        <v>Met</v>
      </c>
      <c r="U266" s="444">
        <f>VLOOKUP(A266,'2020-21'!$A$6:$G$319,7,0)</f>
        <v>364178.59</v>
      </c>
      <c r="V266" s="513" t="str">
        <f t="shared" si="178"/>
        <v>Met</v>
      </c>
      <c r="X266" s="444">
        <f>VLOOKUP(A266,'2020-21'!$A$6:$F$319,6,0)/VLOOKUP(A266,'42. SEA or LEA Worksheet'!$A$4:$T$324,20,0)</f>
        <v>0</v>
      </c>
      <c r="Y266" s="513" t="str">
        <f t="shared" si="179"/>
        <v>Met</v>
      </c>
      <c r="AA266" s="444">
        <f>VLOOKUP(A266,'42. SEA or LEA Worksheet'!$A$4:$W$324,23,0)/VLOOKUP(compliance!A266,'42. SEA or LEA Worksheet'!$A$4:$T$324,20,0)</f>
        <v>11747.696451612905</v>
      </c>
      <c r="AB266" s="513" t="str">
        <f t="shared" si="180"/>
        <v>Met</v>
      </c>
      <c r="AD266" s="512" t="str">
        <f t="shared" si="161"/>
        <v>Met</v>
      </c>
      <c r="AF266" s="444">
        <f>VLOOKUP(A266,'42. SEA or LEA Worksheet'!$A$4:$Z$324,26,0)</f>
        <v>0</v>
      </c>
      <c r="AG266" s="513" t="str">
        <f t="shared" si="181"/>
        <v>Met</v>
      </c>
      <c r="AI266" s="444">
        <f>VLOOKUP(A266,'42. SEA or LEA Worksheet'!$A$4:$AB$324,28,0)</f>
        <v>315147.05</v>
      </c>
      <c r="AJ266" s="513" t="str">
        <f t="shared" si="182"/>
        <v>Did not Meet</v>
      </c>
      <c r="AL266" s="444">
        <f>VLOOKUP(compliance!A266,'42. SEA or LEA Worksheet'!$A$4:$AB$324,26,0)/VLOOKUP(compliance!A266,'42. SEA or LEA Worksheet'!$A$4:$Y$324,25,0)</f>
        <v>0</v>
      </c>
      <c r="AM266" s="513" t="str">
        <f t="shared" si="183"/>
        <v>Met</v>
      </c>
      <c r="AO266" s="444">
        <f>VLOOKUP(A266,'42. SEA or LEA Worksheet'!$A$4:$AB$324,28,0)/VLOOKUP(compliance!A266,'42. SEA or LEA Worksheet'!$A$4:$Y$324,25,0)</f>
        <v>11255.251785714285</v>
      </c>
      <c r="AP266" s="513" t="str">
        <f t="shared" si="184"/>
        <v>Did not Meet</v>
      </c>
      <c r="AR266" s="512" t="str">
        <f t="shared" si="169"/>
        <v>Met</v>
      </c>
      <c r="AT266" s="444">
        <f>VLOOKUP(A266,'42. SEA or LEA Worksheet'!$A$4:$AE$324,31,0)</f>
        <v>0</v>
      </c>
      <c r="AU266" s="513" t="str">
        <f t="shared" si="170"/>
        <v>Met</v>
      </c>
      <c r="AW266" s="444">
        <f>VLOOKUP(A266,'42. SEA or LEA Worksheet'!$A$4:$AG$324,33,0)</f>
        <v>356122.33</v>
      </c>
      <c r="AX266" s="513" t="str">
        <f t="shared" si="171"/>
        <v>Met</v>
      </c>
      <c r="AZ266" s="444">
        <f>VLOOKUP(A266,'42. SEA or LEA Worksheet'!$A$4:$AG$324,31,0)/VLOOKUP(A266,'42. SEA or LEA Worksheet'!$A$4:$AD$324,30,0)</f>
        <v>0</v>
      </c>
      <c r="BA266" s="513" t="str">
        <f t="shared" si="172"/>
        <v>Met</v>
      </c>
      <c r="BC266" s="444">
        <f>VLOOKUP(A266,'42. SEA or LEA Worksheet'!$A$4:$AG$324,33,0)/VLOOKUP(A266,'42. SEA or LEA Worksheet'!$A$4:$AD$324,30,0)</f>
        <v>16958.20619047619</v>
      </c>
      <c r="BD266" s="513" t="str">
        <f t="shared" si="159"/>
        <v>Met</v>
      </c>
      <c r="BF266" s="512" t="str">
        <f>IF(AND(AU266="Did not Meet",AX266="Did not Meet", BA266="Did not Meet",BD266="Did not Meet",),"Did not Meet","Met")</f>
        <v>Met</v>
      </c>
      <c r="BG266" s="637">
        <f>VLOOKUP(A266,'42. SEA or LEA Worksheet'!$A$4:$AM$324,36,0)</f>
        <v>0</v>
      </c>
      <c r="BH266" s="638" t="str">
        <f t="shared" si="173"/>
        <v>Met</v>
      </c>
      <c r="BI266" s="639"/>
      <c r="BJ266" s="637">
        <f>VLOOKUP(A266,'42. SEA or LEA Worksheet'!$A$4:$AM$324,38,0)</f>
        <v>274188.38</v>
      </c>
      <c r="BK266" s="638" t="str">
        <f t="shared" si="174"/>
        <v>Did not Meet</v>
      </c>
      <c r="BM266" s="631">
        <f>VLOOKUP(A266,'42. SEA or LEA Worksheet'!$A$4:$AL$324,36,0)/VLOOKUP(A266,'42. SEA or LEA Worksheet'!$A$4:$AL$324,35,0)</f>
        <v>0</v>
      </c>
      <c r="BN266" s="632" t="str">
        <f t="shared" si="175"/>
        <v>Met</v>
      </c>
      <c r="BP266" s="631">
        <f>VLOOKUP(A266,'42. SEA or LEA Worksheet'!$A$4:$AL$324,38,0)/VLOOKUP(A266,'42. SEA or LEA Worksheet'!$A$4:$AL$324,35,0)</f>
        <v>11921.233913043479</v>
      </c>
      <c r="BQ266" s="632" t="str">
        <f t="shared" si="176"/>
        <v>Met</v>
      </c>
      <c r="BS266" s="620" t="str">
        <f>IF(AND(BH266="Did not Meet",BK266="Did not Meet", BN266="Did not Meet",BQ266="Did not Meet",),"Did not Meet","Met")</f>
        <v>Met</v>
      </c>
    </row>
    <row r="267" spans="1:71" x14ac:dyDescent="0.25">
      <c r="A267" s="343" t="s">
        <v>718</v>
      </c>
      <c r="B267" s="510" t="s">
        <v>1079</v>
      </c>
      <c r="C267" s="511"/>
      <c r="D267" s="444">
        <v>0</v>
      </c>
      <c r="E267" s="343" t="s">
        <v>835</v>
      </c>
      <c r="F267" s="511"/>
      <c r="G267" s="444">
        <v>423804.83</v>
      </c>
      <c r="H267" s="343" t="s">
        <v>835</v>
      </c>
      <c r="I267" s="511"/>
      <c r="J267" s="444">
        <v>0</v>
      </c>
      <c r="K267" s="343" t="s">
        <v>835</v>
      </c>
      <c r="L267" s="511"/>
      <c r="M267" s="444">
        <v>6835.5617741935484</v>
      </c>
      <c r="N267" s="343" t="s">
        <v>835</v>
      </c>
      <c r="O267" s="511"/>
      <c r="P267" s="512" t="str">
        <f t="shared" si="160"/>
        <v>Met</v>
      </c>
      <c r="Q267" s="511"/>
      <c r="R267" s="444">
        <f>VLOOKUP(A267,'2020-21'!$A$6:$F$319,6,0)</f>
        <v>0</v>
      </c>
      <c r="S267" s="513" t="str">
        <f t="shared" si="177"/>
        <v>Met</v>
      </c>
      <c r="U267" s="444">
        <f>VLOOKUP(A267,'2020-21'!$A$6:$G$319,7,0)</f>
        <v>565374.4</v>
      </c>
      <c r="V267" s="513" t="str">
        <f t="shared" si="178"/>
        <v>Met</v>
      </c>
      <c r="X267" s="444">
        <f>VLOOKUP(A267,'2020-21'!$A$6:$F$319,6,0)/VLOOKUP(A267,'42. SEA or LEA Worksheet'!$A$4:$T$324,20,0)</f>
        <v>0</v>
      </c>
      <c r="Y267" s="513" t="str">
        <f t="shared" si="179"/>
        <v>Met</v>
      </c>
      <c r="AA267" s="444">
        <f>VLOOKUP(A267,'42. SEA or LEA Worksheet'!$A$4:$W$324,23,0)/VLOOKUP(compliance!A267,'42. SEA or LEA Worksheet'!$A$4:$T$324,20,0)</f>
        <v>8698.0676923076935</v>
      </c>
      <c r="AB267" s="513" t="str">
        <f t="shared" si="180"/>
        <v>Met</v>
      </c>
      <c r="AD267" s="512" t="str">
        <f t="shared" si="161"/>
        <v>Met</v>
      </c>
      <c r="AF267" s="444">
        <f>VLOOKUP(A267,'42. SEA or LEA Worksheet'!$A$4:$Z$324,26,0)</f>
        <v>0</v>
      </c>
      <c r="AG267" s="513" t="str">
        <f t="shared" si="181"/>
        <v>Met</v>
      </c>
      <c r="AI267" s="444">
        <f>VLOOKUP(A267,'42. SEA or LEA Worksheet'!$A$4:$AB$324,28,0)</f>
        <v>409826.18</v>
      </c>
      <c r="AJ267" s="513" t="str">
        <f t="shared" si="182"/>
        <v>Did not Meet</v>
      </c>
      <c r="AL267" s="444">
        <f>VLOOKUP(compliance!A267,'42. SEA or LEA Worksheet'!$A$4:$AB$324,26,0)/VLOOKUP(compliance!A267,'42. SEA or LEA Worksheet'!$A$4:$Y$324,25,0)</f>
        <v>0</v>
      </c>
      <c r="AM267" s="513" t="str">
        <f t="shared" si="183"/>
        <v>Met</v>
      </c>
      <c r="AO267" s="444">
        <f>VLOOKUP(A267,'42. SEA or LEA Worksheet'!$A$4:$AB$324,28,0)/VLOOKUP(compliance!A267,'42. SEA or LEA Worksheet'!$A$4:$Y$324,25,0)</f>
        <v>6830.4363333333331</v>
      </c>
      <c r="AP267" s="513" t="str">
        <f t="shared" si="184"/>
        <v>Did not Meet</v>
      </c>
      <c r="AR267" s="512" t="str">
        <f t="shared" si="169"/>
        <v>Met</v>
      </c>
      <c r="AT267" s="444">
        <f>VLOOKUP(A267,'42. SEA or LEA Worksheet'!$A$4:$AE$324,31,0)</f>
        <v>9630</v>
      </c>
      <c r="AU267" s="513" t="str">
        <f t="shared" si="170"/>
        <v>Met</v>
      </c>
      <c r="AW267" s="444">
        <f>VLOOKUP(A267,'42. SEA or LEA Worksheet'!$A$4:$AG$324,33,0)</f>
        <v>470672.51</v>
      </c>
      <c r="AX267" s="513" t="str">
        <f t="shared" si="171"/>
        <v>Met</v>
      </c>
      <c r="AZ267" s="444">
        <f>VLOOKUP(A267,'42. SEA or LEA Worksheet'!$A$4:$AG$324,31,0)/VLOOKUP(A267,'42. SEA or LEA Worksheet'!$A$4:$AD$324,30,0)</f>
        <v>163.22033898305085</v>
      </c>
      <c r="BA267" s="513" t="str">
        <f t="shared" si="172"/>
        <v>Met</v>
      </c>
      <c r="BC267" s="444">
        <f>VLOOKUP(A267,'42. SEA or LEA Worksheet'!$A$4:$AG$324,33,0)/VLOOKUP(A267,'42. SEA or LEA Worksheet'!$A$4:$AD$324,30,0)</f>
        <v>7977.5001694915254</v>
      </c>
      <c r="BD267" s="513" t="str">
        <f t="shared" si="159"/>
        <v>Met</v>
      </c>
      <c r="BF267" s="512" t="str">
        <f>IF(AND(AU267="Did not Meet",AX267="Did not Meet", BA267="Did not Meet",BD267="Did not Meet",),"Did not Meet","Met")</f>
        <v>Met</v>
      </c>
      <c r="BG267" s="637">
        <f>VLOOKUP(A267,'42. SEA or LEA Worksheet'!$A$4:$AM$324,36,0)</f>
        <v>0</v>
      </c>
      <c r="BH267" s="638" t="str">
        <f t="shared" si="173"/>
        <v>Did not Meet</v>
      </c>
      <c r="BI267" s="639"/>
      <c r="BJ267" s="637">
        <f>VLOOKUP(A267,'42. SEA or LEA Worksheet'!$A$4:$AM$324,38,0)</f>
        <v>527013.32999999996</v>
      </c>
      <c r="BK267" s="638" t="str">
        <f t="shared" si="174"/>
        <v>Met</v>
      </c>
      <c r="BM267" s="631">
        <f>VLOOKUP(A267,'42. SEA or LEA Worksheet'!$A$4:$AL$324,36,0)/VLOOKUP(A267,'42. SEA or LEA Worksheet'!$A$4:$AL$324,35,0)</f>
        <v>0</v>
      </c>
      <c r="BN267" s="632" t="str">
        <f t="shared" si="175"/>
        <v>Met</v>
      </c>
      <c r="BP267" s="631">
        <f>VLOOKUP(A267,'42. SEA or LEA Worksheet'!$A$4:$AL$324,38,0)/VLOOKUP(A267,'42. SEA or LEA Worksheet'!$A$4:$AL$324,35,0)</f>
        <v>9582.0605454545439</v>
      </c>
      <c r="BQ267" s="632" t="str">
        <f t="shared" si="176"/>
        <v>Met</v>
      </c>
      <c r="BS267" s="620" t="str">
        <f>IF(AND(BH267="Did not Meet",BK267="Did not Meet", BN267="Did not Meet",BQ267="Did not Meet",),"Did not Meet","Met")</f>
        <v>Met</v>
      </c>
    </row>
    <row r="268" spans="1:71" x14ac:dyDescent="0.25">
      <c r="A268" s="343" t="s">
        <v>720</v>
      </c>
      <c r="B268" s="510" t="s">
        <v>1080</v>
      </c>
      <c r="C268" s="511"/>
      <c r="D268" s="444">
        <v>0</v>
      </c>
      <c r="E268" s="343" t="s">
        <v>856</v>
      </c>
      <c r="F268" s="511"/>
      <c r="G268" s="444">
        <v>96983.85</v>
      </c>
      <c r="H268" s="343" t="s">
        <v>835</v>
      </c>
      <c r="I268" s="511"/>
      <c r="J268" s="444">
        <v>0</v>
      </c>
      <c r="K268" s="343" t="s">
        <v>856</v>
      </c>
      <c r="L268" s="511"/>
      <c r="M268" s="444">
        <v>13854.835714285715</v>
      </c>
      <c r="N268" s="343" t="s">
        <v>835</v>
      </c>
      <c r="O268" s="511"/>
      <c r="P268" s="512" t="str">
        <f t="shared" si="160"/>
        <v>Met</v>
      </c>
      <c r="Q268" s="511"/>
      <c r="R268" s="444">
        <f>VLOOKUP(A268,'2020-21'!$A$6:$F$319,6,0)</f>
        <v>0</v>
      </c>
      <c r="S268" s="513" t="str">
        <f t="shared" si="177"/>
        <v>Met</v>
      </c>
      <c r="U268" s="444">
        <f>VLOOKUP(A268,'2020-21'!$A$6:$G$319,7,0)</f>
        <v>70143.759999999995</v>
      </c>
      <c r="V268" s="513" t="str">
        <f t="shared" si="178"/>
        <v>Did not Meet</v>
      </c>
      <c r="X268" s="444">
        <f>VLOOKUP(A268,'2020-21'!$A$6:$F$319,6,0)/VLOOKUP(A268,'42. SEA or LEA Worksheet'!$A$4:$T$324,20,0)</f>
        <v>0</v>
      </c>
      <c r="Y268" s="513" t="str">
        <f t="shared" si="179"/>
        <v>Met</v>
      </c>
      <c r="AA268" s="444">
        <f>VLOOKUP(A268,'42. SEA or LEA Worksheet'!$A$4:$W$324,23,0)/VLOOKUP(compliance!A268,'42. SEA or LEA Worksheet'!$A$4:$T$324,20,0)</f>
        <v>7793.7511111111107</v>
      </c>
      <c r="AB268" s="513" t="str">
        <f t="shared" si="180"/>
        <v>Did not Meet</v>
      </c>
      <c r="AD268" s="512" t="str">
        <f t="shared" si="161"/>
        <v>Met</v>
      </c>
      <c r="AF268" s="444">
        <f>VLOOKUP(A268,'42. SEA or LEA Worksheet'!$A$4:$Z$324,26,0)</f>
        <v>0</v>
      </c>
      <c r="AG268" s="513" t="str">
        <f t="shared" si="181"/>
        <v>Met</v>
      </c>
      <c r="AI268" s="444">
        <f>VLOOKUP(A268,'42. SEA or LEA Worksheet'!$A$4:$AB$324,28,0)</f>
        <v>81538.850000000006</v>
      </c>
      <c r="AJ268" s="513" t="str">
        <f t="shared" si="182"/>
        <v>Met</v>
      </c>
      <c r="AL268" s="444">
        <f>VLOOKUP(compliance!A268,'42. SEA or LEA Worksheet'!$A$4:$AB$324,26,0)/VLOOKUP(compliance!A268,'42. SEA or LEA Worksheet'!$A$4:$Y$324,25,0)</f>
        <v>0</v>
      </c>
      <c r="AM268" s="513" t="str">
        <f t="shared" si="183"/>
        <v>Met</v>
      </c>
      <c r="AO268" s="444">
        <f>VLOOKUP(A268,'42. SEA or LEA Worksheet'!$A$4:$AB$324,28,0)/VLOOKUP(compliance!A268,'42. SEA or LEA Worksheet'!$A$4:$Y$324,25,0)</f>
        <v>10192.356250000001</v>
      </c>
      <c r="AP268" s="513" t="str">
        <f t="shared" si="184"/>
        <v>Met</v>
      </c>
      <c r="AR268" s="512" t="str">
        <f t="shared" si="169"/>
        <v>Met</v>
      </c>
      <c r="AT268" s="444">
        <f>VLOOKUP(A268,'42. SEA or LEA Worksheet'!$A$4:$AE$324,31,0)</f>
        <v>0</v>
      </c>
      <c r="AU268" s="513" t="str">
        <f t="shared" si="170"/>
        <v>Met</v>
      </c>
      <c r="AW268" s="444">
        <f>VLOOKUP(A268,'42. SEA or LEA Worksheet'!$A$4:$AG$324,33,0)</f>
        <v>98394.03</v>
      </c>
      <c r="AX268" s="513" t="str">
        <f t="shared" si="171"/>
        <v>Met</v>
      </c>
      <c r="AZ268" s="444">
        <f>VLOOKUP(A268,'42. SEA or LEA Worksheet'!$A$4:$AG$324,31,0)/VLOOKUP(A268,'42. SEA or LEA Worksheet'!$A$4:$AD$324,30,0)</f>
        <v>0</v>
      </c>
      <c r="BA268" s="513" t="str">
        <f t="shared" si="172"/>
        <v>Met</v>
      </c>
      <c r="BC268" s="444">
        <f>VLOOKUP(A268,'42. SEA or LEA Worksheet'!$A$4:$AG$324,33,0)/VLOOKUP(A268,'42. SEA or LEA Worksheet'!$A$4:$AD$324,30,0)</f>
        <v>8944.9118181818176</v>
      </c>
      <c r="BD268" s="513" t="str">
        <f t="shared" si="159"/>
        <v>Did not Meet</v>
      </c>
      <c r="BF268" s="512" t="str">
        <f>IF(AND(AU268="Did not Meet",AX268="Did not Meet", BA268="Did not Meet",BD268="Did not Meet"),"Did not Meet","Met")</f>
        <v>Met</v>
      </c>
      <c r="BG268" s="637">
        <f>VLOOKUP(A268,'42. SEA or LEA Worksheet'!$A$4:$AM$324,36,0)</f>
        <v>0</v>
      </c>
      <c r="BH268" s="638" t="str">
        <f t="shared" si="173"/>
        <v>Met</v>
      </c>
      <c r="BI268" s="639"/>
      <c r="BJ268" s="637">
        <f>VLOOKUP(A268,'42. SEA or LEA Worksheet'!$A$4:$AM$324,38,0)</f>
        <v>136044.92000000001</v>
      </c>
      <c r="BK268" s="638" t="str">
        <f t="shared" si="174"/>
        <v>Met</v>
      </c>
      <c r="BM268" s="631">
        <f>VLOOKUP(A268,'42. SEA or LEA Worksheet'!$A$4:$AL$324,36,0)/VLOOKUP(A268,'42. SEA or LEA Worksheet'!$A$4:$AL$324,35,0)</f>
        <v>0</v>
      </c>
      <c r="BN268" s="632" t="str">
        <f t="shared" si="175"/>
        <v>Met</v>
      </c>
      <c r="BP268" s="631">
        <f>VLOOKUP(A268,'42. SEA or LEA Worksheet'!$A$4:$AL$324,38,0)/VLOOKUP(A268,'42. SEA or LEA Worksheet'!$A$4:$AL$324,35,0)</f>
        <v>10464.993846153848</v>
      </c>
      <c r="BQ268" s="632" t="str">
        <f t="shared" si="176"/>
        <v>Met</v>
      </c>
      <c r="BS268" s="620" t="str">
        <f>IF(AND(BH268="Did not Meet",BK268="Did not Meet", BN268="Did not Meet",BQ268="Did not Meet"),"Did not Meet","Met")</f>
        <v>Met</v>
      </c>
    </row>
    <row r="269" spans="1:71" x14ac:dyDescent="0.25">
      <c r="A269" s="343" t="s">
        <v>722</v>
      </c>
      <c r="B269" s="510" t="s">
        <v>1081</v>
      </c>
      <c r="C269" s="511"/>
      <c r="D269" s="444">
        <v>1399153.13</v>
      </c>
      <c r="E269" s="343" t="s">
        <v>856</v>
      </c>
      <c r="F269" s="511"/>
      <c r="G269" s="444">
        <v>15957749.800000001</v>
      </c>
      <c r="H269" s="343" t="s">
        <v>835</v>
      </c>
      <c r="I269" s="511"/>
      <c r="J269" s="444">
        <v>1161.1229294605807</v>
      </c>
      <c r="K269" s="343" t="s">
        <v>856</v>
      </c>
      <c r="L269" s="511"/>
      <c r="M269" s="444">
        <v>13242.945892116184</v>
      </c>
      <c r="N269" s="343" t="s">
        <v>856</v>
      </c>
      <c r="O269" s="511"/>
      <c r="P269" s="512" t="str">
        <f t="shared" si="160"/>
        <v>Met</v>
      </c>
      <c r="Q269" s="511"/>
      <c r="R269" s="444">
        <f>VLOOKUP(A269,'2020-21'!$A$6:$F$319,6,0)</f>
        <v>2838249.66</v>
      </c>
      <c r="S269" s="513" t="str">
        <f t="shared" si="177"/>
        <v>Met</v>
      </c>
      <c r="U269" s="444">
        <f>VLOOKUP(A269,'2020-21'!$A$6:$G$319,7,0)</f>
        <v>17432566.699999999</v>
      </c>
      <c r="V269" s="513" t="str">
        <f t="shared" si="178"/>
        <v>Met</v>
      </c>
      <c r="X269" s="444">
        <f>VLOOKUP(A269,'2020-21'!$A$6:$F$319,6,0)/VLOOKUP(A269,'42. SEA or LEA Worksheet'!$A$4:$T$324,20,0)</f>
        <v>2483.1580577427821</v>
      </c>
      <c r="Y269" s="513" t="str">
        <f t="shared" si="179"/>
        <v>Met</v>
      </c>
      <c r="AA269" s="444">
        <f>VLOOKUP(A269,'42. SEA or LEA Worksheet'!$A$4:$W$324,23,0)/VLOOKUP(compliance!A269,'42. SEA or LEA Worksheet'!$A$4:$T$324,20,0)</f>
        <v>15251.589413823271</v>
      </c>
      <c r="AB269" s="513" t="str">
        <f t="shared" si="180"/>
        <v>Met</v>
      </c>
      <c r="AD269" s="512" t="str">
        <f t="shared" si="161"/>
        <v>Met</v>
      </c>
      <c r="AF269" s="444">
        <f>VLOOKUP(A269,'42. SEA or LEA Worksheet'!$A$4:$Z$324,26,0)</f>
        <v>2206793.87</v>
      </c>
      <c r="AG269" s="513" t="str">
        <f t="shared" si="181"/>
        <v>Did not Meet</v>
      </c>
      <c r="AI269" s="444">
        <f>VLOOKUP(A269,'42. SEA or LEA Worksheet'!$A$4:$AB$324,28,0)</f>
        <v>18080052.170000002</v>
      </c>
      <c r="AJ269" s="513" t="str">
        <f t="shared" si="182"/>
        <v>Met</v>
      </c>
      <c r="AL269" s="444">
        <f>VLOOKUP(compliance!A269,'42. SEA or LEA Worksheet'!$A$4:$AB$324,26,0)/VLOOKUP(compliance!A269,'42. SEA or LEA Worksheet'!$A$4:$Y$324,25,0)</f>
        <v>1769.6823336006416</v>
      </c>
      <c r="AM269" s="513" t="str">
        <f t="shared" si="183"/>
        <v>Did not Meet</v>
      </c>
      <c r="AO269" s="444">
        <f>VLOOKUP(A269,'42. SEA or LEA Worksheet'!$A$4:$AB$324,28,0)/VLOOKUP(compliance!A269,'42. SEA or LEA Worksheet'!$A$4:$Y$324,25,0)</f>
        <v>14498.83894947875</v>
      </c>
      <c r="AP269" s="513" t="str">
        <f t="shared" si="184"/>
        <v>Did not Meet</v>
      </c>
      <c r="AR269" s="512" t="str">
        <f t="shared" si="169"/>
        <v>Met</v>
      </c>
      <c r="AT269" s="444">
        <f>VLOOKUP(A269,'42. SEA or LEA Worksheet'!$A$4:$AE$324,31,0)</f>
        <v>4127582.77</v>
      </c>
      <c r="AU269" s="513" t="str">
        <f t="shared" si="170"/>
        <v>Met</v>
      </c>
      <c r="AW269" s="444">
        <f>VLOOKUP(A269,'42. SEA or LEA Worksheet'!$A$4:$AG$324,33,0)</f>
        <v>21908080.399999999</v>
      </c>
      <c r="AX269" s="513" t="str">
        <f t="shared" si="171"/>
        <v>Met</v>
      </c>
      <c r="AZ269" s="444">
        <f>VLOOKUP(A269,'42. SEA or LEA Worksheet'!$A$4:$AG$324,31,0)/VLOOKUP(A269,'42. SEA or LEA Worksheet'!$A$4:$AD$324,30,0)</f>
        <v>3129.3273464746021</v>
      </c>
      <c r="BA269" s="513" t="str">
        <f t="shared" si="172"/>
        <v>Met</v>
      </c>
      <c r="BC269" s="444">
        <f>VLOOKUP(A269,'42. SEA or LEA Worksheet'!$A$4:$AG$324,33,0)/VLOOKUP(A269,'42. SEA or LEA Worksheet'!$A$4:$AD$324,30,0)</f>
        <v>16609.613646702044</v>
      </c>
      <c r="BD269" s="513" t="str">
        <f t="shared" si="159"/>
        <v>Met</v>
      </c>
      <c r="BF269" s="512" t="str">
        <f>IF(AND(AU269="Did not Meet",AX269="Did not Meet", BA269="Did not Meet",BD269="Did not Meet",),"Did not Meet","Met")</f>
        <v>Met</v>
      </c>
      <c r="BG269" s="637">
        <f>VLOOKUP(A269,'42. SEA or LEA Worksheet'!$A$4:$AM$324,36,0)</f>
        <v>3532146.01</v>
      </c>
      <c r="BH269" s="638" t="str">
        <f t="shared" si="173"/>
        <v>Did not Meet</v>
      </c>
      <c r="BI269" s="639"/>
      <c r="BJ269" s="637">
        <f>VLOOKUP(A269,'42. SEA or LEA Worksheet'!$A$4:$AM$324,38,0)</f>
        <v>25162863.979999997</v>
      </c>
      <c r="BK269" s="638" t="str">
        <f t="shared" si="174"/>
        <v>Met</v>
      </c>
      <c r="BM269" s="631">
        <f>VLOOKUP(A269,'42. SEA or LEA Worksheet'!$A$4:$AL$324,36,0)/VLOOKUP(A269,'42. SEA or LEA Worksheet'!$A$4:$AL$324,35,0)</f>
        <v>2446.0844944598334</v>
      </c>
      <c r="BN269" s="632" t="str">
        <f t="shared" si="175"/>
        <v>Met</v>
      </c>
      <c r="BP269" s="631">
        <f>VLOOKUP(A269,'42. SEA or LEA Worksheet'!$A$4:$AL$324,38,0)/VLOOKUP(A269,'42. SEA or LEA Worksheet'!$A$4:$AL$324,35,0)</f>
        <v>17425.806080332408</v>
      </c>
      <c r="BQ269" s="632" t="str">
        <f t="shared" si="176"/>
        <v>Met</v>
      </c>
      <c r="BS269" s="620" t="str">
        <f>IF(AND(BH269="Did not Meet",BK269="Did not Meet", BN269="Did not Meet",BQ269="Did not Meet",),"Did not Meet","Met")</f>
        <v>Met</v>
      </c>
    </row>
    <row r="270" spans="1:71" x14ac:dyDescent="0.25">
      <c r="A270" s="343" t="s">
        <v>724</v>
      </c>
      <c r="B270" s="510" t="s">
        <v>1082</v>
      </c>
      <c r="C270" s="511"/>
      <c r="D270" s="444">
        <v>0</v>
      </c>
      <c r="E270" s="343" t="s">
        <v>856</v>
      </c>
      <c r="F270" s="511"/>
      <c r="G270" s="444">
        <v>10024405.970000001</v>
      </c>
      <c r="H270" s="343" t="s">
        <v>835</v>
      </c>
      <c r="I270" s="511"/>
      <c r="J270" s="444">
        <v>0</v>
      </c>
      <c r="K270" s="343" t="s">
        <v>856</v>
      </c>
      <c r="L270" s="511"/>
      <c r="M270" s="444">
        <v>10630.335068928951</v>
      </c>
      <c r="N270" s="343" t="s">
        <v>835</v>
      </c>
      <c r="O270" s="511"/>
      <c r="P270" s="512" t="str">
        <f t="shared" si="160"/>
        <v>Met</v>
      </c>
      <c r="Q270" s="511"/>
      <c r="R270" s="444">
        <f>VLOOKUP(A270,'2020-21'!$A$6:$F$319,6,0)</f>
        <v>0</v>
      </c>
      <c r="S270" s="513" t="str">
        <f t="shared" si="177"/>
        <v>Met</v>
      </c>
      <c r="U270" s="444">
        <f>VLOOKUP(A270,'2020-21'!$A$6:$G$319,7,0)</f>
        <v>10026366.710000001</v>
      </c>
      <c r="V270" s="513" t="str">
        <f t="shared" si="178"/>
        <v>Met</v>
      </c>
      <c r="X270" s="444">
        <f>VLOOKUP(A270,'2020-21'!$A$6:$F$319,6,0)/VLOOKUP(A270,'42. SEA or LEA Worksheet'!$A$4:$T$324,20,0)</f>
        <v>0</v>
      </c>
      <c r="Y270" s="513" t="str">
        <f t="shared" si="179"/>
        <v>Met</v>
      </c>
      <c r="AA270" s="444">
        <f>VLOOKUP(A270,'42. SEA or LEA Worksheet'!$A$4:$W$324,23,0)/VLOOKUP(compliance!A270,'42. SEA or LEA Worksheet'!$A$4:$T$324,20,0)</f>
        <v>11054.428566703418</v>
      </c>
      <c r="AB270" s="513" t="str">
        <f t="shared" si="180"/>
        <v>Met</v>
      </c>
      <c r="AD270" s="512" t="str">
        <f t="shared" si="161"/>
        <v>Met</v>
      </c>
      <c r="AF270" s="444">
        <f>VLOOKUP(A270,'42. SEA or LEA Worksheet'!$A$4:$Z$324,26,0)</f>
        <v>0</v>
      </c>
      <c r="AG270" s="513" t="str">
        <f t="shared" si="181"/>
        <v>Met</v>
      </c>
      <c r="AI270" s="444">
        <f>VLOOKUP(A270,'42. SEA or LEA Worksheet'!$A$4:$AB$324,28,0)</f>
        <v>10164619.890000001</v>
      </c>
      <c r="AJ270" s="513" t="str">
        <f t="shared" si="182"/>
        <v>Met</v>
      </c>
      <c r="AL270" s="444">
        <f>VLOOKUP(compliance!A270,'42. SEA or LEA Worksheet'!$A$4:$AB$324,26,0)/VLOOKUP(compliance!A270,'42. SEA or LEA Worksheet'!$A$4:$Y$324,25,0)</f>
        <v>0</v>
      </c>
      <c r="AM270" s="513" t="str">
        <f t="shared" si="183"/>
        <v>Met</v>
      </c>
      <c r="AO270" s="444">
        <f>VLOOKUP(A270,'42. SEA or LEA Worksheet'!$A$4:$AB$324,28,0)/VLOOKUP(compliance!A270,'42. SEA or LEA Worksheet'!$A$4:$Y$324,25,0)</f>
        <v>11256.500431893688</v>
      </c>
      <c r="AP270" s="513" t="str">
        <f t="shared" si="184"/>
        <v>Met</v>
      </c>
      <c r="AR270" s="512" t="str">
        <f t="shared" si="169"/>
        <v>Met</v>
      </c>
      <c r="AT270" s="444">
        <f>VLOOKUP(A270,'42. SEA or LEA Worksheet'!$A$4:$AE$324,31,0)</f>
        <v>63487.38</v>
      </c>
      <c r="AU270" s="513" t="str">
        <f t="shared" si="170"/>
        <v>Met</v>
      </c>
      <c r="AW270" s="444">
        <f>VLOOKUP(A270,'42. SEA or LEA Worksheet'!$A$4:$AG$324,33,0)</f>
        <v>10706648.860000001</v>
      </c>
      <c r="AX270" s="513" t="str">
        <f t="shared" si="171"/>
        <v>Met</v>
      </c>
      <c r="AZ270" s="444">
        <f>VLOOKUP(A270,'42. SEA or LEA Worksheet'!$A$4:$AG$324,31,0)/VLOOKUP(A270,'42. SEA or LEA Worksheet'!$A$4:$AD$324,30,0)</f>
        <v>69.766351648351645</v>
      </c>
      <c r="BA270" s="513" t="str">
        <f t="shared" si="172"/>
        <v>Met</v>
      </c>
      <c r="BC270" s="444">
        <f>VLOOKUP(A270,'42. SEA or LEA Worksheet'!$A$4:$AG$324,33,0)/VLOOKUP(A270,'42. SEA or LEA Worksheet'!$A$4:$AD$324,30,0)</f>
        <v>11765.5481978022</v>
      </c>
      <c r="BD270" s="513" t="str">
        <f t="shared" si="159"/>
        <v>Met</v>
      </c>
      <c r="BF270" s="512" t="str">
        <f>IF(AND(AU270="Did not Meet",AX270="Did not Meet", BA270="Did not Meet",BD270="Did not Meet"),"Did not Meet","Met")</f>
        <v>Met</v>
      </c>
      <c r="BG270" s="637">
        <f>VLOOKUP(A270,'42. SEA or LEA Worksheet'!$A$4:$AM$324,36,0)</f>
        <v>0</v>
      </c>
      <c r="BH270" s="638" t="str">
        <f t="shared" si="173"/>
        <v>Did not Meet</v>
      </c>
      <c r="BI270" s="639"/>
      <c r="BJ270" s="637">
        <f>VLOOKUP(A270,'42. SEA or LEA Worksheet'!$A$4:$AM$324,38,0)</f>
        <v>11575423.380000001</v>
      </c>
      <c r="BK270" s="638" t="str">
        <f t="shared" si="174"/>
        <v>Met</v>
      </c>
      <c r="BM270" s="631">
        <f>VLOOKUP(A270,'42. SEA or LEA Worksheet'!$A$4:$AL$324,36,0)/VLOOKUP(A270,'42. SEA or LEA Worksheet'!$A$4:$AL$324,35,0)</f>
        <v>0</v>
      </c>
      <c r="BN270" s="632" t="str">
        <f t="shared" si="175"/>
        <v>Met</v>
      </c>
      <c r="BP270" s="631">
        <f>VLOOKUP(A270,'42. SEA or LEA Worksheet'!$A$4:$AL$324,38,0)/VLOOKUP(A270,'42. SEA or LEA Worksheet'!$A$4:$AL$324,35,0)</f>
        <v>12734.239141914193</v>
      </c>
      <c r="BQ270" s="632" t="str">
        <f t="shared" si="176"/>
        <v>Met</v>
      </c>
      <c r="BS270" s="620" t="str">
        <f>IF(AND(BH270="Did not Meet",BK270="Did not Meet", BN270="Did not Meet",BQ270="Did not Meet"),"Did not Meet","Met")</f>
        <v>Met</v>
      </c>
    </row>
    <row r="271" spans="1:71" x14ac:dyDescent="0.25">
      <c r="A271" s="343" t="s">
        <v>726</v>
      </c>
      <c r="B271" s="510" t="s">
        <v>1083</v>
      </c>
      <c r="C271" s="511"/>
      <c r="D271" s="444">
        <v>0</v>
      </c>
      <c r="E271" s="343" t="s">
        <v>835</v>
      </c>
      <c r="F271" s="511"/>
      <c r="G271" s="444">
        <v>115789.27</v>
      </c>
      <c r="H271" s="343" t="s">
        <v>835</v>
      </c>
      <c r="I271" s="511"/>
      <c r="J271" s="444">
        <v>0</v>
      </c>
      <c r="K271" s="343" t="s">
        <v>835</v>
      </c>
      <c r="L271" s="511"/>
      <c r="M271" s="444">
        <v>6811.1335294117653</v>
      </c>
      <c r="N271" s="343" t="s">
        <v>835</v>
      </c>
      <c r="O271" s="511"/>
      <c r="P271" s="512" t="str">
        <f t="shared" si="160"/>
        <v>Met</v>
      </c>
      <c r="Q271" s="511"/>
      <c r="R271" s="444">
        <f>VLOOKUP(A271,'2020-21'!$A$6:$F$319,6,0)</f>
        <v>0</v>
      </c>
      <c r="S271" s="513" t="str">
        <f t="shared" si="177"/>
        <v>Met</v>
      </c>
      <c r="U271" s="444">
        <f>VLOOKUP(A271,'2020-21'!$A$6:$G$319,7,0)</f>
        <v>131233.5</v>
      </c>
      <c r="V271" s="513" t="str">
        <f t="shared" si="178"/>
        <v>Met</v>
      </c>
      <c r="X271" s="444">
        <f>VLOOKUP(A271,'2020-21'!$A$6:$F$319,6,0)/VLOOKUP(A271,'42. SEA or LEA Worksheet'!$A$4:$T$324,20,0)</f>
        <v>0</v>
      </c>
      <c r="Y271" s="513" t="str">
        <f t="shared" si="179"/>
        <v>Met</v>
      </c>
      <c r="AA271" s="444">
        <f>VLOOKUP(A271,'42. SEA or LEA Worksheet'!$A$4:$W$324,23,0)/VLOOKUP(compliance!A271,'42. SEA or LEA Worksheet'!$A$4:$T$324,20,0)</f>
        <v>7290.75</v>
      </c>
      <c r="AB271" s="513" t="str">
        <f t="shared" si="180"/>
        <v>Met</v>
      </c>
      <c r="AD271" s="512" t="str">
        <f t="shared" si="161"/>
        <v>Met</v>
      </c>
      <c r="AF271" s="444">
        <f>VLOOKUP(A271,'42. SEA or LEA Worksheet'!$A$4:$Z$324,26,0)</f>
        <v>0</v>
      </c>
      <c r="AG271" s="513" t="str">
        <f t="shared" si="181"/>
        <v>Met</v>
      </c>
      <c r="AI271" s="444">
        <f>VLOOKUP(A271,'42. SEA or LEA Worksheet'!$A$4:$AB$324,28,0)</f>
        <v>165231.38</v>
      </c>
      <c r="AJ271" s="513" t="str">
        <f t="shared" si="182"/>
        <v>Met</v>
      </c>
      <c r="AL271" s="444">
        <f>VLOOKUP(compliance!A271,'42. SEA or LEA Worksheet'!$A$4:$AB$324,26,0)/VLOOKUP(compliance!A271,'42. SEA or LEA Worksheet'!$A$4:$Y$324,25,0)</f>
        <v>0</v>
      </c>
      <c r="AM271" s="513" t="str">
        <f t="shared" si="183"/>
        <v>Met</v>
      </c>
      <c r="AO271" s="444">
        <f>VLOOKUP(A271,'42. SEA or LEA Worksheet'!$A$4:$AB$324,28,0)/VLOOKUP(compliance!A271,'42. SEA or LEA Worksheet'!$A$4:$Y$324,25,0)</f>
        <v>9179.5211111111112</v>
      </c>
      <c r="AP271" s="513" t="str">
        <f t="shared" si="184"/>
        <v>Met</v>
      </c>
      <c r="AR271" s="512" t="str">
        <f t="shared" si="169"/>
        <v>Met</v>
      </c>
      <c r="AT271" s="444">
        <f>VLOOKUP(A271,'42. SEA or LEA Worksheet'!$A$4:$AE$324,31,0)</f>
        <v>0</v>
      </c>
      <c r="AU271" s="513" t="str">
        <f t="shared" si="170"/>
        <v>Met</v>
      </c>
      <c r="AW271" s="444">
        <f>VLOOKUP(A271,'42. SEA or LEA Worksheet'!$A$4:$AG$324,33,0)</f>
        <v>0</v>
      </c>
      <c r="AX271" s="513" t="str">
        <f t="shared" si="171"/>
        <v>Did not Meet</v>
      </c>
      <c r="AZ271" s="444">
        <f>VLOOKUP(A271,'42. SEA or LEA Worksheet'!$A$4:$AG$324,31,0)/VLOOKUP(A271,'42. SEA or LEA Worksheet'!$A$4:$AD$324,30,0)</f>
        <v>0</v>
      </c>
      <c r="BA271" s="513" t="str">
        <f t="shared" si="172"/>
        <v>Met</v>
      </c>
      <c r="BC271" s="444">
        <f>VLOOKUP(A271,'42. SEA or LEA Worksheet'!$A$4:$AG$324,33,0)/VLOOKUP(A271,'42. SEA or LEA Worksheet'!$A$4:$AD$324,30,0)</f>
        <v>0</v>
      </c>
      <c r="BD271" s="513" t="str">
        <f t="shared" si="159"/>
        <v>Did not Meet</v>
      </c>
      <c r="BF271" s="512" t="str">
        <f>IF(AND(AU271="Did not Meet",AX271="Did not Meet", BA271="Did not Meet",BD271="Did not Meet",),"Did not Meet","Met")</f>
        <v>Met</v>
      </c>
      <c r="BG271" s="637">
        <f>VLOOKUP(A271,'42. SEA or LEA Worksheet'!$A$4:$AM$324,36,0)</f>
        <v>0</v>
      </c>
      <c r="BH271" s="638" t="str">
        <f t="shared" si="173"/>
        <v>Met</v>
      </c>
      <c r="BI271" s="639"/>
      <c r="BJ271" s="637">
        <f>VLOOKUP(A271,'42. SEA or LEA Worksheet'!$A$4:$AM$324,38,0)</f>
        <v>140915.97</v>
      </c>
      <c r="BK271" s="638" t="str">
        <f t="shared" si="174"/>
        <v>Met</v>
      </c>
      <c r="BM271" s="631">
        <f>VLOOKUP(A271,'42. SEA or LEA Worksheet'!$A$4:$AL$324,36,0)/VLOOKUP(A271,'42. SEA or LEA Worksheet'!$A$4:$AL$324,35,0)</f>
        <v>0</v>
      </c>
      <c r="BN271" s="632" t="str">
        <f t="shared" si="175"/>
        <v>Met</v>
      </c>
      <c r="BP271" s="631">
        <f>VLOOKUP(A271,'42. SEA or LEA Worksheet'!$A$4:$AL$324,38,0)/VLOOKUP(A271,'42. SEA or LEA Worksheet'!$A$4:$AL$324,35,0)</f>
        <v>7045.7984999999999</v>
      </c>
      <c r="BQ271" s="632" t="str">
        <f t="shared" si="176"/>
        <v>Met</v>
      </c>
      <c r="BS271" s="620" t="str">
        <f>IF(AND(BH271="Did not Meet",BK271="Did not Meet", BN271="Did not Meet",BQ271="Did not Meet",),"Did not Meet","Met")</f>
        <v>Met</v>
      </c>
    </row>
    <row r="272" spans="1:71" x14ac:dyDescent="0.25">
      <c r="A272" s="343" t="s">
        <v>728</v>
      </c>
      <c r="B272" s="510" t="s">
        <v>1084</v>
      </c>
      <c r="C272" s="511"/>
      <c r="D272" s="444">
        <v>2703832.48</v>
      </c>
      <c r="E272" s="343" t="s">
        <v>856</v>
      </c>
      <c r="F272" s="511"/>
      <c r="G272" s="444">
        <v>54442616.659999996</v>
      </c>
      <c r="H272" s="343" t="s">
        <v>835</v>
      </c>
      <c r="I272" s="511"/>
      <c r="J272" s="444">
        <v>611.58843700520242</v>
      </c>
      <c r="K272" s="343" t="s">
        <v>856</v>
      </c>
      <c r="L272" s="511"/>
      <c r="M272" s="444">
        <v>12314.547989142728</v>
      </c>
      <c r="N272" s="343" t="s">
        <v>856</v>
      </c>
      <c r="O272" s="511"/>
      <c r="P272" s="512" t="str">
        <f t="shared" si="160"/>
        <v>Met</v>
      </c>
      <c r="Q272" s="511"/>
      <c r="R272" s="444">
        <f>VLOOKUP(A272,'2020-21'!$A$6:$F$319,6,0)</f>
        <v>4479792.1399999997</v>
      </c>
      <c r="S272" s="513" t="str">
        <f t="shared" si="177"/>
        <v>Met</v>
      </c>
      <c r="U272" s="444">
        <f>VLOOKUP(A272,'2020-21'!$A$6:$G$319,7,0)</f>
        <v>52937424.990000002</v>
      </c>
      <c r="V272" s="513" t="str">
        <f t="shared" si="178"/>
        <v>Did not Meet</v>
      </c>
      <c r="X272" s="444">
        <f>VLOOKUP(A272,'2020-21'!$A$6:$F$319,6,0)/VLOOKUP(A272,'42. SEA or LEA Worksheet'!$A$4:$T$324,20,0)</f>
        <v>1051.1009244486156</v>
      </c>
      <c r="Y272" s="513" t="str">
        <f t="shared" si="179"/>
        <v>Met</v>
      </c>
      <c r="AA272" s="444">
        <f>VLOOKUP(A272,'42. SEA or LEA Worksheet'!$A$4:$W$324,23,0)/VLOOKUP(compliance!A272,'42. SEA or LEA Worksheet'!$A$4:$T$324,20,0)</f>
        <v>12420.794225715626</v>
      </c>
      <c r="AB272" s="513" t="str">
        <f t="shared" si="180"/>
        <v>Met</v>
      </c>
      <c r="AD272" s="512" t="str">
        <f t="shared" si="161"/>
        <v>Met</v>
      </c>
      <c r="AF272" s="444">
        <f>VLOOKUP(A272,'42. SEA or LEA Worksheet'!$A$4:$Z$324,26,0)</f>
        <v>1684288.24</v>
      </c>
      <c r="AG272" s="513" t="str">
        <f t="shared" si="181"/>
        <v>Did not Meet</v>
      </c>
      <c r="AI272" s="444">
        <f>VLOOKUP(A272,'42. SEA or LEA Worksheet'!$A$4:$AB$324,28,0)</f>
        <v>52820460.830000006</v>
      </c>
      <c r="AJ272" s="513" t="str">
        <f t="shared" si="182"/>
        <v>Did not Meet</v>
      </c>
      <c r="AL272" s="444">
        <f>VLOOKUP(compliance!A272,'42. SEA or LEA Worksheet'!$A$4:$AB$324,26,0)/VLOOKUP(compliance!A272,'42. SEA or LEA Worksheet'!$A$4:$Y$324,25,0)</f>
        <v>399.68871381110586</v>
      </c>
      <c r="AM272" s="513" t="str">
        <f t="shared" si="183"/>
        <v>Did not Meet</v>
      </c>
      <c r="AO272" s="444">
        <f>VLOOKUP(A272,'42. SEA or LEA Worksheet'!$A$4:$AB$324,28,0)/VLOOKUP(compliance!A272,'42. SEA or LEA Worksheet'!$A$4:$Y$324,25,0)</f>
        <v>12534.518469387756</v>
      </c>
      <c r="AP272" s="513" t="str">
        <f t="shared" si="184"/>
        <v>Met</v>
      </c>
      <c r="AR272" s="512" t="str">
        <f t="shared" si="169"/>
        <v>Met</v>
      </c>
      <c r="AT272" s="444">
        <f>VLOOKUP(A272,'42. SEA or LEA Worksheet'!$A$4:$AE$324,31,0)</f>
        <v>2169726.04</v>
      </c>
      <c r="AU272" s="513" t="str">
        <f t="shared" si="170"/>
        <v>Met</v>
      </c>
      <c r="AW272" s="444">
        <f>VLOOKUP(A272,'42. SEA or LEA Worksheet'!$A$4:$AG$324,33,0)</f>
        <v>63277823.039999999</v>
      </c>
      <c r="AX272" s="513" t="str">
        <f t="shared" si="171"/>
        <v>Met</v>
      </c>
      <c r="AZ272" s="444">
        <f>VLOOKUP(A272,'42. SEA or LEA Worksheet'!$A$4:$AG$324,31,0)/VLOOKUP(A272,'42. SEA or LEA Worksheet'!$A$4:$AD$324,30,0)</f>
        <v>501.20721644721647</v>
      </c>
      <c r="BA272" s="513" t="str">
        <f t="shared" si="172"/>
        <v>Met</v>
      </c>
      <c r="BC272" s="444">
        <f>VLOOKUP(A272,'42. SEA or LEA Worksheet'!$A$4:$AG$324,33,0)/VLOOKUP(A272,'42. SEA or LEA Worksheet'!$A$4:$AD$324,30,0)</f>
        <v>14617.191739431739</v>
      </c>
      <c r="BD272" s="513" t="str">
        <f t="shared" si="159"/>
        <v>Met</v>
      </c>
      <c r="BF272" s="512" t="str">
        <f>IF(AND(AU272="Did not Meet",AX272="Did not Meet", BA272="Did not Meet",BD272="Did not Meet"),"Did not Meet","Met")</f>
        <v>Met</v>
      </c>
      <c r="BG272" s="637">
        <f>VLOOKUP(A272,'42. SEA or LEA Worksheet'!$A$4:$AM$324,36,0)</f>
        <v>3573888</v>
      </c>
      <c r="BH272" s="638" t="str">
        <f t="shared" si="173"/>
        <v>Met</v>
      </c>
      <c r="BI272" s="639"/>
      <c r="BJ272" s="637">
        <f>VLOOKUP(A272,'42. SEA or LEA Worksheet'!$A$4:$AM$324,38,0)</f>
        <v>69912833.920000002</v>
      </c>
      <c r="BK272" s="638" t="str">
        <f t="shared" si="174"/>
        <v>Met</v>
      </c>
      <c r="BM272" s="631">
        <f>VLOOKUP(A272,'42. SEA or LEA Worksheet'!$A$4:$AL$324,36,0)/VLOOKUP(A272,'42. SEA or LEA Worksheet'!$A$4:$AL$324,35,0)</f>
        <v>800.78153708267985</v>
      </c>
      <c r="BN272" s="632" t="str">
        <f t="shared" si="175"/>
        <v>Met</v>
      </c>
      <c r="BP272" s="631">
        <f>VLOOKUP(A272,'42. SEA or LEA Worksheet'!$A$4:$AL$324,38,0)/VLOOKUP(A272,'42. SEA or LEA Worksheet'!$A$4:$AL$324,35,0)</f>
        <v>15664.986314138472</v>
      </c>
      <c r="BQ272" s="632" t="str">
        <f t="shared" si="176"/>
        <v>Met</v>
      </c>
      <c r="BS272" s="620" t="str">
        <f>IF(AND(BH272="Did not Meet",BK272="Did not Meet", BN272="Did not Meet",BQ272="Did not Meet"),"Did not Meet","Met")</f>
        <v>Met</v>
      </c>
    </row>
    <row r="273" spans="1:71" x14ac:dyDescent="0.25">
      <c r="A273" s="343" t="s">
        <v>730</v>
      </c>
      <c r="B273" s="510" t="s">
        <v>1148</v>
      </c>
      <c r="C273" s="511"/>
      <c r="D273" s="444">
        <v>0</v>
      </c>
      <c r="E273" s="343" t="s">
        <v>835</v>
      </c>
      <c r="F273" s="511"/>
      <c r="G273" s="444">
        <v>234623.81</v>
      </c>
      <c r="H273" s="343" t="s">
        <v>835</v>
      </c>
      <c r="I273" s="511"/>
      <c r="J273" s="444">
        <v>0</v>
      </c>
      <c r="K273" s="343" t="s">
        <v>856</v>
      </c>
      <c r="L273" s="511"/>
      <c r="M273" s="444">
        <v>6900.700294117647</v>
      </c>
      <c r="N273" s="343" t="s">
        <v>856</v>
      </c>
      <c r="O273" s="511"/>
      <c r="P273" s="512" t="str">
        <f t="shared" si="160"/>
        <v>Met</v>
      </c>
      <c r="Q273" s="511"/>
      <c r="R273" s="444">
        <f>VLOOKUP(A273,'2020-21'!$A$6:$F$319,6,0)</f>
        <v>0</v>
      </c>
      <c r="S273" s="513" t="str">
        <f t="shared" si="177"/>
        <v>Met</v>
      </c>
      <c r="U273" s="444">
        <f>VLOOKUP(A273,'2020-21'!$A$6:$G$319,7,0)</f>
        <v>247338.69</v>
      </c>
      <c r="V273" s="513" t="str">
        <f t="shared" si="178"/>
        <v>Met</v>
      </c>
      <c r="X273" s="444">
        <f>VLOOKUP(A273,'2020-21'!$A$6:$F$319,6,0)/VLOOKUP(A273,'42. SEA or LEA Worksheet'!$A$4:$T$324,20,0)</f>
        <v>0</v>
      </c>
      <c r="Y273" s="513" t="str">
        <f t="shared" si="179"/>
        <v>Met</v>
      </c>
      <c r="AA273" s="444">
        <f>VLOOKUP(A273,'42. SEA or LEA Worksheet'!$A$4:$W$324,23,0)/VLOOKUP(compliance!A273,'42. SEA or LEA Worksheet'!$A$4:$T$324,20,0)</f>
        <v>5752.0625581395352</v>
      </c>
      <c r="AB273" s="513" t="str">
        <f t="shared" si="180"/>
        <v>Did not Meet</v>
      </c>
      <c r="AD273" s="512" t="str">
        <f t="shared" si="161"/>
        <v>Met</v>
      </c>
      <c r="AF273" s="444">
        <f>VLOOKUP(A273,'42. SEA or LEA Worksheet'!$A$4:$Z$324,26,0)</f>
        <v>0</v>
      </c>
      <c r="AG273" s="513" t="str">
        <f t="shared" si="181"/>
        <v>Met</v>
      </c>
      <c r="AI273" s="444">
        <f>VLOOKUP(A273,'42. SEA or LEA Worksheet'!$A$4:$AB$324,28,0)</f>
        <v>239638.11</v>
      </c>
      <c r="AJ273" s="513" t="str">
        <f t="shared" si="182"/>
        <v>Did not Meet</v>
      </c>
      <c r="AL273" s="444">
        <f>VLOOKUP(compliance!A273,'42. SEA or LEA Worksheet'!$A$4:$AB$324,26,0)/VLOOKUP(compliance!A273,'42. SEA or LEA Worksheet'!$A$4:$Y$324,25,0)</f>
        <v>0</v>
      </c>
      <c r="AM273" s="513" t="str">
        <f t="shared" si="183"/>
        <v>Met</v>
      </c>
      <c r="AO273" s="444">
        <f>VLOOKUP(A273,'42. SEA or LEA Worksheet'!$A$4:$AB$324,28,0)/VLOOKUP(compliance!A273,'42. SEA or LEA Worksheet'!$A$4:$Y$324,25,0)</f>
        <v>5572.9793023255806</v>
      </c>
      <c r="AP273" s="513" t="str">
        <f t="shared" si="184"/>
        <v>Did not Meet</v>
      </c>
      <c r="AR273" s="512" t="str">
        <f t="shared" si="169"/>
        <v>Met</v>
      </c>
      <c r="AT273" s="444">
        <f>VLOOKUP(A273,'42. SEA or LEA Worksheet'!$A$4:$AE$324,31,0)</f>
        <v>0</v>
      </c>
      <c r="AU273" s="513" t="str">
        <f t="shared" si="170"/>
        <v>Met</v>
      </c>
      <c r="AW273" s="444">
        <f>VLOOKUP(A273,'42. SEA or LEA Worksheet'!$A$4:$AG$324,33,0)</f>
        <v>206522.98</v>
      </c>
      <c r="AX273" s="513" t="str">
        <f t="shared" si="171"/>
        <v>Did not Meet</v>
      </c>
      <c r="AZ273" s="444">
        <f>VLOOKUP(A273,'42. SEA or LEA Worksheet'!$A$4:$AG$324,31,0)/VLOOKUP(A273,'42. SEA or LEA Worksheet'!$A$4:$AD$324,30,0)</f>
        <v>0</v>
      </c>
      <c r="BA273" s="513" t="str">
        <f t="shared" si="172"/>
        <v>Met</v>
      </c>
      <c r="BC273" s="444">
        <f>VLOOKUP(A273,'42. SEA or LEA Worksheet'!$A$4:$AG$324,33,0)/VLOOKUP(A273,'42. SEA or LEA Worksheet'!$A$4:$AD$324,30,0)</f>
        <v>5434.8152631578951</v>
      </c>
      <c r="BD273" s="513" t="str">
        <f t="shared" si="159"/>
        <v>Did not Meet</v>
      </c>
      <c r="BF273" s="512" t="str">
        <f>IF(AND(AU273="Did not Meet",AX273="Did not Meet", BA273="Did not Meet",BD273="Did not Meet"),"Did not Meet","Met")</f>
        <v>Met</v>
      </c>
      <c r="BG273" s="637">
        <f>VLOOKUP(A273,'42. SEA or LEA Worksheet'!$A$4:$AM$324,36,0)</f>
        <v>0</v>
      </c>
      <c r="BH273" s="638" t="str">
        <f t="shared" si="173"/>
        <v>Met</v>
      </c>
      <c r="BI273" s="639"/>
      <c r="BJ273" s="637">
        <f>VLOOKUP(A273,'42. SEA or LEA Worksheet'!$A$4:$AM$324,38,0)</f>
        <v>234097.91</v>
      </c>
      <c r="BK273" s="638" t="str">
        <f t="shared" si="174"/>
        <v>Met</v>
      </c>
      <c r="BM273" s="631">
        <f>VLOOKUP(A273,'42. SEA or LEA Worksheet'!$A$4:$AL$324,36,0)/VLOOKUP(A273,'42. SEA or LEA Worksheet'!$A$4:$AL$324,35,0)</f>
        <v>0</v>
      </c>
      <c r="BN273" s="632" t="str">
        <f t="shared" si="175"/>
        <v>Met</v>
      </c>
      <c r="BP273" s="631">
        <f>VLOOKUP(A273,'42. SEA or LEA Worksheet'!$A$4:$AL$324,38,0)/VLOOKUP(A273,'42. SEA or LEA Worksheet'!$A$4:$AL$324,35,0)</f>
        <v>6688.5117142857143</v>
      </c>
      <c r="BQ273" s="632" t="str">
        <f t="shared" si="176"/>
        <v>Met</v>
      </c>
      <c r="BS273" s="620" t="str">
        <f>IF(AND(BH273="Did not Meet",BK273="Did not Meet", BN273="Did not Meet",BQ273="Did not Meet"),"Did not Meet","Met")</f>
        <v>Met</v>
      </c>
    </row>
    <row r="274" spans="1:71" x14ac:dyDescent="0.25">
      <c r="A274" s="343" t="s">
        <v>732</v>
      </c>
      <c r="B274" s="510" t="s">
        <v>1085</v>
      </c>
      <c r="C274" s="511"/>
      <c r="D274" s="444">
        <v>3148846.86</v>
      </c>
      <c r="E274" s="343" t="s">
        <v>835</v>
      </c>
      <c r="F274" s="511"/>
      <c r="G274" s="444">
        <v>15196002.83</v>
      </c>
      <c r="H274" s="343" t="s">
        <v>835</v>
      </c>
      <c r="I274" s="511"/>
      <c r="J274" s="444">
        <v>2880.9211893870083</v>
      </c>
      <c r="K274" s="343" t="s">
        <v>835</v>
      </c>
      <c r="L274" s="511"/>
      <c r="M274" s="444">
        <v>13903.021802378775</v>
      </c>
      <c r="N274" s="343" t="s">
        <v>835</v>
      </c>
      <c r="O274" s="511"/>
      <c r="P274" s="512" t="str">
        <f t="shared" si="160"/>
        <v>Met</v>
      </c>
      <c r="Q274" s="511"/>
      <c r="R274" s="444">
        <f>VLOOKUP(A274,'2020-21'!$A$6:$F$319,6,0)</f>
        <v>3523319.59</v>
      </c>
      <c r="S274" s="513" t="str">
        <f t="shared" si="177"/>
        <v>Met</v>
      </c>
      <c r="U274" s="444">
        <f>VLOOKUP(A274,'2020-21'!$A$6:$G$319,7,0)</f>
        <v>18309831.009999998</v>
      </c>
      <c r="V274" s="513" t="str">
        <f t="shared" si="178"/>
        <v>Met</v>
      </c>
      <c r="X274" s="444">
        <f>VLOOKUP(A274,'2020-21'!$A$6:$F$319,6,0)/VLOOKUP(A274,'42. SEA or LEA Worksheet'!$A$4:$T$324,20,0)</f>
        <v>3256.3027634011091</v>
      </c>
      <c r="Y274" s="513" t="str">
        <f t="shared" si="179"/>
        <v>Met</v>
      </c>
      <c r="AA274" s="444">
        <f>VLOOKUP(A274,'42. SEA or LEA Worksheet'!$A$4:$W$324,23,0)/VLOOKUP(compliance!A274,'42. SEA or LEA Worksheet'!$A$4:$T$324,20,0)</f>
        <v>16922.209805914972</v>
      </c>
      <c r="AB274" s="513" t="str">
        <f t="shared" si="180"/>
        <v>Met</v>
      </c>
      <c r="AD274" s="512" t="str">
        <f t="shared" si="161"/>
        <v>Met</v>
      </c>
      <c r="AF274" s="444">
        <f>VLOOKUP(A274,'42. SEA or LEA Worksheet'!$A$4:$Z$324,26,0)</f>
        <v>4064428.8</v>
      </c>
      <c r="AG274" s="513" t="str">
        <f t="shared" si="181"/>
        <v>Met</v>
      </c>
      <c r="AI274" s="444">
        <f>VLOOKUP(A274,'42. SEA or LEA Worksheet'!$A$4:$AB$324,28,0)</f>
        <v>20369366.66</v>
      </c>
      <c r="AJ274" s="513" t="str">
        <f t="shared" si="182"/>
        <v>Met</v>
      </c>
      <c r="AL274" s="444">
        <f>VLOOKUP(compliance!A274,'42. SEA or LEA Worksheet'!$A$4:$AB$324,26,0)/VLOOKUP(compliance!A274,'42. SEA or LEA Worksheet'!$A$4:$Y$324,25,0)</f>
        <v>3718.5990850869166</v>
      </c>
      <c r="AM274" s="513" t="str">
        <f t="shared" si="183"/>
        <v>Met</v>
      </c>
      <c r="AO274" s="444">
        <f>VLOOKUP(A274,'42. SEA or LEA Worksheet'!$A$4:$AB$324,28,0)/VLOOKUP(compliance!A274,'42. SEA or LEA Worksheet'!$A$4:$Y$324,25,0)</f>
        <v>18636.200054894784</v>
      </c>
      <c r="AP274" s="513" t="str">
        <f t="shared" si="184"/>
        <v>Met</v>
      </c>
      <c r="AR274" s="512" t="str">
        <f t="shared" si="169"/>
        <v>Met</v>
      </c>
      <c r="AT274" s="444">
        <f>VLOOKUP(A274,'42. SEA or LEA Worksheet'!$A$4:$AE$324,31,0)</f>
        <v>5868980.5700000003</v>
      </c>
      <c r="AU274" s="513" t="str">
        <f t="shared" si="170"/>
        <v>Met</v>
      </c>
      <c r="AW274" s="444">
        <f>VLOOKUP(A274,'42. SEA or LEA Worksheet'!$A$4:$AG$324,33,0)</f>
        <v>24158904.57</v>
      </c>
      <c r="AX274" s="513" t="str">
        <f t="shared" si="171"/>
        <v>Met</v>
      </c>
      <c r="AZ274" s="444">
        <f>VLOOKUP(A274,'42. SEA or LEA Worksheet'!$A$4:$AG$324,31,0)/VLOOKUP(A274,'42. SEA or LEA Worksheet'!$A$4:$AD$324,30,0)</f>
        <v>5016.2227094017098</v>
      </c>
      <c r="BA274" s="513" t="str">
        <f t="shared" si="172"/>
        <v>Met</v>
      </c>
      <c r="BC274" s="444">
        <f>VLOOKUP(A274,'42. SEA or LEA Worksheet'!$A$4:$AG$324,33,0)/VLOOKUP(A274,'42. SEA or LEA Worksheet'!$A$4:$AD$324,30,0)</f>
        <v>20648.636384615384</v>
      </c>
      <c r="BD274" s="513" t="str">
        <f t="shared" si="159"/>
        <v>Met</v>
      </c>
      <c r="BF274" s="512" t="str">
        <f>IF(AND(AU274="Did not Meet",AX274="Did not Meet", BA274="Did not Meet",BD274="Did not Meet",),"Did not Meet","Met")</f>
        <v>Met</v>
      </c>
      <c r="BG274" s="637">
        <f>VLOOKUP(A274,'42. SEA or LEA Worksheet'!$A$4:$AM$324,36,0)</f>
        <v>5947061.3300000001</v>
      </c>
      <c r="BH274" s="638" t="str">
        <f t="shared" si="173"/>
        <v>Met</v>
      </c>
      <c r="BI274" s="639"/>
      <c r="BJ274" s="637">
        <f>VLOOKUP(A274,'42. SEA or LEA Worksheet'!$A$4:$AM$324,38,0)</f>
        <v>26714069.530000001</v>
      </c>
      <c r="BK274" s="638" t="str">
        <f t="shared" si="174"/>
        <v>Met</v>
      </c>
      <c r="BM274" s="631">
        <f>VLOOKUP(A274,'42. SEA or LEA Worksheet'!$A$4:$AL$324,36,0)/VLOOKUP(A274,'42. SEA or LEA Worksheet'!$A$4:$AL$324,35,0)</f>
        <v>5027.1017159763314</v>
      </c>
      <c r="BN274" s="632" t="str">
        <f t="shared" si="175"/>
        <v>Met</v>
      </c>
      <c r="BP274" s="631">
        <f>VLOOKUP(A274,'42. SEA or LEA Worksheet'!$A$4:$AL$324,38,0)/VLOOKUP(A274,'42. SEA or LEA Worksheet'!$A$4:$AL$324,35,0)</f>
        <v>22581.631048182589</v>
      </c>
      <c r="BQ274" s="632" t="str">
        <f t="shared" si="176"/>
        <v>Met</v>
      </c>
      <c r="BS274" s="620" t="str">
        <f>IF(AND(BH274="Did not Meet",BK274="Did not Meet", BN274="Did not Meet",BQ274="Did not Meet",),"Did not Meet","Met")</f>
        <v>Met</v>
      </c>
    </row>
    <row r="275" spans="1:71" x14ac:dyDescent="0.25">
      <c r="A275" s="343" t="s">
        <v>734</v>
      </c>
      <c r="B275" s="510" t="s">
        <v>1086</v>
      </c>
      <c r="C275" s="511"/>
      <c r="D275" s="444">
        <v>0</v>
      </c>
      <c r="E275" s="343" t="s">
        <v>835</v>
      </c>
      <c r="F275" s="511"/>
      <c r="G275" s="444">
        <v>422866.1</v>
      </c>
      <c r="H275" s="343" t="s">
        <v>835</v>
      </c>
      <c r="I275" s="511"/>
      <c r="J275" s="444">
        <v>0</v>
      </c>
      <c r="K275" s="343" t="s">
        <v>835</v>
      </c>
      <c r="L275" s="511"/>
      <c r="M275" s="444">
        <v>9610.5931818181816</v>
      </c>
      <c r="N275" s="343" t="s">
        <v>835</v>
      </c>
      <c r="O275" s="511"/>
      <c r="P275" s="512" t="str">
        <f t="shared" si="160"/>
        <v>Met</v>
      </c>
      <c r="Q275" s="511"/>
      <c r="R275" s="444">
        <f>VLOOKUP(A275,'2020-21'!$A$6:$F$319,6,0)</f>
        <v>0</v>
      </c>
      <c r="S275" s="513" t="str">
        <f t="shared" si="177"/>
        <v>Met</v>
      </c>
      <c r="U275" s="444">
        <f>VLOOKUP(A275,'2020-21'!$A$6:$G$319,7,0)</f>
        <v>453041.53</v>
      </c>
      <c r="V275" s="513" t="str">
        <f t="shared" si="178"/>
        <v>Met</v>
      </c>
      <c r="X275" s="444">
        <f>VLOOKUP(A275,'2020-21'!$A$6:$F$319,6,0)/VLOOKUP(A275,'42. SEA or LEA Worksheet'!$A$4:$T$324,20,0)</f>
        <v>0</v>
      </c>
      <c r="Y275" s="513" t="str">
        <f t="shared" si="179"/>
        <v>Met</v>
      </c>
      <c r="AA275" s="444">
        <f>VLOOKUP(A275,'42. SEA or LEA Worksheet'!$A$4:$W$324,23,0)/VLOOKUP(compliance!A275,'42. SEA or LEA Worksheet'!$A$4:$T$324,20,0)</f>
        <v>12584.486944444445</v>
      </c>
      <c r="AB275" s="513" t="str">
        <f t="shared" si="180"/>
        <v>Met</v>
      </c>
      <c r="AD275" s="512" t="str">
        <f t="shared" si="161"/>
        <v>Met</v>
      </c>
      <c r="AF275" s="444">
        <f>VLOOKUP(A275,'42. SEA or LEA Worksheet'!$A$4:$Z$324,26,0)</f>
        <v>1500</v>
      </c>
      <c r="AG275" s="513" t="str">
        <f t="shared" si="181"/>
        <v>Met</v>
      </c>
      <c r="AI275" s="444">
        <f>VLOOKUP(A275,'42. SEA or LEA Worksheet'!$A$4:$AB$324,28,0)</f>
        <v>341993.38</v>
      </c>
      <c r="AJ275" s="513" t="str">
        <f t="shared" si="182"/>
        <v>Did not Meet</v>
      </c>
      <c r="AL275" s="444">
        <f>VLOOKUP(compliance!A275,'42. SEA or LEA Worksheet'!$A$4:$AB$324,26,0)/VLOOKUP(compliance!A275,'42. SEA or LEA Worksheet'!$A$4:$Y$324,25,0)</f>
        <v>36.585365853658537</v>
      </c>
      <c r="AM275" s="513" t="str">
        <f t="shared" si="183"/>
        <v>Met</v>
      </c>
      <c r="AO275" s="444">
        <f>VLOOKUP(A275,'42. SEA or LEA Worksheet'!$A$4:$AB$324,28,0)/VLOOKUP(compliance!A275,'42. SEA or LEA Worksheet'!$A$4:$Y$324,25,0)</f>
        <v>8341.3019512195115</v>
      </c>
      <c r="AP275" s="513" t="str">
        <f t="shared" si="184"/>
        <v>Did not Meet</v>
      </c>
      <c r="AR275" s="512" t="str">
        <f t="shared" si="169"/>
        <v>Met</v>
      </c>
      <c r="AT275" s="444">
        <f>VLOOKUP(A275,'42. SEA or LEA Worksheet'!$A$4:$AE$324,31,0)</f>
        <v>1500</v>
      </c>
      <c r="AU275" s="513" t="str">
        <f t="shared" si="170"/>
        <v>Met</v>
      </c>
      <c r="AW275" s="444">
        <f>VLOOKUP(A275,'42. SEA or LEA Worksheet'!$A$4:$AG$324,33,0)</f>
        <v>331504.3</v>
      </c>
      <c r="AX275" s="513" t="str">
        <f t="shared" si="171"/>
        <v>Did not Meet</v>
      </c>
      <c r="AZ275" s="444">
        <f>VLOOKUP(A275,'42. SEA or LEA Worksheet'!$A$4:$AG$324,31,0)/VLOOKUP(A275,'42. SEA or LEA Worksheet'!$A$4:$AD$324,30,0)</f>
        <v>39.473684210526315</v>
      </c>
      <c r="BA275" s="513" t="str">
        <f t="shared" si="172"/>
        <v>Met</v>
      </c>
      <c r="BC275" s="444">
        <f>VLOOKUP(A275,'42. SEA or LEA Worksheet'!$A$4:$AG$324,33,0)/VLOOKUP(A275,'42. SEA or LEA Worksheet'!$A$4:$AD$324,30,0)</f>
        <v>8723.7973684210519</v>
      </c>
      <c r="BD275" s="513" t="str">
        <f t="shared" si="159"/>
        <v>Met</v>
      </c>
      <c r="BF275" s="512" t="str">
        <f>IF(AND(AU275="Did not Meet",AX275="Did not Meet", BA275="Did not Meet",BD275="Did not Meet",),"Did not Meet","Met")</f>
        <v>Met</v>
      </c>
      <c r="BG275" s="637">
        <f>VLOOKUP(A275,'42. SEA or LEA Worksheet'!$A$4:$AM$324,36,0)</f>
        <v>1500</v>
      </c>
      <c r="BH275" s="638" t="str">
        <f t="shared" si="173"/>
        <v>Met</v>
      </c>
      <c r="BI275" s="639"/>
      <c r="BJ275" s="637">
        <f>VLOOKUP(A275,'42. SEA or LEA Worksheet'!$A$4:$AM$324,38,0)</f>
        <v>381286.35</v>
      </c>
      <c r="BK275" s="638" t="str">
        <f t="shared" si="174"/>
        <v>Met</v>
      </c>
      <c r="BM275" s="631">
        <f>VLOOKUP(A275,'42. SEA or LEA Worksheet'!$A$4:$AL$324,36,0)/VLOOKUP(A275,'42. SEA or LEA Worksheet'!$A$4:$AL$324,35,0)</f>
        <v>38.46153846153846</v>
      </c>
      <c r="BN275" s="632" t="str">
        <f t="shared" si="175"/>
        <v>Met</v>
      </c>
      <c r="BP275" s="631">
        <f>VLOOKUP(A275,'42. SEA or LEA Worksheet'!$A$4:$AL$324,38,0)/VLOOKUP(A275,'42. SEA or LEA Worksheet'!$A$4:$AL$324,35,0)</f>
        <v>9776.5730769230759</v>
      </c>
      <c r="BQ275" s="632" t="str">
        <f t="shared" si="176"/>
        <v>Met</v>
      </c>
      <c r="BS275" s="620" t="str">
        <f>IF(AND(BH275="Did not Meet",BK275="Did not Meet", BN275="Did not Meet",BQ275="Did not Meet",),"Did not Meet","Met")</f>
        <v>Met</v>
      </c>
    </row>
    <row r="276" spans="1:71" x14ac:dyDescent="0.25">
      <c r="A276" s="343" t="s">
        <v>736</v>
      </c>
      <c r="B276" s="510" t="s">
        <v>1087</v>
      </c>
      <c r="C276" s="511"/>
      <c r="D276" s="444">
        <v>0</v>
      </c>
      <c r="E276" s="343" t="s">
        <v>856</v>
      </c>
      <c r="F276" s="511"/>
      <c r="G276" s="444">
        <v>2169723.2599999998</v>
      </c>
      <c r="H276" s="343" t="s">
        <v>835</v>
      </c>
      <c r="I276" s="511"/>
      <c r="J276" s="444">
        <v>0</v>
      </c>
      <c r="K276" s="343" t="s">
        <v>856</v>
      </c>
      <c r="L276" s="511"/>
      <c r="M276" s="444">
        <v>10741.204257425741</v>
      </c>
      <c r="N276" s="343" t="s">
        <v>835</v>
      </c>
      <c r="O276" s="511"/>
      <c r="P276" s="512" t="str">
        <f t="shared" si="160"/>
        <v>Met</v>
      </c>
      <c r="Q276" s="511"/>
      <c r="R276" s="444">
        <f>VLOOKUP(A276,'2020-21'!$A$6:$F$319,6,0)</f>
        <v>0</v>
      </c>
      <c r="S276" s="513" t="str">
        <f t="shared" si="177"/>
        <v>Met</v>
      </c>
      <c r="U276" s="444">
        <f>VLOOKUP(A276,'2020-21'!$A$6:$G$319,7,0)</f>
        <v>2108953.7400000002</v>
      </c>
      <c r="V276" s="513" t="str">
        <f t="shared" si="178"/>
        <v>Did not Meet</v>
      </c>
      <c r="X276" s="444">
        <f>VLOOKUP(A276,'2020-21'!$A$6:$F$319,6,0)/VLOOKUP(A276,'42. SEA or LEA Worksheet'!$A$4:$T$324,20,0)</f>
        <v>0</v>
      </c>
      <c r="Y276" s="513" t="str">
        <f t="shared" si="179"/>
        <v>Met</v>
      </c>
      <c r="AA276" s="444">
        <f>VLOOKUP(A276,'42. SEA or LEA Worksheet'!$A$4:$W$324,23,0)/VLOOKUP(compliance!A276,'42. SEA or LEA Worksheet'!$A$4:$T$324,20,0)</f>
        <v>10188.182318840582</v>
      </c>
      <c r="AB276" s="513" t="str">
        <f t="shared" si="180"/>
        <v>Did not Meet</v>
      </c>
      <c r="AD276" s="512" t="str">
        <f t="shared" si="161"/>
        <v>Met</v>
      </c>
      <c r="AF276" s="444">
        <f>VLOOKUP(A276,'42. SEA or LEA Worksheet'!$A$4:$Z$324,26,0)</f>
        <v>0</v>
      </c>
      <c r="AG276" s="513" t="str">
        <f t="shared" si="181"/>
        <v>Met</v>
      </c>
      <c r="AI276" s="444">
        <f>VLOOKUP(A276,'42. SEA or LEA Worksheet'!$A$4:$AB$324,28,0)</f>
        <v>2003113.58</v>
      </c>
      <c r="AJ276" s="513" t="str">
        <f t="shared" si="182"/>
        <v>Did not Meet</v>
      </c>
      <c r="AL276" s="444">
        <f>VLOOKUP(compliance!A276,'42. SEA or LEA Worksheet'!$A$4:$AB$324,26,0)/VLOOKUP(compliance!A276,'42. SEA or LEA Worksheet'!$A$4:$Y$324,25,0)</f>
        <v>0</v>
      </c>
      <c r="AM276" s="513" t="str">
        <f t="shared" si="183"/>
        <v>Met</v>
      </c>
      <c r="AO276" s="444">
        <f>VLOOKUP(A276,'42. SEA or LEA Worksheet'!$A$4:$AB$324,28,0)/VLOOKUP(compliance!A276,'42. SEA or LEA Worksheet'!$A$4:$Y$324,25,0)</f>
        <v>9867.5545812807886</v>
      </c>
      <c r="AP276" s="513" t="str">
        <f t="shared" si="184"/>
        <v>Did not Meet</v>
      </c>
      <c r="AR276" s="512" t="str">
        <f t="shared" si="169"/>
        <v>Met</v>
      </c>
      <c r="AT276" s="444">
        <f>VLOOKUP(A276,'42. SEA or LEA Worksheet'!$A$4:$AE$324,31,0)</f>
        <v>89135.039999999994</v>
      </c>
      <c r="AU276" s="513" t="str">
        <f t="shared" si="170"/>
        <v>Met</v>
      </c>
      <c r="AW276" s="444">
        <f>VLOOKUP(A276,'42. SEA or LEA Worksheet'!$A$4:$AG$324,33,0)</f>
        <v>2698585.39</v>
      </c>
      <c r="AX276" s="513" t="str">
        <f t="shared" si="171"/>
        <v>Met</v>
      </c>
      <c r="AZ276" s="444">
        <f>VLOOKUP(A276,'42. SEA or LEA Worksheet'!$A$4:$AG$324,31,0)/VLOOKUP(A276,'42. SEA or LEA Worksheet'!$A$4:$AD$324,30,0)</f>
        <v>407.00931506849309</v>
      </c>
      <c r="BA276" s="513" t="str">
        <f t="shared" si="172"/>
        <v>Met</v>
      </c>
      <c r="BC276" s="444">
        <f>VLOOKUP(A276,'42. SEA or LEA Worksheet'!$A$4:$AG$324,33,0)/VLOOKUP(A276,'42. SEA or LEA Worksheet'!$A$4:$AD$324,30,0)</f>
        <v>12322.307716894979</v>
      </c>
      <c r="BD276" s="513" t="str">
        <f t="shared" si="159"/>
        <v>Met</v>
      </c>
      <c r="BF276" s="512" t="str">
        <f>IF(AND(AU276="Did not Meet",AX276="Did not Meet", BA276="Did not Meet",BD276="Did not Meet"),"Did not Meet","Met")</f>
        <v>Met</v>
      </c>
      <c r="BG276" s="637">
        <f>VLOOKUP(A276,'42. SEA or LEA Worksheet'!$A$4:$AM$324,36,0)</f>
        <v>89135.039999999994</v>
      </c>
      <c r="BH276" s="638" t="str">
        <f t="shared" si="173"/>
        <v>Met</v>
      </c>
      <c r="BI276" s="639"/>
      <c r="BJ276" s="637">
        <f>VLOOKUP(A276,'42. SEA or LEA Worksheet'!$A$4:$AM$324,38,0)</f>
        <v>3054090.98</v>
      </c>
      <c r="BK276" s="638" t="str">
        <f t="shared" si="174"/>
        <v>Met</v>
      </c>
      <c r="BM276" s="631">
        <f>VLOOKUP(A276,'42. SEA or LEA Worksheet'!$A$4:$AL$324,36,0)/VLOOKUP(A276,'42. SEA or LEA Worksheet'!$A$4:$AL$324,35,0)</f>
        <v>392.6653744493392</v>
      </c>
      <c r="BN276" s="632" t="str">
        <f t="shared" si="175"/>
        <v>Met</v>
      </c>
      <c r="BP276" s="631">
        <f>VLOOKUP(A276,'42. SEA or LEA Worksheet'!$A$4:$AL$324,38,0)/VLOOKUP(A276,'42. SEA or LEA Worksheet'!$A$4:$AL$324,35,0)</f>
        <v>13454.145286343612</v>
      </c>
      <c r="BQ276" s="632" t="str">
        <f t="shared" si="176"/>
        <v>Met</v>
      </c>
      <c r="BS276" s="620" t="str">
        <f>IF(AND(BH276="Did not Meet",BK276="Did not Meet", BN276="Did not Meet",BQ276="Did not Meet"),"Did not Meet","Met")</f>
        <v>Met</v>
      </c>
    </row>
    <row r="277" spans="1:71" x14ac:dyDescent="0.25">
      <c r="A277" s="343" t="s">
        <v>738</v>
      </c>
      <c r="B277" s="510" t="s">
        <v>1088</v>
      </c>
      <c r="C277" s="511"/>
      <c r="D277" s="444">
        <v>0</v>
      </c>
      <c r="E277" s="343" t="s">
        <v>856</v>
      </c>
      <c r="F277" s="511"/>
      <c r="G277" s="444">
        <v>353888.04</v>
      </c>
      <c r="H277" s="343" t="s">
        <v>835</v>
      </c>
      <c r="I277" s="511"/>
      <c r="J277" s="444">
        <v>0</v>
      </c>
      <c r="K277" s="343" t="s">
        <v>856</v>
      </c>
      <c r="L277" s="511"/>
      <c r="M277" s="444">
        <v>11059.001249999999</v>
      </c>
      <c r="N277" s="343" t="s">
        <v>856</v>
      </c>
      <c r="O277" s="511"/>
      <c r="P277" s="512" t="str">
        <f t="shared" si="160"/>
        <v>Met</v>
      </c>
      <c r="Q277" s="511"/>
      <c r="R277" s="444">
        <f>VLOOKUP(A277,'2020-21'!$A$6:$F$319,6,0)</f>
        <v>0</v>
      </c>
      <c r="S277" s="513" t="str">
        <f t="shared" si="177"/>
        <v>Met</v>
      </c>
      <c r="U277" s="444">
        <f>VLOOKUP(A277,'2020-21'!$A$6:$G$319,7,0)</f>
        <v>395555.41</v>
      </c>
      <c r="V277" s="513" t="str">
        <f t="shared" si="178"/>
        <v>Met</v>
      </c>
      <c r="X277" s="444">
        <f>VLOOKUP(A277,'2020-21'!$A$6:$F$319,6,0)/VLOOKUP(A277,'42. SEA or LEA Worksheet'!$A$4:$T$324,20,0)</f>
        <v>0</v>
      </c>
      <c r="Y277" s="513" t="str">
        <f t="shared" si="179"/>
        <v>Met</v>
      </c>
      <c r="AA277" s="444">
        <f>VLOOKUP(A277,'42. SEA or LEA Worksheet'!$A$4:$W$324,23,0)/VLOOKUP(compliance!A277,'42. SEA or LEA Worksheet'!$A$4:$T$324,20,0)</f>
        <v>11986.527575757575</v>
      </c>
      <c r="AB277" s="513" t="str">
        <f t="shared" si="180"/>
        <v>Met</v>
      </c>
      <c r="AD277" s="512" t="str">
        <f t="shared" si="161"/>
        <v>Met</v>
      </c>
      <c r="AF277" s="444">
        <f>VLOOKUP(A277,'42. SEA or LEA Worksheet'!$A$4:$Z$324,26,0)</f>
        <v>0</v>
      </c>
      <c r="AG277" s="513" t="str">
        <f t="shared" si="181"/>
        <v>Met</v>
      </c>
      <c r="AI277" s="444">
        <f>VLOOKUP(A277,'42. SEA or LEA Worksheet'!$A$4:$AB$324,28,0)</f>
        <v>392291.15</v>
      </c>
      <c r="AJ277" s="513" t="str">
        <f t="shared" si="182"/>
        <v>Did not Meet</v>
      </c>
      <c r="AL277" s="444">
        <f>VLOOKUP(compliance!A277,'42. SEA or LEA Worksheet'!$A$4:$AB$324,26,0)/VLOOKUP(compliance!A277,'42. SEA or LEA Worksheet'!$A$4:$Y$324,25,0)</f>
        <v>0</v>
      </c>
      <c r="AM277" s="513" t="str">
        <f t="shared" si="183"/>
        <v>Met</v>
      </c>
      <c r="AO277" s="444">
        <f>VLOOKUP(A277,'42. SEA or LEA Worksheet'!$A$4:$AB$324,28,0)/VLOOKUP(compliance!A277,'42. SEA or LEA Worksheet'!$A$4:$Y$324,25,0)</f>
        <v>11208.318571428572</v>
      </c>
      <c r="AP277" s="513" t="str">
        <f t="shared" si="184"/>
        <v>Did not Meet</v>
      </c>
      <c r="AR277" s="512" t="str">
        <f t="shared" si="169"/>
        <v>Met</v>
      </c>
      <c r="AT277" s="444">
        <f>VLOOKUP(A277,'42. SEA or LEA Worksheet'!$A$4:$AE$324,31,0)</f>
        <v>0</v>
      </c>
      <c r="AU277" s="513" t="str">
        <f t="shared" si="170"/>
        <v>Met</v>
      </c>
      <c r="AW277" s="444">
        <f>VLOOKUP(A277,'42. SEA or LEA Worksheet'!$A$4:$AG$324,33,0)</f>
        <v>470387.20000000001</v>
      </c>
      <c r="AX277" s="513" t="str">
        <f t="shared" si="171"/>
        <v>Met</v>
      </c>
      <c r="AZ277" s="444">
        <f>VLOOKUP(A277,'42. SEA or LEA Worksheet'!$A$4:$AG$324,31,0)/VLOOKUP(A277,'42. SEA or LEA Worksheet'!$A$4:$AD$324,30,0)</f>
        <v>0</v>
      </c>
      <c r="BA277" s="513" t="str">
        <f t="shared" si="172"/>
        <v>Met</v>
      </c>
      <c r="BC277" s="444">
        <f>VLOOKUP(A277,'42. SEA or LEA Worksheet'!$A$4:$AG$324,33,0)/VLOOKUP(A277,'42. SEA or LEA Worksheet'!$A$4:$AD$324,30,0)</f>
        <v>13834.917647058825</v>
      </c>
      <c r="BD277" s="513" t="str">
        <f t="shared" si="159"/>
        <v>Met</v>
      </c>
      <c r="BF277" s="512" t="str">
        <f>IF(AND(AU277="Did not Meet",AX277="Did not Meet", BA277="Did not Meet",BD277="Did not Meet"),"Did not Meet","Met")</f>
        <v>Met</v>
      </c>
      <c r="BG277" s="637">
        <f>VLOOKUP(A277,'42. SEA or LEA Worksheet'!$A$4:$AM$324,36,0)</f>
        <v>0</v>
      </c>
      <c r="BH277" s="638" t="str">
        <f t="shared" si="173"/>
        <v>Met</v>
      </c>
      <c r="BI277" s="639"/>
      <c r="BJ277" s="637">
        <f>VLOOKUP(A277,'42. SEA or LEA Worksheet'!$A$4:$AM$324,38,0)</f>
        <v>538298.68000000005</v>
      </c>
      <c r="BK277" s="638" t="str">
        <f t="shared" si="174"/>
        <v>Met</v>
      </c>
      <c r="BM277" s="631">
        <f>VLOOKUP(A277,'42. SEA or LEA Worksheet'!$A$4:$AL$324,36,0)/VLOOKUP(A277,'42. SEA or LEA Worksheet'!$A$4:$AL$324,35,0)</f>
        <v>0</v>
      </c>
      <c r="BN277" s="632" t="str">
        <f t="shared" si="175"/>
        <v>Met</v>
      </c>
      <c r="BP277" s="631">
        <f>VLOOKUP(A277,'42. SEA or LEA Worksheet'!$A$4:$AL$324,38,0)/VLOOKUP(A277,'42. SEA or LEA Worksheet'!$A$4:$AL$324,35,0)</f>
        <v>13129.236097560977</v>
      </c>
      <c r="BQ277" s="632" t="str">
        <f t="shared" si="176"/>
        <v>Met</v>
      </c>
      <c r="BS277" s="620" t="str">
        <f>IF(AND(BH277="Did not Meet",BK277="Did not Meet", BN277="Did not Meet",BQ277="Did not Meet"),"Did not Meet","Met")</f>
        <v>Met</v>
      </c>
    </row>
    <row r="278" spans="1:71" x14ac:dyDescent="0.25">
      <c r="A278" s="343" t="s">
        <v>740</v>
      </c>
      <c r="B278" s="510" t="s">
        <v>1089</v>
      </c>
      <c r="C278" s="511"/>
      <c r="D278" s="444">
        <v>418502.97</v>
      </c>
      <c r="E278" s="343" t="s">
        <v>856</v>
      </c>
      <c r="F278" s="511"/>
      <c r="G278" s="444">
        <v>1816746.69</v>
      </c>
      <c r="H278" s="343" t="s">
        <v>835</v>
      </c>
      <c r="I278" s="511"/>
      <c r="J278" s="444">
        <v>2989.3069285714282</v>
      </c>
      <c r="K278" s="343" t="s">
        <v>856</v>
      </c>
      <c r="L278" s="511"/>
      <c r="M278" s="444">
        <v>12976.762071428571</v>
      </c>
      <c r="N278" s="343" t="s">
        <v>835</v>
      </c>
      <c r="O278" s="511"/>
      <c r="P278" s="512" t="str">
        <f t="shared" si="160"/>
        <v>Met</v>
      </c>
      <c r="Q278" s="511"/>
      <c r="R278" s="444">
        <f>VLOOKUP(A278,'2020-21'!$A$6:$F$319,6,0)</f>
        <v>53536.37</v>
      </c>
      <c r="S278" s="513" t="str">
        <f t="shared" si="177"/>
        <v>Did not Meet</v>
      </c>
      <c r="U278" s="444">
        <f>VLOOKUP(A278,'2020-21'!$A$6:$G$319,7,0)</f>
        <v>1768991.54</v>
      </c>
      <c r="V278" s="513" t="str">
        <f t="shared" si="178"/>
        <v>Did not Meet</v>
      </c>
      <c r="X278" s="444">
        <f>VLOOKUP(A278,'2020-21'!$A$6:$F$319,6,0)/VLOOKUP(A278,'42. SEA or LEA Worksheet'!$A$4:$T$324,20,0)</f>
        <v>374.38020979020979</v>
      </c>
      <c r="Y278" s="513" t="str">
        <f t="shared" si="179"/>
        <v>Did not Meet</v>
      </c>
      <c r="AA278" s="444">
        <f>VLOOKUP(A278,'42. SEA or LEA Worksheet'!$A$4:$W$324,23,0)/VLOOKUP(compliance!A278,'42. SEA or LEA Worksheet'!$A$4:$T$324,20,0)</f>
        <v>12370.57020979021</v>
      </c>
      <c r="AB278" s="513" t="str">
        <f t="shared" si="180"/>
        <v>Did not Meet</v>
      </c>
      <c r="AD278" s="512" t="str">
        <f t="shared" si="161"/>
        <v>Did not Meet</v>
      </c>
      <c r="AF278" s="444">
        <f>VLOOKUP(A278,'42. SEA or LEA Worksheet'!$A$4:$Z$324,26,0)</f>
        <v>0</v>
      </c>
      <c r="AG278" s="513" t="str">
        <f t="shared" si="181"/>
        <v>Did not Meet</v>
      </c>
      <c r="AI278" s="444">
        <f>VLOOKUP(A278,'42. SEA or LEA Worksheet'!$A$4:$AB$324,28,0)</f>
        <v>1846653.56</v>
      </c>
      <c r="AJ278" s="513" t="str">
        <f t="shared" si="182"/>
        <v>Met</v>
      </c>
      <c r="AL278" s="444">
        <f>VLOOKUP(compliance!A278,'42. SEA or LEA Worksheet'!$A$4:$AB$324,26,0)/VLOOKUP(compliance!A278,'42. SEA or LEA Worksheet'!$A$4:$Y$324,25,0)</f>
        <v>0</v>
      </c>
      <c r="AM278" s="513" t="str">
        <f t="shared" si="183"/>
        <v>Did not Meet</v>
      </c>
      <c r="AO278" s="444">
        <f>VLOOKUP(A278,'42. SEA or LEA Worksheet'!$A$4:$AB$324,28,0)/VLOOKUP(compliance!A278,'42. SEA or LEA Worksheet'!$A$4:$Y$324,25,0)</f>
        <v>13884.613233082708</v>
      </c>
      <c r="AP278" s="513" t="str">
        <f t="shared" si="184"/>
        <v>Met</v>
      </c>
      <c r="AR278" s="512" t="str">
        <f t="shared" si="169"/>
        <v>Met</v>
      </c>
      <c r="AT278" s="444">
        <f>VLOOKUP(A278,'42. SEA or LEA Worksheet'!$A$4:$AE$324,31,0)</f>
        <v>0</v>
      </c>
      <c r="AU278" s="513" t="str">
        <f t="shared" si="170"/>
        <v>Met</v>
      </c>
      <c r="AW278" s="444">
        <f>VLOOKUP(A278,'42. SEA or LEA Worksheet'!$A$4:$AG$324,33,0)</f>
        <v>2261779.25</v>
      </c>
      <c r="AX278" s="513" t="str">
        <f t="shared" si="171"/>
        <v>Met</v>
      </c>
      <c r="AZ278" s="444">
        <f>VLOOKUP(A278,'42. SEA or LEA Worksheet'!$A$4:$AG$324,31,0)/VLOOKUP(A278,'42. SEA or LEA Worksheet'!$A$4:$AD$324,30,0)</f>
        <v>0</v>
      </c>
      <c r="BA278" s="513" t="str">
        <f t="shared" si="172"/>
        <v>Met</v>
      </c>
      <c r="BC278" s="444">
        <f>VLOOKUP(A278,'42. SEA or LEA Worksheet'!$A$4:$AG$324,33,0)/VLOOKUP(A278,'42. SEA or LEA Worksheet'!$A$4:$AD$324,30,0)</f>
        <v>16155.566071428571</v>
      </c>
      <c r="BD278" s="513" t="str">
        <f t="shared" ref="BD278:BD295" si="185">IF(BC278&gt;=AO278,"Met","Did not Meet")</f>
        <v>Met</v>
      </c>
      <c r="BF278" s="512" t="str">
        <f>IF(AND(AU278="Did not Meet",AX278="Did not Meet", BA278="Did not Meet",BD278="Did not Meet"),"Did not Meet","Met")</f>
        <v>Met</v>
      </c>
      <c r="BG278" s="637">
        <f>VLOOKUP(A278,'42. SEA or LEA Worksheet'!$A$4:$AM$324,36,0)</f>
        <v>112081.81</v>
      </c>
      <c r="BH278" s="638" t="str">
        <f t="shared" si="173"/>
        <v>Met</v>
      </c>
      <c r="BI278" s="639"/>
      <c r="BJ278" s="637">
        <f>VLOOKUP(A278,'42. SEA or LEA Worksheet'!$A$4:$AM$324,38,0)</f>
        <v>2491593.06</v>
      </c>
      <c r="BK278" s="638" t="str">
        <f t="shared" si="174"/>
        <v>Met</v>
      </c>
      <c r="BM278" s="631">
        <f>VLOOKUP(A278,'42. SEA or LEA Worksheet'!$A$4:$AL$324,36,0)/VLOOKUP(A278,'42. SEA or LEA Worksheet'!$A$4:$AL$324,35,0)</f>
        <v>732.5608496732026</v>
      </c>
      <c r="BN278" s="632" t="str">
        <f t="shared" si="175"/>
        <v>Met</v>
      </c>
      <c r="BP278" s="631">
        <f>VLOOKUP(A278,'42. SEA or LEA Worksheet'!$A$4:$AL$324,38,0)/VLOOKUP(A278,'42. SEA or LEA Worksheet'!$A$4:$AL$324,35,0)</f>
        <v>16284.921960784313</v>
      </c>
      <c r="BQ278" s="632" t="str">
        <f t="shared" si="176"/>
        <v>Met</v>
      </c>
      <c r="BS278" s="620" t="str">
        <f>IF(AND(BH278="Did not Meet",BK278="Did not Meet", BN278="Did not Meet",BQ278="Did not Meet"),"Did not Meet","Met")</f>
        <v>Met</v>
      </c>
    </row>
    <row r="279" spans="1:71" x14ac:dyDescent="0.25">
      <c r="A279" s="343" t="s">
        <v>742</v>
      </c>
      <c r="B279" s="510" t="s">
        <v>1090</v>
      </c>
      <c r="C279" s="511"/>
      <c r="D279" s="444">
        <v>0</v>
      </c>
      <c r="E279" s="343" t="s">
        <v>856</v>
      </c>
      <c r="F279" s="511"/>
      <c r="G279" s="444">
        <v>1048405.49</v>
      </c>
      <c r="H279" s="343" t="s">
        <v>880</v>
      </c>
      <c r="I279" s="511"/>
      <c r="J279" s="444">
        <v>0</v>
      </c>
      <c r="K279" s="343" t="s">
        <v>856</v>
      </c>
      <c r="L279" s="511"/>
      <c r="M279" s="444">
        <v>8664.5081818181825</v>
      </c>
      <c r="N279" s="343" t="s">
        <v>835</v>
      </c>
      <c r="O279" s="511"/>
      <c r="P279" s="512" t="str">
        <f t="shared" si="160"/>
        <v>Met</v>
      </c>
      <c r="Q279" s="511"/>
      <c r="R279" s="444">
        <f>VLOOKUP(A279,'2020-21'!$A$6:$F$319,6,0)</f>
        <v>0</v>
      </c>
      <c r="S279" s="513" t="str">
        <f t="shared" si="177"/>
        <v>Met</v>
      </c>
      <c r="U279" s="444">
        <f>VLOOKUP(A279,'2020-21'!$A$6:$G$319,7,0)</f>
        <v>1351785.53</v>
      </c>
      <c r="V279" s="513" t="str">
        <f t="shared" si="178"/>
        <v>Met</v>
      </c>
      <c r="X279" s="444">
        <f>VLOOKUP(A279,'2020-21'!$A$6:$F$319,6,0)/VLOOKUP(A279,'42. SEA or LEA Worksheet'!$A$4:$T$324,20,0)</f>
        <v>0</v>
      </c>
      <c r="Y279" s="513" t="str">
        <f t="shared" si="179"/>
        <v>Met</v>
      </c>
      <c r="AA279" s="444">
        <f>VLOOKUP(A279,'42. SEA or LEA Worksheet'!$A$4:$W$324,23,0)/VLOOKUP(compliance!A279,'42. SEA or LEA Worksheet'!$A$4:$T$324,20,0)</f>
        <v>10318.973511450382</v>
      </c>
      <c r="AB279" s="513" t="str">
        <f t="shared" si="180"/>
        <v>Met</v>
      </c>
      <c r="AD279" s="512" t="str">
        <f t="shared" si="161"/>
        <v>Met</v>
      </c>
      <c r="AF279" s="444">
        <f>VLOOKUP(A279,'42. SEA or LEA Worksheet'!$A$4:$Z$324,26,0)</f>
        <v>0</v>
      </c>
      <c r="AG279" s="513" t="str">
        <f t="shared" si="181"/>
        <v>Met</v>
      </c>
      <c r="AI279" s="444">
        <f>VLOOKUP(A279,'42. SEA or LEA Worksheet'!$A$4:$AB$324,28,0)</f>
        <v>1149184.33</v>
      </c>
      <c r="AJ279" s="513" t="str">
        <f t="shared" si="182"/>
        <v>Did not Meet</v>
      </c>
      <c r="AL279" s="444">
        <f>VLOOKUP(compliance!A279,'42. SEA or LEA Worksheet'!$A$4:$AB$324,26,0)/VLOOKUP(compliance!A279,'42. SEA or LEA Worksheet'!$A$4:$Y$324,25,0)</f>
        <v>0</v>
      </c>
      <c r="AM279" s="513" t="str">
        <f t="shared" si="183"/>
        <v>Met</v>
      </c>
      <c r="AO279" s="444">
        <f>VLOOKUP(A279,'42. SEA or LEA Worksheet'!$A$4:$AB$324,28,0)/VLOOKUP(compliance!A279,'42. SEA or LEA Worksheet'!$A$4:$Y$324,25,0)</f>
        <v>8705.9418939393945</v>
      </c>
      <c r="AP279" s="513" t="str">
        <f t="shared" si="184"/>
        <v>Did not Meet</v>
      </c>
      <c r="AR279" s="512" t="str">
        <f t="shared" si="169"/>
        <v>Met</v>
      </c>
      <c r="AT279" s="444">
        <f>VLOOKUP(A279,'42. SEA or LEA Worksheet'!$A$4:$AE$324,31,0)</f>
        <v>0</v>
      </c>
      <c r="AU279" s="513" t="str">
        <f t="shared" si="170"/>
        <v>Met</v>
      </c>
      <c r="AW279" s="444">
        <f>VLOOKUP(A279,'42. SEA or LEA Worksheet'!$A$4:$AG$324,33,0)</f>
        <v>1330248.8400000001</v>
      </c>
      <c r="AX279" s="513" t="str">
        <f t="shared" si="171"/>
        <v>Met</v>
      </c>
      <c r="AZ279" s="444">
        <f>VLOOKUP(A279,'42. SEA or LEA Worksheet'!$A$4:$AG$324,31,0)/VLOOKUP(A279,'42. SEA or LEA Worksheet'!$A$4:$AD$324,30,0)</f>
        <v>0</v>
      </c>
      <c r="BA279" s="513" t="str">
        <f t="shared" si="172"/>
        <v>Met</v>
      </c>
      <c r="BC279" s="444">
        <f>VLOOKUP(A279,'42. SEA or LEA Worksheet'!$A$4:$AG$324,33,0)/VLOOKUP(A279,'42. SEA or LEA Worksheet'!$A$4:$AD$324,30,0)</f>
        <v>10557.530476190477</v>
      </c>
      <c r="BD279" s="513" t="str">
        <f t="shared" si="185"/>
        <v>Met</v>
      </c>
      <c r="BF279" s="512" t="str">
        <f>IF(AND(AU279="Did not Meet",AX279="Did not Meet", BA279="Did not Meet",BD279="Did not Meet"),"Did not Meet","Met")</f>
        <v>Met</v>
      </c>
      <c r="BG279" s="637">
        <f>VLOOKUP(A279,'42. SEA or LEA Worksheet'!$A$4:$AM$324,36,0)</f>
        <v>0</v>
      </c>
      <c r="BH279" s="638" t="str">
        <f t="shared" si="173"/>
        <v>Met</v>
      </c>
      <c r="BI279" s="639"/>
      <c r="BJ279" s="637">
        <f>VLOOKUP(A279,'42. SEA or LEA Worksheet'!$A$4:$AM$324,38,0)</f>
        <v>1499981.1</v>
      </c>
      <c r="BK279" s="638" t="str">
        <f t="shared" si="174"/>
        <v>Met</v>
      </c>
      <c r="BM279" s="631">
        <f>VLOOKUP(A279,'42. SEA or LEA Worksheet'!$A$4:$AL$324,36,0)/VLOOKUP(A279,'42. SEA or LEA Worksheet'!$A$4:$AL$324,35,0)</f>
        <v>0</v>
      </c>
      <c r="BN279" s="632" t="str">
        <f t="shared" si="175"/>
        <v>Met</v>
      </c>
      <c r="BP279" s="631">
        <f>VLOOKUP(A279,'42. SEA or LEA Worksheet'!$A$4:$AL$324,38,0)/VLOOKUP(A279,'42. SEA or LEA Worksheet'!$A$4:$AL$324,35,0)</f>
        <v>11110.971111111112</v>
      </c>
      <c r="BQ279" s="632" t="str">
        <f t="shared" si="176"/>
        <v>Met</v>
      </c>
      <c r="BS279" s="620" t="str">
        <f>IF(AND(BH279="Did not Meet",BK279="Did not Meet", BN279="Did not Meet",BQ279="Did not Meet"),"Did not Meet","Met")</f>
        <v>Met</v>
      </c>
    </row>
    <row r="280" spans="1:71" x14ac:dyDescent="0.25">
      <c r="A280" s="343" t="s">
        <v>744</v>
      </c>
      <c r="B280" s="510" t="s">
        <v>1091</v>
      </c>
      <c r="C280" s="511"/>
      <c r="D280" s="444">
        <v>0</v>
      </c>
      <c r="E280" s="343" t="s">
        <v>835</v>
      </c>
      <c r="F280" s="511"/>
      <c r="G280" s="444">
        <v>5064931.99</v>
      </c>
      <c r="H280" s="343" t="s">
        <v>835</v>
      </c>
      <c r="I280" s="511"/>
      <c r="J280" s="444">
        <v>0</v>
      </c>
      <c r="K280" s="343" t="s">
        <v>835</v>
      </c>
      <c r="L280" s="511"/>
      <c r="M280" s="444">
        <v>8747.7236442141621</v>
      </c>
      <c r="N280" s="343" t="s">
        <v>835</v>
      </c>
      <c r="O280" s="511"/>
      <c r="P280" s="512" t="str">
        <f t="shared" si="160"/>
        <v>Met</v>
      </c>
      <c r="Q280" s="511"/>
      <c r="R280" s="444">
        <f>VLOOKUP(A280,'2020-21'!$A$6:$F$319,6,0)</f>
        <v>0</v>
      </c>
      <c r="S280" s="513" t="str">
        <f t="shared" si="177"/>
        <v>Met</v>
      </c>
      <c r="U280" s="444">
        <f>VLOOKUP(A280,'2020-21'!$A$6:$G$319,7,0)</f>
        <v>4868571.6900000004</v>
      </c>
      <c r="V280" s="513" t="str">
        <f t="shared" si="178"/>
        <v>Did not Meet</v>
      </c>
      <c r="X280" s="444">
        <f>VLOOKUP(A280,'2020-21'!$A$6:$F$319,6,0)/VLOOKUP(A280,'42. SEA or LEA Worksheet'!$A$4:$T$324,20,0)</f>
        <v>0</v>
      </c>
      <c r="Y280" s="513" t="str">
        <f t="shared" si="179"/>
        <v>Met</v>
      </c>
      <c r="AA280" s="444">
        <f>VLOOKUP(A280,'42. SEA or LEA Worksheet'!$A$4:$W$324,23,0)/VLOOKUP(compliance!A280,'42. SEA or LEA Worksheet'!$A$4:$T$324,20,0)</f>
        <v>8279.8838265306131</v>
      </c>
      <c r="AB280" s="513" t="str">
        <f t="shared" si="180"/>
        <v>Did not Meet</v>
      </c>
      <c r="AD280" s="512" t="str">
        <f t="shared" si="161"/>
        <v>Met</v>
      </c>
      <c r="AF280" s="444">
        <f>VLOOKUP(A280,'42. SEA or LEA Worksheet'!$A$4:$Z$324,26,0)</f>
        <v>0</v>
      </c>
      <c r="AG280" s="513" t="str">
        <f t="shared" si="181"/>
        <v>Met</v>
      </c>
      <c r="AI280" s="444">
        <f>VLOOKUP(A280,'42. SEA or LEA Worksheet'!$A$4:$AB$324,28,0)</f>
        <v>4440304.57</v>
      </c>
      <c r="AJ280" s="513" t="str">
        <f t="shared" si="182"/>
        <v>Did not Meet</v>
      </c>
      <c r="AL280" s="444">
        <f>VLOOKUP(compliance!A280,'42. SEA or LEA Worksheet'!$A$4:$AB$324,26,0)/VLOOKUP(compliance!A280,'42. SEA or LEA Worksheet'!$A$4:$Y$324,25,0)</f>
        <v>0</v>
      </c>
      <c r="AM280" s="513" t="str">
        <f t="shared" si="183"/>
        <v>Met</v>
      </c>
      <c r="AO280" s="444">
        <f>VLOOKUP(A280,'42. SEA or LEA Worksheet'!$A$4:$AB$324,28,0)/VLOOKUP(compliance!A280,'42. SEA or LEA Worksheet'!$A$4:$Y$324,25,0)</f>
        <v>7986.1592985611514</v>
      </c>
      <c r="AP280" s="513" t="str">
        <f t="shared" si="184"/>
        <v>Did not Meet</v>
      </c>
      <c r="AR280" s="512" t="str">
        <f t="shared" si="169"/>
        <v>Met</v>
      </c>
      <c r="AT280" s="444">
        <f>VLOOKUP(A280,'42. SEA or LEA Worksheet'!$A$4:$AE$324,31,0)</f>
        <v>0</v>
      </c>
      <c r="AU280" s="513" t="str">
        <f t="shared" si="170"/>
        <v>Met</v>
      </c>
      <c r="AW280" s="444">
        <f>VLOOKUP(A280,'42. SEA or LEA Worksheet'!$A$4:$AG$324,33,0)</f>
        <v>5204552.09</v>
      </c>
      <c r="AX280" s="513" t="str">
        <f t="shared" si="171"/>
        <v>Met</v>
      </c>
      <c r="AZ280" s="444">
        <f>VLOOKUP(A280,'42. SEA or LEA Worksheet'!$A$4:$AG$324,31,0)/VLOOKUP(A280,'42. SEA or LEA Worksheet'!$A$4:$AD$324,30,0)</f>
        <v>0</v>
      </c>
      <c r="BA280" s="513" t="str">
        <f t="shared" si="172"/>
        <v>Met</v>
      </c>
      <c r="BC280" s="444">
        <f>VLOOKUP(A280,'42. SEA or LEA Worksheet'!$A$4:$AG$324,33,0)/VLOOKUP(A280,'42. SEA or LEA Worksheet'!$A$4:$AD$324,30,0)</f>
        <v>9567.1913419117645</v>
      </c>
      <c r="BD280" s="513" t="str">
        <f t="shared" si="185"/>
        <v>Met</v>
      </c>
      <c r="BF280" s="512" t="str">
        <f>IF(AND(AU280="Did not Meet",AX280="Did not Meet", BA280="Did not Meet",BD280="Did not Meet",),"Did not Meet","Met")</f>
        <v>Met</v>
      </c>
      <c r="BG280" s="637">
        <f>VLOOKUP(A280,'42. SEA or LEA Worksheet'!$A$4:$AM$324,36,0)</f>
        <v>0</v>
      </c>
      <c r="BH280" s="638" t="str">
        <f t="shared" si="173"/>
        <v>Met</v>
      </c>
      <c r="BI280" s="639"/>
      <c r="BJ280" s="637">
        <f>VLOOKUP(A280,'42. SEA or LEA Worksheet'!$A$4:$AM$324,38,0)</f>
        <v>5864108.3499999996</v>
      </c>
      <c r="BK280" s="638" t="str">
        <f t="shared" si="174"/>
        <v>Met</v>
      </c>
      <c r="BM280" s="631">
        <f>VLOOKUP(A280,'42. SEA or LEA Worksheet'!$A$4:$AL$324,36,0)/VLOOKUP(A280,'42. SEA or LEA Worksheet'!$A$4:$AL$324,35,0)</f>
        <v>0</v>
      </c>
      <c r="BN280" s="632" t="str">
        <f t="shared" si="175"/>
        <v>Met</v>
      </c>
      <c r="BP280" s="631">
        <f>VLOOKUP(A280,'42. SEA or LEA Worksheet'!$A$4:$AL$324,38,0)/VLOOKUP(A280,'42. SEA or LEA Worksheet'!$A$4:$AL$324,35,0)</f>
        <v>11106.265814393939</v>
      </c>
      <c r="BQ280" s="632" t="str">
        <f t="shared" si="176"/>
        <v>Met</v>
      </c>
      <c r="BS280" s="620" t="str">
        <f>IF(AND(BH280="Did not Meet",BK280="Did not Meet", BN280="Did not Meet",BQ280="Did not Meet",),"Did not Meet","Met")</f>
        <v>Met</v>
      </c>
    </row>
    <row r="281" spans="1:71" x14ac:dyDescent="0.25">
      <c r="A281" s="343" t="s">
        <v>746</v>
      </c>
      <c r="B281" s="510" t="s">
        <v>1092</v>
      </c>
      <c r="C281" s="511"/>
      <c r="D281" s="444">
        <v>0</v>
      </c>
      <c r="E281" s="343" t="s">
        <v>856</v>
      </c>
      <c r="F281" s="511"/>
      <c r="G281" s="444">
        <v>244035.1</v>
      </c>
      <c r="H281" s="343" t="s">
        <v>835</v>
      </c>
      <c r="I281" s="511"/>
      <c r="J281" s="444">
        <v>0</v>
      </c>
      <c r="K281" s="343" t="s">
        <v>856</v>
      </c>
      <c r="L281" s="511"/>
      <c r="M281" s="444">
        <v>6972.431428571429</v>
      </c>
      <c r="N281" s="343" t="s">
        <v>856</v>
      </c>
      <c r="O281" s="511"/>
      <c r="P281" s="512" t="str">
        <f t="shared" ref="P281:P309" si="186">IF(AND(E281="Did not Meet",H281="Did not Meet",K281="Did not Meet", N281="Did not Meet"),"Did not Meet","Met")</f>
        <v>Met</v>
      </c>
      <c r="Q281" s="511"/>
      <c r="R281" s="444">
        <f>VLOOKUP(A281,'2020-21'!$A$6:$F$319,6,0)</f>
        <v>0</v>
      </c>
      <c r="S281" s="513" t="str">
        <f t="shared" si="177"/>
        <v>Met</v>
      </c>
      <c r="U281" s="444">
        <f>VLOOKUP(A281,'2020-21'!$A$6:$G$319,7,0)</f>
        <v>248271.13</v>
      </c>
      <c r="V281" s="513" t="str">
        <f t="shared" si="178"/>
        <v>Met</v>
      </c>
      <c r="X281" s="444">
        <f>VLOOKUP(A281,'2020-21'!$A$6:$F$319,6,0)/VLOOKUP(A281,'42. SEA or LEA Worksheet'!$A$4:$T$324,20,0)</f>
        <v>0</v>
      </c>
      <c r="Y281" s="513" t="str">
        <f t="shared" si="179"/>
        <v>Met</v>
      </c>
      <c r="AA281" s="444">
        <f>VLOOKUP(A281,'42. SEA or LEA Worksheet'!$A$4:$W$324,23,0)/VLOOKUP(compliance!A281,'42. SEA or LEA Worksheet'!$A$4:$T$324,20,0)</f>
        <v>8561.0734482758617</v>
      </c>
      <c r="AB281" s="513" t="str">
        <f t="shared" si="180"/>
        <v>Met</v>
      </c>
      <c r="AD281" s="512" t="str">
        <f t="shared" ref="AD281:AD309" si="187">IF(AND(S281="Did not Meet",V281="Did not Meet", Y281="Did not Meet",AB281="Did not Meet"),"Did not Meet","Met")</f>
        <v>Met</v>
      </c>
      <c r="AF281" s="444">
        <f>VLOOKUP(A281,'42. SEA or LEA Worksheet'!$A$4:$Z$324,26,0)</f>
        <v>29614.58</v>
      </c>
      <c r="AG281" s="513" t="str">
        <f t="shared" si="181"/>
        <v>Met</v>
      </c>
      <c r="AI281" s="444">
        <f>VLOOKUP(A281,'42. SEA or LEA Worksheet'!$A$4:$AB$324,28,0)</f>
        <v>257992.12</v>
      </c>
      <c r="AJ281" s="513" t="str">
        <f t="shared" si="182"/>
        <v>Met</v>
      </c>
      <c r="AL281" s="444">
        <f>VLOOKUP(compliance!A281,'42. SEA or LEA Worksheet'!$A$4:$AB$324,26,0)/VLOOKUP(compliance!A281,'42. SEA or LEA Worksheet'!$A$4:$Y$324,25,0)</f>
        <v>1287.5904347826088</v>
      </c>
      <c r="AM281" s="513" t="str">
        <f t="shared" si="183"/>
        <v>Met</v>
      </c>
      <c r="AO281" s="444">
        <f>VLOOKUP(A281,'42. SEA or LEA Worksheet'!$A$4:$AB$324,28,0)/VLOOKUP(compliance!A281,'42. SEA or LEA Worksheet'!$A$4:$Y$324,25,0)</f>
        <v>11217.048695652175</v>
      </c>
      <c r="AP281" s="513" t="str">
        <f t="shared" si="184"/>
        <v>Met</v>
      </c>
      <c r="AR281" s="512" t="str">
        <f t="shared" si="169"/>
        <v>Met</v>
      </c>
      <c r="AT281" s="444">
        <f>VLOOKUP(A281,'42. SEA or LEA Worksheet'!$A$4:$AE$324,31,0)</f>
        <v>0</v>
      </c>
      <c r="AU281" s="513" t="str">
        <f t="shared" si="170"/>
        <v>Did not Meet</v>
      </c>
      <c r="AW281" s="444">
        <f>VLOOKUP(A281,'42. SEA or LEA Worksheet'!$A$4:$AG$324,33,0)</f>
        <v>235280.49</v>
      </c>
      <c r="AX281" s="513" t="str">
        <f t="shared" si="171"/>
        <v>Did not Meet</v>
      </c>
      <c r="AZ281" s="444">
        <f>VLOOKUP(A281,'42. SEA or LEA Worksheet'!$A$4:$AG$324,31,0)/VLOOKUP(A281,'42. SEA or LEA Worksheet'!$A$4:$AD$324,30,0)</f>
        <v>0</v>
      </c>
      <c r="BA281" s="513" t="str">
        <f t="shared" si="172"/>
        <v>Did not Meet</v>
      </c>
      <c r="BC281" s="444">
        <f>VLOOKUP(A281,'42. SEA or LEA Worksheet'!$A$4:$AG$324,33,0)/VLOOKUP(A281,'42. SEA or LEA Worksheet'!$A$4:$AD$324,30,0)</f>
        <v>12383.183684210526</v>
      </c>
      <c r="BD281" s="513" t="str">
        <f t="shared" si="185"/>
        <v>Met</v>
      </c>
      <c r="BF281" s="512" t="str">
        <f>IF(AND(AU281="Did not Meet",AX281="Did not Meet", BA281="Did not Meet",BD281="Did not Meet"),"Did not Meet","Met")</f>
        <v>Met</v>
      </c>
      <c r="BG281" s="637">
        <f>VLOOKUP(A281,'42. SEA or LEA Worksheet'!$A$4:$AM$324,36,0)</f>
        <v>0</v>
      </c>
      <c r="BH281" s="638" t="str">
        <f t="shared" si="173"/>
        <v>Met</v>
      </c>
      <c r="BI281" s="639"/>
      <c r="BJ281" s="637">
        <f>VLOOKUP(A281,'42. SEA or LEA Worksheet'!$A$4:$AM$324,38,0)</f>
        <v>164903.19</v>
      </c>
      <c r="BK281" s="638" t="str">
        <f t="shared" si="174"/>
        <v>Did not Meet</v>
      </c>
      <c r="BM281" s="631">
        <f>VLOOKUP(A281,'42. SEA or LEA Worksheet'!$A$4:$AL$324,36,0)/VLOOKUP(A281,'42. SEA or LEA Worksheet'!$A$4:$AL$324,35,0)</f>
        <v>0</v>
      </c>
      <c r="BN281" s="632" t="str">
        <f t="shared" si="175"/>
        <v>Met</v>
      </c>
      <c r="BP281" s="631">
        <f>VLOOKUP(A281,'42. SEA or LEA Worksheet'!$A$4:$AL$324,38,0)/VLOOKUP(A281,'42. SEA or LEA Worksheet'!$A$4:$AL$324,35,0)</f>
        <v>10993.546</v>
      </c>
      <c r="BQ281" s="632" t="str">
        <f t="shared" si="176"/>
        <v>Met</v>
      </c>
      <c r="BS281" s="620" t="str">
        <f>IF(AND(BH281="Did not Meet",BK281="Did not Meet", BN281="Did not Meet",BQ281="Did not Meet"),"Did not Meet","Met")</f>
        <v>Met</v>
      </c>
    </row>
    <row r="282" spans="1:71" x14ac:dyDescent="0.25">
      <c r="A282" s="343" t="s">
        <v>748</v>
      </c>
      <c r="B282" s="510" t="s">
        <v>1093</v>
      </c>
      <c r="C282" s="511"/>
      <c r="D282" s="444">
        <v>0</v>
      </c>
      <c r="E282" s="343" t="s">
        <v>835</v>
      </c>
      <c r="F282" s="511"/>
      <c r="G282" s="444">
        <v>952432.85</v>
      </c>
      <c r="H282" s="343" t="s">
        <v>835</v>
      </c>
      <c r="I282" s="511"/>
      <c r="J282" s="444">
        <v>0</v>
      </c>
      <c r="K282" s="343" t="s">
        <v>835</v>
      </c>
      <c r="L282" s="511"/>
      <c r="M282" s="444">
        <v>9430.0282178217822</v>
      </c>
      <c r="N282" s="343" t="s">
        <v>856</v>
      </c>
      <c r="O282" s="511"/>
      <c r="P282" s="512" t="str">
        <f t="shared" si="186"/>
        <v>Met</v>
      </c>
      <c r="Q282" s="511"/>
      <c r="R282" s="444">
        <f>VLOOKUP(A282,'2020-21'!$A$6:$F$319,6,0)</f>
        <v>0</v>
      </c>
      <c r="S282" s="513" t="str">
        <f t="shared" si="177"/>
        <v>Met</v>
      </c>
      <c r="U282" s="444">
        <f>VLOOKUP(A282,'2020-21'!$A$6:$G$319,7,0)</f>
        <v>1086222.47</v>
      </c>
      <c r="V282" s="513" t="str">
        <f t="shared" si="178"/>
        <v>Met</v>
      </c>
      <c r="X282" s="444">
        <v>0</v>
      </c>
      <c r="Y282" s="513" t="str">
        <f t="shared" si="179"/>
        <v>Met</v>
      </c>
      <c r="AA282" s="444">
        <f>VLOOKUP(A282,'42. SEA or LEA Worksheet'!$A$4:$W$324,23,0)/VLOOKUP(compliance!A282,'42. SEA or LEA Worksheet'!$A$4:$T$324,20,0)</f>
        <v>9698.4149107142857</v>
      </c>
      <c r="AB282" s="513" t="str">
        <f t="shared" si="180"/>
        <v>Met</v>
      </c>
      <c r="AD282" s="512" t="str">
        <f t="shared" si="187"/>
        <v>Met</v>
      </c>
      <c r="AF282" s="444">
        <f>VLOOKUP(A282,'42. SEA or LEA Worksheet'!$A$4:$Z$324,26,0)</f>
        <v>0</v>
      </c>
      <c r="AG282" s="513" t="str">
        <f t="shared" si="181"/>
        <v>Met</v>
      </c>
      <c r="AI282" s="444">
        <f>VLOOKUP(A282,'42. SEA or LEA Worksheet'!$A$4:$AB$324,28,0)</f>
        <v>1011805.92</v>
      </c>
      <c r="AJ282" s="513" t="str">
        <f t="shared" si="182"/>
        <v>Did not Meet</v>
      </c>
      <c r="AL282" s="444">
        <f>VLOOKUP(compliance!A282,'42. SEA or LEA Worksheet'!$A$4:$AB$324,26,0)/VLOOKUP(compliance!A282,'42. SEA or LEA Worksheet'!$A$4:$Y$324,25,0)</f>
        <v>0</v>
      </c>
      <c r="AM282" s="513" t="str">
        <f t="shared" si="183"/>
        <v>Met</v>
      </c>
      <c r="AO282" s="444">
        <f>VLOOKUP(A282,'42. SEA or LEA Worksheet'!$A$4:$AB$324,28,0)/VLOOKUP(compliance!A282,'42. SEA or LEA Worksheet'!$A$4:$Y$324,25,0)</f>
        <v>9368.5733333333337</v>
      </c>
      <c r="AP282" s="513" t="str">
        <f t="shared" si="184"/>
        <v>Did not Meet</v>
      </c>
      <c r="AR282" s="512" t="str">
        <f t="shared" si="169"/>
        <v>Met</v>
      </c>
      <c r="AT282" s="444">
        <f>VLOOKUP(A282,'42. SEA or LEA Worksheet'!$A$4:$AE$324,31,0)</f>
        <v>0</v>
      </c>
      <c r="AU282" s="513" t="str">
        <f t="shared" si="170"/>
        <v>Met</v>
      </c>
      <c r="AW282" s="444">
        <f>VLOOKUP(A282,'42. SEA or LEA Worksheet'!$A$4:$AG$324,33,0)</f>
        <v>1012361.9</v>
      </c>
      <c r="AX282" s="513" t="str">
        <f t="shared" si="171"/>
        <v>Met</v>
      </c>
      <c r="AZ282" s="444">
        <f>VLOOKUP(A282,'42. SEA or LEA Worksheet'!$A$4:$AG$324,31,0)/VLOOKUP(A282,'42. SEA or LEA Worksheet'!$A$4:$AD$324,30,0)</f>
        <v>0</v>
      </c>
      <c r="BA282" s="513" t="str">
        <f t="shared" si="172"/>
        <v>Met</v>
      </c>
      <c r="BC282" s="444">
        <f>VLOOKUP(A282,'42. SEA or LEA Worksheet'!$A$4:$AG$324,33,0)/VLOOKUP(A282,'42. SEA or LEA Worksheet'!$A$4:$AD$324,30,0)</f>
        <v>9828.7563106796115</v>
      </c>
      <c r="BD282" s="513" t="str">
        <f t="shared" si="185"/>
        <v>Met</v>
      </c>
      <c r="BF282" s="512" t="str">
        <f>IF(AND(AU282="Did not Meet",AX282="Did not Meet", BA282="Did not Meet",BD282="Did not Meet",),"Did not Meet","Met")</f>
        <v>Met</v>
      </c>
      <c r="BG282" s="637">
        <f>VLOOKUP(A282,'42. SEA or LEA Worksheet'!$A$4:$AM$324,36,0)</f>
        <v>0</v>
      </c>
      <c r="BH282" s="638" t="str">
        <f t="shared" si="173"/>
        <v>Met</v>
      </c>
      <c r="BI282" s="639"/>
      <c r="BJ282" s="637">
        <f>VLOOKUP(A282,'42. SEA or LEA Worksheet'!$A$4:$AM$324,38,0)</f>
        <v>1178957.8899999999</v>
      </c>
      <c r="BK282" s="638" t="str">
        <f t="shared" si="174"/>
        <v>Met</v>
      </c>
      <c r="BM282" s="631">
        <f>VLOOKUP(A282,'42. SEA or LEA Worksheet'!$A$4:$AL$324,36,0)/VLOOKUP(A282,'42. SEA or LEA Worksheet'!$A$4:$AL$324,35,0)</f>
        <v>0</v>
      </c>
      <c r="BN282" s="632" t="str">
        <f t="shared" si="175"/>
        <v>Met</v>
      </c>
      <c r="BP282" s="631">
        <f>VLOOKUP(A282,'42. SEA or LEA Worksheet'!$A$4:$AL$324,38,0)/VLOOKUP(A282,'42. SEA or LEA Worksheet'!$A$4:$AL$324,35,0)</f>
        <v>12154.205051546391</v>
      </c>
      <c r="BQ282" s="632" t="str">
        <f t="shared" si="176"/>
        <v>Met</v>
      </c>
      <c r="BS282" s="620" t="str">
        <f>IF(AND(BH282="Did not Meet",BK282="Did not Meet", BN282="Did not Meet",BQ282="Did not Meet",),"Did not Meet","Met")</f>
        <v>Met</v>
      </c>
    </row>
    <row r="283" spans="1:71" x14ac:dyDescent="0.25">
      <c r="A283" s="343" t="s">
        <v>750</v>
      </c>
      <c r="B283" s="510" t="s">
        <v>1094</v>
      </c>
      <c r="C283" s="511"/>
      <c r="D283" s="444">
        <v>0</v>
      </c>
      <c r="E283" s="343" t="s">
        <v>835</v>
      </c>
      <c r="F283" s="511"/>
      <c r="G283" s="444">
        <v>212833.99</v>
      </c>
      <c r="H283" s="343" t="s">
        <v>835</v>
      </c>
      <c r="I283" s="511"/>
      <c r="J283" s="444">
        <v>0</v>
      </c>
      <c r="K283" s="343" t="s">
        <v>835</v>
      </c>
      <c r="L283" s="511"/>
      <c r="M283" s="444">
        <v>8868.0829166666663</v>
      </c>
      <c r="N283" s="343" t="s">
        <v>856</v>
      </c>
      <c r="O283" s="511"/>
      <c r="P283" s="512" t="str">
        <f t="shared" si="186"/>
        <v>Met</v>
      </c>
      <c r="Q283" s="511"/>
      <c r="R283" s="444">
        <f>VLOOKUP(A283,'2020-21'!$A$6:$F$319,6,0)</f>
        <v>0</v>
      </c>
      <c r="S283" s="513" t="str">
        <f t="shared" si="177"/>
        <v>Met</v>
      </c>
      <c r="U283" s="444">
        <f>VLOOKUP(A283,'2020-21'!$A$6:$G$319,7,0)</f>
        <v>149228.26</v>
      </c>
      <c r="V283" s="513" t="str">
        <f t="shared" si="178"/>
        <v>Did not Meet</v>
      </c>
      <c r="X283" s="444">
        <v>0</v>
      </c>
      <c r="Y283" s="513" t="str">
        <f t="shared" si="179"/>
        <v>Met</v>
      </c>
      <c r="AA283" s="444">
        <f>VLOOKUP(A283,'42. SEA or LEA Worksheet'!$A$4:$W$324,23,0)/VLOOKUP(compliance!A283,'42. SEA or LEA Worksheet'!$A$4:$T$324,20,0)</f>
        <v>9326.7662500000006</v>
      </c>
      <c r="AB283" s="513" t="str">
        <f t="shared" si="180"/>
        <v>Met</v>
      </c>
      <c r="AD283" s="512" t="str">
        <f t="shared" si="187"/>
        <v>Met</v>
      </c>
      <c r="AF283" s="444">
        <f>VLOOKUP(A283,'42. SEA or LEA Worksheet'!$A$4:$Z$324,26,0)</f>
        <v>0</v>
      </c>
      <c r="AG283" s="513" t="str">
        <f t="shared" si="181"/>
        <v>Met</v>
      </c>
      <c r="AI283" s="444">
        <f>VLOOKUP(A283,'42. SEA or LEA Worksheet'!$A$4:$AB$324,28,0)</f>
        <v>174835.77</v>
      </c>
      <c r="AJ283" s="513" t="str">
        <f t="shared" si="182"/>
        <v>Met</v>
      </c>
      <c r="AL283" s="444">
        <f>VLOOKUP(compliance!A283,'42. SEA or LEA Worksheet'!$A$4:$AB$324,26,0)/VLOOKUP(compliance!A283,'42. SEA or LEA Worksheet'!$A$4:$Y$324,25,0)</f>
        <v>0</v>
      </c>
      <c r="AM283" s="513" t="str">
        <f t="shared" si="183"/>
        <v>Met</v>
      </c>
      <c r="AO283" s="444">
        <f>VLOOKUP(A283,'42. SEA or LEA Worksheet'!$A$4:$AB$324,28,0)/VLOOKUP(compliance!A283,'42. SEA or LEA Worksheet'!$A$4:$Y$324,25,0)</f>
        <v>9713.0983333333334</v>
      </c>
      <c r="AP283" s="513" t="str">
        <f t="shared" si="184"/>
        <v>Met</v>
      </c>
      <c r="AR283" s="512" t="str">
        <f t="shared" si="169"/>
        <v>Met</v>
      </c>
      <c r="AT283" s="444">
        <f>VLOOKUP(A283,'42. SEA or LEA Worksheet'!$A$4:$AE$324,31,0)</f>
        <v>0</v>
      </c>
      <c r="AU283" s="513" t="str">
        <f t="shared" si="170"/>
        <v>Met</v>
      </c>
      <c r="AW283" s="444">
        <f>VLOOKUP(A283,'42. SEA or LEA Worksheet'!$A$4:$AG$324,33,0)</f>
        <v>220585.5</v>
      </c>
      <c r="AX283" s="513" t="str">
        <f t="shared" si="171"/>
        <v>Met</v>
      </c>
      <c r="AZ283" s="444">
        <f>VLOOKUP(A283,'42. SEA or LEA Worksheet'!$A$4:$AG$324,31,0)/VLOOKUP(A283,'42. SEA or LEA Worksheet'!$A$4:$AD$324,30,0)</f>
        <v>0</v>
      </c>
      <c r="BA283" s="513" t="str">
        <f t="shared" si="172"/>
        <v>Met</v>
      </c>
      <c r="BC283" s="444">
        <f>VLOOKUP(A283,'42. SEA or LEA Worksheet'!$A$4:$AG$324,33,0)/VLOOKUP(A283,'42. SEA or LEA Worksheet'!$A$4:$AD$324,30,0)</f>
        <v>10026.613636363636</v>
      </c>
      <c r="BD283" s="513" t="str">
        <f t="shared" si="185"/>
        <v>Met</v>
      </c>
      <c r="BF283" s="512" t="str">
        <f>IF(AND(AU283="Did not Meet",AX283="Did not Meet", BA283="Did not Meet",BD283="Did not Meet",),"Did not Meet","Met")</f>
        <v>Met</v>
      </c>
      <c r="BG283" s="637">
        <f>VLOOKUP(A283,'42. SEA or LEA Worksheet'!$A$4:$AM$324,36,0)</f>
        <v>0</v>
      </c>
      <c r="BH283" s="638" t="str">
        <f t="shared" si="173"/>
        <v>Met</v>
      </c>
      <c r="BI283" s="639"/>
      <c r="BJ283" s="637">
        <f>VLOOKUP(A283,'42. SEA or LEA Worksheet'!$A$4:$AM$324,38,0)</f>
        <v>250722.49</v>
      </c>
      <c r="BK283" s="638" t="str">
        <f t="shared" si="174"/>
        <v>Met</v>
      </c>
      <c r="BM283" s="631">
        <f>VLOOKUP(A283,'42. SEA or LEA Worksheet'!$A$4:$AL$324,36,0)/VLOOKUP(A283,'42. SEA or LEA Worksheet'!$A$4:$AL$324,35,0)</f>
        <v>0</v>
      </c>
      <c r="BN283" s="632" t="str">
        <f t="shared" si="175"/>
        <v>Met</v>
      </c>
      <c r="BP283" s="631">
        <f>VLOOKUP(A283,'42. SEA or LEA Worksheet'!$A$4:$AL$324,38,0)/VLOOKUP(A283,'42. SEA or LEA Worksheet'!$A$4:$AL$324,35,0)</f>
        <v>11396.476818181818</v>
      </c>
      <c r="BQ283" s="632" t="str">
        <f t="shared" si="176"/>
        <v>Met</v>
      </c>
      <c r="BS283" s="620" t="str">
        <f>IF(AND(BH283="Did not Meet",BK283="Did not Meet", BN283="Did not Meet",BQ283="Did not Meet",),"Did not Meet","Met")</f>
        <v>Met</v>
      </c>
    </row>
    <row r="284" spans="1:71" x14ac:dyDescent="0.25">
      <c r="A284" s="343" t="s">
        <v>752</v>
      </c>
      <c r="B284" s="510" t="s">
        <v>1095</v>
      </c>
      <c r="C284" s="511"/>
      <c r="D284" s="444">
        <v>357300.1</v>
      </c>
      <c r="E284" s="343" t="s">
        <v>835</v>
      </c>
      <c r="F284" s="511"/>
      <c r="G284" s="444">
        <v>5353725.55</v>
      </c>
      <c r="H284" s="343" t="s">
        <v>835</v>
      </c>
      <c r="I284" s="511"/>
      <c r="J284" s="444">
        <v>1020.8574285714285</v>
      </c>
      <c r="K284" s="343" t="s">
        <v>835</v>
      </c>
      <c r="L284" s="511"/>
      <c r="M284" s="444">
        <v>15296.358714285714</v>
      </c>
      <c r="N284" s="343" t="s">
        <v>856</v>
      </c>
      <c r="O284" s="511"/>
      <c r="P284" s="512" t="str">
        <f t="shared" si="186"/>
        <v>Met</v>
      </c>
      <c r="Q284" s="511"/>
      <c r="R284" s="444">
        <f>VLOOKUP(A284,'2020-21'!$A$6:$F$319,6,0)</f>
        <v>1454292.01</v>
      </c>
      <c r="S284" s="513" t="str">
        <f t="shared" si="177"/>
        <v>Met</v>
      </c>
      <c r="U284" s="444">
        <f>VLOOKUP(A284,'2020-21'!$A$6:$G$319,7,0)</f>
        <v>5634595.0499999998</v>
      </c>
      <c r="V284" s="513" t="str">
        <f t="shared" si="178"/>
        <v>Met</v>
      </c>
      <c r="X284" s="444">
        <f>VLOOKUP(A284,'2020-21'!$A$6:$F$319,6,0)/VLOOKUP(A284,'42. SEA or LEA Worksheet'!$A$4:$T$324,20,0)</f>
        <v>4461.0184355828223</v>
      </c>
      <c r="Y284" s="513" t="str">
        <f t="shared" si="179"/>
        <v>Met</v>
      </c>
      <c r="AA284" s="444">
        <f>VLOOKUP(A284,'42. SEA or LEA Worksheet'!$A$4:$W$324,23,0)/VLOOKUP(compliance!A284,'42. SEA or LEA Worksheet'!$A$4:$T$324,20,0)</f>
        <v>17284.033895705521</v>
      </c>
      <c r="AB284" s="513" t="str">
        <f t="shared" si="180"/>
        <v>Met</v>
      </c>
      <c r="AD284" s="512" t="str">
        <f t="shared" si="187"/>
        <v>Met</v>
      </c>
      <c r="AF284" s="444">
        <f>VLOOKUP(A284,'42. SEA or LEA Worksheet'!$A$4:$Z$324,26,0)</f>
        <v>0</v>
      </c>
      <c r="AG284" s="513" t="str">
        <f t="shared" si="181"/>
        <v>Did not Meet</v>
      </c>
      <c r="AI284" s="444">
        <f>VLOOKUP(A284,'42. SEA or LEA Worksheet'!$A$4:$AB$324,28,0)</f>
        <v>5987123.96</v>
      </c>
      <c r="AJ284" s="513" t="str">
        <f t="shared" si="182"/>
        <v>Met</v>
      </c>
      <c r="AL284" s="444">
        <f>VLOOKUP(compliance!A284,'42. SEA or LEA Worksheet'!$A$4:$AB$324,26,0)/VLOOKUP(compliance!A284,'42. SEA or LEA Worksheet'!$A$4:$Y$324,25,0)</f>
        <v>0</v>
      </c>
      <c r="AM284" s="513" t="str">
        <f t="shared" si="183"/>
        <v>Did not Meet</v>
      </c>
      <c r="AO284" s="444">
        <f>VLOOKUP(A284,'42. SEA or LEA Worksheet'!$A$4:$AB$324,28,0)/VLOOKUP(compliance!A284,'42. SEA or LEA Worksheet'!$A$4:$Y$324,25,0)</f>
        <v>19438.714155844154</v>
      </c>
      <c r="AP284" s="513" t="str">
        <f t="shared" si="184"/>
        <v>Met</v>
      </c>
      <c r="AR284" s="512" t="str">
        <f t="shared" si="169"/>
        <v>Met</v>
      </c>
      <c r="AT284" s="444">
        <f>VLOOKUP(A284,'42. SEA or LEA Worksheet'!$A$4:$AE$324,31,0)</f>
        <v>717451.21</v>
      </c>
      <c r="AU284" s="513" t="str">
        <f t="shared" si="170"/>
        <v>Met</v>
      </c>
      <c r="AW284" s="444">
        <f>VLOOKUP(A284,'42. SEA or LEA Worksheet'!$A$4:$AG$324,33,0)</f>
        <v>5927926.21</v>
      </c>
      <c r="AX284" s="513" t="str">
        <f t="shared" si="171"/>
        <v>Did not Meet</v>
      </c>
      <c r="AZ284" s="444">
        <f>VLOOKUP(A284,'42. SEA or LEA Worksheet'!$A$4:$AG$324,31,0)/VLOOKUP(A284,'42. SEA or LEA Worksheet'!$A$4:$AD$324,30,0)</f>
        <v>2200.770582822086</v>
      </c>
      <c r="BA284" s="513" t="str">
        <f t="shared" si="172"/>
        <v>Met</v>
      </c>
      <c r="BC284" s="444">
        <f>VLOOKUP(A284,'42. SEA or LEA Worksheet'!$A$4:$AG$324,33,0)/VLOOKUP(A284,'42. SEA or LEA Worksheet'!$A$4:$AD$324,30,0)</f>
        <v>18183.822730061351</v>
      </c>
      <c r="BD284" s="513" t="str">
        <f t="shared" si="185"/>
        <v>Did not Meet</v>
      </c>
      <c r="BF284" s="512" t="str">
        <f>IF(AND(AU284="Did not Meet",AX284="Did not Meet", BA284="Did not Meet",BD284="Did not Meet",),"Did not Meet","Met")</f>
        <v>Met</v>
      </c>
      <c r="BG284" s="637">
        <f>VLOOKUP(A284,'42. SEA or LEA Worksheet'!$A$4:$AM$324,36,0)</f>
        <v>1025389.39</v>
      </c>
      <c r="BH284" s="638" t="str">
        <f t="shared" si="173"/>
        <v>Met</v>
      </c>
      <c r="BI284" s="639"/>
      <c r="BJ284" s="637">
        <f>VLOOKUP(A284,'42. SEA or LEA Worksheet'!$A$4:$AM$324,38,0)</f>
        <v>7333884.7799999993</v>
      </c>
      <c r="BK284" s="638" t="str">
        <f t="shared" si="174"/>
        <v>Met</v>
      </c>
      <c r="BM284" s="631">
        <f>VLOOKUP(A284,'42. SEA or LEA Worksheet'!$A$4:$AL$324,36,0)/VLOOKUP(A284,'42. SEA or LEA Worksheet'!$A$4:$AL$324,35,0)</f>
        <v>3070.0281137724551</v>
      </c>
      <c r="BN284" s="632" t="str">
        <f t="shared" si="175"/>
        <v>Met</v>
      </c>
      <c r="BP284" s="631">
        <f>VLOOKUP(A284,'42. SEA or LEA Worksheet'!$A$4:$AL$324,38,0)/VLOOKUP(A284,'42. SEA or LEA Worksheet'!$A$4:$AL$324,35,0)</f>
        <v>21957.738862275448</v>
      </c>
      <c r="BQ284" s="632" t="str">
        <f t="shared" si="176"/>
        <v>Met</v>
      </c>
      <c r="BS284" s="620" t="str">
        <f>IF(AND(BH284="Did not Meet",BK284="Did not Meet", BN284="Did not Meet",BQ284="Did not Meet",),"Did not Meet","Met")</f>
        <v>Met</v>
      </c>
    </row>
    <row r="285" spans="1:71" x14ac:dyDescent="0.25">
      <c r="A285" s="343" t="s">
        <v>754</v>
      </c>
      <c r="B285" s="510" t="s">
        <v>1096</v>
      </c>
      <c r="C285" s="511"/>
      <c r="D285" s="444">
        <v>92502.12</v>
      </c>
      <c r="E285" s="343" t="s">
        <v>856</v>
      </c>
      <c r="F285" s="511"/>
      <c r="G285" s="444">
        <v>9493915.3300000001</v>
      </c>
      <c r="H285" s="343" t="s">
        <v>835</v>
      </c>
      <c r="I285" s="511"/>
      <c r="J285" s="444">
        <v>106.69217993079585</v>
      </c>
      <c r="K285" s="343" t="s">
        <v>856</v>
      </c>
      <c r="L285" s="511"/>
      <c r="M285" s="444">
        <v>10950.306032295272</v>
      </c>
      <c r="N285" s="343" t="s">
        <v>835</v>
      </c>
      <c r="O285" s="511"/>
      <c r="P285" s="512" t="str">
        <f t="shared" si="186"/>
        <v>Met</v>
      </c>
      <c r="Q285" s="511"/>
      <c r="R285" s="444">
        <f>VLOOKUP(A285,'2020-21'!$A$6:$F$319,6,0)</f>
        <v>2294140.14</v>
      </c>
      <c r="S285" s="513" t="str">
        <f t="shared" si="177"/>
        <v>Met</v>
      </c>
      <c r="U285" s="444">
        <f>VLOOKUP(A285,'2020-21'!$A$6:$G$319,7,0)</f>
        <v>10915515.600000001</v>
      </c>
      <c r="V285" s="513" t="str">
        <f t="shared" si="178"/>
        <v>Met</v>
      </c>
      <c r="X285" s="444">
        <f>VLOOKUP(A285,'2020-21'!$A$6:$F$319,6,0)/VLOOKUP(A285,'42. SEA or LEA Worksheet'!$A$4:$T$324,20,0)</f>
        <v>3151.2914010989011</v>
      </c>
      <c r="Y285" s="513" t="str">
        <f t="shared" si="179"/>
        <v>Met</v>
      </c>
      <c r="AA285" s="444">
        <f>VLOOKUP(A285,'42. SEA or LEA Worksheet'!$A$4:$W$324,23,0)/VLOOKUP(compliance!A285,'42. SEA or LEA Worksheet'!$A$4:$T$324,20,0)</f>
        <v>14993.840109890112</v>
      </c>
      <c r="AB285" s="513" t="str">
        <f t="shared" si="180"/>
        <v>Met</v>
      </c>
      <c r="AD285" s="512" t="str">
        <f t="shared" si="187"/>
        <v>Met</v>
      </c>
      <c r="AF285" s="444">
        <f>VLOOKUP(A285,'42. SEA or LEA Worksheet'!$A$4:$Z$324,26,0)</f>
        <v>25285.29</v>
      </c>
      <c r="AG285" s="513" t="str">
        <f t="shared" si="181"/>
        <v>Did not Meet</v>
      </c>
      <c r="AI285" s="444">
        <f>VLOOKUP(A285,'42. SEA or LEA Worksheet'!$A$4:$AB$324,28,0)</f>
        <v>11718402.239999998</v>
      </c>
      <c r="AJ285" s="513" t="str">
        <f t="shared" si="182"/>
        <v>Met</v>
      </c>
      <c r="AL285" s="444">
        <f>VLOOKUP(compliance!A285,'42. SEA or LEA Worksheet'!$A$4:$AB$324,26,0)/VLOOKUP(compliance!A285,'42. SEA or LEA Worksheet'!$A$4:$Y$324,25,0)</f>
        <v>28.570949152542372</v>
      </c>
      <c r="AM285" s="513" t="str">
        <f t="shared" si="183"/>
        <v>Did not Meet</v>
      </c>
      <c r="AO285" s="444">
        <f>VLOOKUP(A285,'42. SEA or LEA Worksheet'!$A$4:$AB$324,28,0)/VLOOKUP(compliance!A285,'42. SEA or LEA Worksheet'!$A$4:$Y$324,25,0)</f>
        <v>13241.132474576269</v>
      </c>
      <c r="AP285" s="513" t="str">
        <f t="shared" si="184"/>
        <v>Did not Meet</v>
      </c>
      <c r="AR285" s="512" t="str">
        <f t="shared" si="169"/>
        <v>Met</v>
      </c>
      <c r="AT285" s="444">
        <f>VLOOKUP(A285,'42. SEA or LEA Worksheet'!$A$4:$AE$324,31,0)</f>
        <v>1656925.41</v>
      </c>
      <c r="AU285" s="513" t="str">
        <f t="shared" si="170"/>
        <v>Met</v>
      </c>
      <c r="AW285" s="444">
        <f>VLOOKUP(A285,'42. SEA or LEA Worksheet'!$A$4:$AG$324,33,0)</f>
        <v>12990301.689999999</v>
      </c>
      <c r="AX285" s="513" t="str">
        <f t="shared" si="171"/>
        <v>Met</v>
      </c>
      <c r="AZ285" s="444">
        <f>VLOOKUP(A285,'42. SEA or LEA Worksheet'!$A$4:$AG$324,31,0)/VLOOKUP(A285,'42. SEA or LEA Worksheet'!$A$4:$AD$324,30,0)</f>
        <v>1795.1521235102925</v>
      </c>
      <c r="BA285" s="513" t="str">
        <f t="shared" si="172"/>
        <v>Met</v>
      </c>
      <c r="BC285" s="444">
        <f>VLOOKUP(A285,'42. SEA or LEA Worksheet'!$A$4:$AG$324,33,0)/VLOOKUP(A285,'42. SEA or LEA Worksheet'!$A$4:$AD$324,30,0)</f>
        <v>14073.999664138677</v>
      </c>
      <c r="BD285" s="513" t="str">
        <f t="shared" si="185"/>
        <v>Met</v>
      </c>
      <c r="BF285" s="512" t="str">
        <f>IF(AND(AU285="Did not Meet",AX285="Did not Meet", BA285="Did not Meet",BD285="Did not Meet",),"Did not Meet","Met")</f>
        <v>Met</v>
      </c>
      <c r="BG285" s="637">
        <f>VLOOKUP(A285,'42. SEA or LEA Worksheet'!$A$4:$AM$324,36,0)</f>
        <v>502619</v>
      </c>
      <c r="BH285" s="638" t="str">
        <f t="shared" si="173"/>
        <v>Did not Meet</v>
      </c>
      <c r="BI285" s="639"/>
      <c r="BJ285" s="637">
        <f>VLOOKUP(A285,'42. SEA or LEA Worksheet'!$A$4:$AM$324,38,0)</f>
        <v>14637027.310000001</v>
      </c>
      <c r="BK285" s="638" t="str">
        <f t="shared" si="174"/>
        <v>Met</v>
      </c>
      <c r="BM285" s="631">
        <f>VLOOKUP(A285,'42. SEA or LEA Worksheet'!$A$4:$AL$324,36,0)/VLOOKUP(A285,'42. SEA or LEA Worksheet'!$A$4:$AL$324,35,0)</f>
        <v>539.87003222341571</v>
      </c>
      <c r="BN285" s="632" t="str">
        <f t="shared" si="175"/>
        <v>Met</v>
      </c>
      <c r="BP285" s="631">
        <f>VLOOKUP(A285,'42. SEA or LEA Worksheet'!$A$4:$AL$324,38,0)/VLOOKUP(A285,'42. SEA or LEA Worksheet'!$A$4:$AL$324,35,0)</f>
        <v>15721.833845327605</v>
      </c>
      <c r="BQ285" s="632" t="str">
        <f t="shared" si="176"/>
        <v>Met</v>
      </c>
      <c r="BS285" s="620" t="str">
        <f>IF(AND(BH285="Did not Meet",BK285="Did not Meet", BN285="Did not Meet",BQ285="Did not Meet",),"Did not Meet","Met")</f>
        <v>Met</v>
      </c>
    </row>
    <row r="286" spans="1:71" x14ac:dyDescent="0.25">
      <c r="A286" s="343" t="s">
        <v>756</v>
      </c>
      <c r="B286" s="510" t="s">
        <v>1097</v>
      </c>
      <c r="C286" s="511"/>
      <c r="D286" s="444">
        <v>0</v>
      </c>
      <c r="E286" s="343" t="s">
        <v>856</v>
      </c>
      <c r="F286" s="511"/>
      <c r="G286" s="444">
        <v>613370.84</v>
      </c>
      <c r="H286" s="343" t="s">
        <v>835</v>
      </c>
      <c r="I286" s="511"/>
      <c r="J286" s="444">
        <v>0</v>
      </c>
      <c r="K286" s="343" t="s">
        <v>856</v>
      </c>
      <c r="L286" s="511"/>
      <c r="M286" s="444">
        <v>8288.7951351351348</v>
      </c>
      <c r="N286" s="343" t="s">
        <v>856</v>
      </c>
      <c r="O286" s="511"/>
      <c r="P286" s="512" t="str">
        <f t="shared" si="186"/>
        <v>Met</v>
      </c>
      <c r="Q286" s="511"/>
      <c r="R286" s="444">
        <f>VLOOKUP(A286,'2020-21'!$A$6:$F$319,6,0)</f>
        <v>0</v>
      </c>
      <c r="S286" s="513" t="str">
        <f t="shared" si="177"/>
        <v>Met</v>
      </c>
      <c r="U286" s="444">
        <f>VLOOKUP(A286,'2020-21'!$A$6:$G$319,7,0)</f>
        <v>623891.54</v>
      </c>
      <c r="V286" s="513" t="str">
        <f t="shared" si="178"/>
        <v>Met</v>
      </c>
      <c r="X286" s="444">
        <f>VLOOKUP(A286,'2020-21'!$A$6:$F$319,6,0)/VLOOKUP(A286,'42. SEA or LEA Worksheet'!$A$4:$T$324,20,0)</f>
        <v>0</v>
      </c>
      <c r="Y286" s="513" t="str">
        <f t="shared" si="179"/>
        <v>Met</v>
      </c>
      <c r="AA286" s="444">
        <f>VLOOKUP(A286,'42. SEA or LEA Worksheet'!$A$4:$W$324,23,0)/VLOOKUP(compliance!A286,'42. SEA or LEA Worksheet'!$A$4:$T$324,20,0)</f>
        <v>8912.7362857142871</v>
      </c>
      <c r="AB286" s="513" t="str">
        <f t="shared" si="180"/>
        <v>Met</v>
      </c>
      <c r="AD286" s="512" t="str">
        <f t="shared" si="187"/>
        <v>Met</v>
      </c>
      <c r="AF286" s="444">
        <f>VLOOKUP(A286,'42. SEA or LEA Worksheet'!$A$4:$Z$324,26,0)</f>
        <v>0</v>
      </c>
      <c r="AG286" s="513" t="str">
        <f t="shared" si="181"/>
        <v>Met</v>
      </c>
      <c r="AI286" s="444">
        <f>VLOOKUP(A286,'42. SEA or LEA Worksheet'!$A$4:$AB$324,28,0)</f>
        <v>643355.37</v>
      </c>
      <c r="AJ286" s="513" t="str">
        <f t="shared" si="182"/>
        <v>Met</v>
      </c>
      <c r="AL286" s="444">
        <f>VLOOKUP(compliance!A286,'42. SEA or LEA Worksheet'!$A$4:$AB$324,26,0)/VLOOKUP(compliance!A286,'42. SEA or LEA Worksheet'!$A$4:$Y$324,25,0)</f>
        <v>0</v>
      </c>
      <c r="AM286" s="513" t="str">
        <f t="shared" si="183"/>
        <v>Met</v>
      </c>
      <c r="AO286" s="444">
        <f>VLOOKUP(A286,'42. SEA or LEA Worksheet'!$A$4:$AB$324,28,0)/VLOOKUP(compliance!A286,'42. SEA or LEA Worksheet'!$A$4:$Y$324,25,0)</f>
        <v>8693.9914864864859</v>
      </c>
      <c r="AP286" s="513" t="str">
        <f t="shared" si="184"/>
        <v>Did not Meet</v>
      </c>
      <c r="AR286" s="512" t="str">
        <f t="shared" si="169"/>
        <v>Met</v>
      </c>
      <c r="AT286" s="444">
        <f>VLOOKUP(A286,'42. SEA or LEA Worksheet'!$A$4:$AE$324,31,0)</f>
        <v>0</v>
      </c>
      <c r="AU286" s="513" t="str">
        <f t="shared" si="170"/>
        <v>Met</v>
      </c>
      <c r="AW286" s="444">
        <f>VLOOKUP(A286,'42. SEA or LEA Worksheet'!$A$4:$AG$324,33,0)</f>
        <v>751493.11</v>
      </c>
      <c r="AX286" s="513" t="str">
        <f t="shared" si="171"/>
        <v>Met</v>
      </c>
      <c r="AZ286" s="444">
        <f>VLOOKUP(A286,'42. SEA or LEA Worksheet'!$A$4:$AG$324,31,0)/VLOOKUP(A286,'42. SEA or LEA Worksheet'!$A$4:$AD$324,30,0)</f>
        <v>0</v>
      </c>
      <c r="BA286" s="513" t="str">
        <f t="shared" si="172"/>
        <v>Met</v>
      </c>
      <c r="BC286" s="444">
        <f>VLOOKUP(A286,'42. SEA or LEA Worksheet'!$A$4:$AG$324,33,0)/VLOOKUP(A286,'42. SEA or LEA Worksheet'!$A$4:$AD$324,30,0)</f>
        <v>10437.404305555556</v>
      </c>
      <c r="BD286" s="513" t="str">
        <f t="shared" si="185"/>
        <v>Met</v>
      </c>
      <c r="BF286" s="512" t="str">
        <f>IF(AND(AU286="Did not Meet",AX286="Did not Meet", BA286="Did not Meet",BD286="Did not Meet"),"Did not Meet","Met")</f>
        <v>Met</v>
      </c>
      <c r="BG286" s="637">
        <f>VLOOKUP(A286,'42. SEA or LEA Worksheet'!$A$4:$AM$324,36,0)</f>
        <v>0</v>
      </c>
      <c r="BH286" s="638" t="str">
        <f t="shared" si="173"/>
        <v>Met</v>
      </c>
      <c r="BI286" s="639"/>
      <c r="BJ286" s="637">
        <f>VLOOKUP(A286,'42. SEA or LEA Worksheet'!$A$4:$AM$324,38,0)</f>
        <v>784857.45</v>
      </c>
      <c r="BK286" s="638" t="str">
        <f t="shared" si="174"/>
        <v>Met</v>
      </c>
      <c r="BM286" s="631">
        <f>VLOOKUP(A286,'42. SEA or LEA Worksheet'!$A$4:$AL$324,36,0)/VLOOKUP(A286,'42. SEA or LEA Worksheet'!$A$4:$AL$324,35,0)</f>
        <v>0</v>
      </c>
      <c r="BN286" s="632" t="str">
        <f t="shared" si="175"/>
        <v>Met</v>
      </c>
      <c r="BP286" s="631">
        <f>VLOOKUP(A286,'42. SEA or LEA Worksheet'!$A$4:$AL$324,38,0)/VLOOKUP(A286,'42. SEA or LEA Worksheet'!$A$4:$AL$324,35,0)</f>
        <v>9343.5410714285717</v>
      </c>
      <c r="BQ286" s="632" t="str">
        <f t="shared" si="176"/>
        <v>Met</v>
      </c>
      <c r="BS286" s="620" t="str">
        <f>IF(AND(BH286="Did not Meet",BK286="Did not Meet", BN286="Did not Meet",BQ286="Did not Meet"),"Did not Meet","Met")</f>
        <v>Met</v>
      </c>
    </row>
    <row r="287" spans="1:71" x14ac:dyDescent="0.25">
      <c r="A287" s="343" t="s">
        <v>758</v>
      </c>
      <c r="B287" s="510" t="s">
        <v>1098</v>
      </c>
      <c r="C287" s="511"/>
      <c r="D287" s="444">
        <v>47945.23</v>
      </c>
      <c r="E287" s="343" t="s">
        <v>856</v>
      </c>
      <c r="F287" s="511"/>
      <c r="G287" s="444">
        <v>8752087.120000001</v>
      </c>
      <c r="H287" s="343" t="s">
        <v>835</v>
      </c>
      <c r="I287" s="511"/>
      <c r="J287" s="444">
        <v>82.097996575342478</v>
      </c>
      <c r="K287" s="343" t="s">
        <v>856</v>
      </c>
      <c r="L287" s="511"/>
      <c r="M287" s="444">
        <v>14986.450547945207</v>
      </c>
      <c r="N287" s="343" t="s">
        <v>835</v>
      </c>
      <c r="O287" s="511"/>
      <c r="P287" s="512" t="str">
        <f t="shared" si="186"/>
        <v>Met</v>
      </c>
      <c r="Q287" s="511"/>
      <c r="R287" s="444">
        <f>VLOOKUP(A287,'2020-21'!$A$6:$F$319,6,0)</f>
        <v>597.51</v>
      </c>
      <c r="S287" s="513" t="str">
        <f t="shared" si="177"/>
        <v>Did not Meet</v>
      </c>
      <c r="U287" s="444">
        <f>VLOOKUP(A287,'2020-21'!$A$6:$G$319,7,0)</f>
        <v>9805318.9299999997</v>
      </c>
      <c r="V287" s="513" t="str">
        <f t="shared" si="178"/>
        <v>Met</v>
      </c>
      <c r="X287" s="444">
        <f>VLOOKUP(A287,'2020-21'!$A$6:$F$319,6,0)/VLOOKUP(A287,'42. SEA or LEA Worksheet'!$A$4:$T$324,20,0)</f>
        <v>1.012728813559322</v>
      </c>
      <c r="Y287" s="513" t="str">
        <f t="shared" si="179"/>
        <v>Did not Meet</v>
      </c>
      <c r="AA287" s="444">
        <f>VLOOKUP(A287,'42. SEA or LEA Worksheet'!$A$4:$W$324,23,0)/VLOOKUP(compliance!A287,'42. SEA or LEA Worksheet'!$A$4:$T$324,20,0)</f>
        <v>16619.184627118644</v>
      </c>
      <c r="AB287" s="513" t="str">
        <f t="shared" si="180"/>
        <v>Met</v>
      </c>
      <c r="AD287" s="512" t="str">
        <f t="shared" si="187"/>
        <v>Met</v>
      </c>
      <c r="AF287" s="444">
        <f>VLOOKUP(A287,'42. SEA or LEA Worksheet'!$A$4:$Z$324,26,0)</f>
        <v>72221.52</v>
      </c>
      <c r="AG287" s="513" t="str">
        <f t="shared" si="181"/>
        <v>Met</v>
      </c>
      <c r="AI287" s="444">
        <f>VLOOKUP(A287,'42. SEA or LEA Worksheet'!$A$4:$AB$324,28,0)</f>
        <v>10663774.219999999</v>
      </c>
      <c r="AJ287" s="513" t="str">
        <f t="shared" si="182"/>
        <v>Met</v>
      </c>
      <c r="AL287" s="444">
        <f>VLOOKUP(compliance!A287,'42. SEA or LEA Worksheet'!$A$4:$AB$324,26,0)/VLOOKUP(compliance!A287,'42. SEA or LEA Worksheet'!$A$4:$Y$324,25,0)</f>
        <v>123.87910806174958</v>
      </c>
      <c r="AM287" s="513" t="str">
        <f t="shared" si="183"/>
        <v>Met</v>
      </c>
      <c r="AO287" s="444">
        <f>VLOOKUP(A287,'42. SEA or LEA Worksheet'!$A$4:$AB$324,28,0)/VLOOKUP(compliance!A287,'42. SEA or LEA Worksheet'!$A$4:$Y$324,25,0)</f>
        <v>18291.207924528298</v>
      </c>
      <c r="AP287" s="513" t="str">
        <f t="shared" si="184"/>
        <v>Met</v>
      </c>
      <c r="AR287" s="512" t="str">
        <f t="shared" si="169"/>
        <v>Met</v>
      </c>
      <c r="AT287" s="444">
        <f>VLOOKUP(A287,'42. SEA or LEA Worksheet'!$A$4:$AE$324,31,0)</f>
        <v>75175.929999999993</v>
      </c>
      <c r="AU287" s="513" t="str">
        <f t="shared" si="170"/>
        <v>Met</v>
      </c>
      <c r="AW287" s="444">
        <f>VLOOKUP(A287,'42. SEA or LEA Worksheet'!$A$4:$AG$324,33,0)</f>
        <v>11125006.08</v>
      </c>
      <c r="AX287" s="513" t="str">
        <f t="shared" si="171"/>
        <v>Met</v>
      </c>
      <c r="AZ287" s="444">
        <f>VLOOKUP(A287,'42. SEA or LEA Worksheet'!$A$4:$AG$324,31,0)/VLOOKUP(A287,'42. SEA or LEA Worksheet'!$A$4:$AD$324,30,0)</f>
        <v>134.96576301615798</v>
      </c>
      <c r="BA287" s="513" t="str">
        <f t="shared" si="172"/>
        <v>Met</v>
      </c>
      <c r="BC287" s="444">
        <f>VLOOKUP(A287,'42. SEA or LEA Worksheet'!$A$4:$AG$324,33,0)/VLOOKUP(A287,'42. SEA or LEA Worksheet'!$A$4:$AD$324,30,0)</f>
        <v>19973.08093357271</v>
      </c>
      <c r="BD287" s="513" t="str">
        <f t="shared" si="185"/>
        <v>Met</v>
      </c>
      <c r="BF287" s="512" t="str">
        <f>IF(AND(AU287="Did not Meet",AX287="Did not Meet", BA287="Did not Meet",BD287="Did not Meet"),"Did not Meet","Met")</f>
        <v>Met</v>
      </c>
      <c r="BG287" s="637">
        <f>VLOOKUP(A287,'42. SEA or LEA Worksheet'!$A$4:$AM$324,36,0)</f>
        <v>87272.960000000006</v>
      </c>
      <c r="BH287" s="638" t="str">
        <f t="shared" si="173"/>
        <v>Met</v>
      </c>
      <c r="BI287" s="639"/>
      <c r="BJ287" s="637">
        <f>VLOOKUP(A287,'42. SEA or LEA Worksheet'!$A$4:$AM$324,38,0)</f>
        <v>11410249.550000001</v>
      </c>
      <c r="BK287" s="638" t="str">
        <f t="shared" si="174"/>
        <v>Met</v>
      </c>
      <c r="BM287" s="631">
        <f>VLOOKUP(A287,'42. SEA or LEA Worksheet'!$A$4:$AL$324,36,0)/VLOOKUP(A287,'42. SEA or LEA Worksheet'!$A$4:$AL$324,35,0)</f>
        <v>157.2485765765766</v>
      </c>
      <c r="BN287" s="632" t="str">
        <f t="shared" si="175"/>
        <v>Met</v>
      </c>
      <c r="BP287" s="631">
        <f>VLOOKUP(A287,'42. SEA or LEA Worksheet'!$A$4:$AL$324,38,0)/VLOOKUP(A287,'42. SEA or LEA Worksheet'!$A$4:$AL$324,35,0)</f>
        <v>20559.0081981982</v>
      </c>
      <c r="BQ287" s="632" t="str">
        <f t="shared" si="176"/>
        <v>Met</v>
      </c>
      <c r="BS287" s="620" t="str">
        <f>IF(AND(BH287="Did not Meet",BK287="Did not Meet", BN287="Did not Meet",BQ287="Did not Meet"),"Did not Meet","Met")</f>
        <v>Met</v>
      </c>
    </row>
    <row r="288" spans="1:71" x14ac:dyDescent="0.25">
      <c r="A288" s="343" t="s">
        <v>760</v>
      </c>
      <c r="B288" s="510" t="s">
        <v>1099</v>
      </c>
      <c r="C288" s="511"/>
      <c r="D288" s="444">
        <v>0</v>
      </c>
      <c r="E288" s="343" t="s">
        <v>856</v>
      </c>
      <c r="F288" s="511"/>
      <c r="G288" s="444">
        <v>913423.24</v>
      </c>
      <c r="H288" s="343" t="s">
        <v>835</v>
      </c>
      <c r="I288" s="511"/>
      <c r="J288" s="444">
        <v>0</v>
      </c>
      <c r="K288" s="343" t="s">
        <v>856</v>
      </c>
      <c r="L288" s="511"/>
      <c r="M288" s="444">
        <v>8617.2003773584911</v>
      </c>
      <c r="N288" s="343" t="s">
        <v>856</v>
      </c>
      <c r="O288" s="511"/>
      <c r="P288" s="512" t="str">
        <f t="shared" si="186"/>
        <v>Met</v>
      </c>
      <c r="Q288" s="511"/>
      <c r="R288" s="444">
        <f>VLOOKUP(A288,'2020-21'!$A$6:$F$319,6,0)</f>
        <v>0</v>
      </c>
      <c r="S288" s="513" t="str">
        <f t="shared" si="177"/>
        <v>Met</v>
      </c>
      <c r="U288" s="444">
        <f>VLOOKUP(A288,'2020-21'!$A$6:$G$319,7,0)</f>
        <v>971683.32</v>
      </c>
      <c r="V288" s="513" t="str">
        <f t="shared" si="178"/>
        <v>Met</v>
      </c>
      <c r="X288" s="444">
        <f>VLOOKUP(A288,'2020-21'!$A$6:$F$319,6,0)/VLOOKUP(A288,'42. SEA or LEA Worksheet'!$A$4:$T$324,20,0)</f>
        <v>0</v>
      </c>
      <c r="Y288" s="513" t="str">
        <f t="shared" si="179"/>
        <v>Met</v>
      </c>
      <c r="AA288" s="444">
        <f>VLOOKUP(A288,'42. SEA or LEA Worksheet'!$A$4:$W$324,23,0)/VLOOKUP(compliance!A288,'42. SEA or LEA Worksheet'!$A$4:$T$324,20,0)</f>
        <v>9343.1088461538457</v>
      </c>
      <c r="AB288" s="513" t="str">
        <f t="shared" si="180"/>
        <v>Met</v>
      </c>
      <c r="AD288" s="512" t="str">
        <f t="shared" si="187"/>
        <v>Met</v>
      </c>
      <c r="AF288" s="444">
        <f>VLOOKUP(A288,'42. SEA or LEA Worksheet'!$A$4:$Z$324,26,0)</f>
        <v>0</v>
      </c>
      <c r="AG288" s="513" t="str">
        <f t="shared" si="181"/>
        <v>Met</v>
      </c>
      <c r="AI288" s="444">
        <f>VLOOKUP(A288,'42. SEA or LEA Worksheet'!$A$4:$AB$324,28,0)</f>
        <v>1130385.97</v>
      </c>
      <c r="AJ288" s="513" t="str">
        <f t="shared" si="182"/>
        <v>Met</v>
      </c>
      <c r="AL288" s="444">
        <f>VLOOKUP(compliance!A288,'42. SEA or LEA Worksheet'!$A$4:$AB$324,26,0)/VLOOKUP(compliance!A288,'42. SEA or LEA Worksheet'!$A$4:$Y$324,25,0)</f>
        <v>0</v>
      </c>
      <c r="AM288" s="513" t="str">
        <f t="shared" si="183"/>
        <v>Met</v>
      </c>
      <c r="AO288" s="444">
        <f>VLOOKUP(A288,'42. SEA or LEA Worksheet'!$A$4:$AB$324,28,0)/VLOOKUP(compliance!A288,'42. SEA or LEA Worksheet'!$A$4:$Y$324,25,0)</f>
        <v>9661.4185470085467</v>
      </c>
      <c r="AP288" s="513" t="str">
        <f t="shared" si="184"/>
        <v>Met</v>
      </c>
      <c r="AR288" s="512" t="str">
        <f t="shared" si="169"/>
        <v>Met</v>
      </c>
      <c r="AT288" s="444">
        <f>VLOOKUP(A288,'42. SEA or LEA Worksheet'!$A$4:$AE$324,31,0)</f>
        <v>0</v>
      </c>
      <c r="AU288" s="513" t="str">
        <f t="shared" si="170"/>
        <v>Met</v>
      </c>
      <c r="AW288" s="444">
        <f>VLOOKUP(A288,'42. SEA or LEA Worksheet'!$A$4:$AG$324,33,0)</f>
        <v>1102172.93</v>
      </c>
      <c r="AX288" s="513" t="str">
        <f t="shared" si="171"/>
        <v>Did not Meet</v>
      </c>
      <c r="AZ288" s="444">
        <f>VLOOKUP(A288,'42. SEA or LEA Worksheet'!$A$4:$AG$324,31,0)/VLOOKUP(A288,'42. SEA or LEA Worksheet'!$A$4:$AD$324,30,0)</f>
        <v>0</v>
      </c>
      <c r="BA288" s="513" t="str">
        <f t="shared" si="172"/>
        <v>Met</v>
      </c>
      <c r="BC288" s="444">
        <f>VLOOKUP(A288,'42. SEA or LEA Worksheet'!$A$4:$AG$324,33,0)/VLOOKUP(A288,'42. SEA or LEA Worksheet'!$A$4:$AD$324,30,0)</f>
        <v>10019.753909090909</v>
      </c>
      <c r="BD288" s="513" t="str">
        <f t="shared" si="185"/>
        <v>Met</v>
      </c>
      <c r="BF288" s="512" t="str">
        <f>IF(AND(AU288="Did not Meet",AX288="Did not Meet", BA288="Did not Meet",BD288="Did not Meet"),"Did not Meet","Met")</f>
        <v>Met</v>
      </c>
      <c r="BG288" s="637">
        <f>VLOOKUP(A288,'42. SEA or LEA Worksheet'!$A$4:$AM$324,36,0)</f>
        <v>224.3</v>
      </c>
      <c r="BH288" s="638" t="str">
        <f t="shared" si="173"/>
        <v>Met</v>
      </c>
      <c r="BI288" s="639"/>
      <c r="BJ288" s="637">
        <f>VLOOKUP(A288,'42. SEA or LEA Worksheet'!$A$4:$AM$324,38,0)</f>
        <v>1159951.32</v>
      </c>
      <c r="BK288" s="638" t="str">
        <f t="shared" si="174"/>
        <v>Met</v>
      </c>
      <c r="BM288" s="631">
        <f>VLOOKUP(A288,'42. SEA or LEA Worksheet'!$A$4:$AL$324,36,0)/VLOOKUP(A288,'42. SEA or LEA Worksheet'!$A$4:$AL$324,35,0)</f>
        <v>2.1776699029126214</v>
      </c>
      <c r="BN288" s="632" t="str">
        <f t="shared" si="175"/>
        <v>Met</v>
      </c>
      <c r="BP288" s="631">
        <f>VLOOKUP(A288,'42. SEA or LEA Worksheet'!$A$4:$AL$324,38,0)/VLOOKUP(A288,'42. SEA or LEA Worksheet'!$A$4:$AL$324,35,0)</f>
        <v>11261.663300970875</v>
      </c>
      <c r="BQ288" s="632" t="str">
        <f t="shared" si="176"/>
        <v>Met</v>
      </c>
      <c r="BS288" s="620" t="str">
        <f>IF(AND(BH288="Did not Meet",BK288="Did not Meet", BN288="Did not Meet",BQ288="Did not Meet"),"Did not Meet","Met")</f>
        <v>Met</v>
      </c>
    </row>
    <row r="289" spans="1:71" x14ac:dyDescent="0.25">
      <c r="A289" s="343" t="s">
        <v>762</v>
      </c>
      <c r="B289" s="510" t="s">
        <v>1100</v>
      </c>
      <c r="C289" s="511"/>
      <c r="D289" s="444">
        <v>4540772.51</v>
      </c>
      <c r="E289" s="343" t="s">
        <v>856</v>
      </c>
      <c r="F289" s="511"/>
      <c r="G289" s="444">
        <v>39964146.079999998</v>
      </c>
      <c r="H289" s="343" t="s">
        <v>835</v>
      </c>
      <c r="I289" s="511"/>
      <c r="J289" s="444">
        <v>1487.8022640891218</v>
      </c>
      <c r="K289" s="343" t="s">
        <v>856</v>
      </c>
      <c r="L289" s="511"/>
      <c r="M289" s="444">
        <v>13094.412214941021</v>
      </c>
      <c r="N289" s="343" t="s">
        <v>835</v>
      </c>
      <c r="O289" s="511"/>
      <c r="P289" s="512" t="str">
        <f t="shared" si="186"/>
        <v>Met</v>
      </c>
      <c r="Q289" s="511"/>
      <c r="R289" s="444">
        <f>VLOOKUP(A289,'2020-21'!$A$6:$F$319,6,0)</f>
        <v>4357500.32</v>
      </c>
      <c r="S289" s="513" t="str">
        <f t="shared" si="177"/>
        <v>Did not Meet</v>
      </c>
      <c r="U289" s="444">
        <f>VLOOKUP(A289,'2020-21'!$A$6:$G$319,7,0)</f>
        <v>40277856.740000002</v>
      </c>
      <c r="V289" s="513" t="str">
        <f t="shared" si="178"/>
        <v>Met</v>
      </c>
      <c r="X289" s="444">
        <f>VLOOKUP(A289,'2020-21'!$A$6:$F$319,6,0)/VLOOKUP(A289,'42. SEA or LEA Worksheet'!$A$4:$T$324,20,0)</f>
        <v>1470.1418083670717</v>
      </c>
      <c r="Y289" s="513" t="str">
        <f t="shared" si="179"/>
        <v>Did not Meet</v>
      </c>
      <c r="AA289" s="444">
        <f>VLOOKUP(A289,'42. SEA or LEA Worksheet'!$A$4:$W$324,23,0)/VLOOKUP(compliance!A289,'42. SEA or LEA Worksheet'!$A$4:$T$324,20,0)</f>
        <v>13589.020492577598</v>
      </c>
      <c r="AB289" s="513" t="str">
        <f t="shared" si="180"/>
        <v>Met</v>
      </c>
      <c r="AD289" s="512" t="str">
        <f t="shared" si="187"/>
        <v>Met</v>
      </c>
      <c r="AF289" s="444">
        <f>VLOOKUP(A289,'42. SEA or LEA Worksheet'!$A$4:$Z$324,26,0)</f>
        <v>4948822.22</v>
      </c>
      <c r="AG289" s="513" t="str">
        <f t="shared" si="181"/>
        <v>Met</v>
      </c>
      <c r="AI289" s="444">
        <f>VLOOKUP(A289,'42. SEA or LEA Worksheet'!$A$4:$AB$324,28,0)</f>
        <v>43526562.539999999</v>
      </c>
      <c r="AJ289" s="513" t="str">
        <f t="shared" si="182"/>
        <v>Met</v>
      </c>
      <c r="AL289" s="444">
        <f>VLOOKUP(compliance!A289,'42. SEA or LEA Worksheet'!$A$4:$AB$324,26,0)/VLOOKUP(compliance!A289,'42. SEA or LEA Worksheet'!$A$4:$Y$324,25,0)</f>
        <v>1637.5983520847121</v>
      </c>
      <c r="AM289" s="513" t="str">
        <f t="shared" si="183"/>
        <v>Met</v>
      </c>
      <c r="AO289" s="444">
        <f>VLOOKUP(A289,'42. SEA or LEA Worksheet'!$A$4:$AB$324,28,0)/VLOOKUP(compliance!A289,'42. SEA or LEA Worksheet'!$A$4:$Y$324,25,0)</f>
        <v>14403.230489741893</v>
      </c>
      <c r="AP289" s="513" t="str">
        <f t="shared" si="184"/>
        <v>Met</v>
      </c>
      <c r="AR289" s="512" t="str">
        <f t="shared" si="169"/>
        <v>Met</v>
      </c>
      <c r="AT289" s="444">
        <f>VLOOKUP(A289,'42. SEA or LEA Worksheet'!$A$4:$AE$324,31,0)</f>
        <v>12361749.710000001</v>
      </c>
      <c r="AU289" s="513" t="str">
        <f t="shared" si="170"/>
        <v>Met</v>
      </c>
      <c r="AW289" s="444">
        <f>VLOOKUP(A289,'42. SEA or LEA Worksheet'!$A$4:$AG$324,33,0)</f>
        <v>55936825.710000001</v>
      </c>
      <c r="AX289" s="513" t="str">
        <f t="shared" si="171"/>
        <v>Met</v>
      </c>
      <c r="AZ289" s="444">
        <f>VLOOKUP(A289,'42. SEA or LEA Worksheet'!$A$4:$AG$324,31,0)/VLOOKUP(A289,'42. SEA or LEA Worksheet'!$A$4:$AD$324,30,0)</f>
        <v>3769.975513876182</v>
      </c>
      <c r="BA289" s="513" t="str">
        <f t="shared" si="172"/>
        <v>Met</v>
      </c>
      <c r="BC289" s="444">
        <f>VLOOKUP(A289,'42. SEA or LEA Worksheet'!$A$4:$AG$324,33,0)/VLOOKUP(A289,'42. SEA or LEA Worksheet'!$A$4:$AD$324,30,0)</f>
        <v>17059.111225983532</v>
      </c>
      <c r="BD289" s="513" t="str">
        <f t="shared" si="185"/>
        <v>Met</v>
      </c>
      <c r="BF289" s="512" t="str">
        <f>IF(AND(AU289="Did not Meet",AX289="Did not Meet", BA289="Did not Meet",BD289="Did not Meet"),"Did not Meet","Met")</f>
        <v>Met</v>
      </c>
      <c r="BG289" s="637">
        <f>VLOOKUP(A289,'42. SEA or LEA Worksheet'!$A$4:$AM$324,36,0)</f>
        <v>10621283.42</v>
      </c>
      <c r="BH289" s="638" t="str">
        <f t="shared" si="173"/>
        <v>Did not Meet</v>
      </c>
      <c r="BI289" s="639"/>
      <c r="BJ289" s="637">
        <f>VLOOKUP(A289,'42. SEA or LEA Worksheet'!$A$4:$AM$324,38,0)</f>
        <v>63587983.060000002</v>
      </c>
      <c r="BK289" s="638" t="str">
        <f t="shared" si="174"/>
        <v>Met</v>
      </c>
      <c r="BM289" s="631">
        <f>VLOOKUP(A289,'42. SEA or LEA Worksheet'!$A$4:$AL$324,36,0)/VLOOKUP(A289,'42. SEA or LEA Worksheet'!$A$4:$AL$324,35,0)</f>
        <v>3032.9193089663049</v>
      </c>
      <c r="BN289" s="632" t="str">
        <f t="shared" si="175"/>
        <v>Met</v>
      </c>
      <c r="BP289" s="631">
        <f>VLOOKUP(A289,'42. SEA or LEA Worksheet'!$A$4:$AL$324,38,0)/VLOOKUP(A289,'42. SEA or LEA Worksheet'!$A$4:$AL$324,35,0)</f>
        <v>18157.619377498573</v>
      </c>
      <c r="BQ289" s="632" t="str">
        <f t="shared" si="176"/>
        <v>Met</v>
      </c>
      <c r="BS289" s="620" t="str">
        <f>IF(AND(BH289="Did not Meet",BK289="Did not Meet", BN289="Did not Meet",BQ289="Did not Meet"),"Did not Meet","Met")</f>
        <v>Met</v>
      </c>
    </row>
    <row r="290" spans="1:71" x14ac:dyDescent="0.25">
      <c r="A290" s="343" t="s">
        <v>764</v>
      </c>
      <c r="B290" s="510" t="s">
        <v>1101</v>
      </c>
      <c r="C290" s="511"/>
      <c r="D290" s="444">
        <v>120906.88</v>
      </c>
      <c r="E290" s="343" t="s">
        <v>835</v>
      </c>
      <c r="F290" s="511"/>
      <c r="G290" s="444">
        <v>2569889.54</v>
      </c>
      <c r="H290" s="343" t="s">
        <v>835</v>
      </c>
      <c r="I290" s="511"/>
      <c r="J290" s="444">
        <v>633.02031413612565</v>
      </c>
      <c r="K290" s="343" t="s">
        <v>835</v>
      </c>
      <c r="L290" s="511"/>
      <c r="M290" s="444">
        <v>13454.919057591624</v>
      </c>
      <c r="N290" s="343" t="s">
        <v>856</v>
      </c>
      <c r="O290" s="511"/>
      <c r="P290" s="512" t="str">
        <f t="shared" si="186"/>
        <v>Met</v>
      </c>
      <c r="Q290" s="511"/>
      <c r="R290" s="444">
        <f>VLOOKUP(A290,'2020-21'!$A$6:$F$319,6,0)</f>
        <v>120936.47</v>
      </c>
      <c r="S290" s="513" t="str">
        <f t="shared" si="177"/>
        <v>Met</v>
      </c>
      <c r="U290" s="444">
        <f>VLOOKUP(A290,'2020-21'!$A$6:$G$319,7,0)</f>
        <v>2710502.54</v>
      </c>
      <c r="V290" s="513" t="str">
        <f t="shared" si="178"/>
        <v>Met</v>
      </c>
      <c r="X290" s="444">
        <f>VLOOKUP(A290,'2020-21'!$A$6:$F$319,6,0)/VLOOKUP(A290,'42. SEA or LEA Worksheet'!$A$4:$T$324,20,0)</f>
        <v>671.86927777777782</v>
      </c>
      <c r="Y290" s="513" t="str">
        <f t="shared" si="179"/>
        <v>Met</v>
      </c>
      <c r="AA290" s="444">
        <f>VLOOKUP(A290,'42. SEA or LEA Worksheet'!$A$4:$W$324,23,0)/VLOOKUP(compliance!A290,'42. SEA or LEA Worksheet'!$A$4:$T$324,20,0)</f>
        <v>15058.347444444446</v>
      </c>
      <c r="AB290" s="513" t="str">
        <f t="shared" si="180"/>
        <v>Met</v>
      </c>
      <c r="AD290" s="512" t="str">
        <f t="shared" si="187"/>
        <v>Met</v>
      </c>
      <c r="AF290" s="444">
        <f>VLOOKUP(A290,'42. SEA or LEA Worksheet'!$A$4:$Z$324,26,0)</f>
        <v>126661.05</v>
      </c>
      <c r="AG290" s="513" t="str">
        <f t="shared" si="181"/>
        <v>Met</v>
      </c>
      <c r="AI290" s="444">
        <f>VLOOKUP(A290,'42. SEA or LEA Worksheet'!$A$4:$AB$324,28,0)</f>
        <v>2698281.09</v>
      </c>
      <c r="AJ290" s="513" t="str">
        <f t="shared" si="182"/>
        <v>Did not Meet</v>
      </c>
      <c r="AL290" s="444">
        <f>VLOOKUP(compliance!A290,'42. SEA or LEA Worksheet'!$A$4:$AB$324,26,0)/VLOOKUP(compliance!A290,'42. SEA or LEA Worksheet'!$A$4:$Y$324,25,0)</f>
        <v>711.57893258426964</v>
      </c>
      <c r="AM290" s="513" t="str">
        <f t="shared" si="183"/>
        <v>Met</v>
      </c>
      <c r="AO290" s="444">
        <f>VLOOKUP(A290,'42. SEA or LEA Worksheet'!$A$4:$AB$324,28,0)/VLOOKUP(compliance!A290,'42. SEA or LEA Worksheet'!$A$4:$Y$324,25,0)</f>
        <v>15158.882528089887</v>
      </c>
      <c r="AP290" s="513" t="str">
        <f t="shared" si="184"/>
        <v>Met</v>
      </c>
      <c r="AR290" s="512" t="str">
        <f t="shared" si="169"/>
        <v>Met</v>
      </c>
      <c r="AT290" s="444">
        <f>VLOOKUP(A290,'42. SEA or LEA Worksheet'!$A$4:$AE$324,31,0)</f>
        <v>558087.41</v>
      </c>
      <c r="AU290" s="513" t="str">
        <f t="shared" si="170"/>
        <v>Met</v>
      </c>
      <c r="AW290" s="444">
        <f>VLOOKUP(A290,'42. SEA or LEA Worksheet'!$A$4:$AG$324,33,0)</f>
        <v>2829059.29</v>
      </c>
      <c r="AX290" s="513" t="str">
        <f t="shared" si="171"/>
        <v>Met</v>
      </c>
      <c r="AZ290" s="444">
        <f>VLOOKUP(A290,'42. SEA or LEA Worksheet'!$A$4:$AG$324,31,0)/VLOOKUP(A290,'42. SEA or LEA Worksheet'!$A$4:$AD$324,30,0)</f>
        <v>3016.6887027027028</v>
      </c>
      <c r="BA290" s="513" t="str">
        <f t="shared" si="172"/>
        <v>Met</v>
      </c>
      <c r="BC290" s="444">
        <f>VLOOKUP(A290,'42. SEA or LEA Worksheet'!$A$4:$AG$324,33,0)/VLOOKUP(A290,'42. SEA or LEA Worksheet'!$A$4:$AD$324,30,0)</f>
        <v>15292.212378378379</v>
      </c>
      <c r="BD290" s="513" t="str">
        <f t="shared" si="185"/>
        <v>Met</v>
      </c>
      <c r="BF290" s="512" t="str">
        <f>IF(AND(AU290="Did not Meet",AX290="Did not Meet", BA290="Did not Meet",BD290="Did not Meet",),"Did not Meet","Met")</f>
        <v>Met</v>
      </c>
      <c r="BG290" s="637">
        <f>VLOOKUP(A290,'42. SEA or LEA Worksheet'!$A$4:$AM$324,36,0)</f>
        <v>326411.27</v>
      </c>
      <c r="BH290" s="638" t="str">
        <f t="shared" si="173"/>
        <v>Did not Meet</v>
      </c>
      <c r="BI290" s="639"/>
      <c r="BJ290" s="637">
        <f>VLOOKUP(A290,'42. SEA or LEA Worksheet'!$A$4:$AM$324,38,0)</f>
        <v>2974423.48</v>
      </c>
      <c r="BK290" s="638" t="str">
        <f t="shared" si="174"/>
        <v>Met</v>
      </c>
      <c r="BM290" s="631">
        <f>VLOOKUP(A290,'42. SEA or LEA Worksheet'!$A$4:$AL$324,36,0)/VLOOKUP(A290,'42. SEA or LEA Worksheet'!$A$4:$AL$324,35,0)</f>
        <v>1803.377182320442</v>
      </c>
      <c r="BN290" s="632" t="str">
        <f t="shared" si="175"/>
        <v>Met</v>
      </c>
      <c r="BP290" s="631">
        <f>VLOOKUP(A290,'42. SEA or LEA Worksheet'!$A$4:$AL$324,38,0)/VLOOKUP(A290,'42. SEA or LEA Worksheet'!$A$4:$AL$324,35,0)</f>
        <v>16433.278895027623</v>
      </c>
      <c r="BQ290" s="632" t="str">
        <f t="shared" si="176"/>
        <v>Met</v>
      </c>
      <c r="BS290" s="620" t="str">
        <f>IF(AND(BH290="Did not Meet",BK290="Did not Meet", BN290="Did not Meet",BQ290="Did not Meet",),"Did not Meet","Met")</f>
        <v>Met</v>
      </c>
    </row>
    <row r="291" spans="1:71" x14ac:dyDescent="0.25">
      <c r="A291" s="343" t="s">
        <v>766</v>
      </c>
      <c r="B291" s="510" t="s">
        <v>1102</v>
      </c>
      <c r="C291" s="511"/>
      <c r="D291" s="444">
        <v>0</v>
      </c>
      <c r="E291" s="343" t="s">
        <v>835</v>
      </c>
      <c r="F291" s="511"/>
      <c r="G291" s="444">
        <v>890936.37</v>
      </c>
      <c r="H291" s="343" t="s">
        <v>835</v>
      </c>
      <c r="I291" s="511"/>
      <c r="J291" s="444">
        <v>0</v>
      </c>
      <c r="K291" s="343" t="s">
        <v>835</v>
      </c>
      <c r="L291" s="511"/>
      <c r="M291" s="444">
        <v>9790.509560439561</v>
      </c>
      <c r="N291" s="343" t="s">
        <v>835</v>
      </c>
      <c r="O291" s="511"/>
      <c r="P291" s="512" t="str">
        <f t="shared" si="186"/>
        <v>Met</v>
      </c>
      <c r="Q291" s="511"/>
      <c r="R291" s="444">
        <f>VLOOKUP(A291,'2020-21'!$A$6:$F$319,6,0)</f>
        <v>0</v>
      </c>
      <c r="S291" s="513" t="str">
        <f t="shared" si="177"/>
        <v>Met</v>
      </c>
      <c r="U291" s="444">
        <f>VLOOKUP(A291,'2020-21'!$A$6:$G$319,7,0)</f>
        <v>830324.99</v>
      </c>
      <c r="V291" s="513" t="str">
        <f t="shared" si="178"/>
        <v>Did not Meet</v>
      </c>
      <c r="X291" s="444">
        <v>0</v>
      </c>
      <c r="Y291" s="513" t="str">
        <f t="shared" si="179"/>
        <v>Met</v>
      </c>
      <c r="AA291" s="444">
        <f>VLOOKUP(A291,'42. SEA or LEA Worksheet'!$A$4:$W$324,23,0)/VLOOKUP(compliance!A291,'42. SEA or LEA Worksheet'!$A$4:$T$324,20,0)</f>
        <v>9654.941744186046</v>
      </c>
      <c r="AB291" s="513" t="str">
        <f t="shared" si="180"/>
        <v>Did not Meet</v>
      </c>
      <c r="AD291" s="512" t="str">
        <f t="shared" si="187"/>
        <v>Met</v>
      </c>
      <c r="AF291" s="444">
        <f>VLOOKUP(A291,'42. SEA or LEA Worksheet'!$A$4:$Z$324,26,0)</f>
        <v>0</v>
      </c>
      <c r="AG291" s="513" t="str">
        <f t="shared" si="181"/>
        <v>Met</v>
      </c>
      <c r="AI291" s="444">
        <f>VLOOKUP(A291,'42. SEA or LEA Worksheet'!$A$4:$AB$324,28,0)</f>
        <v>732218.66</v>
      </c>
      <c r="AJ291" s="513" t="str">
        <f t="shared" si="182"/>
        <v>Did not Meet</v>
      </c>
      <c r="AL291" s="444">
        <f>VLOOKUP(compliance!A291,'42. SEA or LEA Worksheet'!$A$4:$AB$324,26,0)/VLOOKUP(compliance!A291,'42. SEA or LEA Worksheet'!$A$4:$Y$324,25,0)</f>
        <v>0</v>
      </c>
      <c r="AM291" s="513" t="str">
        <f t="shared" si="183"/>
        <v>Met</v>
      </c>
      <c r="AO291" s="444">
        <f>VLOOKUP(A291,'42. SEA or LEA Worksheet'!$A$4:$AB$324,28,0)/VLOOKUP(compliance!A291,'42. SEA or LEA Worksheet'!$A$4:$Y$324,25,0)</f>
        <v>8929.4958536585364</v>
      </c>
      <c r="AP291" s="513" t="str">
        <f t="shared" si="184"/>
        <v>Did not Meet</v>
      </c>
      <c r="AR291" s="512" t="str">
        <f t="shared" si="169"/>
        <v>Met</v>
      </c>
      <c r="AT291" s="444">
        <f>VLOOKUP(A291,'42. SEA or LEA Worksheet'!$A$4:$AE$324,31,0)</f>
        <v>0</v>
      </c>
      <c r="AU291" s="513" t="str">
        <f t="shared" si="170"/>
        <v>Met</v>
      </c>
      <c r="AW291" s="444">
        <f>VLOOKUP(A291,'42. SEA or LEA Worksheet'!$A$4:$AG$324,33,0)</f>
        <v>757827.12</v>
      </c>
      <c r="AX291" s="513" t="str">
        <f t="shared" si="171"/>
        <v>Met</v>
      </c>
      <c r="AZ291" s="444">
        <f>VLOOKUP(A291,'42. SEA or LEA Worksheet'!$A$4:$AG$324,31,0)/VLOOKUP(A291,'42. SEA or LEA Worksheet'!$A$4:$AD$324,30,0)</f>
        <v>0</v>
      </c>
      <c r="BA291" s="513" t="str">
        <f t="shared" si="172"/>
        <v>Met</v>
      </c>
      <c r="BC291" s="444">
        <f>VLOOKUP(A291,'42. SEA or LEA Worksheet'!$A$4:$AG$324,33,0)/VLOOKUP(A291,'42. SEA or LEA Worksheet'!$A$4:$AD$324,30,0)</f>
        <v>10525.376666666667</v>
      </c>
      <c r="BD291" s="513" t="str">
        <f t="shared" si="185"/>
        <v>Met</v>
      </c>
      <c r="BF291" s="512" t="str">
        <f>IF(AND(AU291="Did not Meet",AX291="Did not Meet", BA291="Did not Meet",BD291="Did not Meet",),"Did not Meet","Met")</f>
        <v>Met</v>
      </c>
      <c r="BG291" s="637">
        <f>VLOOKUP(A291,'42. SEA or LEA Worksheet'!$A$4:$AM$324,36,0)</f>
        <v>0</v>
      </c>
      <c r="BH291" s="638" t="str">
        <f t="shared" si="173"/>
        <v>Met</v>
      </c>
      <c r="BI291" s="639"/>
      <c r="BJ291" s="637">
        <f>VLOOKUP(A291,'42. SEA or LEA Worksheet'!$A$4:$AM$324,38,0)</f>
        <v>837267.37</v>
      </c>
      <c r="BK291" s="638" t="str">
        <f t="shared" si="174"/>
        <v>Met</v>
      </c>
      <c r="BM291" s="631">
        <f>VLOOKUP(A291,'42. SEA or LEA Worksheet'!$A$4:$AL$324,36,0)/VLOOKUP(A291,'42. SEA or LEA Worksheet'!$A$4:$AL$324,35,0)</f>
        <v>0</v>
      </c>
      <c r="BN291" s="632" t="str">
        <f t="shared" si="175"/>
        <v>Met</v>
      </c>
      <c r="BP291" s="631">
        <f>VLOOKUP(A291,'42. SEA or LEA Worksheet'!$A$4:$AL$324,38,0)/VLOOKUP(A291,'42. SEA or LEA Worksheet'!$A$4:$AL$324,35,0)</f>
        <v>12134.309710144928</v>
      </c>
      <c r="BQ291" s="632" t="str">
        <f t="shared" si="176"/>
        <v>Met</v>
      </c>
      <c r="BS291" s="620" t="str">
        <f>IF(AND(BH291="Did not Meet",BK291="Did not Meet", BN291="Did not Meet",BQ291="Did not Meet",),"Did not Meet","Met")</f>
        <v>Met</v>
      </c>
    </row>
    <row r="292" spans="1:71" x14ac:dyDescent="0.25">
      <c r="A292" s="343" t="s">
        <v>768</v>
      </c>
      <c r="B292" s="510" t="s">
        <v>1103</v>
      </c>
      <c r="C292" s="511"/>
      <c r="D292" s="444">
        <v>0</v>
      </c>
      <c r="E292" s="343" t="s">
        <v>856</v>
      </c>
      <c r="F292" s="511"/>
      <c r="G292" s="444">
        <v>3210124.48</v>
      </c>
      <c r="H292" s="343" t="s">
        <v>835</v>
      </c>
      <c r="I292" s="511"/>
      <c r="J292" s="444">
        <v>0</v>
      </c>
      <c r="K292" s="343" t="s">
        <v>856</v>
      </c>
      <c r="L292" s="511"/>
      <c r="M292" s="444">
        <v>9413.8547800586512</v>
      </c>
      <c r="N292" s="343" t="s">
        <v>835</v>
      </c>
      <c r="O292" s="511"/>
      <c r="P292" s="512" t="str">
        <f t="shared" si="186"/>
        <v>Met</v>
      </c>
      <c r="Q292" s="511"/>
      <c r="R292" s="444">
        <f>VLOOKUP(A292,'2020-21'!$A$6:$F$319,6,0)</f>
        <v>0</v>
      </c>
      <c r="S292" s="513" t="str">
        <f t="shared" si="177"/>
        <v>Met</v>
      </c>
      <c r="U292" s="444">
        <f>VLOOKUP(A292,'2020-21'!$A$6:$G$319,7,0)</f>
        <v>3114699.25</v>
      </c>
      <c r="V292" s="513" t="str">
        <f t="shared" si="178"/>
        <v>Did not Meet</v>
      </c>
      <c r="X292" s="444">
        <f>VLOOKUP(A292,'2020-21'!$A$6:$F$319,6,0)/VLOOKUP(A292,'42. SEA or LEA Worksheet'!$A$4:$T$324,20,0)</f>
        <v>0</v>
      </c>
      <c r="Y292" s="513" t="str">
        <f t="shared" si="179"/>
        <v>Met</v>
      </c>
      <c r="AA292" s="444">
        <f>VLOOKUP(A292,'42. SEA or LEA Worksheet'!$A$4:$W$324,23,0)/VLOOKUP(compliance!A292,'42. SEA or LEA Worksheet'!$A$4:$T$324,20,0)</f>
        <v>9794.6517295597478</v>
      </c>
      <c r="AB292" s="513" t="str">
        <f t="shared" si="180"/>
        <v>Met</v>
      </c>
      <c r="AD292" s="512" t="str">
        <f t="shared" si="187"/>
        <v>Met</v>
      </c>
      <c r="AF292" s="444">
        <f>VLOOKUP(A292,'42. SEA or LEA Worksheet'!$A$4:$Z$324,26,0)</f>
        <v>0</v>
      </c>
      <c r="AG292" s="513" t="str">
        <f t="shared" si="181"/>
        <v>Met</v>
      </c>
      <c r="AI292" s="444">
        <f>VLOOKUP(A292,'42. SEA or LEA Worksheet'!$A$4:$AB$324,28,0)</f>
        <v>3050258.34</v>
      </c>
      <c r="AJ292" s="513" t="str">
        <f t="shared" si="182"/>
        <v>Did not Meet</v>
      </c>
      <c r="AL292" s="444">
        <f>VLOOKUP(compliance!A292,'42. SEA or LEA Worksheet'!$A$4:$AB$324,26,0)/VLOOKUP(compliance!A292,'42. SEA or LEA Worksheet'!$A$4:$Y$324,25,0)</f>
        <v>0</v>
      </c>
      <c r="AM292" s="513" t="str">
        <f t="shared" si="183"/>
        <v>Met</v>
      </c>
      <c r="AO292" s="444">
        <f>VLOOKUP(A292,'42. SEA or LEA Worksheet'!$A$4:$AB$324,28,0)/VLOOKUP(compliance!A292,'42. SEA or LEA Worksheet'!$A$4:$Y$324,25,0)</f>
        <v>9745.2343130990412</v>
      </c>
      <c r="AP292" s="513" t="str">
        <f t="shared" si="184"/>
        <v>Did not Meet</v>
      </c>
      <c r="AR292" s="512" t="str">
        <f t="shared" si="169"/>
        <v>Met</v>
      </c>
      <c r="AT292" s="444">
        <f>VLOOKUP(A292,'42. SEA or LEA Worksheet'!$A$4:$AE$324,31,0)</f>
        <v>0</v>
      </c>
      <c r="AU292" s="513" t="str">
        <f t="shared" si="170"/>
        <v>Met</v>
      </c>
      <c r="AW292" s="444">
        <f>VLOOKUP(A292,'42. SEA or LEA Worksheet'!$A$4:$AG$324,33,0)</f>
        <v>3758769.61</v>
      </c>
      <c r="AX292" s="513" t="str">
        <f t="shared" si="171"/>
        <v>Met</v>
      </c>
      <c r="AZ292" s="444">
        <f>VLOOKUP(A292,'42. SEA or LEA Worksheet'!$A$4:$AG$324,31,0)/VLOOKUP(A292,'42. SEA or LEA Worksheet'!$A$4:$AD$324,30,0)</f>
        <v>0</v>
      </c>
      <c r="BA292" s="513" t="str">
        <f t="shared" si="172"/>
        <v>Met</v>
      </c>
      <c r="BC292" s="444">
        <f>VLOOKUP(A292,'42. SEA or LEA Worksheet'!$A$4:$AG$324,33,0)/VLOOKUP(A292,'42. SEA or LEA Worksheet'!$A$4:$AD$324,30,0)</f>
        <v>12008.848594249201</v>
      </c>
      <c r="BD292" s="513" t="str">
        <f t="shared" si="185"/>
        <v>Met</v>
      </c>
      <c r="BF292" s="512" t="str">
        <f>IF(AND(AU292="Did not Meet",AX292="Did not Meet", BA292="Did not Meet",BD292="Did not Meet"),"Did not Meet","Met")</f>
        <v>Met</v>
      </c>
      <c r="BG292" s="637">
        <f>VLOOKUP(A292,'42. SEA or LEA Worksheet'!$A$4:$AM$324,36,0)</f>
        <v>0</v>
      </c>
      <c r="BH292" s="638" t="str">
        <f t="shared" si="173"/>
        <v>Met</v>
      </c>
      <c r="BI292" s="639"/>
      <c r="BJ292" s="637">
        <f>VLOOKUP(A292,'42. SEA or LEA Worksheet'!$A$4:$AM$324,38,0)</f>
        <v>4245031.28</v>
      </c>
      <c r="BK292" s="638" t="str">
        <f t="shared" si="174"/>
        <v>Met</v>
      </c>
      <c r="BM292" s="631">
        <f>VLOOKUP(A292,'42. SEA or LEA Worksheet'!$A$4:$AL$324,36,0)/VLOOKUP(A292,'42. SEA or LEA Worksheet'!$A$4:$AL$324,35,0)</f>
        <v>0</v>
      </c>
      <c r="BN292" s="632" t="str">
        <f t="shared" si="175"/>
        <v>Met</v>
      </c>
      <c r="BP292" s="631">
        <f>VLOOKUP(A292,'42. SEA or LEA Worksheet'!$A$4:$AL$324,38,0)/VLOOKUP(A292,'42. SEA or LEA Worksheet'!$A$4:$AL$324,35,0)</f>
        <v>13562.400255591056</v>
      </c>
      <c r="BQ292" s="632" t="str">
        <f t="shared" si="176"/>
        <v>Met</v>
      </c>
      <c r="BS292" s="620" t="str">
        <f>IF(AND(BH292="Did not Meet",BK292="Did not Meet", BN292="Did not Meet",BQ292="Did not Meet"),"Did not Meet","Met")</f>
        <v>Met</v>
      </c>
    </row>
    <row r="293" spans="1:71" x14ac:dyDescent="0.25">
      <c r="A293" s="343" t="s">
        <v>770</v>
      </c>
      <c r="B293" s="510" t="s">
        <v>1104</v>
      </c>
      <c r="C293" s="511"/>
      <c r="D293" s="444">
        <v>71746.73</v>
      </c>
      <c r="E293" s="343" t="s">
        <v>856</v>
      </c>
      <c r="F293" s="511"/>
      <c r="G293" s="444">
        <v>219726.46000000002</v>
      </c>
      <c r="H293" s="343" t="s">
        <v>856</v>
      </c>
      <c r="I293" s="511"/>
      <c r="J293" s="444">
        <v>2989.447083333333</v>
      </c>
      <c r="K293" s="343" t="s">
        <v>856</v>
      </c>
      <c r="L293" s="511"/>
      <c r="M293" s="444">
        <v>9155.2691666666669</v>
      </c>
      <c r="N293" s="343" t="s">
        <v>835</v>
      </c>
      <c r="O293" s="511"/>
      <c r="P293" s="512" t="str">
        <f t="shared" si="186"/>
        <v>Met</v>
      </c>
      <c r="Q293" s="511"/>
      <c r="R293" s="444">
        <f>VLOOKUP(A293,'2020-21'!$A$6:$F$319,6,0)</f>
        <v>0</v>
      </c>
      <c r="S293" s="513" t="str">
        <f t="shared" si="177"/>
        <v>Did not Meet</v>
      </c>
      <c r="U293" s="444">
        <f>VLOOKUP(A293,'2020-21'!$A$6:$G$319,7,0)</f>
        <v>210788.07</v>
      </c>
      <c r="V293" s="513" t="str">
        <f t="shared" si="178"/>
        <v>Did not Meet</v>
      </c>
      <c r="X293" s="444">
        <f>VLOOKUP(A293,'2020-21'!$A$6:$F$319,6,0)/VLOOKUP(A293,'42. SEA or LEA Worksheet'!$A$4:$T$324,20,0)</f>
        <v>0</v>
      </c>
      <c r="Y293" s="513" t="str">
        <f t="shared" si="179"/>
        <v>Did not Meet</v>
      </c>
      <c r="AA293" s="444">
        <f>VLOOKUP(A293,'42. SEA or LEA Worksheet'!$A$4:$W$324,23,0)/VLOOKUP(compliance!A293,'42. SEA or LEA Worksheet'!$A$4:$T$324,20,0)</f>
        <v>10539.4035</v>
      </c>
      <c r="AB293" s="513" t="str">
        <f t="shared" si="180"/>
        <v>Met</v>
      </c>
      <c r="AD293" s="512" t="str">
        <f t="shared" si="187"/>
        <v>Met</v>
      </c>
      <c r="AF293" s="444">
        <f>VLOOKUP(A293,'42. SEA or LEA Worksheet'!$A$4:$Z$324,26,0)</f>
        <v>0</v>
      </c>
      <c r="AG293" s="513" t="str">
        <f t="shared" si="181"/>
        <v>Met</v>
      </c>
      <c r="AI293" s="444">
        <f>VLOOKUP(A293,'42. SEA or LEA Worksheet'!$A$4:$AB$324,28,0)</f>
        <v>235014.18</v>
      </c>
      <c r="AJ293" s="513" t="str">
        <f t="shared" si="182"/>
        <v>Met</v>
      </c>
      <c r="AL293" s="444">
        <f>VLOOKUP(compliance!A293,'42. SEA or LEA Worksheet'!$A$4:$AB$324,26,0)/VLOOKUP(compliance!A293,'42. SEA or LEA Worksheet'!$A$4:$Y$324,25,0)</f>
        <v>0</v>
      </c>
      <c r="AM293" s="513" t="str">
        <f t="shared" si="183"/>
        <v>Met</v>
      </c>
      <c r="AO293" s="444">
        <f>VLOOKUP(A293,'42. SEA or LEA Worksheet'!$A$4:$AB$324,28,0)/VLOOKUP(compliance!A293,'42. SEA or LEA Worksheet'!$A$4:$Y$324,25,0)</f>
        <v>9792.2574999999997</v>
      </c>
      <c r="AP293" s="513" t="str">
        <f t="shared" si="184"/>
        <v>Did not Meet</v>
      </c>
      <c r="AR293" s="512" t="str">
        <f t="shared" ref="AR293:AR309" si="188">IF(AND(AG293="Did not Meet",AJ293="Did not Meet", AM293="Did not Meet",AP293="Did not Meet"),"Did not Meet","Met")</f>
        <v>Met</v>
      </c>
      <c r="AT293" s="444">
        <f>VLOOKUP(A293,'42. SEA or LEA Worksheet'!$A$4:$AE$324,31,0)</f>
        <v>314779.40999999997</v>
      </c>
      <c r="AU293" s="513" t="str">
        <f t="shared" si="170"/>
        <v>Met</v>
      </c>
      <c r="AW293" s="444">
        <f>VLOOKUP(A293,'42. SEA or LEA Worksheet'!$A$4:$AG$324,33,0)</f>
        <v>340431.92</v>
      </c>
      <c r="AX293" s="513" t="str">
        <f t="shared" si="171"/>
        <v>Met</v>
      </c>
      <c r="AZ293" s="444">
        <f>VLOOKUP(A293,'42. SEA or LEA Worksheet'!$A$4:$AG$324,31,0)/VLOOKUP(A293,'42. SEA or LEA Worksheet'!$A$4:$AD$324,30,0)</f>
        <v>13686.061304347824</v>
      </c>
      <c r="BA293" s="513" t="str">
        <f t="shared" si="172"/>
        <v>Met</v>
      </c>
      <c r="BC293" s="444">
        <f>VLOOKUP(A293,'42. SEA or LEA Worksheet'!$A$4:$AG$324,33,0)/VLOOKUP(A293,'42. SEA or LEA Worksheet'!$A$4:$AD$324,30,0)</f>
        <v>14801.387826086955</v>
      </c>
      <c r="BD293" s="513" t="str">
        <f t="shared" si="185"/>
        <v>Met</v>
      </c>
      <c r="BF293" s="512" t="str">
        <f>IF(AND(AU293="Did not Meet",AX293="Did not Meet", BA293="Did not Meet",BD293="Did not Meet"),"Did not Meet","Met")</f>
        <v>Met</v>
      </c>
      <c r="BG293" s="637">
        <f>VLOOKUP(A293,'42. SEA or LEA Worksheet'!$A$4:$AM$324,36,0)</f>
        <v>276531.34000000003</v>
      </c>
      <c r="BH293" s="638" t="str">
        <f t="shared" ref="BH293:BH309" si="189">IF(BG293&gt;=AT293,"Met","Did not Meet")</f>
        <v>Did not Meet</v>
      </c>
      <c r="BI293" s="639"/>
      <c r="BJ293" s="637">
        <f>VLOOKUP(A293,'42. SEA or LEA Worksheet'!$A$4:$AM$324,38,0)</f>
        <v>276531.34000000003</v>
      </c>
      <c r="BK293" s="638" t="str">
        <f t="shared" ref="BK293:BK309" si="190">IF(BJ293&gt;=AW293,"Met","Did not Meet")</f>
        <v>Did not Meet</v>
      </c>
      <c r="BM293" s="631">
        <f>VLOOKUP(A293,'42. SEA or LEA Worksheet'!$A$4:$AL$324,36,0)/VLOOKUP(A293,'42. SEA or LEA Worksheet'!$A$4:$AL$324,35,0)</f>
        <v>8920.365806451613</v>
      </c>
      <c r="BN293" s="632" t="str">
        <f t="shared" ref="BN293:BN309" si="191">IF(BM293&gt;=AY293,"Met","Did not Meet")</f>
        <v>Met</v>
      </c>
      <c r="BP293" s="631">
        <f>VLOOKUP(A293,'42. SEA or LEA Worksheet'!$A$4:$AL$324,38,0)/VLOOKUP(A293,'42. SEA or LEA Worksheet'!$A$4:$AL$324,35,0)</f>
        <v>8920.365806451613</v>
      </c>
      <c r="BQ293" s="632" t="str">
        <f t="shared" ref="BQ293:BQ309" si="192">IF(BP293&gt;=BB293,"Met","Did not Meet")</f>
        <v>Met</v>
      </c>
      <c r="BS293" s="620" t="str">
        <f>IF(AND(BH293="Did not Meet",BK293="Did not Meet", BN293="Did not Meet",BQ293="Did not Meet"),"Did not Meet","Met")</f>
        <v>Met</v>
      </c>
    </row>
    <row r="294" spans="1:71" x14ac:dyDescent="0.25">
      <c r="A294" s="343" t="s">
        <v>772</v>
      </c>
      <c r="B294" s="510" t="s">
        <v>1105</v>
      </c>
      <c r="C294" s="511"/>
      <c r="D294" s="444">
        <v>0</v>
      </c>
      <c r="E294" s="343" t="s">
        <v>856</v>
      </c>
      <c r="F294" s="511"/>
      <c r="G294" s="444">
        <v>8331459.6900000004</v>
      </c>
      <c r="H294" s="343" t="s">
        <v>835</v>
      </c>
      <c r="I294" s="511"/>
      <c r="J294" s="444">
        <v>0</v>
      </c>
      <c r="K294" s="343" t="s">
        <v>856</v>
      </c>
      <c r="L294" s="511"/>
      <c r="M294" s="444">
        <v>10185.158545232274</v>
      </c>
      <c r="N294" s="343" t="s">
        <v>856</v>
      </c>
      <c r="O294" s="511"/>
      <c r="P294" s="512" t="str">
        <f t="shared" si="186"/>
        <v>Met</v>
      </c>
      <c r="Q294" s="511"/>
      <c r="R294" s="444">
        <f>VLOOKUP(A294,'2020-21'!$A$6:$F$319,6,0)</f>
        <v>0</v>
      </c>
      <c r="S294" s="513" t="str">
        <f t="shared" si="177"/>
        <v>Met</v>
      </c>
      <c r="U294" s="444">
        <f>VLOOKUP(A294,'2020-21'!$A$6:$G$319,7,0)</f>
        <v>8410279.3499999996</v>
      </c>
      <c r="V294" s="513" t="str">
        <f t="shared" si="178"/>
        <v>Met</v>
      </c>
      <c r="X294" s="444">
        <f>VLOOKUP(A294,'2020-21'!$A$6:$F$319,6,0)/VLOOKUP(A294,'42. SEA or LEA Worksheet'!$A$4:$T$324,20,0)</f>
        <v>0</v>
      </c>
      <c r="Y294" s="513" t="str">
        <f t="shared" si="179"/>
        <v>Met</v>
      </c>
      <c r="AA294" s="444">
        <f>VLOOKUP(A294,'42. SEA or LEA Worksheet'!$A$4:$W$324,23,0)/VLOOKUP(compliance!A294,'42. SEA or LEA Worksheet'!$A$4:$T$324,20,0)</f>
        <v>10727.397130102041</v>
      </c>
      <c r="AB294" s="513" t="str">
        <f t="shared" si="180"/>
        <v>Met</v>
      </c>
      <c r="AD294" s="512" t="str">
        <f t="shared" si="187"/>
        <v>Met</v>
      </c>
      <c r="AF294" s="444">
        <f>VLOOKUP(A294,'42. SEA or LEA Worksheet'!$A$4:$Z$324,26,0)</f>
        <v>490649.58</v>
      </c>
      <c r="AG294" s="513" t="str">
        <f t="shared" si="181"/>
        <v>Met</v>
      </c>
      <c r="AI294" s="444">
        <f>VLOOKUP(A294,'42. SEA or LEA Worksheet'!$A$4:$AB$324,28,0)</f>
        <v>9068500.0600000005</v>
      </c>
      <c r="AJ294" s="513" t="str">
        <f t="shared" si="182"/>
        <v>Met</v>
      </c>
      <c r="AL294" s="444">
        <f>VLOOKUP(compliance!A294,'42. SEA or LEA Worksheet'!$A$4:$AB$324,26,0)/VLOOKUP(compliance!A294,'42. SEA or LEA Worksheet'!$A$4:$Y$324,25,0)</f>
        <v>597.62433617539591</v>
      </c>
      <c r="AM294" s="513" t="str">
        <f t="shared" si="183"/>
        <v>Met</v>
      </c>
      <c r="AO294" s="444">
        <f>VLOOKUP(A294,'42. SEA or LEA Worksheet'!$A$4:$AB$324,28,0)/VLOOKUP(compliance!A294,'42. SEA or LEA Worksheet'!$A$4:$Y$324,25,0)</f>
        <v>11045.676077953716</v>
      </c>
      <c r="AP294" s="513" t="str">
        <f t="shared" si="184"/>
        <v>Met</v>
      </c>
      <c r="AR294" s="512" t="str">
        <f t="shared" si="188"/>
        <v>Met</v>
      </c>
      <c r="AT294" s="444">
        <f>VLOOKUP(A294,'42. SEA or LEA Worksheet'!$A$4:$AE$324,31,0)</f>
        <v>0</v>
      </c>
      <c r="AU294" s="513" t="str">
        <f t="shared" si="170"/>
        <v>Did not Meet</v>
      </c>
      <c r="AW294" s="444">
        <f>VLOOKUP(A294,'42. SEA or LEA Worksheet'!$A$4:$AG$324,33,0)</f>
        <v>9102551.8599999994</v>
      </c>
      <c r="AX294" s="513" t="str">
        <f t="shared" si="171"/>
        <v>Met</v>
      </c>
      <c r="AZ294" s="444">
        <f>VLOOKUP(A294,'42. SEA or LEA Worksheet'!$A$4:$AG$324,31,0)/VLOOKUP(A294,'42. SEA or LEA Worksheet'!$A$4:$AD$324,30,0)</f>
        <v>0</v>
      </c>
      <c r="BA294" s="513" t="str">
        <f t="shared" si="172"/>
        <v>Did not Meet</v>
      </c>
      <c r="BC294" s="444">
        <f>VLOOKUP(A294,'42. SEA or LEA Worksheet'!$A$4:$AG$324,33,0)/VLOOKUP(A294,'42. SEA or LEA Worksheet'!$A$4:$AD$324,30,0)</f>
        <v>10671.22140679953</v>
      </c>
      <c r="BD294" s="513" t="str">
        <f t="shared" si="185"/>
        <v>Did not Meet</v>
      </c>
      <c r="BF294" s="512" t="s">
        <v>835</v>
      </c>
      <c r="BG294" s="637">
        <f>VLOOKUP(A294,'42. SEA or LEA Worksheet'!$A$4:$AM$324,36,0)</f>
        <v>0</v>
      </c>
      <c r="BH294" s="638" t="str">
        <f t="shared" si="189"/>
        <v>Met</v>
      </c>
      <c r="BI294" s="639"/>
      <c r="BJ294" s="637">
        <f>VLOOKUP(A294,'42. SEA or LEA Worksheet'!$A$4:$AM$324,38,0)</f>
        <v>10740513.109999999</v>
      </c>
      <c r="BK294" s="638" t="str">
        <f t="shared" si="190"/>
        <v>Met</v>
      </c>
      <c r="BM294" s="631">
        <f>VLOOKUP(A294,'42. SEA or LEA Worksheet'!$A$4:$AL$324,36,0)/VLOOKUP(A294,'42. SEA or LEA Worksheet'!$A$4:$AL$324,35,0)</f>
        <v>0</v>
      </c>
      <c r="BN294" s="632" t="str">
        <f t="shared" si="191"/>
        <v>Met</v>
      </c>
      <c r="BP294" s="631">
        <f>VLOOKUP(A294,'42. SEA or LEA Worksheet'!$A$4:$AL$324,38,0)/VLOOKUP(A294,'42. SEA or LEA Worksheet'!$A$4:$AL$324,35,0)</f>
        <v>12388.135074971164</v>
      </c>
      <c r="BQ294" s="632" t="str">
        <f t="shared" si="192"/>
        <v>Met</v>
      </c>
      <c r="BS294" s="620" t="s">
        <v>835</v>
      </c>
    </row>
    <row r="295" spans="1:71" x14ac:dyDescent="0.25">
      <c r="A295" s="343" t="s">
        <v>774</v>
      </c>
      <c r="B295" s="510" t="s">
        <v>1106</v>
      </c>
      <c r="C295" s="511"/>
      <c r="D295" s="444">
        <v>0</v>
      </c>
      <c r="E295" s="343" t="s">
        <v>835</v>
      </c>
      <c r="F295" s="511"/>
      <c r="G295" s="444">
        <v>3727303.96</v>
      </c>
      <c r="H295" s="343" t="s">
        <v>835</v>
      </c>
      <c r="I295" s="511"/>
      <c r="J295" s="444">
        <v>0</v>
      </c>
      <c r="K295" s="343" t="s">
        <v>835</v>
      </c>
      <c r="L295" s="511"/>
      <c r="M295" s="444">
        <v>8790.811226415095</v>
      </c>
      <c r="N295" s="343" t="s">
        <v>856</v>
      </c>
      <c r="O295" s="511"/>
      <c r="P295" s="512" t="str">
        <f t="shared" si="186"/>
        <v>Met</v>
      </c>
      <c r="Q295" s="511"/>
      <c r="R295" s="444">
        <f>VLOOKUP(A295,'2020-21'!$A$6:$F$319,6,0)</f>
        <v>0</v>
      </c>
      <c r="S295" s="513" t="str">
        <f t="shared" si="177"/>
        <v>Met</v>
      </c>
      <c r="U295" s="444">
        <f>VLOOKUP(A295,'2020-21'!$A$6:$G$319,7,0)</f>
        <v>4103783.58</v>
      </c>
      <c r="V295" s="513" t="str">
        <f t="shared" si="178"/>
        <v>Met</v>
      </c>
      <c r="X295" s="444">
        <f>VLOOKUP(A295,'2020-21'!$A$6:$F$319,6,0)/VLOOKUP(A295,'42. SEA or LEA Worksheet'!$A$4:$T$324,20,0)</f>
        <v>0</v>
      </c>
      <c r="Y295" s="513" t="str">
        <f t="shared" si="179"/>
        <v>Met</v>
      </c>
      <c r="AA295" s="444">
        <f>VLOOKUP(A295,'42. SEA or LEA Worksheet'!$A$4:$W$324,23,0)/VLOOKUP(compliance!A295,'42. SEA or LEA Worksheet'!$A$4:$T$324,20,0)</f>
        <v>9984.8748905109496</v>
      </c>
      <c r="AB295" s="513" t="str">
        <f t="shared" si="180"/>
        <v>Met</v>
      </c>
      <c r="AD295" s="512" t="str">
        <f t="shared" si="187"/>
        <v>Met</v>
      </c>
      <c r="AF295" s="444">
        <f>VLOOKUP(A295,'42. SEA or LEA Worksheet'!$A$4:$Z$324,26,0)</f>
        <v>0</v>
      </c>
      <c r="AG295" s="513" t="str">
        <f t="shared" si="181"/>
        <v>Met</v>
      </c>
      <c r="AI295" s="444">
        <f>VLOOKUP(A295,'42. SEA or LEA Worksheet'!$A$4:$AB$324,28,0)</f>
        <v>4339975.3</v>
      </c>
      <c r="AJ295" s="513" t="str">
        <f t="shared" si="182"/>
        <v>Met</v>
      </c>
      <c r="AL295" s="444">
        <f>VLOOKUP(compliance!A295,'42. SEA or LEA Worksheet'!$A$4:$AB$324,26,0)/VLOOKUP(compliance!A295,'42. SEA or LEA Worksheet'!$A$4:$Y$324,25,0)</f>
        <v>0</v>
      </c>
      <c r="AM295" s="513" t="str">
        <f t="shared" si="183"/>
        <v>Met</v>
      </c>
      <c r="AO295" s="444">
        <f>VLOOKUP(A295,'42. SEA or LEA Worksheet'!$A$4:$AB$324,28,0)/VLOOKUP(compliance!A295,'42. SEA or LEA Worksheet'!$A$4:$Y$324,25,0)</f>
        <v>10382.716028708133</v>
      </c>
      <c r="AP295" s="513" t="str">
        <f t="shared" si="184"/>
        <v>Met</v>
      </c>
      <c r="AR295" s="512" t="str">
        <f t="shared" si="188"/>
        <v>Met</v>
      </c>
      <c r="AT295" s="444">
        <f>VLOOKUP(A295,'42. SEA or LEA Worksheet'!$A$4:$AE$324,31,0)</f>
        <v>0</v>
      </c>
      <c r="AU295" s="513" t="str">
        <f t="shared" si="170"/>
        <v>Met</v>
      </c>
      <c r="AW295" s="444">
        <f>VLOOKUP(A295,'42. SEA or LEA Worksheet'!$A$4:$AG$324,33,0)</f>
        <v>4832177.49</v>
      </c>
      <c r="AX295" s="513" t="str">
        <f t="shared" si="171"/>
        <v>Met</v>
      </c>
      <c r="AZ295" s="444">
        <f>VLOOKUP(A295,'42. SEA or LEA Worksheet'!$A$4:$AG$324,31,0)/VLOOKUP(A295,'42. SEA or LEA Worksheet'!$A$4:$AD$324,30,0)</f>
        <v>0</v>
      </c>
      <c r="BA295" s="513" t="str">
        <f t="shared" si="172"/>
        <v>Met</v>
      </c>
      <c r="BC295" s="444">
        <f>VLOOKUP(A295,'42. SEA or LEA Worksheet'!$A$4:$AG$324,33,0)/VLOOKUP(A295,'42. SEA or LEA Worksheet'!$A$4:$AD$324,30,0)</f>
        <v>10883.282635135136</v>
      </c>
      <c r="BD295" s="513" t="str">
        <f t="shared" si="185"/>
        <v>Met</v>
      </c>
      <c r="BF295" s="512" t="str">
        <f>IF(AND(AU295="Did not Meet",AX295="Did not Meet", BA295="Did not Meet",BD295="Did not Meet",),"Did not Meet","Met")</f>
        <v>Met</v>
      </c>
      <c r="BG295" s="637">
        <f>VLOOKUP(A295,'42. SEA or LEA Worksheet'!$A$4:$AM$324,36,0)</f>
        <v>0</v>
      </c>
      <c r="BH295" s="638" t="str">
        <f t="shared" si="189"/>
        <v>Met</v>
      </c>
      <c r="BI295" s="639"/>
      <c r="BJ295" s="637">
        <f>VLOOKUP(A295,'42. SEA or LEA Worksheet'!$A$4:$AM$324,38,0)</f>
        <v>5115456.1100000003</v>
      </c>
      <c r="BK295" s="638" t="str">
        <f t="shared" si="190"/>
        <v>Met</v>
      </c>
      <c r="BM295" s="631">
        <f>VLOOKUP(A295,'42. SEA or LEA Worksheet'!$A$4:$AL$324,36,0)/VLOOKUP(A295,'42. SEA or LEA Worksheet'!$A$4:$AL$324,35,0)</f>
        <v>0</v>
      </c>
      <c r="BN295" s="632" t="str">
        <f t="shared" si="191"/>
        <v>Met</v>
      </c>
      <c r="BP295" s="631">
        <f>VLOOKUP(A295,'42. SEA or LEA Worksheet'!$A$4:$AL$324,38,0)/VLOOKUP(A295,'42. SEA or LEA Worksheet'!$A$4:$AL$324,35,0)</f>
        <v>12208.725799522674</v>
      </c>
      <c r="BQ295" s="632" t="str">
        <f t="shared" si="192"/>
        <v>Met</v>
      </c>
      <c r="BS295" s="620" t="str">
        <f>IF(AND(BH295="Did not Meet",BK295="Did not Meet", BN295="Did not Meet",BQ295="Did not Meet",),"Did not Meet","Met")</f>
        <v>Met</v>
      </c>
    </row>
    <row r="296" spans="1:71" x14ac:dyDescent="0.25">
      <c r="A296" s="343" t="s">
        <v>776</v>
      </c>
      <c r="B296" s="510" t="s">
        <v>1107</v>
      </c>
      <c r="C296" s="511"/>
      <c r="D296" s="444">
        <v>0</v>
      </c>
      <c r="E296" s="343" t="s">
        <v>856</v>
      </c>
      <c r="F296" s="511"/>
      <c r="G296" s="444">
        <v>1351707.85</v>
      </c>
      <c r="H296" s="343" t="s">
        <v>835</v>
      </c>
      <c r="I296" s="511"/>
      <c r="J296" s="444">
        <v>0</v>
      </c>
      <c r="K296" s="343" t="s">
        <v>856</v>
      </c>
      <c r="L296" s="511"/>
      <c r="M296" s="444">
        <v>8834.6918300653597</v>
      </c>
      <c r="N296" s="343" t="s">
        <v>856</v>
      </c>
      <c r="O296" s="511"/>
      <c r="P296" s="512" t="str">
        <f t="shared" si="186"/>
        <v>Met</v>
      </c>
      <c r="Q296" s="511"/>
      <c r="R296" s="444">
        <f>VLOOKUP(A296,'2020-21'!$A$6:$F$319,6,0)</f>
        <v>86534.1</v>
      </c>
      <c r="S296" s="513" t="str">
        <f t="shared" si="177"/>
        <v>Met</v>
      </c>
      <c r="U296" s="444">
        <f>VLOOKUP(A296,'2020-21'!$A$6:$G$319,7,0)</f>
        <v>1406374.08</v>
      </c>
      <c r="V296" s="513" t="str">
        <f t="shared" si="178"/>
        <v>Met</v>
      </c>
      <c r="X296" s="444">
        <f>VLOOKUP(A296,'2020-21'!$A$6:$F$319,6,0)/VLOOKUP(A296,'42. SEA or LEA Worksheet'!$A$4:$T$324,20,0)</f>
        <v>645.77686567164187</v>
      </c>
      <c r="Y296" s="513" t="str">
        <f t="shared" si="179"/>
        <v>Met</v>
      </c>
      <c r="AA296" s="444">
        <f>VLOOKUP(A296,'42. SEA or LEA Worksheet'!$A$4:$W$324,23,0)/VLOOKUP(compliance!A296,'42. SEA or LEA Worksheet'!$A$4:$T$324,20,0)</f>
        <v>10495.32895522388</v>
      </c>
      <c r="AB296" s="513" t="str">
        <f t="shared" si="180"/>
        <v>Met</v>
      </c>
      <c r="AD296" s="512" t="str">
        <f t="shared" si="187"/>
        <v>Met</v>
      </c>
      <c r="AF296" s="444">
        <f>VLOOKUP(A296,'42. SEA or LEA Worksheet'!$A$4:$Z$324,26,0)</f>
        <v>1781.25</v>
      </c>
      <c r="AG296" s="513" t="str">
        <f t="shared" si="181"/>
        <v>Did not Meet</v>
      </c>
      <c r="AI296" s="444">
        <f>VLOOKUP(A296,'42. SEA or LEA Worksheet'!$A$4:$AB$324,28,0)</f>
        <v>1294797.19</v>
      </c>
      <c r="AJ296" s="513" t="str">
        <f t="shared" si="182"/>
        <v>Did not Meet</v>
      </c>
      <c r="AL296" s="444">
        <f>VLOOKUP(compliance!A296,'42. SEA or LEA Worksheet'!$A$4:$AB$324,26,0)/VLOOKUP(compliance!A296,'42. SEA or LEA Worksheet'!$A$4:$Y$324,25,0)</f>
        <v>13.80813953488372</v>
      </c>
      <c r="AM296" s="513" t="str">
        <f t="shared" si="183"/>
        <v>Did not Meet</v>
      </c>
      <c r="AO296" s="444">
        <f>VLOOKUP(A296,'42. SEA or LEA Worksheet'!$A$4:$AB$324,28,0)/VLOOKUP(compliance!A296,'42. SEA or LEA Worksheet'!$A$4:$Y$324,25,0)</f>
        <v>10037.187519379844</v>
      </c>
      <c r="AP296" s="513" t="str">
        <f t="shared" si="184"/>
        <v>Did not Meet</v>
      </c>
      <c r="AR296" s="512" t="str">
        <f t="shared" si="188"/>
        <v>Did not Meet</v>
      </c>
      <c r="AT296" s="444">
        <f>VLOOKUP(A296,'42. SEA or LEA Worksheet'!$A$4:$AE$324,31,0)</f>
        <v>0</v>
      </c>
      <c r="AU296" s="513" t="s">
        <v>1453</v>
      </c>
      <c r="AW296" s="444">
        <f>VLOOKUP(A296,'42. SEA or LEA Worksheet'!$A$4:$AG$324,33,0)</f>
        <v>1269260.54</v>
      </c>
      <c r="AX296" s="513" t="s">
        <v>1453</v>
      </c>
      <c r="AZ296" s="444">
        <f>VLOOKUP(A296,'42. SEA or LEA Worksheet'!$A$4:$AG$324,31,0)/VLOOKUP(A296,'42. SEA or LEA Worksheet'!$A$4:$AD$324,30,0)</f>
        <v>0</v>
      </c>
      <c r="BA296" s="513" t="s">
        <v>1453</v>
      </c>
      <c r="BC296" s="444">
        <f>VLOOKUP(A296,'42. SEA or LEA Worksheet'!$A$4:$AG$324,33,0)/VLOOKUP(A296,'42. SEA or LEA Worksheet'!$A$4:$AD$324,30,0)</f>
        <v>9066.1467142857146</v>
      </c>
      <c r="BD296" s="513" t="s">
        <v>1453</v>
      </c>
      <c r="BF296" s="512" t="str">
        <f>IF(AND(AU296="Did not Meet",AX296="Did not Meet", BA296="Did not Meet",BD296="Did not Meet"),"Did not Meet","Met")</f>
        <v>Met</v>
      </c>
      <c r="BG296" s="637">
        <f>VLOOKUP(A296,'42. SEA or LEA Worksheet'!$A$4:$AM$324,36,0)</f>
        <v>0</v>
      </c>
      <c r="BH296" s="638" t="str">
        <f t="shared" si="189"/>
        <v>Met</v>
      </c>
      <c r="BI296" s="639"/>
      <c r="BJ296" s="637">
        <f>VLOOKUP(A296,'42. SEA or LEA Worksheet'!$A$4:$AM$324,38,0)</f>
        <v>1534702.12</v>
      </c>
      <c r="BK296" s="638" t="str">
        <f t="shared" si="190"/>
        <v>Met</v>
      </c>
      <c r="BM296" s="631">
        <f>VLOOKUP(A296,'42. SEA or LEA Worksheet'!$A$4:$AL$324,36,0)/VLOOKUP(A296,'42. SEA or LEA Worksheet'!$A$4:$AL$324,35,0)</f>
        <v>0</v>
      </c>
      <c r="BN296" s="632" t="str">
        <f t="shared" si="191"/>
        <v>Met</v>
      </c>
      <c r="BP296" s="631">
        <f>VLOOKUP(A296,'42. SEA or LEA Worksheet'!$A$4:$AL$324,38,0)/VLOOKUP(A296,'42. SEA or LEA Worksheet'!$A$4:$AL$324,35,0)</f>
        <v>10962.158000000001</v>
      </c>
      <c r="BQ296" s="632" t="str">
        <f t="shared" si="192"/>
        <v>Met</v>
      </c>
      <c r="BS296" s="620" t="str">
        <f>IF(AND(BH296="Did not Meet",BK296="Did not Meet", BN296="Did not Meet",BQ296="Did not Meet"),"Did not Meet","Met")</f>
        <v>Met</v>
      </c>
    </row>
    <row r="297" spans="1:71" x14ac:dyDescent="0.25">
      <c r="A297" s="343" t="s">
        <v>778</v>
      </c>
      <c r="B297" s="510" t="s">
        <v>1108</v>
      </c>
      <c r="C297" s="511"/>
      <c r="D297" s="444">
        <v>355307.22</v>
      </c>
      <c r="E297" s="343" t="s">
        <v>856</v>
      </c>
      <c r="F297" s="511"/>
      <c r="G297" s="444">
        <v>6254603.1200000001</v>
      </c>
      <c r="H297" s="343" t="s">
        <v>835</v>
      </c>
      <c r="I297" s="511"/>
      <c r="J297" s="444">
        <v>728.08856557377044</v>
      </c>
      <c r="K297" s="343" t="s">
        <v>856</v>
      </c>
      <c r="L297" s="511"/>
      <c r="M297" s="444">
        <v>12816.809672131149</v>
      </c>
      <c r="N297" s="343" t="s">
        <v>835</v>
      </c>
      <c r="O297" s="511"/>
      <c r="P297" s="512" t="str">
        <f t="shared" si="186"/>
        <v>Met</v>
      </c>
      <c r="Q297" s="511"/>
      <c r="R297" s="444">
        <f>VLOOKUP(A297,'2020-21'!$A$6:$F$319,6,0)</f>
        <v>358589.35</v>
      </c>
      <c r="S297" s="513" t="str">
        <f t="shared" si="177"/>
        <v>Met</v>
      </c>
      <c r="U297" s="444">
        <f>VLOOKUP(A297,'2020-21'!$A$6:$G$319,7,0)</f>
        <v>6878038.6599999992</v>
      </c>
      <c r="V297" s="513" t="str">
        <f t="shared" si="178"/>
        <v>Met</v>
      </c>
      <c r="X297" s="444">
        <f>VLOOKUP(A297,'2020-21'!$A$6:$F$319,6,0)/VLOOKUP(A297,'42. SEA or LEA Worksheet'!$A$4:$T$324,20,0)</f>
        <v>786.38015350877185</v>
      </c>
      <c r="Y297" s="513" t="str">
        <f t="shared" si="179"/>
        <v>Met</v>
      </c>
      <c r="AA297" s="444">
        <f>VLOOKUP(A297,'42. SEA or LEA Worksheet'!$A$4:$W$324,23,0)/VLOOKUP(compliance!A297,'42. SEA or LEA Worksheet'!$A$4:$T$324,20,0)</f>
        <v>15083.418114035087</v>
      </c>
      <c r="AB297" s="513" t="str">
        <f t="shared" si="180"/>
        <v>Met</v>
      </c>
      <c r="AD297" s="512" t="str">
        <f t="shared" si="187"/>
        <v>Met</v>
      </c>
      <c r="AF297" s="444">
        <f>VLOOKUP(A297,'42. SEA or LEA Worksheet'!$A$4:$Z$324,26,0)</f>
        <v>309017.24</v>
      </c>
      <c r="AG297" s="513" t="str">
        <f t="shared" si="181"/>
        <v>Did not Meet</v>
      </c>
      <c r="AI297" s="444">
        <f>VLOOKUP(A297,'42. SEA or LEA Worksheet'!$A$4:$AB$324,28,0)</f>
        <v>7081719.2599999998</v>
      </c>
      <c r="AJ297" s="513" t="str">
        <f t="shared" si="182"/>
        <v>Met</v>
      </c>
      <c r="AL297" s="444">
        <f>VLOOKUP(compliance!A297,'42. SEA or LEA Worksheet'!$A$4:$AB$324,26,0)/VLOOKUP(compliance!A297,'42. SEA or LEA Worksheet'!$A$4:$Y$324,25,0)</f>
        <v>656.08755838641184</v>
      </c>
      <c r="AM297" s="513" t="str">
        <f t="shared" si="183"/>
        <v>Did not Meet</v>
      </c>
      <c r="AO297" s="444">
        <f>VLOOKUP(A297,'42. SEA or LEA Worksheet'!$A$4:$AB$324,28,0)/VLOOKUP(compliance!A297,'42. SEA or LEA Worksheet'!$A$4:$Y$324,25,0)</f>
        <v>15035.497367303609</v>
      </c>
      <c r="AP297" s="513" t="str">
        <f t="shared" si="184"/>
        <v>Did not Meet</v>
      </c>
      <c r="AR297" s="512" t="str">
        <f t="shared" si="188"/>
        <v>Met</v>
      </c>
      <c r="AT297" s="444">
        <f>VLOOKUP(A297,'42. SEA or LEA Worksheet'!$A$4:$AE$324,31,0)</f>
        <v>364992.54</v>
      </c>
      <c r="AU297" s="513" t="str">
        <f t="shared" ref="AU297:AU309" si="193">IF(AT297&gt;=AF297,"Met","Did not Meet")</f>
        <v>Met</v>
      </c>
      <c r="AW297" s="444">
        <f>VLOOKUP(A297,'42. SEA or LEA Worksheet'!$A$4:$AG$324,33,0)</f>
        <v>7557300.79</v>
      </c>
      <c r="AX297" s="513" t="str">
        <f t="shared" ref="AX297:AX309" si="194">IF(AW297&gt;=AI297,"Met","Did not Meet")</f>
        <v>Met</v>
      </c>
      <c r="AZ297" s="444">
        <f>VLOOKUP(A297,'42. SEA or LEA Worksheet'!$A$4:$AG$324,31,0)/VLOOKUP(A297,'42. SEA or LEA Worksheet'!$A$4:$AD$324,30,0)</f>
        <v>779.8985897435897</v>
      </c>
      <c r="BA297" s="513" t="str">
        <f t="shared" ref="BA297:BA309" si="195">IF(AZ297&gt;=AL297,"Met","Did not Meet")</f>
        <v>Met</v>
      </c>
      <c r="BC297" s="444">
        <f>VLOOKUP(A297,'42. SEA or LEA Worksheet'!$A$4:$AG$324,33,0)/VLOOKUP(A297,'42. SEA or LEA Worksheet'!$A$4:$AD$324,30,0)</f>
        <v>16148.078611111112</v>
      </c>
      <c r="BD297" s="513" t="str">
        <f t="shared" ref="BD297:BD317" si="196">IF(BC297&gt;=AO297,"Met","Did not Meet")</f>
        <v>Met</v>
      </c>
      <c r="BF297" s="512" t="str">
        <f>IF(AND(AU297="Did not Meet",AX297="Did not Meet", BA297="Did not Meet",BD297="Did not Meet"),"Did not Meet","Met")</f>
        <v>Met</v>
      </c>
      <c r="BG297" s="637">
        <f>VLOOKUP(A297,'42. SEA or LEA Worksheet'!$A$4:$AM$324,36,0)</f>
        <v>336053.37</v>
      </c>
      <c r="BH297" s="638" t="str">
        <f t="shared" si="189"/>
        <v>Did not Meet</v>
      </c>
      <c r="BI297" s="639"/>
      <c r="BJ297" s="637">
        <f>VLOOKUP(A297,'42. SEA or LEA Worksheet'!$A$4:$AM$324,38,0)</f>
        <v>7380058.2000000002</v>
      </c>
      <c r="BK297" s="638" t="str">
        <f t="shared" si="190"/>
        <v>Did not Meet</v>
      </c>
      <c r="BM297" s="631">
        <f>VLOOKUP(A297,'42. SEA or LEA Worksheet'!$A$4:$AL$324,36,0)/VLOOKUP(A297,'42. SEA or LEA Worksheet'!$A$4:$AL$324,35,0)</f>
        <v>680.26997975708503</v>
      </c>
      <c r="BN297" s="632" t="str">
        <f t="shared" si="191"/>
        <v>Met</v>
      </c>
      <c r="BP297" s="631">
        <f>VLOOKUP(A297,'42. SEA or LEA Worksheet'!$A$4:$AL$324,38,0)/VLOOKUP(A297,'42. SEA or LEA Worksheet'!$A$4:$AL$324,35,0)</f>
        <v>14939.389068825911</v>
      </c>
      <c r="BQ297" s="632" t="str">
        <f t="shared" si="192"/>
        <v>Met</v>
      </c>
      <c r="BS297" s="620" t="str">
        <f>IF(AND(BH297="Did not Meet",BK297="Did not Meet", BN297="Did not Meet",BQ297="Did not Meet"),"Did not Meet","Met")</f>
        <v>Met</v>
      </c>
    </row>
    <row r="298" spans="1:71" x14ac:dyDescent="0.25">
      <c r="A298" s="343" t="s">
        <v>780</v>
      </c>
      <c r="B298" s="510" t="s">
        <v>1109</v>
      </c>
      <c r="C298" s="511"/>
      <c r="D298" s="444">
        <v>0</v>
      </c>
      <c r="E298" s="343" t="s">
        <v>835</v>
      </c>
      <c r="F298" s="511"/>
      <c r="G298" s="444">
        <v>65466.49</v>
      </c>
      <c r="H298" s="343" t="s">
        <v>856</v>
      </c>
      <c r="I298" s="511"/>
      <c r="J298" s="444">
        <v>0</v>
      </c>
      <c r="K298" s="343" t="s">
        <v>835</v>
      </c>
      <c r="L298" s="511"/>
      <c r="M298" s="444">
        <v>16366.622499999999</v>
      </c>
      <c r="N298" s="343" t="s">
        <v>856</v>
      </c>
      <c r="O298" s="511"/>
      <c r="P298" s="512" t="str">
        <f t="shared" si="186"/>
        <v>Met</v>
      </c>
      <c r="Q298" s="511"/>
      <c r="R298" s="444">
        <f>VLOOKUP(A298,'2020-21'!$A$6:$F$319,6,0)</f>
        <v>0</v>
      </c>
      <c r="S298" s="513" t="str">
        <f t="shared" si="177"/>
        <v>Met</v>
      </c>
      <c r="U298" s="444">
        <f>VLOOKUP(A298,'2020-21'!$A$6:$G$319,7,0)</f>
        <v>90933.52</v>
      </c>
      <c r="V298" s="513" t="str">
        <f t="shared" si="178"/>
        <v>Met</v>
      </c>
      <c r="X298" s="444">
        <f>VLOOKUP(A298,'2020-21'!$A$6:$F$319,6,0)/VLOOKUP(A298,'42. SEA or LEA Worksheet'!$A$4:$T$324,20,0)</f>
        <v>0</v>
      </c>
      <c r="Y298" s="513" t="str">
        <f t="shared" si="179"/>
        <v>Met</v>
      </c>
      <c r="AA298" s="444">
        <f>VLOOKUP(A298,'42. SEA or LEA Worksheet'!$A$4:$W$324,23,0)/VLOOKUP(compliance!A298,'42. SEA or LEA Worksheet'!$A$4:$T$324,20,0)</f>
        <v>22733.38</v>
      </c>
      <c r="AB298" s="513" t="str">
        <f t="shared" si="180"/>
        <v>Met</v>
      </c>
      <c r="AD298" s="512" t="str">
        <f t="shared" si="187"/>
        <v>Met</v>
      </c>
      <c r="AF298" s="444">
        <f>VLOOKUP(A298,'42. SEA or LEA Worksheet'!$A$4:$Z$324,26,0)</f>
        <v>0</v>
      </c>
      <c r="AG298" s="513" t="str">
        <f t="shared" si="181"/>
        <v>Met</v>
      </c>
      <c r="AI298" s="444">
        <f>VLOOKUP(A298,'42. SEA or LEA Worksheet'!$A$4:$AB$324,28,0)</f>
        <v>95403.75</v>
      </c>
      <c r="AJ298" s="513" t="str">
        <f t="shared" si="182"/>
        <v>Met</v>
      </c>
      <c r="AL298" s="444">
        <f>VLOOKUP(compliance!A298,'42. SEA or LEA Worksheet'!$A$4:$AB$324,26,0)/VLOOKUP(compliance!A298,'42. SEA or LEA Worksheet'!$A$4:$Y$324,25,0)</f>
        <v>0</v>
      </c>
      <c r="AM298" s="513" t="str">
        <f t="shared" si="183"/>
        <v>Met</v>
      </c>
      <c r="AO298" s="444">
        <f>VLOOKUP(A298,'42. SEA or LEA Worksheet'!$A$4:$AB$324,28,0)/VLOOKUP(compliance!A298,'42. SEA or LEA Worksheet'!$A$4:$Y$324,25,0)</f>
        <v>9540.375</v>
      </c>
      <c r="AP298" s="513" t="str">
        <f t="shared" si="184"/>
        <v>Did not Meet</v>
      </c>
      <c r="AR298" s="512" t="str">
        <f t="shared" si="188"/>
        <v>Met</v>
      </c>
      <c r="AT298" s="444">
        <f>VLOOKUP(A298,'42. SEA or LEA Worksheet'!$A$4:$AE$324,31,0)</f>
        <v>0</v>
      </c>
      <c r="AU298" s="513" t="str">
        <f t="shared" si="193"/>
        <v>Met</v>
      </c>
      <c r="AW298" s="444">
        <f>VLOOKUP(A298,'42. SEA or LEA Worksheet'!$A$4:$AG$324,33,0)</f>
        <v>179211.01</v>
      </c>
      <c r="AX298" s="513" t="str">
        <f t="shared" si="194"/>
        <v>Met</v>
      </c>
      <c r="AZ298" s="444">
        <f>VLOOKUP(A298,'42. SEA or LEA Worksheet'!$A$4:$AG$324,31,0)/VLOOKUP(A298,'42. SEA or LEA Worksheet'!$A$4:$AD$324,30,0)</f>
        <v>0</v>
      </c>
      <c r="BA298" s="513" t="str">
        <f t="shared" si="195"/>
        <v>Met</v>
      </c>
      <c r="BC298" s="444">
        <f>VLOOKUP(A298,'42. SEA or LEA Worksheet'!$A$4:$AG$324,33,0)/VLOOKUP(A298,'42. SEA or LEA Worksheet'!$A$4:$AD$324,30,0)</f>
        <v>12800.786428571429</v>
      </c>
      <c r="BD298" s="513" t="str">
        <f t="shared" si="196"/>
        <v>Met</v>
      </c>
      <c r="BF298" s="512" t="str">
        <f>IF(AND(AU298="Did not Meet",AX298="Did not Meet", BA298="Did not Meet",BD298="Did not Meet",),"Did not Meet","Met")</f>
        <v>Met</v>
      </c>
      <c r="BG298" s="637">
        <f>VLOOKUP(A298,'42. SEA or LEA Worksheet'!$A$4:$AM$324,36,0)</f>
        <v>0</v>
      </c>
      <c r="BH298" s="638" t="str">
        <f t="shared" si="189"/>
        <v>Met</v>
      </c>
      <c r="BI298" s="639"/>
      <c r="BJ298" s="637">
        <f>VLOOKUP(A298,'42. SEA or LEA Worksheet'!$A$4:$AM$324,38,0)</f>
        <v>207571.57</v>
      </c>
      <c r="BK298" s="638" t="str">
        <f t="shared" si="190"/>
        <v>Met</v>
      </c>
      <c r="BM298" s="631">
        <f>VLOOKUP(A298,'42. SEA or LEA Worksheet'!$A$4:$AL$324,36,0)/VLOOKUP(A298,'42. SEA or LEA Worksheet'!$A$4:$AL$324,35,0)</f>
        <v>0</v>
      </c>
      <c r="BN298" s="632" t="str">
        <f t="shared" si="191"/>
        <v>Met</v>
      </c>
      <c r="BP298" s="631">
        <f>VLOOKUP(A298,'42. SEA or LEA Worksheet'!$A$4:$AL$324,38,0)/VLOOKUP(A298,'42. SEA or LEA Worksheet'!$A$4:$AL$324,35,0)</f>
        <v>13838.104666666668</v>
      </c>
      <c r="BQ298" s="632" t="str">
        <f t="shared" si="192"/>
        <v>Met</v>
      </c>
      <c r="BS298" s="620" t="str">
        <f>IF(AND(BH298="Did not Meet",BK298="Did not Meet", BN298="Did not Meet",BQ298="Did not Meet",),"Did not Meet","Met")</f>
        <v>Met</v>
      </c>
    </row>
    <row r="299" spans="1:71" x14ac:dyDescent="0.25">
      <c r="A299" s="343" t="s">
        <v>782</v>
      </c>
      <c r="B299" s="510" t="s">
        <v>1110</v>
      </c>
      <c r="C299" s="511"/>
      <c r="D299" s="444">
        <v>0</v>
      </c>
      <c r="E299" s="343" t="s">
        <v>856</v>
      </c>
      <c r="F299" s="511"/>
      <c r="G299" s="444">
        <v>425408.09</v>
      </c>
      <c r="H299" s="343" t="s">
        <v>880</v>
      </c>
      <c r="I299" s="511"/>
      <c r="J299" s="444">
        <v>0</v>
      </c>
      <c r="K299" s="343" t="s">
        <v>856</v>
      </c>
      <c r="L299" s="511"/>
      <c r="M299" s="444">
        <v>9248.001956521739</v>
      </c>
      <c r="N299" s="343" t="s">
        <v>835</v>
      </c>
      <c r="O299" s="511"/>
      <c r="P299" s="512" t="str">
        <f t="shared" si="186"/>
        <v>Met</v>
      </c>
      <c r="Q299" s="511"/>
      <c r="R299" s="444">
        <f>VLOOKUP(A299,'2020-21'!$A$6:$F$319,6,0)</f>
        <v>0</v>
      </c>
      <c r="S299" s="513" t="str">
        <f t="shared" si="177"/>
        <v>Met</v>
      </c>
      <c r="U299" s="444">
        <f>VLOOKUP(A299,'2020-21'!$A$6:$G$319,7,0)</f>
        <v>406377.91</v>
      </c>
      <c r="V299" s="513" t="str">
        <f t="shared" si="178"/>
        <v>Did not Meet</v>
      </c>
      <c r="X299" s="444">
        <v>0</v>
      </c>
      <c r="Y299" s="513" t="str">
        <f t="shared" si="179"/>
        <v>Met</v>
      </c>
      <c r="AA299" s="444">
        <f>VLOOKUP(A299,'42. SEA or LEA Worksheet'!$A$4:$W$324,23,0)/VLOOKUP(compliance!A299,'42. SEA or LEA Worksheet'!$A$4:$T$324,20,0)</f>
        <v>9030.6202222222219</v>
      </c>
      <c r="AB299" s="513" t="str">
        <f t="shared" si="180"/>
        <v>Did not Meet</v>
      </c>
      <c r="AD299" s="512" t="str">
        <f t="shared" si="187"/>
        <v>Met</v>
      </c>
      <c r="AF299" s="444">
        <f>VLOOKUP(A299,'42. SEA or LEA Worksheet'!$A$4:$Z$324,26,0)</f>
        <v>0</v>
      </c>
      <c r="AG299" s="513" t="str">
        <f t="shared" si="181"/>
        <v>Met</v>
      </c>
      <c r="AI299" s="444">
        <f>VLOOKUP(A299,'42. SEA or LEA Worksheet'!$A$4:$AB$324,28,0)</f>
        <v>414342.2</v>
      </c>
      <c r="AJ299" s="513" t="str">
        <f t="shared" si="182"/>
        <v>Met</v>
      </c>
      <c r="AL299" s="444">
        <f>VLOOKUP(compliance!A299,'42. SEA or LEA Worksheet'!$A$4:$AB$324,26,0)/VLOOKUP(compliance!A299,'42. SEA or LEA Worksheet'!$A$4:$Y$324,25,0)</f>
        <v>0</v>
      </c>
      <c r="AM299" s="513" t="str">
        <f t="shared" si="183"/>
        <v>Met</v>
      </c>
      <c r="AO299" s="444">
        <f>VLOOKUP(A299,'42. SEA or LEA Worksheet'!$A$4:$AB$324,28,0)/VLOOKUP(compliance!A299,'42. SEA or LEA Worksheet'!$A$4:$Y$324,25,0)</f>
        <v>9635.8651162790702</v>
      </c>
      <c r="AP299" s="513" t="str">
        <f t="shared" si="184"/>
        <v>Met</v>
      </c>
      <c r="AR299" s="512" t="str">
        <f t="shared" si="188"/>
        <v>Met</v>
      </c>
      <c r="AT299" s="444">
        <f>VLOOKUP(A299,'42. SEA or LEA Worksheet'!$A$4:$AE$324,31,0)</f>
        <v>174.82</v>
      </c>
      <c r="AU299" s="513" t="str">
        <f t="shared" si="193"/>
        <v>Met</v>
      </c>
      <c r="AW299" s="444">
        <f>VLOOKUP(A299,'42. SEA or LEA Worksheet'!$A$4:$AG$324,33,0)</f>
        <v>447656.81</v>
      </c>
      <c r="AX299" s="513" t="str">
        <f t="shared" si="194"/>
        <v>Met</v>
      </c>
      <c r="AZ299" s="444">
        <f>VLOOKUP(A299,'42. SEA or LEA Worksheet'!$A$4:$AG$324,31,0)/VLOOKUP(A299,'42. SEA or LEA Worksheet'!$A$4:$AD$324,30,0)</f>
        <v>4.1623809523809525</v>
      </c>
      <c r="BA299" s="513" t="str">
        <f t="shared" si="195"/>
        <v>Met</v>
      </c>
      <c r="BC299" s="444">
        <f>VLOOKUP(A299,'42. SEA or LEA Worksheet'!$A$4:$AG$324,33,0)/VLOOKUP(A299,'42. SEA or LEA Worksheet'!$A$4:$AD$324,30,0)</f>
        <v>10658.495476190476</v>
      </c>
      <c r="BD299" s="513" t="str">
        <f t="shared" si="196"/>
        <v>Met</v>
      </c>
      <c r="BF299" s="512" t="str">
        <f t="shared" ref="BF299:BF305" si="197">IF(AND(AU299="Did not Meet",AX299="Did not Meet", BA299="Did not Meet",BD299="Did not Meet"),"Did not Meet","Met")</f>
        <v>Met</v>
      </c>
      <c r="BG299" s="637">
        <f>VLOOKUP(A299,'42. SEA or LEA Worksheet'!$A$4:$AM$324,36,0)</f>
        <v>0</v>
      </c>
      <c r="BH299" s="638" t="str">
        <f t="shared" si="189"/>
        <v>Did not Meet</v>
      </c>
      <c r="BI299" s="639"/>
      <c r="BJ299" s="637">
        <f>VLOOKUP(A299,'42. SEA or LEA Worksheet'!$A$4:$AM$324,38,0)</f>
        <v>545117.64</v>
      </c>
      <c r="BK299" s="638" t="str">
        <f t="shared" si="190"/>
        <v>Met</v>
      </c>
      <c r="BM299" s="631">
        <f>VLOOKUP(A299,'42. SEA or LEA Worksheet'!$A$4:$AL$324,36,0)/VLOOKUP(A299,'42. SEA or LEA Worksheet'!$A$4:$AL$324,35,0)</f>
        <v>0</v>
      </c>
      <c r="BN299" s="632" t="str">
        <f t="shared" si="191"/>
        <v>Met</v>
      </c>
      <c r="BP299" s="631">
        <f>VLOOKUP(A299,'42. SEA or LEA Worksheet'!$A$4:$AL$324,38,0)/VLOOKUP(A299,'42. SEA or LEA Worksheet'!$A$4:$AL$324,35,0)</f>
        <v>11850.38347826087</v>
      </c>
      <c r="BQ299" s="632" t="str">
        <f t="shared" si="192"/>
        <v>Met</v>
      </c>
      <c r="BS299" s="620" t="str">
        <f t="shared" ref="BS299:BS305" si="198">IF(AND(BH299="Did not Meet",BK299="Did not Meet", BN299="Did not Meet",BQ299="Did not Meet"),"Did not Meet","Met")</f>
        <v>Met</v>
      </c>
    </row>
    <row r="300" spans="1:71" x14ac:dyDescent="0.25">
      <c r="A300" s="343" t="s">
        <v>784</v>
      </c>
      <c r="B300" s="510" t="s">
        <v>1111</v>
      </c>
      <c r="C300" s="511"/>
      <c r="D300" s="444">
        <v>0</v>
      </c>
      <c r="E300" s="343" t="s">
        <v>856</v>
      </c>
      <c r="F300" s="511"/>
      <c r="G300" s="444">
        <v>619138.35</v>
      </c>
      <c r="H300" s="343" t="s">
        <v>835</v>
      </c>
      <c r="I300" s="511"/>
      <c r="J300" s="444">
        <v>0</v>
      </c>
      <c r="K300" s="343" t="s">
        <v>856</v>
      </c>
      <c r="L300" s="511"/>
      <c r="M300" s="444">
        <v>10493.87033898305</v>
      </c>
      <c r="N300" s="343" t="s">
        <v>835</v>
      </c>
      <c r="O300" s="511"/>
      <c r="P300" s="512" t="str">
        <f t="shared" si="186"/>
        <v>Met</v>
      </c>
      <c r="Q300" s="511"/>
      <c r="R300" s="444">
        <f>VLOOKUP(A300,'2020-21'!$A$6:$F$319,6,0)</f>
        <v>0</v>
      </c>
      <c r="S300" s="513" t="str">
        <f t="shared" si="177"/>
        <v>Met</v>
      </c>
      <c r="U300" s="444">
        <f>VLOOKUP(A300,'2020-21'!$A$6:$G$319,7,0)</f>
        <v>784179.75</v>
      </c>
      <c r="V300" s="513" t="str">
        <f t="shared" si="178"/>
        <v>Met</v>
      </c>
      <c r="X300" s="444">
        <f>VLOOKUP(A300,'2020-21'!$A$6:$F$319,6,0)/VLOOKUP(A300,'42. SEA or LEA Worksheet'!$A$4:$T$324,20,0)</f>
        <v>0</v>
      </c>
      <c r="Y300" s="513" t="str">
        <f t="shared" si="179"/>
        <v>Met</v>
      </c>
      <c r="AA300" s="444">
        <f>VLOOKUP(A300,'42. SEA or LEA Worksheet'!$A$4:$W$324,23,0)/VLOOKUP(compliance!A300,'42. SEA or LEA Worksheet'!$A$4:$T$324,20,0)</f>
        <v>10742.188356164384</v>
      </c>
      <c r="AB300" s="513" t="str">
        <f t="shared" si="180"/>
        <v>Met</v>
      </c>
      <c r="AD300" s="512" t="str">
        <f t="shared" si="187"/>
        <v>Met</v>
      </c>
      <c r="AF300" s="444">
        <f>VLOOKUP(A300,'42. SEA or LEA Worksheet'!$A$4:$Z$324,26,0)</f>
        <v>0</v>
      </c>
      <c r="AG300" s="513" t="str">
        <f t="shared" si="181"/>
        <v>Met</v>
      </c>
      <c r="AI300" s="444">
        <f>VLOOKUP(A300,'42. SEA or LEA Worksheet'!$A$4:$AB$324,28,0)</f>
        <v>635026.64</v>
      </c>
      <c r="AJ300" s="513" t="str">
        <f t="shared" si="182"/>
        <v>Did not Meet</v>
      </c>
      <c r="AL300" s="444">
        <f>VLOOKUP(compliance!A300,'42. SEA or LEA Worksheet'!$A$4:$AB$324,26,0)/VLOOKUP(compliance!A300,'42. SEA or LEA Worksheet'!$A$4:$Y$324,25,0)</f>
        <v>0</v>
      </c>
      <c r="AM300" s="513" t="str">
        <f t="shared" si="183"/>
        <v>Met</v>
      </c>
      <c r="AO300" s="444">
        <f>VLOOKUP(A300,'42. SEA or LEA Worksheet'!$A$4:$AB$324,28,0)/VLOOKUP(compliance!A300,'42. SEA or LEA Worksheet'!$A$4:$Y$324,25,0)</f>
        <v>8944.0371830985914</v>
      </c>
      <c r="AP300" s="513" t="str">
        <f t="shared" si="184"/>
        <v>Did not Meet</v>
      </c>
      <c r="AR300" s="512" t="str">
        <f t="shared" si="188"/>
        <v>Met</v>
      </c>
      <c r="AT300" s="444">
        <f>VLOOKUP(A300,'42. SEA or LEA Worksheet'!$A$4:$AE$324,31,0)</f>
        <v>131664.85</v>
      </c>
      <c r="AU300" s="513" t="str">
        <f t="shared" si="193"/>
        <v>Met</v>
      </c>
      <c r="AW300" s="444">
        <f>VLOOKUP(A300,'42. SEA or LEA Worksheet'!$A$4:$AG$324,33,0)</f>
        <v>728753.19</v>
      </c>
      <c r="AX300" s="513" t="str">
        <f t="shared" si="194"/>
        <v>Met</v>
      </c>
      <c r="AZ300" s="444">
        <f>VLOOKUP(A300,'42. SEA or LEA Worksheet'!$A$4:$AG$324,31,0)/VLOOKUP(A300,'42. SEA or LEA Worksheet'!$A$4:$AD$324,30,0)</f>
        <v>2158.4401639344264</v>
      </c>
      <c r="BA300" s="513" t="str">
        <f t="shared" si="195"/>
        <v>Met</v>
      </c>
      <c r="BC300" s="444">
        <f>VLOOKUP(A300,'42. SEA or LEA Worksheet'!$A$4:$AG$324,33,0)/VLOOKUP(A300,'42. SEA or LEA Worksheet'!$A$4:$AD$324,30,0)</f>
        <v>11946.773606557375</v>
      </c>
      <c r="BD300" s="513" t="str">
        <f t="shared" si="196"/>
        <v>Met</v>
      </c>
      <c r="BF300" s="512" t="str">
        <f t="shared" si="197"/>
        <v>Met</v>
      </c>
      <c r="BG300" s="637">
        <f>VLOOKUP(A300,'42. SEA or LEA Worksheet'!$A$4:$AM$324,36,0)</f>
        <v>0</v>
      </c>
      <c r="BH300" s="638" t="str">
        <f t="shared" si="189"/>
        <v>Did not Meet</v>
      </c>
      <c r="BI300" s="639"/>
      <c r="BJ300" s="637">
        <f>VLOOKUP(A300,'42. SEA or LEA Worksheet'!$A$4:$AM$324,38,0)</f>
        <v>769119.63</v>
      </c>
      <c r="BK300" s="638" t="str">
        <f t="shared" si="190"/>
        <v>Met</v>
      </c>
      <c r="BM300" s="631">
        <f>VLOOKUP(A300,'42. SEA or LEA Worksheet'!$A$4:$AL$324,36,0)/VLOOKUP(A300,'42. SEA or LEA Worksheet'!$A$4:$AL$324,35,0)</f>
        <v>0</v>
      </c>
      <c r="BN300" s="632" t="str">
        <f t="shared" si="191"/>
        <v>Met</v>
      </c>
      <c r="BP300" s="631">
        <f>VLOOKUP(A300,'42. SEA or LEA Worksheet'!$A$4:$AL$324,38,0)/VLOOKUP(A300,'42. SEA or LEA Worksheet'!$A$4:$AL$324,35,0)</f>
        <v>17479.991590909092</v>
      </c>
      <c r="BQ300" s="632" t="str">
        <f t="shared" si="192"/>
        <v>Met</v>
      </c>
      <c r="BS300" s="620" t="str">
        <f t="shared" si="198"/>
        <v>Met</v>
      </c>
    </row>
    <row r="301" spans="1:71" x14ac:dyDescent="0.25">
      <c r="A301" s="343" t="s">
        <v>786</v>
      </c>
      <c r="B301" s="510" t="s">
        <v>1112</v>
      </c>
      <c r="C301" s="511"/>
      <c r="D301" s="444">
        <v>56412</v>
      </c>
      <c r="E301" s="343" t="s">
        <v>856</v>
      </c>
      <c r="F301" s="511"/>
      <c r="G301" s="444">
        <v>11138054.65</v>
      </c>
      <c r="H301" s="343" t="s">
        <v>835</v>
      </c>
      <c r="I301" s="511"/>
      <c r="J301" s="444">
        <v>58.518672199170126</v>
      </c>
      <c r="K301" s="343" t="s">
        <v>856</v>
      </c>
      <c r="L301" s="511"/>
      <c r="M301" s="444">
        <v>11553.998599585062</v>
      </c>
      <c r="N301" s="343" t="s">
        <v>835</v>
      </c>
      <c r="O301" s="511"/>
      <c r="P301" s="512" t="str">
        <f t="shared" si="186"/>
        <v>Met</v>
      </c>
      <c r="Q301" s="511"/>
      <c r="R301" s="444">
        <f>VLOOKUP(A301,'2020-21'!$A$6:$F$319,6,0)</f>
        <v>0</v>
      </c>
      <c r="S301" s="513" t="str">
        <f t="shared" si="177"/>
        <v>Did not Meet</v>
      </c>
      <c r="U301" s="444">
        <f>VLOOKUP(A301,'2020-21'!$A$6:$G$319,7,0)</f>
        <v>11633960.390000001</v>
      </c>
      <c r="V301" s="513" t="str">
        <f t="shared" si="178"/>
        <v>Met</v>
      </c>
      <c r="X301" s="444">
        <f>VLOOKUP(A301,'2020-21'!$A$6:$F$319,6,0)/VLOOKUP(A301,'42. SEA or LEA Worksheet'!$A$4:$T$324,20,0)</f>
        <v>0</v>
      </c>
      <c r="Y301" s="513" t="str">
        <f t="shared" si="179"/>
        <v>Did not Meet</v>
      </c>
      <c r="AA301" s="444">
        <f>VLOOKUP(A301,'42. SEA or LEA Worksheet'!$A$4:$W$324,23,0)/VLOOKUP(compliance!A301,'42. SEA or LEA Worksheet'!$A$4:$T$324,20,0)</f>
        <v>11484.659812438304</v>
      </c>
      <c r="AB301" s="513" t="str">
        <f t="shared" si="180"/>
        <v>Did not Meet</v>
      </c>
      <c r="AD301" s="512" t="str">
        <f t="shared" si="187"/>
        <v>Met</v>
      </c>
      <c r="AF301" s="444">
        <f>VLOOKUP(A301,'42. SEA or LEA Worksheet'!$A$4:$Z$324,26,0)</f>
        <v>94237.5</v>
      </c>
      <c r="AG301" s="513" t="str">
        <f t="shared" si="181"/>
        <v>Met</v>
      </c>
      <c r="AI301" s="444">
        <f>VLOOKUP(A301,'42. SEA or LEA Worksheet'!$A$4:$AB$324,28,0)</f>
        <v>12041345.550000001</v>
      </c>
      <c r="AJ301" s="513" t="str">
        <f t="shared" si="182"/>
        <v>Met</v>
      </c>
      <c r="AL301" s="444">
        <f>VLOOKUP(compliance!A301,'42. SEA or LEA Worksheet'!$A$4:$AB$324,26,0)/VLOOKUP(compliance!A301,'42. SEA or LEA Worksheet'!$A$4:$Y$324,25,0)</f>
        <v>91.58163265306122</v>
      </c>
      <c r="AM301" s="513" t="str">
        <f t="shared" si="183"/>
        <v>Met</v>
      </c>
      <c r="AO301" s="444">
        <f>VLOOKUP(A301,'42. SEA or LEA Worksheet'!$A$4:$AB$324,28,0)/VLOOKUP(compliance!A301,'42. SEA or LEA Worksheet'!$A$4:$Y$324,25,0)</f>
        <v>11701.987900874636</v>
      </c>
      <c r="AP301" s="513" t="str">
        <f t="shared" si="184"/>
        <v>Met</v>
      </c>
      <c r="AR301" s="512" t="str">
        <f t="shared" si="188"/>
        <v>Met</v>
      </c>
      <c r="AT301" s="444">
        <f>VLOOKUP(A301,'42. SEA or LEA Worksheet'!$A$4:$AE$324,31,0)</f>
        <v>77995.179999999993</v>
      </c>
      <c r="AU301" s="513" t="str">
        <f t="shared" si="193"/>
        <v>Did not Meet</v>
      </c>
      <c r="AW301" s="444">
        <f>VLOOKUP(A301,'42. SEA or LEA Worksheet'!$A$4:$AG$324,33,0)</f>
        <v>14042528.43</v>
      </c>
      <c r="AX301" s="513" t="str">
        <f t="shared" si="194"/>
        <v>Met</v>
      </c>
      <c r="AZ301" s="444">
        <f>VLOOKUP(A301,'42. SEA or LEA Worksheet'!$A$4:$AG$324,31,0)/VLOOKUP(A301,'42. SEA or LEA Worksheet'!$A$4:$AD$324,30,0)</f>
        <v>74.493963705826161</v>
      </c>
      <c r="BA301" s="513" t="str">
        <f t="shared" si="195"/>
        <v>Did not Meet</v>
      </c>
      <c r="BC301" s="444">
        <f>VLOOKUP(A301,'42. SEA or LEA Worksheet'!$A$4:$AG$324,33,0)/VLOOKUP(A301,'42. SEA or LEA Worksheet'!$A$4:$AD$324,30,0)</f>
        <v>13412.157048710602</v>
      </c>
      <c r="BD301" s="513" t="str">
        <f t="shared" si="196"/>
        <v>Met</v>
      </c>
      <c r="BF301" s="512" t="str">
        <f t="shared" si="197"/>
        <v>Met</v>
      </c>
      <c r="BG301" s="637">
        <f>VLOOKUP(A301,'42. SEA or LEA Worksheet'!$A$4:$AM$324,36,0)</f>
        <v>66202.94</v>
      </c>
      <c r="BH301" s="638" t="str">
        <f t="shared" si="189"/>
        <v>Did not Meet</v>
      </c>
      <c r="BI301" s="639"/>
      <c r="BJ301" s="637">
        <f>VLOOKUP(A301,'42. SEA or LEA Worksheet'!$A$4:$AM$324,38,0)</f>
        <v>15146510.199999999</v>
      </c>
      <c r="BK301" s="638" t="str">
        <f t="shared" si="190"/>
        <v>Met</v>
      </c>
      <c r="BM301" s="631">
        <f>VLOOKUP(A301,'42. SEA or LEA Worksheet'!$A$4:$AL$324,36,0)/VLOOKUP(A301,'42. SEA or LEA Worksheet'!$A$4:$AL$324,35,0)</f>
        <v>59.912162895927601</v>
      </c>
      <c r="BN301" s="632" t="str">
        <f t="shared" si="191"/>
        <v>Met</v>
      </c>
      <c r="BP301" s="631">
        <f>VLOOKUP(A301,'42. SEA or LEA Worksheet'!$A$4:$AL$324,38,0)/VLOOKUP(A301,'42. SEA or LEA Worksheet'!$A$4:$AL$324,35,0)</f>
        <v>13707.249049773754</v>
      </c>
      <c r="BQ301" s="632" t="str">
        <f t="shared" si="192"/>
        <v>Met</v>
      </c>
      <c r="BS301" s="620" t="str">
        <f t="shared" si="198"/>
        <v>Met</v>
      </c>
    </row>
    <row r="302" spans="1:71" x14ac:dyDescent="0.25">
      <c r="A302" s="343" t="s">
        <v>788</v>
      </c>
      <c r="B302" s="510" t="s">
        <v>1113</v>
      </c>
      <c r="C302" s="511"/>
      <c r="D302" s="444">
        <v>889559.83</v>
      </c>
      <c r="E302" s="343" t="s">
        <v>835</v>
      </c>
      <c r="F302" s="511"/>
      <c r="G302" s="444">
        <v>7902094.4500000002</v>
      </c>
      <c r="H302" s="343" t="s">
        <v>880</v>
      </c>
      <c r="I302" s="511"/>
      <c r="J302" s="444">
        <v>1215.245669398907</v>
      </c>
      <c r="K302" s="343" t="s">
        <v>835</v>
      </c>
      <c r="L302" s="511"/>
      <c r="M302" s="444">
        <v>10795.210997267759</v>
      </c>
      <c r="N302" s="343" t="s">
        <v>835</v>
      </c>
      <c r="O302" s="511"/>
      <c r="P302" s="512" t="str">
        <f t="shared" si="186"/>
        <v>Met</v>
      </c>
      <c r="Q302" s="511"/>
      <c r="R302" s="444">
        <f>VLOOKUP(A302,'2020-21'!$A$6:$F$319,6,0)</f>
        <v>0</v>
      </c>
      <c r="S302" s="513" t="str">
        <f t="shared" si="177"/>
        <v>Did not Meet</v>
      </c>
      <c r="U302" s="444">
        <f>VLOOKUP(A302,'2020-21'!$A$6:$G$319,7,0)</f>
        <v>7626166.4900000002</v>
      </c>
      <c r="V302" s="513" t="str">
        <f t="shared" si="178"/>
        <v>Did not Meet</v>
      </c>
      <c r="X302" s="444">
        <f>VLOOKUP(A302,'2020-21'!$A$6:$F$319,6,0)/VLOOKUP(A302,'42. SEA or LEA Worksheet'!$A$4:$T$324,20,0)</f>
        <v>0</v>
      </c>
      <c r="Y302" s="513" t="str">
        <f t="shared" si="179"/>
        <v>Did not Meet</v>
      </c>
      <c r="AA302" s="444">
        <f>VLOOKUP(A302,'42. SEA or LEA Worksheet'!$A$4:$W$324,23,0)/VLOOKUP(compliance!A302,'42. SEA or LEA Worksheet'!$A$4:$T$324,20,0)</f>
        <v>10047.650184453229</v>
      </c>
      <c r="AB302" s="513" t="str">
        <f t="shared" si="180"/>
        <v>Did not Meet</v>
      </c>
      <c r="AD302" s="512" t="str">
        <f t="shared" si="187"/>
        <v>Did not Meet</v>
      </c>
      <c r="AF302" s="444">
        <f>VLOOKUP(A302,'42. SEA or LEA Worksheet'!$A$4:$Z$324,26,0)</f>
        <v>0</v>
      </c>
      <c r="AG302" s="513" t="str">
        <f t="shared" si="181"/>
        <v>Met</v>
      </c>
      <c r="AI302" s="444">
        <f>VLOOKUP(A302,'42. SEA or LEA Worksheet'!$A$4:$AB$324,28,0)</f>
        <v>7691266.79</v>
      </c>
      <c r="AJ302" s="513" t="str">
        <f t="shared" si="182"/>
        <v>Met</v>
      </c>
      <c r="AL302" s="444">
        <f>VLOOKUP(compliance!A302,'42. SEA or LEA Worksheet'!$A$4:$AB$324,26,0)/VLOOKUP(compliance!A302,'42. SEA or LEA Worksheet'!$A$4:$Y$324,25,0)</f>
        <v>0</v>
      </c>
      <c r="AM302" s="513" t="str">
        <f t="shared" si="183"/>
        <v>Met</v>
      </c>
      <c r="AO302" s="444">
        <f>VLOOKUP(A302,'42. SEA or LEA Worksheet'!$A$4:$AB$324,28,0)/VLOOKUP(compliance!A302,'42. SEA or LEA Worksheet'!$A$4:$Y$324,25,0)</f>
        <v>9975.7027107652393</v>
      </c>
      <c r="AP302" s="513" t="str">
        <f t="shared" si="184"/>
        <v>Did not Meet</v>
      </c>
      <c r="AR302" s="512" t="str">
        <f t="shared" si="188"/>
        <v>Met</v>
      </c>
      <c r="AT302" s="444">
        <f>VLOOKUP(A302,'42. SEA or LEA Worksheet'!$A$4:$AE$324,31,0)</f>
        <v>0</v>
      </c>
      <c r="AU302" s="513" t="str">
        <f t="shared" si="193"/>
        <v>Met</v>
      </c>
      <c r="AW302" s="444">
        <f>VLOOKUP(A302,'42. SEA or LEA Worksheet'!$A$4:$AG$324,33,0)</f>
        <v>8751645.1799999997</v>
      </c>
      <c r="AX302" s="513" t="str">
        <f t="shared" si="194"/>
        <v>Met</v>
      </c>
      <c r="AZ302" s="444">
        <f>VLOOKUP(A302,'42. SEA or LEA Worksheet'!$A$4:$AG$324,31,0)/VLOOKUP(A302,'42. SEA or LEA Worksheet'!$A$4:$AD$324,30,0)</f>
        <v>0</v>
      </c>
      <c r="BA302" s="513" t="str">
        <f t="shared" si="195"/>
        <v>Met</v>
      </c>
      <c r="BC302" s="444">
        <f>VLOOKUP(A302,'42. SEA or LEA Worksheet'!$A$4:$AG$324,33,0)/VLOOKUP(A302,'42. SEA or LEA Worksheet'!$A$4:$AD$324,30,0)</f>
        <v>11277.893273195876</v>
      </c>
      <c r="BD302" s="513" t="str">
        <f t="shared" si="196"/>
        <v>Met</v>
      </c>
      <c r="BF302" s="512" t="str">
        <f t="shared" si="197"/>
        <v>Met</v>
      </c>
      <c r="BG302" s="637">
        <f>VLOOKUP(A302,'42. SEA or LEA Worksheet'!$A$4:$AM$324,36,0)</f>
        <v>0</v>
      </c>
      <c r="BH302" s="638" t="str">
        <f t="shared" si="189"/>
        <v>Met</v>
      </c>
      <c r="BI302" s="639"/>
      <c r="BJ302" s="637">
        <f>VLOOKUP(A302,'42. SEA or LEA Worksheet'!$A$4:$AM$324,38,0)</f>
        <v>9189491.3599999994</v>
      </c>
      <c r="BK302" s="638" t="str">
        <f t="shared" si="190"/>
        <v>Met</v>
      </c>
      <c r="BM302" s="631">
        <f>VLOOKUP(A302,'42. SEA or LEA Worksheet'!$A$4:$AL$324,36,0)/VLOOKUP(A302,'42. SEA or LEA Worksheet'!$A$4:$AL$324,35,0)</f>
        <v>0</v>
      </c>
      <c r="BN302" s="632" t="str">
        <f t="shared" si="191"/>
        <v>Met</v>
      </c>
      <c r="BP302" s="631">
        <f>VLOOKUP(A302,'42. SEA or LEA Worksheet'!$A$4:$AL$324,38,0)/VLOOKUP(A302,'42. SEA or LEA Worksheet'!$A$4:$AL$324,35,0)</f>
        <v>11429.715621890546</v>
      </c>
      <c r="BQ302" s="632" t="str">
        <f t="shared" si="192"/>
        <v>Met</v>
      </c>
      <c r="BS302" s="620" t="str">
        <f t="shared" si="198"/>
        <v>Met</v>
      </c>
    </row>
    <row r="303" spans="1:71" x14ac:dyDescent="0.25">
      <c r="A303" s="343" t="s">
        <v>790</v>
      </c>
      <c r="B303" s="510" t="s">
        <v>1114</v>
      </c>
      <c r="C303" s="511"/>
      <c r="D303" s="444">
        <v>0</v>
      </c>
      <c r="E303" s="343" t="s">
        <v>856</v>
      </c>
      <c r="F303" s="511"/>
      <c r="G303" s="444">
        <v>4777639.29</v>
      </c>
      <c r="H303" s="343" t="s">
        <v>835</v>
      </c>
      <c r="I303" s="511"/>
      <c r="J303" s="444">
        <v>0</v>
      </c>
      <c r="K303" s="343" t="s">
        <v>856</v>
      </c>
      <c r="L303" s="511"/>
      <c r="M303" s="444">
        <v>9152.5656896551718</v>
      </c>
      <c r="N303" s="343" t="s">
        <v>856</v>
      </c>
      <c r="O303" s="511"/>
      <c r="P303" s="512" t="str">
        <f t="shared" si="186"/>
        <v>Met</v>
      </c>
      <c r="Q303" s="511"/>
      <c r="R303" s="444">
        <f>VLOOKUP(A303,'2020-21'!$A$6:$F$319,6,0)</f>
        <v>0</v>
      </c>
      <c r="S303" s="513" t="str">
        <f t="shared" si="177"/>
        <v>Met</v>
      </c>
      <c r="U303" s="444">
        <f>VLOOKUP(A303,'2020-21'!$A$6:$G$319,7,0)</f>
        <v>4800566.2</v>
      </c>
      <c r="V303" s="513" t="str">
        <f t="shared" si="178"/>
        <v>Met</v>
      </c>
      <c r="X303" s="444">
        <f>VLOOKUP(A303,'2020-21'!$A$6:$F$319,6,0)/VLOOKUP(A303,'42. SEA or LEA Worksheet'!$A$4:$T$324,20,0)</f>
        <v>0</v>
      </c>
      <c r="Y303" s="513" t="str">
        <f t="shared" si="179"/>
        <v>Met</v>
      </c>
      <c r="AA303" s="444">
        <f>VLOOKUP(A303,'42. SEA or LEA Worksheet'!$A$4:$W$324,23,0)/VLOOKUP(compliance!A303,'42. SEA or LEA Worksheet'!$A$4:$T$324,20,0)</f>
        <v>10644.270953436808</v>
      </c>
      <c r="AB303" s="513" t="str">
        <f t="shared" si="180"/>
        <v>Met</v>
      </c>
      <c r="AD303" s="512" t="str">
        <f t="shared" si="187"/>
        <v>Met</v>
      </c>
      <c r="AF303" s="444">
        <f>VLOOKUP(A303,'42. SEA or LEA Worksheet'!$A$4:$Z$324,26,0)</f>
        <v>0</v>
      </c>
      <c r="AG303" s="513" t="str">
        <f t="shared" si="181"/>
        <v>Met</v>
      </c>
      <c r="AI303" s="444">
        <f>VLOOKUP(A303,'42. SEA or LEA Worksheet'!$A$4:$AB$324,28,0)</f>
        <v>5138274.38</v>
      </c>
      <c r="AJ303" s="513" t="str">
        <f t="shared" si="182"/>
        <v>Met</v>
      </c>
      <c r="AL303" s="444">
        <f>VLOOKUP(compliance!A303,'42. SEA or LEA Worksheet'!$A$4:$AB$324,26,0)/VLOOKUP(compliance!A303,'42. SEA or LEA Worksheet'!$A$4:$Y$324,25,0)</f>
        <v>0</v>
      </c>
      <c r="AM303" s="513" t="str">
        <f t="shared" si="183"/>
        <v>Met</v>
      </c>
      <c r="AO303" s="444">
        <f>VLOOKUP(A303,'42. SEA or LEA Worksheet'!$A$4:$AB$324,28,0)/VLOOKUP(compliance!A303,'42. SEA or LEA Worksheet'!$A$4:$Y$324,25,0)</f>
        <v>10909.287430997876</v>
      </c>
      <c r="AP303" s="513" t="str">
        <f t="shared" si="184"/>
        <v>Met</v>
      </c>
      <c r="AR303" s="512" t="str">
        <f t="shared" si="188"/>
        <v>Met</v>
      </c>
      <c r="AT303" s="444">
        <f>VLOOKUP(A303,'42. SEA or LEA Worksheet'!$A$4:$AE$324,31,0)</f>
        <v>0</v>
      </c>
      <c r="AU303" s="513" t="str">
        <f t="shared" si="193"/>
        <v>Met</v>
      </c>
      <c r="AW303" s="444">
        <f>VLOOKUP(A303,'42. SEA or LEA Worksheet'!$A$4:$AG$324,33,0)</f>
        <v>6056715.1500000004</v>
      </c>
      <c r="AX303" s="513" t="str">
        <f t="shared" si="194"/>
        <v>Met</v>
      </c>
      <c r="AZ303" s="444">
        <f>VLOOKUP(A303,'42. SEA or LEA Worksheet'!$A$4:$AG$324,31,0)/VLOOKUP(A303,'42. SEA or LEA Worksheet'!$A$4:$AD$324,30,0)</f>
        <v>0</v>
      </c>
      <c r="BA303" s="513" t="str">
        <f t="shared" si="195"/>
        <v>Met</v>
      </c>
      <c r="BC303" s="444">
        <f>VLOOKUP(A303,'42. SEA or LEA Worksheet'!$A$4:$AG$324,33,0)/VLOOKUP(A303,'42. SEA or LEA Worksheet'!$A$4:$AD$324,30,0)</f>
        <v>11514.667585551331</v>
      </c>
      <c r="BD303" s="513" t="str">
        <f t="shared" si="196"/>
        <v>Met</v>
      </c>
      <c r="BF303" s="512" t="str">
        <f t="shared" si="197"/>
        <v>Met</v>
      </c>
      <c r="BG303" s="637">
        <f>VLOOKUP(A303,'42. SEA or LEA Worksheet'!$A$4:$AM$324,36,0)</f>
        <v>0</v>
      </c>
      <c r="BH303" s="638" t="str">
        <f t="shared" si="189"/>
        <v>Met</v>
      </c>
      <c r="BI303" s="639"/>
      <c r="BJ303" s="637">
        <f>VLOOKUP(A303,'42. SEA or LEA Worksheet'!$A$4:$AM$324,38,0)</f>
        <v>6731834.9199999999</v>
      </c>
      <c r="BK303" s="638" t="str">
        <f t="shared" si="190"/>
        <v>Met</v>
      </c>
      <c r="BM303" s="631">
        <f>VLOOKUP(A303,'42. SEA or LEA Worksheet'!$A$4:$AL$324,36,0)/VLOOKUP(A303,'42. SEA or LEA Worksheet'!$A$4:$AL$324,35,0)</f>
        <v>0</v>
      </c>
      <c r="BN303" s="632" t="str">
        <f t="shared" si="191"/>
        <v>Met</v>
      </c>
      <c r="BP303" s="631">
        <f>VLOOKUP(A303,'42. SEA or LEA Worksheet'!$A$4:$AL$324,38,0)/VLOOKUP(A303,'42. SEA or LEA Worksheet'!$A$4:$AL$324,35,0)</f>
        <v>12920.988330134356</v>
      </c>
      <c r="BQ303" s="632" t="str">
        <f t="shared" si="192"/>
        <v>Met</v>
      </c>
      <c r="BS303" s="620" t="str">
        <f t="shared" si="198"/>
        <v>Met</v>
      </c>
    </row>
    <row r="304" spans="1:71" x14ac:dyDescent="0.25">
      <c r="A304" s="343" t="s">
        <v>792</v>
      </c>
      <c r="B304" s="510" t="s">
        <v>1115</v>
      </c>
      <c r="C304" s="511"/>
      <c r="D304" s="444">
        <v>4369.38</v>
      </c>
      <c r="E304" s="343" t="s">
        <v>835</v>
      </c>
      <c r="F304" s="511"/>
      <c r="G304" s="444">
        <v>538712.44000000006</v>
      </c>
      <c r="H304" s="343" t="s">
        <v>835</v>
      </c>
      <c r="I304" s="511"/>
      <c r="J304" s="444">
        <v>68.271562500000002</v>
      </c>
      <c r="K304" s="343" t="s">
        <v>856</v>
      </c>
      <c r="L304" s="511"/>
      <c r="M304" s="444">
        <v>8417.3818750000009</v>
      </c>
      <c r="N304" s="343" t="s">
        <v>835</v>
      </c>
      <c r="O304" s="511"/>
      <c r="P304" s="512" t="str">
        <f t="shared" si="186"/>
        <v>Met</v>
      </c>
      <c r="Q304" s="511"/>
      <c r="R304" s="444">
        <f>VLOOKUP(A304,'2020-21'!$A$6:$F$319,6,0)</f>
        <v>4185.79</v>
      </c>
      <c r="S304" s="513" t="str">
        <f t="shared" si="177"/>
        <v>Did not Meet</v>
      </c>
      <c r="U304" s="444">
        <f>VLOOKUP(A304,'2020-21'!$A$6:$G$319,7,0)</f>
        <v>538940.28</v>
      </c>
      <c r="V304" s="513" t="str">
        <f t="shared" si="178"/>
        <v>Met</v>
      </c>
      <c r="X304" s="444">
        <f>VLOOKUP(A304,'2020-21'!$A$6:$F$319,6,0)/VLOOKUP(A304,'42. SEA or LEA Worksheet'!$A$4:$T$324,20,0)</f>
        <v>73.434912280701752</v>
      </c>
      <c r="Y304" s="513" t="str">
        <f t="shared" si="179"/>
        <v>Met</v>
      </c>
      <c r="AA304" s="444">
        <f>VLOOKUP(A304,'42. SEA or LEA Worksheet'!$A$4:$W$324,23,0)/VLOOKUP(compliance!A304,'42. SEA or LEA Worksheet'!$A$4:$T$324,20,0)</f>
        <v>9455.0926315789475</v>
      </c>
      <c r="AB304" s="513" t="str">
        <f t="shared" si="180"/>
        <v>Met</v>
      </c>
      <c r="AD304" s="512" t="str">
        <f t="shared" si="187"/>
        <v>Met</v>
      </c>
      <c r="AF304" s="444">
        <f>VLOOKUP(A304,'42. SEA or LEA Worksheet'!$A$4:$Z$324,26,0)</f>
        <v>5546.32</v>
      </c>
      <c r="AG304" s="513" t="str">
        <f t="shared" si="181"/>
        <v>Met</v>
      </c>
      <c r="AI304" s="444">
        <f>VLOOKUP(A304,'42. SEA or LEA Worksheet'!$A$4:$AB$324,28,0)</f>
        <v>651862.17999999993</v>
      </c>
      <c r="AJ304" s="513" t="str">
        <f t="shared" si="182"/>
        <v>Met</v>
      </c>
      <c r="AL304" s="444">
        <f>VLOOKUP(compliance!A304,'42. SEA or LEA Worksheet'!$A$4:$AB$324,26,0)/VLOOKUP(compliance!A304,'42. SEA or LEA Worksheet'!$A$4:$Y$324,25,0)</f>
        <v>88.036825396825392</v>
      </c>
      <c r="AM304" s="513" t="str">
        <f t="shared" si="183"/>
        <v>Met</v>
      </c>
      <c r="AO304" s="444">
        <f>VLOOKUP(A304,'42. SEA or LEA Worksheet'!$A$4:$AB$324,28,0)/VLOOKUP(compliance!A304,'42. SEA or LEA Worksheet'!$A$4:$Y$324,25,0)</f>
        <v>10347.018730158728</v>
      </c>
      <c r="AP304" s="513" t="str">
        <f t="shared" si="184"/>
        <v>Met</v>
      </c>
      <c r="AR304" s="512" t="str">
        <f t="shared" si="188"/>
        <v>Met</v>
      </c>
      <c r="AT304" s="444">
        <f>VLOOKUP(A304,'42. SEA or LEA Worksheet'!$A$4:$AE$324,31,0)</f>
        <v>3694.14</v>
      </c>
      <c r="AU304" s="513" t="str">
        <f t="shared" si="193"/>
        <v>Did not Meet</v>
      </c>
      <c r="AW304" s="444">
        <f>VLOOKUP(A304,'42. SEA or LEA Worksheet'!$A$4:$AG$324,33,0)</f>
        <v>721326.55</v>
      </c>
      <c r="AX304" s="513" t="str">
        <f t="shared" si="194"/>
        <v>Met</v>
      </c>
      <c r="AZ304" s="444">
        <f>VLOOKUP(A304,'42. SEA or LEA Worksheet'!$A$4:$AG$324,31,0)/VLOOKUP(A304,'42. SEA or LEA Worksheet'!$A$4:$AD$324,30,0)</f>
        <v>51.307499999999997</v>
      </c>
      <c r="BA304" s="513" t="str">
        <f t="shared" si="195"/>
        <v>Did not Meet</v>
      </c>
      <c r="BC304" s="444">
        <f>VLOOKUP(A304,'42. SEA or LEA Worksheet'!$A$4:$AG$324,33,0)/VLOOKUP(A304,'42. SEA or LEA Worksheet'!$A$4:$AD$324,30,0)</f>
        <v>10018.424305555556</v>
      </c>
      <c r="BD304" s="513" t="str">
        <f t="shared" si="196"/>
        <v>Did not Meet</v>
      </c>
      <c r="BF304" s="512" t="str">
        <f t="shared" si="197"/>
        <v>Met</v>
      </c>
      <c r="BG304" s="637">
        <f>VLOOKUP(A304,'42. SEA or LEA Worksheet'!$A$4:$AM$324,36,0)</f>
        <v>5276.21</v>
      </c>
      <c r="BH304" s="638" t="str">
        <f t="shared" si="189"/>
        <v>Met</v>
      </c>
      <c r="BI304" s="639"/>
      <c r="BJ304" s="637">
        <f>VLOOKUP(A304,'42. SEA or LEA Worksheet'!$A$4:$AM$324,38,0)</f>
        <v>868993.22</v>
      </c>
      <c r="BK304" s="638" t="str">
        <f t="shared" si="190"/>
        <v>Met</v>
      </c>
      <c r="BM304" s="631">
        <f>VLOOKUP(A304,'42. SEA or LEA Worksheet'!$A$4:$AL$324,36,0)/VLOOKUP(A304,'42. SEA or LEA Worksheet'!$A$4:$AL$324,35,0)</f>
        <v>86.49524590163935</v>
      </c>
      <c r="BN304" s="632" t="str">
        <f t="shared" si="191"/>
        <v>Met</v>
      </c>
      <c r="BP304" s="631">
        <f>VLOOKUP(A304,'42. SEA or LEA Worksheet'!$A$4:$AL$324,38,0)/VLOOKUP(A304,'42. SEA or LEA Worksheet'!$A$4:$AL$324,35,0)</f>
        <v>14245.790491803278</v>
      </c>
      <c r="BQ304" s="632" t="str">
        <f t="shared" si="192"/>
        <v>Met</v>
      </c>
      <c r="BS304" s="620" t="str">
        <f t="shared" si="198"/>
        <v>Met</v>
      </c>
    </row>
    <row r="305" spans="1:71" x14ac:dyDescent="0.25">
      <c r="A305" s="343" t="s">
        <v>794</v>
      </c>
      <c r="B305" s="510" t="s">
        <v>1116</v>
      </c>
      <c r="C305" s="511"/>
      <c r="D305" s="444">
        <v>81435.41</v>
      </c>
      <c r="E305" s="343" t="s">
        <v>835</v>
      </c>
      <c r="F305" s="511"/>
      <c r="G305" s="444">
        <v>6840385.9699999997</v>
      </c>
      <c r="H305" s="343" t="s">
        <v>835</v>
      </c>
      <c r="I305" s="511"/>
      <c r="J305" s="444">
        <v>141.6268</v>
      </c>
      <c r="K305" s="343" t="s">
        <v>856</v>
      </c>
      <c r="L305" s="511"/>
      <c r="M305" s="444">
        <v>11896.323426086956</v>
      </c>
      <c r="N305" s="343" t="s">
        <v>856</v>
      </c>
      <c r="O305" s="511"/>
      <c r="P305" s="512" t="str">
        <f t="shared" si="186"/>
        <v>Met</v>
      </c>
      <c r="Q305" s="511"/>
      <c r="R305" s="444">
        <f>VLOOKUP(A305,'2020-21'!$A$6:$F$319,6,0)</f>
        <v>1041076.67</v>
      </c>
      <c r="S305" s="513" t="str">
        <f t="shared" si="177"/>
        <v>Met</v>
      </c>
      <c r="U305" s="444">
        <f>VLOOKUP(A305,'2020-21'!$A$6:$G$319,7,0)</f>
        <v>7237572.0099999998</v>
      </c>
      <c r="V305" s="513" t="str">
        <f t="shared" si="178"/>
        <v>Met</v>
      </c>
      <c r="X305" s="444">
        <f>VLOOKUP(A305,'2020-21'!$A$6:$F$319,6,0)/VLOOKUP(A305,'42. SEA or LEA Worksheet'!$A$4:$T$324,20,0)</f>
        <v>1882.5979566003618</v>
      </c>
      <c r="Y305" s="513" t="str">
        <f t="shared" si="179"/>
        <v>Met</v>
      </c>
      <c r="AA305" s="444">
        <f>VLOOKUP(A305,'42. SEA or LEA Worksheet'!$A$4:$W$324,23,0)/VLOOKUP(compliance!A305,'42. SEA or LEA Worksheet'!$A$4:$T$324,20,0)</f>
        <v>13087.833652802892</v>
      </c>
      <c r="AB305" s="513" t="str">
        <f t="shared" si="180"/>
        <v>Met</v>
      </c>
      <c r="AD305" s="512" t="str">
        <f t="shared" si="187"/>
        <v>Met</v>
      </c>
      <c r="AF305" s="444">
        <f>VLOOKUP(A305,'42. SEA or LEA Worksheet'!$A$4:$Z$324,26,0)</f>
        <v>1017509.53</v>
      </c>
      <c r="AG305" s="513" t="str">
        <f t="shared" si="181"/>
        <v>Did not Meet</v>
      </c>
      <c r="AI305" s="444">
        <f>VLOOKUP(A305,'42. SEA or LEA Worksheet'!$A$4:$AB$324,28,0)</f>
        <v>7784522.2400000002</v>
      </c>
      <c r="AJ305" s="513" t="str">
        <f t="shared" si="182"/>
        <v>Met</v>
      </c>
      <c r="AL305" s="444">
        <f>VLOOKUP(compliance!A305,'42. SEA or LEA Worksheet'!$A$4:$AB$324,26,0)/VLOOKUP(compliance!A305,'42. SEA or LEA Worksheet'!$A$4:$Y$324,25,0)</f>
        <v>1690.2151661129569</v>
      </c>
      <c r="AM305" s="513" t="str">
        <f t="shared" si="183"/>
        <v>Did not Meet</v>
      </c>
      <c r="AO305" s="444">
        <f>VLOOKUP(A305,'42. SEA or LEA Worksheet'!$A$4:$AB$324,28,0)/VLOOKUP(compliance!A305,'42. SEA or LEA Worksheet'!$A$4:$Y$324,25,0)</f>
        <v>12931.100066445184</v>
      </c>
      <c r="AP305" s="513" t="str">
        <f t="shared" si="184"/>
        <v>Did not Meet</v>
      </c>
      <c r="AR305" s="512" t="str">
        <f t="shared" si="188"/>
        <v>Met</v>
      </c>
      <c r="AT305" s="444">
        <f>VLOOKUP(A305,'42. SEA or LEA Worksheet'!$A$4:$AE$324,31,0)</f>
        <v>997421.14</v>
      </c>
      <c r="AU305" s="513" t="str">
        <f t="shared" si="193"/>
        <v>Did not Meet</v>
      </c>
      <c r="AW305" s="444">
        <f>VLOOKUP(A305,'42. SEA or LEA Worksheet'!$A$4:$AG$324,33,0)</f>
        <v>8389515.0600000005</v>
      </c>
      <c r="AX305" s="513" t="str">
        <f t="shared" si="194"/>
        <v>Met</v>
      </c>
      <c r="AZ305" s="444">
        <f>VLOOKUP(A305,'42. SEA or LEA Worksheet'!$A$4:$AG$324,31,0)/VLOOKUP(A305,'42. SEA or LEA Worksheet'!$A$4:$AD$324,30,0)</f>
        <v>1613.9500647249192</v>
      </c>
      <c r="BA305" s="513" t="str">
        <f t="shared" si="195"/>
        <v>Did not Meet</v>
      </c>
      <c r="BC305" s="444">
        <f>VLOOKUP(A305,'42. SEA or LEA Worksheet'!$A$4:$AG$324,33,0)/VLOOKUP(A305,'42. SEA or LEA Worksheet'!$A$4:$AD$324,30,0)</f>
        <v>13575.267087378641</v>
      </c>
      <c r="BD305" s="513" t="str">
        <f t="shared" si="196"/>
        <v>Met</v>
      </c>
      <c r="BF305" s="512" t="str">
        <f t="shared" si="197"/>
        <v>Met</v>
      </c>
      <c r="BG305" s="637">
        <f>VLOOKUP(A305,'42. SEA or LEA Worksheet'!$A$4:$AM$324,36,0)</f>
        <v>442097.22</v>
      </c>
      <c r="BH305" s="638" t="str">
        <f t="shared" si="189"/>
        <v>Did not Meet</v>
      </c>
      <c r="BI305" s="639"/>
      <c r="BJ305" s="637">
        <f>VLOOKUP(A305,'42. SEA or LEA Worksheet'!$A$4:$AM$324,38,0)</f>
        <v>8820433.5899999999</v>
      </c>
      <c r="BK305" s="638" t="str">
        <f t="shared" si="190"/>
        <v>Met</v>
      </c>
      <c r="BM305" s="631">
        <f>VLOOKUP(A305,'42. SEA or LEA Worksheet'!$A$4:$AL$324,36,0)/VLOOKUP(A305,'42. SEA or LEA Worksheet'!$A$4:$AL$324,35,0)</f>
        <v>716.52709886547802</v>
      </c>
      <c r="BN305" s="632" t="str">
        <f t="shared" si="191"/>
        <v>Met</v>
      </c>
      <c r="BP305" s="631">
        <f>VLOOKUP(A305,'42. SEA or LEA Worksheet'!$A$4:$AL$324,38,0)/VLOOKUP(A305,'42. SEA or LEA Worksheet'!$A$4:$AL$324,35,0)</f>
        <v>14295.678427876823</v>
      </c>
      <c r="BQ305" s="632" t="str">
        <f t="shared" si="192"/>
        <v>Met</v>
      </c>
      <c r="BS305" s="620" t="str">
        <f t="shared" si="198"/>
        <v>Met</v>
      </c>
    </row>
    <row r="306" spans="1:71" x14ac:dyDescent="0.25">
      <c r="A306" s="343" t="s">
        <v>796</v>
      </c>
      <c r="B306" s="510" t="s">
        <v>1117</v>
      </c>
      <c r="C306" s="511"/>
      <c r="D306" s="444">
        <v>0</v>
      </c>
      <c r="E306" s="343" t="s">
        <v>835</v>
      </c>
      <c r="F306" s="511"/>
      <c r="G306" s="444">
        <v>1832874.95</v>
      </c>
      <c r="H306" s="343" t="s">
        <v>880</v>
      </c>
      <c r="I306" s="511"/>
      <c r="J306" s="444">
        <v>0</v>
      </c>
      <c r="K306" s="343" t="s">
        <v>835</v>
      </c>
      <c r="L306" s="511"/>
      <c r="M306" s="444">
        <v>9351.402806122449</v>
      </c>
      <c r="N306" s="343" t="s">
        <v>856</v>
      </c>
      <c r="O306" s="511"/>
      <c r="P306" s="512" t="str">
        <f t="shared" si="186"/>
        <v>Met</v>
      </c>
      <c r="Q306" s="511"/>
      <c r="R306" s="444">
        <f>VLOOKUP(A306,'2020-21'!$A$6:$F$319,6,0)</f>
        <v>0</v>
      </c>
      <c r="S306" s="513" t="str">
        <f t="shared" si="177"/>
        <v>Met</v>
      </c>
      <c r="U306" s="444">
        <f>VLOOKUP(A306,'2020-21'!$A$6:$G$319,7,0)</f>
        <v>1606299.87</v>
      </c>
      <c r="V306" s="513" t="str">
        <f t="shared" si="178"/>
        <v>Did not Meet</v>
      </c>
      <c r="X306" s="444">
        <v>0</v>
      </c>
      <c r="Y306" s="513" t="str">
        <f t="shared" si="179"/>
        <v>Met</v>
      </c>
      <c r="AA306" s="444">
        <f>VLOOKUP(A306,'42. SEA or LEA Worksheet'!$A$4:$W$324,23,0)/VLOOKUP(compliance!A306,'42. SEA or LEA Worksheet'!$A$4:$T$324,20,0)</f>
        <v>9561.3087500000001</v>
      </c>
      <c r="AB306" s="513" t="str">
        <f t="shared" si="180"/>
        <v>Met</v>
      </c>
      <c r="AD306" s="512" t="str">
        <f t="shared" si="187"/>
        <v>Met</v>
      </c>
      <c r="AF306" s="444">
        <f>VLOOKUP(A306,'42. SEA or LEA Worksheet'!$A$4:$Z$324,26,0)</f>
        <v>0</v>
      </c>
      <c r="AG306" s="513" t="str">
        <f t="shared" si="181"/>
        <v>Met</v>
      </c>
      <c r="AI306" s="444">
        <f>VLOOKUP(A306,'42. SEA or LEA Worksheet'!$A$4:$AB$324,28,0)</f>
        <v>1402419.12</v>
      </c>
      <c r="AJ306" s="513" t="str">
        <f t="shared" si="182"/>
        <v>Did not Meet</v>
      </c>
      <c r="AL306" s="444">
        <f>VLOOKUP(compliance!A306,'42. SEA or LEA Worksheet'!$A$4:$AB$324,26,0)/VLOOKUP(compliance!A306,'42. SEA or LEA Worksheet'!$A$4:$Y$324,25,0)</f>
        <v>0</v>
      </c>
      <c r="AM306" s="513" t="str">
        <f t="shared" si="183"/>
        <v>Met</v>
      </c>
      <c r="AO306" s="444">
        <f>VLOOKUP(A306,'42. SEA or LEA Worksheet'!$A$4:$AB$324,28,0)/VLOOKUP(compliance!A306,'42. SEA or LEA Worksheet'!$A$4:$Y$324,25,0)</f>
        <v>9540.2661224489802</v>
      </c>
      <c r="AP306" s="513" t="str">
        <f t="shared" si="184"/>
        <v>Did not Meet</v>
      </c>
      <c r="AR306" s="512" t="str">
        <f t="shared" si="188"/>
        <v>Met</v>
      </c>
      <c r="AT306" s="444">
        <f>VLOOKUP(A306,'42. SEA or LEA Worksheet'!$A$4:$AE$324,31,0)</f>
        <v>0</v>
      </c>
      <c r="AU306" s="513" t="str">
        <f t="shared" si="193"/>
        <v>Met</v>
      </c>
      <c r="AW306" s="444">
        <f>VLOOKUP(A306,'42. SEA or LEA Worksheet'!$A$4:$AG$324,33,0)</f>
        <v>1544072.37</v>
      </c>
      <c r="AX306" s="513" t="str">
        <f t="shared" si="194"/>
        <v>Met</v>
      </c>
      <c r="AZ306" s="444">
        <f>VLOOKUP(A306,'42. SEA or LEA Worksheet'!$A$4:$AG$324,31,0)/VLOOKUP(A306,'42. SEA or LEA Worksheet'!$A$4:$AD$324,30,0)</f>
        <v>0</v>
      </c>
      <c r="BA306" s="513" t="str">
        <f t="shared" si="195"/>
        <v>Met</v>
      </c>
      <c r="BC306" s="444">
        <f>VLOOKUP(A306,'42. SEA or LEA Worksheet'!$A$4:$AG$324,33,0)/VLOOKUP(A306,'42. SEA or LEA Worksheet'!$A$4:$AD$324,30,0)</f>
        <v>10503.893673469389</v>
      </c>
      <c r="BD306" s="513" t="str">
        <f t="shared" si="196"/>
        <v>Met</v>
      </c>
      <c r="BF306" s="512" t="str">
        <f>IF(AND(AU306="Did not Meet",AX306="Did not Meet", BA306="Did not Meet",BD306="Did not Meet",),"Did not Meet","Met")</f>
        <v>Met</v>
      </c>
      <c r="BG306" s="637">
        <f>VLOOKUP(A306,'42. SEA or LEA Worksheet'!$A$4:$AM$324,36,0)</f>
        <v>0</v>
      </c>
      <c r="BH306" s="638" t="str">
        <f t="shared" si="189"/>
        <v>Met</v>
      </c>
      <c r="BI306" s="639"/>
      <c r="BJ306" s="637">
        <f>VLOOKUP(A306,'42. SEA or LEA Worksheet'!$A$4:$AM$324,38,0)</f>
        <v>1960639.99</v>
      </c>
      <c r="BK306" s="638" t="str">
        <f t="shared" si="190"/>
        <v>Met</v>
      </c>
      <c r="BM306" s="631">
        <f>VLOOKUP(A306,'42. SEA or LEA Worksheet'!$A$4:$AL$324,36,0)/VLOOKUP(A306,'42. SEA or LEA Worksheet'!$A$4:$AL$324,35,0)</f>
        <v>0</v>
      </c>
      <c r="BN306" s="632" t="str">
        <f t="shared" si="191"/>
        <v>Met</v>
      </c>
      <c r="BP306" s="631">
        <f>VLOOKUP(A306,'42. SEA or LEA Worksheet'!$A$4:$AL$324,38,0)/VLOOKUP(A306,'42. SEA or LEA Worksheet'!$A$4:$AL$324,35,0)</f>
        <v>12649.290258064517</v>
      </c>
      <c r="BQ306" s="632" t="str">
        <f t="shared" si="192"/>
        <v>Met</v>
      </c>
      <c r="BS306" s="620" t="str">
        <f>IF(AND(BH306="Did not Meet",BK306="Did not Meet", BN306="Did not Meet",BQ306="Did not Meet",),"Did not Meet","Met")</f>
        <v>Met</v>
      </c>
    </row>
    <row r="307" spans="1:71" x14ac:dyDescent="0.25">
      <c r="A307" s="343" t="s">
        <v>798</v>
      </c>
      <c r="B307" s="510" t="s">
        <v>1118</v>
      </c>
      <c r="C307" s="511"/>
      <c r="D307" s="444">
        <v>14631.29</v>
      </c>
      <c r="E307" s="343" t="s">
        <v>856</v>
      </c>
      <c r="F307" s="511"/>
      <c r="G307" s="444">
        <v>357952.00999999995</v>
      </c>
      <c r="H307" s="343" t="s">
        <v>835</v>
      </c>
      <c r="I307" s="511"/>
      <c r="J307" s="444">
        <v>365.78225000000003</v>
      </c>
      <c r="K307" s="343" t="s">
        <v>856</v>
      </c>
      <c r="L307" s="511"/>
      <c r="M307" s="444">
        <v>8948.8002499999984</v>
      </c>
      <c r="N307" s="343" t="s">
        <v>856</v>
      </c>
      <c r="O307" s="511"/>
      <c r="P307" s="512" t="str">
        <f t="shared" si="186"/>
        <v>Met</v>
      </c>
      <c r="Q307" s="511"/>
      <c r="R307" s="444">
        <f>VLOOKUP(A307,'2020-21'!$A$6:$F$319,6,0)</f>
        <v>62927.68</v>
      </c>
      <c r="S307" s="513" t="str">
        <f t="shared" si="177"/>
        <v>Met</v>
      </c>
      <c r="U307" s="444">
        <f>VLOOKUP(A307,'2020-21'!$A$6:$G$319,7,0)</f>
        <v>385478.52999999997</v>
      </c>
      <c r="V307" s="513" t="str">
        <f t="shared" si="178"/>
        <v>Met</v>
      </c>
      <c r="X307" s="444">
        <f>VLOOKUP(A307,'2020-21'!$A$6:$F$319,6,0)/VLOOKUP(A307,'42. SEA or LEA Worksheet'!$A$4:$T$324,20,0)</f>
        <v>1534.8214634146341</v>
      </c>
      <c r="Y307" s="513" t="str">
        <f t="shared" si="179"/>
        <v>Met</v>
      </c>
      <c r="AA307" s="444">
        <f>VLOOKUP(A307,'42. SEA or LEA Worksheet'!$A$4:$W$324,23,0)/VLOOKUP(compliance!A307,'42. SEA or LEA Worksheet'!$A$4:$T$324,20,0)</f>
        <v>9401.9153658536579</v>
      </c>
      <c r="AB307" s="513" t="str">
        <f t="shared" si="180"/>
        <v>Met</v>
      </c>
      <c r="AD307" s="512" t="str">
        <f t="shared" si="187"/>
        <v>Met</v>
      </c>
      <c r="AF307" s="444">
        <f>VLOOKUP(A307,'42. SEA or LEA Worksheet'!$A$4:$Z$324,26,0)</f>
        <v>71525.399999999994</v>
      </c>
      <c r="AG307" s="513" t="str">
        <f t="shared" si="181"/>
        <v>Met</v>
      </c>
      <c r="AI307" s="444">
        <f>VLOOKUP(A307,'42. SEA or LEA Worksheet'!$A$4:$AB$324,28,0)</f>
        <v>410697.38</v>
      </c>
      <c r="AJ307" s="513" t="str">
        <f t="shared" si="182"/>
        <v>Met</v>
      </c>
      <c r="AL307" s="444">
        <f>VLOOKUP(compliance!A307,'42. SEA or LEA Worksheet'!$A$4:$AB$324,26,0)/VLOOKUP(compliance!A307,'42. SEA or LEA Worksheet'!$A$4:$Y$324,25,0)</f>
        <v>1833.9846153846152</v>
      </c>
      <c r="AM307" s="513" t="str">
        <f t="shared" si="183"/>
        <v>Met</v>
      </c>
      <c r="AO307" s="444">
        <f>VLOOKUP(A307,'42. SEA or LEA Worksheet'!$A$4:$AB$324,28,0)/VLOOKUP(compliance!A307,'42. SEA or LEA Worksheet'!$A$4:$Y$324,25,0)</f>
        <v>10530.702051282051</v>
      </c>
      <c r="AP307" s="513" t="str">
        <f t="shared" si="184"/>
        <v>Met</v>
      </c>
      <c r="AR307" s="512" t="str">
        <f t="shared" si="188"/>
        <v>Met</v>
      </c>
      <c r="AT307" s="444">
        <f>VLOOKUP(A307,'42. SEA or LEA Worksheet'!$A$4:$AE$324,31,0)</f>
        <v>72000</v>
      </c>
      <c r="AU307" s="513" t="str">
        <f t="shared" si="193"/>
        <v>Met</v>
      </c>
      <c r="AW307" s="444">
        <f>VLOOKUP(A307,'42. SEA or LEA Worksheet'!$A$4:$AG$324,33,0)</f>
        <v>427992.67</v>
      </c>
      <c r="AX307" s="513" t="str">
        <f t="shared" si="194"/>
        <v>Met</v>
      </c>
      <c r="AZ307" s="444">
        <f>VLOOKUP(A307,'42. SEA or LEA Worksheet'!$A$4:$AG$324,31,0)/VLOOKUP(A307,'42. SEA or LEA Worksheet'!$A$4:$AD$324,30,0)</f>
        <v>1800</v>
      </c>
      <c r="BA307" s="513" t="str">
        <f t="shared" si="195"/>
        <v>Did not Meet</v>
      </c>
      <c r="BC307" s="444">
        <f>VLOOKUP(A307,'42. SEA or LEA Worksheet'!$A$4:$AG$324,33,0)/VLOOKUP(A307,'42. SEA or LEA Worksheet'!$A$4:$AD$324,30,0)</f>
        <v>10699.81675</v>
      </c>
      <c r="BD307" s="513" t="str">
        <f t="shared" si="196"/>
        <v>Met</v>
      </c>
      <c r="BF307" s="512" t="str">
        <f>IF(AND(AU307="Did not Meet",AX307="Did not Meet", BA307="Did not Meet",BD307="Did not Meet"),"Did not Meet","Met")</f>
        <v>Met</v>
      </c>
      <c r="BG307" s="637">
        <f>VLOOKUP(A307,'42. SEA or LEA Worksheet'!$A$4:$AM$324,36,0)</f>
        <v>59465.85</v>
      </c>
      <c r="BH307" s="638" t="str">
        <f t="shared" si="189"/>
        <v>Did not Meet</v>
      </c>
      <c r="BI307" s="639"/>
      <c r="BJ307" s="637">
        <f>VLOOKUP(A307,'42. SEA or LEA Worksheet'!$A$4:$AM$324,38,0)</f>
        <v>459741.56</v>
      </c>
      <c r="BK307" s="638" t="str">
        <f t="shared" si="190"/>
        <v>Met</v>
      </c>
      <c r="BM307" s="631">
        <f>VLOOKUP(A307,'42. SEA or LEA Worksheet'!$A$4:$AL$324,36,0)/VLOOKUP(A307,'42. SEA or LEA Worksheet'!$A$4:$AL$324,35,0)</f>
        <v>1450.3865853658535</v>
      </c>
      <c r="BN307" s="632" t="str">
        <f t="shared" si="191"/>
        <v>Met</v>
      </c>
      <c r="BP307" s="631">
        <f>VLOOKUP(A307,'42. SEA or LEA Worksheet'!$A$4:$AL$324,38,0)/VLOOKUP(A307,'42. SEA or LEA Worksheet'!$A$4:$AL$324,35,0)</f>
        <v>11213.208780487805</v>
      </c>
      <c r="BQ307" s="632" t="str">
        <f t="shared" si="192"/>
        <v>Met</v>
      </c>
      <c r="BS307" s="620" t="str">
        <f>IF(AND(BH307="Did not Meet",BK307="Did not Meet", BN307="Did not Meet",BQ307="Did not Meet"),"Did not Meet","Met")</f>
        <v>Met</v>
      </c>
    </row>
    <row r="308" spans="1:71" x14ac:dyDescent="0.25">
      <c r="A308" s="343" t="s">
        <v>800</v>
      </c>
      <c r="B308" s="510" t="s">
        <v>1119</v>
      </c>
      <c r="C308" s="511"/>
      <c r="D308" s="444">
        <v>138250.09</v>
      </c>
      <c r="E308" s="343" t="s">
        <v>835</v>
      </c>
      <c r="F308" s="511"/>
      <c r="G308" s="444">
        <v>666761.53999999992</v>
      </c>
      <c r="H308" s="343" t="s">
        <v>835</v>
      </c>
      <c r="I308" s="511"/>
      <c r="J308" s="444">
        <v>2513.6379999999999</v>
      </c>
      <c r="K308" s="343" t="s">
        <v>835</v>
      </c>
      <c r="L308" s="511"/>
      <c r="M308" s="444">
        <v>12122.93709090909</v>
      </c>
      <c r="N308" s="343" t="s">
        <v>835</v>
      </c>
      <c r="O308" s="511"/>
      <c r="P308" s="512" t="str">
        <f t="shared" si="186"/>
        <v>Met</v>
      </c>
      <c r="Q308" s="511"/>
      <c r="R308" s="444">
        <f>VLOOKUP(A308,'2020-21'!$A$6:$F$319,6,0)</f>
        <v>0</v>
      </c>
      <c r="S308" s="513" t="str">
        <f t="shared" si="177"/>
        <v>Did not Meet</v>
      </c>
      <c r="U308" s="444">
        <f>VLOOKUP(A308,'2020-21'!$A$6:$G$319,7,0)</f>
        <v>756151.07</v>
      </c>
      <c r="V308" s="513" t="str">
        <f t="shared" si="178"/>
        <v>Met</v>
      </c>
      <c r="X308" s="444">
        <f>VLOOKUP(A308,'2020-21'!$A$6:$F$319,6,0)/VLOOKUP(A308,'42. SEA or LEA Worksheet'!$A$4:$T$324,20,0)</f>
        <v>0</v>
      </c>
      <c r="Y308" s="513" t="str">
        <f t="shared" si="179"/>
        <v>Did not Meet</v>
      </c>
      <c r="AA308" s="444">
        <f>VLOOKUP(A308,'42. SEA or LEA Worksheet'!$A$4:$W$324,23,0)/VLOOKUP(compliance!A308,'42. SEA or LEA Worksheet'!$A$4:$T$324,20,0)</f>
        <v>17185.251590909091</v>
      </c>
      <c r="AB308" s="513" t="str">
        <f t="shared" si="180"/>
        <v>Met</v>
      </c>
      <c r="AD308" s="512" t="str">
        <f t="shared" si="187"/>
        <v>Met</v>
      </c>
      <c r="AF308" s="444">
        <f>VLOOKUP(A308,'42. SEA or LEA Worksheet'!$A$4:$Z$324,26,0)</f>
        <v>138251.09</v>
      </c>
      <c r="AG308" s="513" t="str">
        <f t="shared" si="181"/>
        <v>Met</v>
      </c>
      <c r="AI308" s="444">
        <f>VLOOKUP(A308,'42. SEA or LEA Worksheet'!$A$4:$AB$324,28,0)</f>
        <v>636192.87</v>
      </c>
      <c r="AJ308" s="513" t="str">
        <f t="shared" si="182"/>
        <v>Did not Meet</v>
      </c>
      <c r="AL308" s="444">
        <f>VLOOKUP(compliance!A308,'42. SEA or LEA Worksheet'!$A$4:$AB$324,26,0)/VLOOKUP(compliance!A308,'42. SEA or LEA Worksheet'!$A$4:$Y$324,25,0)</f>
        <v>3291.6926190476188</v>
      </c>
      <c r="AM308" s="513" t="str">
        <f t="shared" si="183"/>
        <v>Met</v>
      </c>
      <c r="AO308" s="444">
        <f>VLOOKUP(A308,'42. SEA or LEA Worksheet'!$A$4:$AB$324,28,0)/VLOOKUP(compliance!A308,'42. SEA or LEA Worksheet'!$A$4:$Y$324,25,0)</f>
        <v>15147.449285714285</v>
      </c>
      <c r="AP308" s="513" t="str">
        <f t="shared" si="184"/>
        <v>Did not Meet</v>
      </c>
      <c r="AR308" s="512" t="str">
        <f t="shared" si="188"/>
        <v>Met</v>
      </c>
      <c r="AT308" s="444">
        <f>VLOOKUP(A308,'42. SEA or LEA Worksheet'!$A$4:$AE$324,31,0)</f>
        <v>138251.09</v>
      </c>
      <c r="AU308" s="513" t="str">
        <f t="shared" si="193"/>
        <v>Met</v>
      </c>
      <c r="AW308" s="444">
        <f>VLOOKUP(A308,'42. SEA or LEA Worksheet'!$A$4:$AG$324,33,0)</f>
        <v>628396.24</v>
      </c>
      <c r="AX308" s="513" t="str">
        <f t="shared" si="194"/>
        <v>Did not Meet</v>
      </c>
      <c r="AZ308" s="444">
        <f>VLOOKUP(A308,'42. SEA or LEA Worksheet'!$A$4:$AG$324,31,0)/VLOOKUP(A308,'42. SEA or LEA Worksheet'!$A$4:$AD$324,30,0)</f>
        <v>3072.2464444444445</v>
      </c>
      <c r="BA308" s="513" t="str">
        <f t="shared" si="195"/>
        <v>Did not Meet</v>
      </c>
      <c r="BC308" s="444">
        <f>VLOOKUP(A308,'42. SEA or LEA Worksheet'!$A$4:$AG$324,33,0)/VLOOKUP(A308,'42. SEA or LEA Worksheet'!$A$4:$AD$324,30,0)</f>
        <v>13964.360888888888</v>
      </c>
      <c r="BD308" s="513" t="str">
        <f t="shared" si="196"/>
        <v>Did not Meet</v>
      </c>
      <c r="BF308" s="512" t="str">
        <f>IF(AND(AU308="Did not Meet",AX308="Did not Meet", BA308="Did not Meet",BD308="Did not Meet"),"Did not Meet","Met")</f>
        <v>Met</v>
      </c>
      <c r="BG308" s="637">
        <f>VLOOKUP(A308,'42. SEA or LEA Worksheet'!$A$4:$AM$324,36,0)</f>
        <v>0</v>
      </c>
      <c r="BH308" s="638" t="str">
        <f t="shared" si="189"/>
        <v>Did not Meet</v>
      </c>
      <c r="BI308" s="639"/>
      <c r="BJ308" s="637">
        <f>VLOOKUP(A308,'42. SEA or LEA Worksheet'!$A$4:$AM$324,38,0)</f>
        <v>808346.81</v>
      </c>
      <c r="BK308" s="638" t="str">
        <f t="shared" si="190"/>
        <v>Met</v>
      </c>
      <c r="BM308" s="631">
        <f>VLOOKUP(A308,'42. SEA or LEA Worksheet'!$A$4:$AL$324,36,0)/VLOOKUP(A308,'42. SEA or LEA Worksheet'!$A$4:$AL$324,35,0)</f>
        <v>0</v>
      </c>
      <c r="BN308" s="632" t="str">
        <f t="shared" si="191"/>
        <v>Met</v>
      </c>
      <c r="BP308" s="631">
        <f>VLOOKUP(A308,'42. SEA or LEA Worksheet'!$A$4:$AL$324,38,0)/VLOOKUP(A308,'42. SEA or LEA Worksheet'!$A$4:$AL$324,35,0)</f>
        <v>15545.130961538463</v>
      </c>
      <c r="BQ308" s="632" t="str">
        <f t="shared" si="192"/>
        <v>Met</v>
      </c>
      <c r="BS308" s="620" t="str">
        <f>IF(AND(BH308="Did not Meet",BK308="Did not Meet", BN308="Did not Meet",BQ308="Did not Meet"),"Did not Meet","Met")</f>
        <v>Met</v>
      </c>
    </row>
    <row r="309" spans="1:71" x14ac:dyDescent="0.25">
      <c r="A309" s="343" t="s">
        <v>802</v>
      </c>
      <c r="B309" s="510" t="s">
        <v>1149</v>
      </c>
      <c r="C309" s="511"/>
      <c r="D309" s="444">
        <v>0</v>
      </c>
      <c r="E309" s="343" t="s">
        <v>856</v>
      </c>
      <c r="F309" s="511"/>
      <c r="G309" s="444">
        <v>143905.16</v>
      </c>
      <c r="H309" s="343" t="s">
        <v>835</v>
      </c>
      <c r="I309" s="511"/>
      <c r="J309" s="444">
        <v>0</v>
      </c>
      <c r="K309" s="343" t="s">
        <v>856</v>
      </c>
      <c r="L309" s="511"/>
      <c r="M309" s="444">
        <v>9593.6773333333331</v>
      </c>
      <c r="N309" s="343" t="s">
        <v>856</v>
      </c>
      <c r="O309" s="511"/>
      <c r="P309" s="512" t="str">
        <f t="shared" si="186"/>
        <v>Met</v>
      </c>
      <c r="Q309" s="511"/>
      <c r="R309" s="444">
        <f>VLOOKUP(A309,'2020-21'!$A$6:$F$319,6,0)</f>
        <v>51120.51</v>
      </c>
      <c r="S309" s="513" t="str">
        <f t="shared" si="177"/>
        <v>Met</v>
      </c>
      <c r="U309" s="444">
        <f>VLOOKUP(A309,'2020-21'!$A$6:$G$319,7,0)</f>
        <v>223162.84</v>
      </c>
      <c r="V309" s="513" t="str">
        <f t="shared" si="178"/>
        <v>Met</v>
      </c>
      <c r="X309" s="444">
        <f>VLOOKUP(A309,'2020-21'!$A$6:$F$319,6,0)/VLOOKUP(A309,'42. SEA or LEA Worksheet'!$A$4:$T$324,20,0)</f>
        <v>3007.0888235294119</v>
      </c>
      <c r="Y309" s="513" t="str">
        <f t="shared" si="179"/>
        <v>Met</v>
      </c>
      <c r="AA309" s="444">
        <f>VLOOKUP(A309,'42. SEA or LEA Worksheet'!$A$4:$W$324,23,0)/VLOOKUP(compliance!A309,'42. SEA or LEA Worksheet'!$A$4:$T$324,20,0)</f>
        <v>13127.225882352941</v>
      </c>
      <c r="AB309" s="513" t="str">
        <f t="shared" si="180"/>
        <v>Met</v>
      </c>
      <c r="AD309" s="512" t="str">
        <f t="shared" si="187"/>
        <v>Met</v>
      </c>
      <c r="AF309" s="444">
        <f>VLOOKUP(A309,'42. SEA or LEA Worksheet'!$A$4:$Z$324,26,0)</f>
        <v>39504.22</v>
      </c>
      <c r="AG309" s="513" t="str">
        <f t="shared" si="181"/>
        <v>Did not Meet</v>
      </c>
      <c r="AI309" s="444">
        <f>VLOOKUP(A309,'42. SEA or LEA Worksheet'!$A$4:$AB$324,28,0)</f>
        <v>194929.33</v>
      </c>
      <c r="AJ309" s="513" t="str">
        <f t="shared" si="182"/>
        <v>Did not Meet</v>
      </c>
      <c r="AL309" s="444">
        <f>VLOOKUP(compliance!A309,'42. SEA or LEA Worksheet'!$A$4:$AB$324,26,0)/VLOOKUP(compliance!A309,'42. SEA or LEA Worksheet'!$A$4:$Y$324,25,0)</f>
        <v>2633.6146666666668</v>
      </c>
      <c r="AM309" s="513" t="str">
        <f t="shared" si="183"/>
        <v>Did not Meet</v>
      </c>
      <c r="AO309" s="444">
        <f>VLOOKUP(A309,'42. SEA or LEA Worksheet'!$A$4:$AB$324,28,0)/VLOOKUP(compliance!A309,'42. SEA or LEA Worksheet'!$A$4:$Y$324,25,0)</f>
        <v>12995.288666666665</v>
      </c>
      <c r="AP309" s="513" t="str">
        <f t="shared" si="184"/>
        <v>Did not Meet</v>
      </c>
      <c r="AR309" s="512" t="str">
        <f t="shared" si="188"/>
        <v>Did not Meet</v>
      </c>
      <c r="AT309" s="444">
        <f>VLOOKUP(A309,'42. SEA or LEA Worksheet'!$A$4:$AE$324,31,0)</f>
        <v>73984.990000000005</v>
      </c>
      <c r="AU309" s="513" t="str">
        <f t="shared" si="193"/>
        <v>Met</v>
      </c>
      <c r="AW309" s="444">
        <f>VLOOKUP(A309,'42. SEA or LEA Worksheet'!$A$4:$AG$324,33,0)</f>
        <v>252582.37</v>
      </c>
      <c r="AX309" s="513" t="str">
        <f t="shared" si="194"/>
        <v>Met</v>
      </c>
      <c r="AZ309" s="444">
        <f>VLOOKUP(A309,'42. SEA or LEA Worksheet'!$A$4:$AG$324,31,0)/VLOOKUP(A309,'42. SEA or LEA Worksheet'!$A$4:$AD$324,30,0)</f>
        <v>4110.2772222222229</v>
      </c>
      <c r="BA309" s="513" t="str">
        <f t="shared" si="195"/>
        <v>Met</v>
      </c>
      <c r="BC309" s="444">
        <f>VLOOKUP(A309,'42. SEA or LEA Worksheet'!$A$4:$AG$324,33,0)/VLOOKUP(A309,'42. SEA or LEA Worksheet'!$A$4:$AD$324,30,0)</f>
        <v>14032.353888888889</v>
      </c>
      <c r="BD309" s="513" t="str">
        <f t="shared" si="196"/>
        <v>Met</v>
      </c>
      <c r="BF309" s="512" t="str">
        <f>IF(AND(AU309="Did not Meet",AX309="Did not Meet", BA309="Did not Meet",BD309="Did not Meet",),"Did not Meet","Met")</f>
        <v>Met</v>
      </c>
      <c r="BG309" s="637">
        <f>VLOOKUP(A309,'42. SEA or LEA Worksheet'!$A$4:$AM$324,36,0)</f>
        <v>55511.74</v>
      </c>
      <c r="BH309" s="638" t="str">
        <f t="shared" si="189"/>
        <v>Did not Meet</v>
      </c>
      <c r="BI309" s="639"/>
      <c r="BJ309" s="637">
        <f>VLOOKUP(A309,'42. SEA or LEA Worksheet'!$A$4:$AM$324,38,0)</f>
        <v>262722.25</v>
      </c>
      <c r="BK309" s="638" t="str">
        <f t="shared" si="190"/>
        <v>Met</v>
      </c>
      <c r="BM309" s="631">
        <f>VLOOKUP(A309,'42. SEA or LEA Worksheet'!$A$4:$AL$324,36,0)/VLOOKUP(A309,'42. SEA or LEA Worksheet'!$A$4:$AL$324,35,0)</f>
        <v>3469.4837499999999</v>
      </c>
      <c r="BN309" s="632" t="str">
        <f t="shared" si="191"/>
        <v>Met</v>
      </c>
      <c r="BP309" s="631">
        <f>VLOOKUP(A309,'42. SEA or LEA Worksheet'!$A$4:$AL$324,38,0)/VLOOKUP(A309,'42. SEA or LEA Worksheet'!$A$4:$AL$324,35,0)</f>
        <v>16420.140625</v>
      </c>
      <c r="BQ309" s="632" t="str">
        <f t="shared" si="192"/>
        <v>Met</v>
      </c>
      <c r="BS309" s="620" t="str">
        <f>IF(AND(BH309="Did not Meet",BK309="Did not Meet", BN309="Did not Meet",BQ309="Did not Meet",),"Did not Meet","Met")</f>
        <v>Met</v>
      </c>
    </row>
    <row r="310" spans="1:71" s="502" customFormat="1" ht="30" x14ac:dyDescent="0.25">
      <c r="A310" s="504" t="s">
        <v>1426</v>
      </c>
      <c r="B310" s="503" t="s">
        <v>1433</v>
      </c>
      <c r="C310" s="505"/>
      <c r="D310" s="506">
        <v>0</v>
      </c>
      <c r="E310" s="502" t="s">
        <v>856</v>
      </c>
      <c r="F310" s="505"/>
      <c r="G310" s="617">
        <v>69276.31</v>
      </c>
      <c r="H310" s="502" t="s">
        <v>835</v>
      </c>
      <c r="I310" s="505"/>
      <c r="J310" s="506">
        <v>0</v>
      </c>
      <c r="L310" s="505"/>
      <c r="M310" s="506">
        <v>0</v>
      </c>
      <c r="O310" s="505"/>
      <c r="P310" s="507"/>
      <c r="Q310" s="505"/>
      <c r="R310" s="506">
        <f>VLOOKUP(A310,'2020-21'!$A$6:$F$319,6,0)</f>
        <v>15038.63</v>
      </c>
      <c r="S310" s="508"/>
      <c r="T310" s="505"/>
      <c r="U310" s="506">
        <f>VLOOKUP(A310,'2020-21'!$A$6:$G$319,7,0)</f>
        <v>87367.05</v>
      </c>
      <c r="V310" s="508" t="str">
        <f t="shared" si="178"/>
        <v>Met</v>
      </c>
      <c r="W310" s="505"/>
      <c r="X310" s="506">
        <v>0</v>
      </c>
      <c r="Y310" s="508"/>
      <c r="Z310" s="505"/>
      <c r="AA310" s="506">
        <f>VLOOKUP(A310,'42. SEA or LEA Worksheet'!$A$4:$W$324,23,0)/VLOOKUP(compliance!A310,'42. SEA or LEA Worksheet'!$A$4:$T$324,20,0)</f>
        <v>0</v>
      </c>
      <c r="AB310" s="508"/>
      <c r="AC310" s="505"/>
      <c r="AD310" s="507"/>
      <c r="AE310" s="505"/>
      <c r="AF310" s="617">
        <f>VLOOKUP(A310,'42. SEA or LEA Worksheet'!$A$4:$Z$324,26,0)</f>
        <v>0</v>
      </c>
      <c r="AG310" s="508"/>
      <c r="AH310" s="505"/>
      <c r="AI310" s="617">
        <f>VLOOKUP(A310,'42. SEA or LEA Worksheet'!$A$4:$AB$324,28,0)</f>
        <v>0</v>
      </c>
      <c r="AJ310" s="508"/>
      <c r="AK310" s="505"/>
      <c r="AL310" s="617">
        <v>0</v>
      </c>
      <c r="AM310" s="508"/>
      <c r="AN310" s="505"/>
      <c r="AO310" s="617">
        <v>0</v>
      </c>
      <c r="AP310" s="508"/>
      <c r="AQ310" s="505"/>
      <c r="AR310" s="507"/>
      <c r="AS310" s="505"/>
      <c r="AT310" s="617">
        <f>VLOOKUP(A310,'42. SEA or LEA Worksheet'!$A$4:$AE$324,31,0)</f>
        <v>0</v>
      </c>
      <c r="AU310" s="508"/>
      <c r="AV310" s="505"/>
      <c r="AW310" s="617">
        <f>VLOOKUP(A310,'42. SEA or LEA Worksheet'!$A$4:$AG$324,33,0)</f>
        <v>0</v>
      </c>
      <c r="AX310" s="508"/>
      <c r="AY310" s="505"/>
      <c r="AZ310" s="617">
        <v>0</v>
      </c>
      <c r="BA310" s="508"/>
      <c r="BB310" s="505"/>
      <c r="BC310" s="617">
        <v>0</v>
      </c>
      <c r="BD310" s="618" t="str">
        <f t="shared" si="196"/>
        <v>Met</v>
      </c>
      <c r="BE310" s="505"/>
      <c r="BF310" s="507" t="s">
        <v>1381</v>
      </c>
      <c r="BG310" s="637">
        <f>VLOOKUP(A310,'42. SEA or LEA Worksheet'!$A$4:$AM$324,36,0)</f>
        <v>0</v>
      </c>
      <c r="BH310" s="623" t="s">
        <v>1151</v>
      </c>
      <c r="BI310" s="622"/>
      <c r="BJ310" s="637">
        <f>VLOOKUP(A310,'42. SEA or LEA Worksheet'!$A$4:$AM$324,38,0)</f>
        <v>0</v>
      </c>
      <c r="BK310" s="623" t="s">
        <v>1151</v>
      </c>
      <c r="BL310" s="622"/>
      <c r="BM310" s="631" t="e">
        <f>VLOOKUP(A310,'42. SEA or LEA Worksheet'!$A$4:$AL$324,36,0)/VLOOKUP(A310,'42. SEA or LEA Worksheet'!$A$4:$AL$324,35,0)</f>
        <v>#DIV/0!</v>
      </c>
      <c r="BN310" s="621" t="s">
        <v>1151</v>
      </c>
      <c r="BO310" s="622"/>
      <c r="BP310" s="631" t="e">
        <f>VLOOKUP(A310,'42. SEA or LEA Worksheet'!$A$4:$AL$324,38,0)/VLOOKUP(A310,'42. SEA or LEA Worksheet'!$A$4:$AL$324,35,0)</f>
        <v>#DIV/0!</v>
      </c>
      <c r="BQ310" s="623" t="s">
        <v>1151</v>
      </c>
      <c r="BR310" s="622"/>
      <c r="BS310" s="619" t="s">
        <v>1381</v>
      </c>
    </row>
    <row r="311" spans="1:71" x14ac:dyDescent="0.25">
      <c r="A311" s="343" t="s">
        <v>804</v>
      </c>
      <c r="B311" s="510" t="s">
        <v>1120</v>
      </c>
      <c r="C311" s="511"/>
      <c r="D311" s="444">
        <v>0</v>
      </c>
      <c r="E311" s="343" t="s">
        <v>835</v>
      </c>
      <c r="F311" s="511"/>
      <c r="G311" s="444">
        <v>1515043.31</v>
      </c>
      <c r="H311" s="343" t="s">
        <v>835</v>
      </c>
      <c r="I311" s="511"/>
      <c r="J311" s="444">
        <v>0</v>
      </c>
      <c r="K311" s="343" t="s">
        <v>835</v>
      </c>
      <c r="L311" s="511"/>
      <c r="M311" s="444">
        <v>10744.988014184397</v>
      </c>
      <c r="N311" s="343" t="s">
        <v>835</v>
      </c>
      <c r="O311" s="511"/>
      <c r="P311" s="512" t="str">
        <f t="shared" ref="P311:P317" si="199">IF(AND(E311="Did not Meet",H311="Did not Meet",K311="Did not Meet", N311="Did not Meet"),"Did not Meet","Met")</f>
        <v>Met</v>
      </c>
      <c r="Q311" s="511"/>
      <c r="R311" s="444">
        <f>VLOOKUP(A311,'2020-21'!$A$6:$F$319,6,0)</f>
        <v>0</v>
      </c>
      <c r="S311" s="513" t="str">
        <f t="shared" ref="S311:S317" si="200">IF(R311&gt;=D311,"Met","Did not Meet")</f>
        <v>Met</v>
      </c>
      <c r="U311" s="444">
        <f>VLOOKUP(A311,'2020-21'!$A$6:$G$319,7,0)</f>
        <v>1659079.2</v>
      </c>
      <c r="V311" s="513" t="str">
        <f t="shared" si="178"/>
        <v>Met</v>
      </c>
      <c r="X311" s="444">
        <f>VLOOKUP(A311,'2020-21'!$A$6:$F$319,6,0)/VLOOKUP(A311,'42. SEA or LEA Worksheet'!$A$4:$T$324,20,0)</f>
        <v>0</v>
      </c>
      <c r="Y311" s="513" t="str">
        <f t="shared" ref="Y311:Y317" si="201">IF(X311&gt;=J311,"Met","Did not Meet")</f>
        <v>Met</v>
      </c>
      <c r="AA311" s="444">
        <f>VLOOKUP(A311,'42. SEA or LEA Worksheet'!$A$4:$W$324,23,0)/VLOOKUP(compliance!A311,'42. SEA or LEA Worksheet'!$A$4:$T$324,20,0)</f>
        <v>13167.295238095237</v>
      </c>
      <c r="AB311" s="513" t="str">
        <f t="shared" ref="AB311:AB317" si="202">IF(AA311&gt;=M311,"Met","Did not Meet")</f>
        <v>Met</v>
      </c>
      <c r="AD311" s="512" t="str">
        <f t="shared" ref="AD311:AD317" si="203">IF(AND(S311="Did not Meet",V311="Did not Meet", Y311="Did not Meet",AB311="Did not Meet"),"Did not Meet","Met")</f>
        <v>Met</v>
      </c>
      <c r="AF311" s="444">
        <f>VLOOKUP(A311,'42. SEA or LEA Worksheet'!$A$4:$Z$324,26,0)</f>
        <v>0</v>
      </c>
      <c r="AG311" s="513" t="str">
        <f t="shared" ref="AG311:AG317" si="204">IF(AF311&gt;=R311,"Met","Did not Meet")</f>
        <v>Met</v>
      </c>
      <c r="AI311" s="444">
        <f>VLOOKUP(A311,'42. SEA or LEA Worksheet'!$A$4:$AB$324,28,0)</f>
        <v>1575457.8</v>
      </c>
      <c r="AJ311" s="513" t="str">
        <f t="shared" ref="AJ311:AJ317" si="205">IF(AI311&gt;=U311,"Met","Did not Meet")</f>
        <v>Did not Meet</v>
      </c>
      <c r="AL311" s="444">
        <f>VLOOKUP(compliance!A311,'42. SEA or LEA Worksheet'!$A$4:$AB$324,26,0)/VLOOKUP(compliance!A311,'42. SEA or LEA Worksheet'!$A$4:$Y$324,25,0)</f>
        <v>0</v>
      </c>
      <c r="AM311" s="513" t="str">
        <f t="shared" ref="AM311:AM317" si="206">IF(AL311&gt;=X311,"Met","Did not Meet")</f>
        <v>Met</v>
      </c>
      <c r="AO311" s="444">
        <f>VLOOKUP(A311,'42. SEA or LEA Worksheet'!$A$4:$AB$324,28,0)/VLOOKUP(compliance!A311,'42. SEA or LEA Worksheet'!$A$4:$Y$324,25,0)</f>
        <v>14322.343636363637</v>
      </c>
      <c r="AP311" s="513" t="str">
        <f t="shared" ref="AP311:AP317" si="207">IF(AO311&gt;=AA311,"Met","Did not Meet")</f>
        <v>Met</v>
      </c>
      <c r="AR311" s="512" t="str">
        <f t="shared" ref="AR311:AR317" si="208">IF(AND(AG311="Did not Meet",AJ311="Did not Meet", AM311="Did not Meet",AP311="Did not Meet"),"Did not Meet","Met")</f>
        <v>Met</v>
      </c>
      <c r="AT311" s="444">
        <f>VLOOKUP(A311,'42. SEA or LEA Worksheet'!$A$4:$AE$324,31,0)</f>
        <v>0</v>
      </c>
      <c r="AU311" s="513" t="str">
        <f t="shared" ref="AU311:AU317" si="209">IF(AT311&gt;=AF311,"Met","Did not Meet")</f>
        <v>Met</v>
      </c>
      <c r="AW311" s="444">
        <f>VLOOKUP(A311,'42. SEA or LEA Worksheet'!$A$4:$AG$324,33,0)</f>
        <v>1507535.45</v>
      </c>
      <c r="AX311" s="513" t="str">
        <f t="shared" ref="AX311:AX317" si="210">IF(AW311&gt;=AI311,"Met","Did not Meet")</f>
        <v>Did not Meet</v>
      </c>
      <c r="AZ311" s="444">
        <f>VLOOKUP(A311,'42. SEA or LEA Worksheet'!$A$4:$AG$324,31,0)/VLOOKUP(A311,'42. SEA or LEA Worksheet'!$A$4:$AD$324,30,0)</f>
        <v>0</v>
      </c>
      <c r="BA311" s="513" t="str">
        <f t="shared" ref="BA311:BA317" si="211">IF(AZ311&gt;=AL311,"Met","Did not Meet")</f>
        <v>Met</v>
      </c>
      <c r="BC311" s="444">
        <f>VLOOKUP(A311,'42. SEA or LEA Worksheet'!$A$4:$AG$324,33,0)/VLOOKUP(A311,'42. SEA or LEA Worksheet'!$A$4:$AD$324,30,0)</f>
        <v>12995.995258620689</v>
      </c>
      <c r="BD311" s="513" t="str">
        <f t="shared" si="196"/>
        <v>Did not Meet</v>
      </c>
      <c r="BF311" s="512" t="str">
        <f>IF(AND(AU311="Did not Meet",AX311="Did not Meet", BA311="Did not Meet",BD311="Did not Meet",),"Did not Meet","Met")</f>
        <v>Met</v>
      </c>
      <c r="BG311" s="637">
        <f>VLOOKUP(A311,'42. SEA or LEA Worksheet'!$A$4:$AM$324,36,0)</f>
        <v>0</v>
      </c>
      <c r="BH311" s="638" t="str">
        <f t="shared" ref="BH311:BH317" si="212">IF(BG311&gt;=AT311,"Met","Did not Meet")</f>
        <v>Met</v>
      </c>
      <c r="BI311" s="639"/>
      <c r="BJ311" s="637">
        <f>VLOOKUP(A311,'42. SEA or LEA Worksheet'!$A$4:$AM$324,38,0)</f>
        <v>1754895.73</v>
      </c>
      <c r="BK311" s="638" t="str">
        <f t="shared" ref="BK311:BK317" si="213">IF(BJ311&gt;=AW311,"Met","Did not Meet")</f>
        <v>Met</v>
      </c>
      <c r="BM311" s="631">
        <f>VLOOKUP(A311,'42. SEA or LEA Worksheet'!$A$4:$AL$324,36,0)/VLOOKUP(A311,'42. SEA or LEA Worksheet'!$A$4:$AL$324,35,0)</f>
        <v>0</v>
      </c>
      <c r="BN311" s="632" t="str">
        <f t="shared" ref="BN311:BN317" si="214">IF(BM311&gt;=AY311,"Met","Did not Meet")</f>
        <v>Met</v>
      </c>
      <c r="BP311" s="631">
        <f>VLOOKUP(A311,'42. SEA or LEA Worksheet'!$A$4:$AL$324,38,0)/VLOOKUP(A311,'42. SEA or LEA Worksheet'!$A$4:$AL$324,35,0)</f>
        <v>14384.391229508197</v>
      </c>
      <c r="BQ311" s="632" t="str">
        <f t="shared" ref="BQ311:BQ317" si="215">IF(BP311&gt;=BB311,"Met","Did not Meet")</f>
        <v>Met</v>
      </c>
      <c r="BS311" s="620" t="str">
        <f>IF(AND(BH311="Did not Meet",BK311="Did not Meet", BN311="Did not Meet",BQ311="Did not Meet",),"Did not Meet","Met")</f>
        <v>Met</v>
      </c>
    </row>
    <row r="312" spans="1:71" x14ac:dyDescent="0.25">
      <c r="A312" s="343" t="s">
        <v>806</v>
      </c>
      <c r="B312" s="510" t="s">
        <v>1121</v>
      </c>
      <c r="C312" s="511"/>
      <c r="D312" s="444">
        <v>0</v>
      </c>
      <c r="E312" s="343" t="s">
        <v>835</v>
      </c>
      <c r="F312" s="511"/>
      <c r="G312" s="444">
        <v>204245.45</v>
      </c>
      <c r="H312" s="343" t="s">
        <v>835</v>
      </c>
      <c r="I312" s="511"/>
      <c r="J312" s="444">
        <v>0</v>
      </c>
      <c r="K312" s="343" t="s">
        <v>835</v>
      </c>
      <c r="L312" s="511"/>
      <c r="M312" s="444">
        <v>7564.6462962962969</v>
      </c>
      <c r="N312" s="343" t="s">
        <v>856</v>
      </c>
      <c r="O312" s="511"/>
      <c r="P312" s="512" t="str">
        <f t="shared" si="199"/>
        <v>Met</v>
      </c>
      <c r="Q312" s="511"/>
      <c r="R312" s="444">
        <f>VLOOKUP(A312,'2020-21'!$A$6:$F$319,6,0)</f>
        <v>0</v>
      </c>
      <c r="S312" s="513" t="str">
        <f t="shared" si="200"/>
        <v>Met</v>
      </c>
      <c r="U312" s="444">
        <f>VLOOKUP(A312,'2020-21'!$A$6:$G$319,7,0)</f>
        <v>204031.16</v>
      </c>
      <c r="V312" s="513" t="str">
        <f t="shared" si="178"/>
        <v>Did not Meet</v>
      </c>
      <c r="X312" s="444">
        <f>VLOOKUP(A312,'2020-21'!$A$6:$F$319,6,0)/VLOOKUP(A312,'42. SEA or LEA Worksheet'!$A$4:$T$324,20,0)</f>
        <v>0</v>
      </c>
      <c r="Y312" s="513" t="str">
        <f t="shared" si="201"/>
        <v>Met</v>
      </c>
      <c r="AA312" s="444">
        <f>VLOOKUP(A312,'42. SEA or LEA Worksheet'!$A$4:$W$324,23,0)/VLOOKUP(compliance!A312,'42. SEA or LEA Worksheet'!$A$4:$T$324,20,0)</f>
        <v>8161.2464</v>
      </c>
      <c r="AB312" s="513" t="str">
        <f t="shared" si="202"/>
        <v>Met</v>
      </c>
      <c r="AD312" s="512" t="str">
        <f t="shared" si="203"/>
        <v>Met</v>
      </c>
      <c r="AF312" s="444">
        <f>VLOOKUP(A312,'42. SEA or LEA Worksheet'!$A$4:$Z$324,26,0)</f>
        <v>0</v>
      </c>
      <c r="AG312" s="513" t="str">
        <f t="shared" si="204"/>
        <v>Met</v>
      </c>
      <c r="AI312" s="444">
        <f>VLOOKUP(A312,'42. SEA or LEA Worksheet'!$A$4:$AB$324,28,0)</f>
        <v>230823.85</v>
      </c>
      <c r="AJ312" s="513" t="str">
        <f t="shared" si="205"/>
        <v>Met</v>
      </c>
      <c r="AL312" s="444">
        <f>VLOOKUP(compliance!A312,'42. SEA or LEA Worksheet'!$A$4:$AB$324,26,0)/VLOOKUP(compliance!A312,'42. SEA or LEA Worksheet'!$A$4:$Y$324,25,0)</f>
        <v>0</v>
      </c>
      <c r="AM312" s="513" t="str">
        <f t="shared" si="206"/>
        <v>Met</v>
      </c>
      <c r="AO312" s="444">
        <f>VLOOKUP(A312,'42. SEA or LEA Worksheet'!$A$4:$AB$324,28,0)/VLOOKUP(compliance!A312,'42. SEA or LEA Worksheet'!$A$4:$Y$324,25,0)</f>
        <v>12823.547222222223</v>
      </c>
      <c r="AP312" s="513" t="str">
        <f t="shared" si="207"/>
        <v>Met</v>
      </c>
      <c r="AR312" s="512" t="str">
        <f t="shared" si="208"/>
        <v>Met</v>
      </c>
      <c r="AT312" s="444">
        <f>VLOOKUP(A312,'42. SEA or LEA Worksheet'!$A$4:$AE$324,31,0)</f>
        <v>0</v>
      </c>
      <c r="AU312" s="513" t="str">
        <f t="shared" si="209"/>
        <v>Met</v>
      </c>
      <c r="AW312" s="444">
        <f>VLOOKUP(A312,'42. SEA or LEA Worksheet'!$A$4:$AG$324,33,0)</f>
        <v>219897.42</v>
      </c>
      <c r="AX312" s="513" t="str">
        <f t="shared" si="210"/>
        <v>Did not Meet</v>
      </c>
      <c r="AZ312" s="444">
        <f>VLOOKUP(A312,'42. SEA or LEA Worksheet'!$A$4:$AG$324,31,0)/VLOOKUP(A312,'42. SEA or LEA Worksheet'!$A$4:$AD$324,30,0)</f>
        <v>0</v>
      </c>
      <c r="BA312" s="513" t="str">
        <f t="shared" si="211"/>
        <v>Met</v>
      </c>
      <c r="BC312" s="444">
        <f>VLOOKUP(A312,'42. SEA or LEA Worksheet'!$A$4:$AG$324,33,0)/VLOOKUP(A312,'42. SEA or LEA Worksheet'!$A$4:$AD$324,30,0)</f>
        <v>9995.3372727272726</v>
      </c>
      <c r="BD312" s="513" t="str">
        <f t="shared" si="196"/>
        <v>Did not Meet</v>
      </c>
      <c r="BF312" s="512" t="str">
        <f>IF(AND(AU312="Did not Meet",AX312="Did not Meet", BA312="Did not Meet",BD312="Did not Meet",),"Did not Meet","Met")</f>
        <v>Met</v>
      </c>
      <c r="BG312" s="637">
        <f>VLOOKUP(A312,'42. SEA or LEA Worksheet'!$A$4:$AM$324,36,0)</f>
        <v>0</v>
      </c>
      <c r="BH312" s="638" t="str">
        <f t="shared" si="212"/>
        <v>Met</v>
      </c>
      <c r="BI312" s="639"/>
      <c r="BJ312" s="637">
        <f>VLOOKUP(A312,'42. SEA or LEA Worksheet'!$A$4:$AM$324,38,0)</f>
        <v>264456.58</v>
      </c>
      <c r="BK312" s="638" t="str">
        <f t="shared" si="213"/>
        <v>Met</v>
      </c>
      <c r="BM312" s="631">
        <f>VLOOKUP(A312,'42. SEA or LEA Worksheet'!$A$4:$AL$324,36,0)/VLOOKUP(A312,'42. SEA or LEA Worksheet'!$A$4:$AL$324,35,0)</f>
        <v>0</v>
      </c>
      <c r="BN312" s="632" t="str">
        <f t="shared" si="214"/>
        <v>Met</v>
      </c>
      <c r="BP312" s="631">
        <f>VLOOKUP(A312,'42. SEA or LEA Worksheet'!$A$4:$AL$324,38,0)/VLOOKUP(A312,'42. SEA or LEA Worksheet'!$A$4:$AL$324,35,0)</f>
        <v>12593.170476190477</v>
      </c>
      <c r="BQ312" s="632" t="str">
        <f t="shared" si="215"/>
        <v>Met</v>
      </c>
      <c r="BS312" s="620" t="str">
        <f>IF(AND(BH312="Did not Meet",BK312="Did not Meet", BN312="Did not Meet",BQ312="Did not Meet",),"Did not Meet","Met")</f>
        <v>Met</v>
      </c>
    </row>
    <row r="313" spans="1:71" x14ac:dyDescent="0.25">
      <c r="A313" s="343" t="s">
        <v>808</v>
      </c>
      <c r="B313" s="510" t="s">
        <v>1122</v>
      </c>
      <c r="C313" s="511"/>
      <c r="D313" s="444">
        <v>0</v>
      </c>
      <c r="E313" s="343" t="s">
        <v>835</v>
      </c>
      <c r="F313" s="511"/>
      <c r="G313" s="444">
        <v>85680.07</v>
      </c>
      <c r="H313" s="343" t="s">
        <v>856</v>
      </c>
      <c r="I313" s="511"/>
      <c r="J313" s="444">
        <v>0</v>
      </c>
      <c r="K313" s="343" t="s">
        <v>856</v>
      </c>
      <c r="L313" s="511"/>
      <c r="M313" s="444">
        <v>8568.0070000000014</v>
      </c>
      <c r="N313" s="343" t="s">
        <v>856</v>
      </c>
      <c r="O313" s="511"/>
      <c r="P313" s="512" t="str">
        <f t="shared" si="199"/>
        <v>Met</v>
      </c>
      <c r="Q313" s="511"/>
      <c r="R313" s="444">
        <f>VLOOKUP(A313,'2020-21'!$A$6:$F$319,6,0)</f>
        <v>0</v>
      </c>
      <c r="S313" s="513" t="str">
        <f t="shared" si="200"/>
        <v>Met</v>
      </c>
      <c r="U313" s="444">
        <f>VLOOKUP(A313,'2020-21'!$A$6:$G$319,7,0)</f>
        <v>78424.41</v>
      </c>
      <c r="V313" s="513" t="str">
        <f t="shared" si="178"/>
        <v>Did not Meet</v>
      </c>
      <c r="X313" s="444">
        <v>0</v>
      </c>
      <c r="Y313" s="513" t="str">
        <f t="shared" si="201"/>
        <v>Met</v>
      </c>
      <c r="AA313" s="444">
        <f>VLOOKUP(A313,'42. SEA or LEA Worksheet'!$A$4:$W$324,23,0)/VLOOKUP(compliance!A313,'42. SEA or LEA Worksheet'!$A$4:$T$324,20,0)</f>
        <v>11203.487142857144</v>
      </c>
      <c r="AB313" s="513" t="str">
        <f t="shared" si="202"/>
        <v>Met</v>
      </c>
      <c r="AD313" s="512" t="str">
        <f t="shared" si="203"/>
        <v>Met</v>
      </c>
      <c r="AF313" s="444">
        <f>VLOOKUP(A313,'42. SEA or LEA Worksheet'!$A$4:$Z$324,26,0)</f>
        <v>0</v>
      </c>
      <c r="AG313" s="513" t="str">
        <f t="shared" si="204"/>
        <v>Met</v>
      </c>
      <c r="AI313" s="444">
        <f>VLOOKUP(A313,'42. SEA or LEA Worksheet'!$A$4:$AB$324,28,0)</f>
        <v>53332.76</v>
      </c>
      <c r="AJ313" s="513" t="str">
        <f t="shared" si="205"/>
        <v>Did not Meet</v>
      </c>
      <c r="AL313" s="444">
        <f>VLOOKUP(compliance!A313,'42. SEA or LEA Worksheet'!$A$4:$AB$324,26,0)/VLOOKUP(compliance!A313,'42. SEA or LEA Worksheet'!$A$4:$Y$324,25,0)</f>
        <v>0</v>
      </c>
      <c r="AM313" s="513" t="str">
        <f t="shared" si="206"/>
        <v>Met</v>
      </c>
      <c r="AO313" s="444">
        <f>VLOOKUP(A313,'42. SEA or LEA Worksheet'!$A$4:$AB$324,28,0)/VLOOKUP(compliance!A313,'42. SEA or LEA Worksheet'!$A$4:$Y$324,25,0)</f>
        <v>7618.965714285715</v>
      </c>
      <c r="AP313" s="513" t="str">
        <f t="shared" si="207"/>
        <v>Did not Meet</v>
      </c>
      <c r="AR313" s="512" t="str">
        <f t="shared" si="208"/>
        <v>Met</v>
      </c>
      <c r="AT313" s="444">
        <f>VLOOKUP(A313,'42. SEA or LEA Worksheet'!$A$4:$AE$324,31,0)</f>
        <v>0</v>
      </c>
      <c r="AU313" s="513" t="str">
        <f t="shared" si="209"/>
        <v>Met</v>
      </c>
      <c r="AW313" s="444">
        <f>VLOOKUP(A313,'42. SEA or LEA Worksheet'!$A$4:$AG$324,33,0)</f>
        <v>79462.36</v>
      </c>
      <c r="AX313" s="513" t="str">
        <f t="shared" si="210"/>
        <v>Met</v>
      </c>
      <c r="AZ313" s="444">
        <f>VLOOKUP(A313,'42. SEA or LEA Worksheet'!$A$4:$AG$324,31,0)/VLOOKUP(A313,'42. SEA or LEA Worksheet'!$A$4:$AD$324,30,0)</f>
        <v>0</v>
      </c>
      <c r="BA313" s="513" t="str">
        <f t="shared" si="211"/>
        <v>Met</v>
      </c>
      <c r="BC313" s="444">
        <f>VLOOKUP(A313,'42. SEA or LEA Worksheet'!$A$4:$AG$324,33,0)/VLOOKUP(A313,'42. SEA or LEA Worksheet'!$A$4:$AD$324,30,0)</f>
        <v>15892.472</v>
      </c>
      <c r="BD313" s="513" t="str">
        <f t="shared" si="196"/>
        <v>Met</v>
      </c>
      <c r="BF313" s="512" t="str">
        <f>IF(AND(AU313="Did not Meet",AX313="Did not Meet", BA313="Did not Meet",BD313="Did not Meet",),"Did not Meet","Met")</f>
        <v>Met</v>
      </c>
      <c r="BG313" s="637">
        <f>VLOOKUP(A313,'42. SEA or LEA Worksheet'!$A$4:$AM$324,36,0)</f>
        <v>0</v>
      </c>
      <c r="BH313" s="638" t="str">
        <f t="shared" si="212"/>
        <v>Met</v>
      </c>
      <c r="BI313" s="639"/>
      <c r="BJ313" s="637">
        <f>VLOOKUP(A313,'42. SEA or LEA Worksheet'!$A$4:$AM$324,38,0)</f>
        <v>191459.61</v>
      </c>
      <c r="BK313" s="638" t="str">
        <f t="shared" si="213"/>
        <v>Met</v>
      </c>
      <c r="BM313" s="631">
        <f>VLOOKUP(A313,'42. SEA or LEA Worksheet'!$A$4:$AL$324,36,0)/VLOOKUP(A313,'42. SEA or LEA Worksheet'!$A$4:$AL$324,35,0)</f>
        <v>0</v>
      </c>
      <c r="BN313" s="632" t="str">
        <f t="shared" si="214"/>
        <v>Met</v>
      </c>
      <c r="BP313" s="631">
        <f>VLOOKUP(A313,'42. SEA or LEA Worksheet'!$A$4:$AL$324,38,0)/VLOOKUP(A313,'42. SEA or LEA Worksheet'!$A$4:$AL$324,35,0)</f>
        <v>13675.686428571427</v>
      </c>
      <c r="BQ313" s="632" t="str">
        <f t="shared" si="215"/>
        <v>Met</v>
      </c>
      <c r="BS313" s="620" t="str">
        <f>IF(AND(BH313="Did not Meet",BK313="Did not Meet", BN313="Did not Meet",BQ313="Did not Meet",),"Did not Meet","Met")</f>
        <v>Met</v>
      </c>
    </row>
    <row r="314" spans="1:71" x14ac:dyDescent="0.25">
      <c r="A314" s="343" t="s">
        <v>810</v>
      </c>
      <c r="B314" s="510" t="s">
        <v>1123</v>
      </c>
      <c r="C314" s="511"/>
      <c r="D314" s="444">
        <v>330987.96000000002</v>
      </c>
      <c r="E314" s="343" t="s">
        <v>856</v>
      </c>
      <c r="F314" s="511"/>
      <c r="G314" s="444">
        <v>4387472.96</v>
      </c>
      <c r="H314" s="343" t="s">
        <v>835</v>
      </c>
      <c r="I314" s="511"/>
      <c r="J314" s="444">
        <v>1027.9129192546584</v>
      </c>
      <c r="K314" s="343" t="s">
        <v>856</v>
      </c>
      <c r="L314" s="511"/>
      <c r="M314" s="444">
        <v>13625.692422360249</v>
      </c>
      <c r="N314" s="343" t="s">
        <v>835</v>
      </c>
      <c r="O314" s="511"/>
      <c r="P314" s="512" t="str">
        <f t="shared" si="199"/>
        <v>Met</v>
      </c>
      <c r="Q314" s="511"/>
      <c r="R314" s="444">
        <f>VLOOKUP(A314,'2020-21'!$A$6:$F$319,6,0)</f>
        <v>371213.6</v>
      </c>
      <c r="S314" s="513" t="str">
        <f t="shared" si="200"/>
        <v>Met</v>
      </c>
      <c r="U314" s="444">
        <f>VLOOKUP(A314,'2020-21'!$A$6:$G$319,7,0)</f>
        <v>4739699.5999999996</v>
      </c>
      <c r="V314" s="513" t="str">
        <f t="shared" si="178"/>
        <v>Met</v>
      </c>
      <c r="X314" s="444">
        <f>VLOOKUP(A314,'2020-21'!$A$6:$F$319,6,0)/VLOOKUP(A314,'42. SEA or LEA Worksheet'!$A$4:$T$324,20,0)</f>
        <v>1178.4558730158728</v>
      </c>
      <c r="Y314" s="513" t="str">
        <f t="shared" si="201"/>
        <v>Met</v>
      </c>
      <c r="AA314" s="444">
        <f>VLOOKUP(A314,'42. SEA or LEA Worksheet'!$A$4:$W$324,23,0)/VLOOKUP(compliance!A314,'42. SEA or LEA Worksheet'!$A$4:$T$324,20,0)</f>
        <v>15046.665396825396</v>
      </c>
      <c r="AB314" s="513" t="str">
        <f t="shared" si="202"/>
        <v>Met</v>
      </c>
      <c r="AD314" s="512" t="str">
        <f t="shared" si="203"/>
        <v>Met</v>
      </c>
      <c r="AF314" s="444">
        <f>VLOOKUP(A314,'42. SEA or LEA Worksheet'!$A$4:$Z$324,26,0)</f>
        <v>373565.69</v>
      </c>
      <c r="AG314" s="513" t="str">
        <f t="shared" si="204"/>
        <v>Met</v>
      </c>
      <c r="AI314" s="444">
        <f>VLOOKUP(A314,'42. SEA or LEA Worksheet'!$A$4:$AB$324,28,0)</f>
        <v>3973223.77</v>
      </c>
      <c r="AJ314" s="513" t="str">
        <f t="shared" si="205"/>
        <v>Did not Meet</v>
      </c>
      <c r="AL314" s="444">
        <f>VLOOKUP(compliance!A314,'42. SEA or LEA Worksheet'!$A$4:$AB$324,26,0)/VLOOKUP(compliance!A314,'42. SEA or LEA Worksheet'!$A$4:$Y$324,25,0)</f>
        <v>1108.5035311572701</v>
      </c>
      <c r="AM314" s="513" t="str">
        <f t="shared" si="206"/>
        <v>Did not Meet</v>
      </c>
      <c r="AO314" s="444">
        <f>VLOOKUP(A314,'42. SEA or LEA Worksheet'!$A$4:$AB$324,28,0)/VLOOKUP(compliance!A314,'42. SEA or LEA Worksheet'!$A$4:$Y$324,25,0)</f>
        <v>11789.981513353116</v>
      </c>
      <c r="AP314" s="513" t="str">
        <f t="shared" si="207"/>
        <v>Did not Meet</v>
      </c>
      <c r="AR314" s="512" t="str">
        <f t="shared" si="208"/>
        <v>Met</v>
      </c>
      <c r="AT314" s="444">
        <f>VLOOKUP(A314,'42. SEA or LEA Worksheet'!$A$4:$AE$324,31,0)</f>
        <v>550882.63</v>
      </c>
      <c r="AU314" s="513" t="str">
        <f t="shared" si="209"/>
        <v>Met</v>
      </c>
      <c r="AW314" s="444">
        <f>VLOOKUP(A314,'42. SEA or LEA Worksheet'!$A$4:$AG$324,33,0)</f>
        <v>5550054.3099999996</v>
      </c>
      <c r="AX314" s="513" t="str">
        <f t="shared" si="210"/>
        <v>Met</v>
      </c>
      <c r="AZ314" s="444">
        <f>VLOOKUP(A314,'42. SEA or LEA Worksheet'!$A$4:$AG$324,31,0)/VLOOKUP(A314,'42. SEA or LEA Worksheet'!$A$4:$AD$324,30,0)</f>
        <v>1582.9960632183909</v>
      </c>
      <c r="BA314" s="513" t="str">
        <f t="shared" si="211"/>
        <v>Met</v>
      </c>
      <c r="BC314" s="444">
        <f>VLOOKUP(A314,'42. SEA or LEA Worksheet'!$A$4:$AG$324,33,0)/VLOOKUP(A314,'42. SEA or LEA Worksheet'!$A$4:$AD$324,30,0)</f>
        <v>15948.431925287356</v>
      </c>
      <c r="BD314" s="513" t="str">
        <f t="shared" si="196"/>
        <v>Met</v>
      </c>
      <c r="BF314" s="512" t="str">
        <f>IF(AND(AU314="Did not Meet",AX314="Did not Meet", BA314="Did not Meet",BD314="Did not Meet"),"Did not Meet","Met")</f>
        <v>Met</v>
      </c>
      <c r="BG314" s="637">
        <f>VLOOKUP(A314,'42. SEA or LEA Worksheet'!$A$4:$AM$324,36,0)</f>
        <v>289802.27</v>
      </c>
      <c r="BH314" s="638" t="str">
        <f t="shared" si="212"/>
        <v>Did not Meet</v>
      </c>
      <c r="BI314" s="639"/>
      <c r="BJ314" s="637">
        <f>VLOOKUP(A314,'42. SEA or LEA Worksheet'!$A$4:$AM$324,38,0)</f>
        <v>5863263.2699999996</v>
      </c>
      <c r="BK314" s="638" t="str">
        <f t="shared" si="213"/>
        <v>Met</v>
      </c>
      <c r="BM314" s="631">
        <f>VLOOKUP(A314,'42. SEA or LEA Worksheet'!$A$4:$AL$324,36,0)/VLOOKUP(A314,'42. SEA or LEA Worksheet'!$A$4:$AL$324,35,0)</f>
        <v>760.63587926509194</v>
      </c>
      <c r="BN314" s="632" t="str">
        <f t="shared" si="214"/>
        <v>Met</v>
      </c>
      <c r="BP314" s="631">
        <f>VLOOKUP(A314,'42. SEA or LEA Worksheet'!$A$4:$AL$324,38,0)/VLOOKUP(A314,'42. SEA or LEA Worksheet'!$A$4:$AL$324,35,0)</f>
        <v>15389.142440944881</v>
      </c>
      <c r="BQ314" s="632" t="str">
        <f t="shared" si="215"/>
        <v>Met</v>
      </c>
      <c r="BS314" s="620" t="str">
        <f>IF(AND(BH314="Did not Meet",BK314="Did not Meet", BN314="Did not Meet",BQ314="Did not Meet"),"Did not Meet","Met")</f>
        <v>Met</v>
      </c>
    </row>
    <row r="315" spans="1:71" x14ac:dyDescent="0.25">
      <c r="A315" s="343" t="s">
        <v>812</v>
      </c>
      <c r="B315" s="510" t="s">
        <v>1124</v>
      </c>
      <c r="C315" s="511"/>
      <c r="D315" s="444">
        <v>6102056.54</v>
      </c>
      <c r="E315" s="343" t="s">
        <v>835</v>
      </c>
      <c r="F315" s="511"/>
      <c r="G315" s="444">
        <v>29029038.48</v>
      </c>
      <c r="H315" s="343" t="s">
        <v>835</v>
      </c>
      <c r="I315" s="511"/>
      <c r="J315" s="444">
        <v>2722.9167960731816</v>
      </c>
      <c r="K315" s="343" t="s">
        <v>835</v>
      </c>
      <c r="L315" s="511"/>
      <c r="M315" s="444">
        <v>12953.609317269076</v>
      </c>
      <c r="N315" s="343" t="s">
        <v>856</v>
      </c>
      <c r="O315" s="511"/>
      <c r="P315" s="512" t="str">
        <f t="shared" si="199"/>
        <v>Met</v>
      </c>
      <c r="Q315" s="511"/>
      <c r="R315" s="444">
        <f>VLOOKUP(A315,'2020-21'!$A$6:$F$319,6,0)</f>
        <v>7061921.29</v>
      </c>
      <c r="S315" s="513" t="str">
        <f t="shared" si="200"/>
        <v>Met</v>
      </c>
      <c r="U315" s="444">
        <f>VLOOKUP(A315,'2020-21'!$A$6:$G$319,7,0)</f>
        <v>29611934.289999999</v>
      </c>
      <c r="V315" s="513" t="str">
        <f t="shared" si="178"/>
        <v>Met</v>
      </c>
      <c r="X315" s="444">
        <f>VLOOKUP(A315,'2020-21'!$A$6:$F$319,6,0)/VLOOKUP(A315,'42. SEA or LEA Worksheet'!$A$4:$T$324,20,0)</f>
        <v>3270.9223205187586</v>
      </c>
      <c r="Y315" s="513" t="str">
        <f t="shared" si="201"/>
        <v>Met</v>
      </c>
      <c r="AA315" s="444">
        <f>VLOOKUP(A315,'42. SEA or LEA Worksheet'!$A$4:$W$324,23,0)/VLOOKUP(compliance!A315,'42. SEA or LEA Worksheet'!$A$4:$T$324,20,0)</f>
        <v>13715.578642890227</v>
      </c>
      <c r="AB315" s="513" t="str">
        <f t="shared" si="202"/>
        <v>Met</v>
      </c>
      <c r="AD315" s="512" t="str">
        <f t="shared" si="203"/>
        <v>Met</v>
      </c>
      <c r="AF315" s="444">
        <f>VLOOKUP(A315,'42. SEA or LEA Worksheet'!$A$4:$Z$324,26,0)</f>
        <v>5221918.3</v>
      </c>
      <c r="AG315" s="513" t="str">
        <f t="shared" si="204"/>
        <v>Did not Meet</v>
      </c>
      <c r="AI315" s="444">
        <f>VLOOKUP(A315,'42. SEA or LEA Worksheet'!$A$4:$AB$324,28,0)</f>
        <v>32292389.940000001</v>
      </c>
      <c r="AJ315" s="513" t="str">
        <f t="shared" si="205"/>
        <v>Met</v>
      </c>
      <c r="AL315" s="444">
        <f>VLOOKUP(compliance!A315,'42. SEA or LEA Worksheet'!$A$4:$AB$324,26,0)/VLOOKUP(compliance!A315,'42. SEA or LEA Worksheet'!$A$4:$Y$324,25,0)</f>
        <v>2353.2754844524561</v>
      </c>
      <c r="AM315" s="513" t="str">
        <f t="shared" si="206"/>
        <v>Did not Meet</v>
      </c>
      <c r="AO315" s="444">
        <f>VLOOKUP(A315,'42. SEA or LEA Worksheet'!$A$4:$AB$324,28,0)/VLOOKUP(compliance!A315,'42. SEA or LEA Worksheet'!$A$4:$Y$324,25,0)</f>
        <v>14552.676854438938</v>
      </c>
      <c r="AP315" s="513" t="str">
        <f t="shared" si="207"/>
        <v>Met</v>
      </c>
      <c r="AR315" s="512" t="str">
        <f t="shared" si="208"/>
        <v>Met</v>
      </c>
      <c r="AT315" s="444">
        <f>VLOOKUP(A315,'42. SEA or LEA Worksheet'!$A$4:$AE$324,31,0)</f>
        <v>5221919.3</v>
      </c>
      <c r="AU315" s="513" t="str">
        <f t="shared" si="209"/>
        <v>Met</v>
      </c>
      <c r="AW315" s="444">
        <f>VLOOKUP(A315,'42. SEA or LEA Worksheet'!$A$4:$AG$324,33,0)</f>
        <v>37288062.219999999</v>
      </c>
      <c r="AX315" s="513" t="str">
        <f t="shared" si="210"/>
        <v>Met</v>
      </c>
      <c r="AZ315" s="444">
        <f>VLOOKUP(A315,'42. SEA or LEA Worksheet'!$A$4:$AG$324,31,0)/VLOOKUP(A315,'42. SEA or LEA Worksheet'!$A$4:$AD$324,30,0)</f>
        <v>2342.7183938986091</v>
      </c>
      <c r="BA315" s="513" t="str">
        <f t="shared" si="211"/>
        <v>Did not Meet</v>
      </c>
      <c r="BC315" s="444">
        <f>VLOOKUP(A315,'42. SEA or LEA Worksheet'!$A$4:$AG$324,33,0)/VLOOKUP(A315,'42. SEA or LEA Worksheet'!$A$4:$AD$324,30,0)</f>
        <v>16728.605751458053</v>
      </c>
      <c r="BD315" s="513" t="str">
        <f t="shared" si="196"/>
        <v>Met</v>
      </c>
      <c r="BF315" s="512" t="str">
        <f>IF(AND(AU315="Did not Meet",AX315="Did not Meet", BA315="Did not Meet",BD315="Did not Meet",),"Did not Meet","Met")</f>
        <v>Met</v>
      </c>
      <c r="BG315" s="637">
        <f>VLOOKUP(A315,'42. SEA or LEA Worksheet'!$A$4:$AM$324,36,0)</f>
        <v>5222419.3</v>
      </c>
      <c r="BH315" s="638" t="str">
        <f t="shared" si="212"/>
        <v>Met</v>
      </c>
      <c r="BI315" s="639"/>
      <c r="BJ315" s="637">
        <f>VLOOKUP(A315,'42. SEA or LEA Worksheet'!$A$4:$AM$324,38,0)</f>
        <v>38237744.089999996</v>
      </c>
      <c r="BK315" s="638" t="str">
        <f t="shared" si="213"/>
        <v>Met</v>
      </c>
      <c r="BM315" s="631">
        <f>VLOOKUP(A315,'42. SEA or LEA Worksheet'!$A$4:$AL$324,36,0)/VLOOKUP(A315,'42. SEA or LEA Worksheet'!$A$4:$AL$324,35,0)</f>
        <v>2197.987920875421</v>
      </c>
      <c r="BN315" s="632" t="str">
        <f t="shared" si="214"/>
        <v>Met</v>
      </c>
      <c r="BP315" s="631">
        <f>VLOOKUP(A315,'42. SEA or LEA Worksheet'!$A$4:$AL$324,38,0)/VLOOKUP(A315,'42. SEA or LEA Worksheet'!$A$4:$AL$324,35,0)</f>
        <v>16093.326637205386</v>
      </c>
      <c r="BQ315" s="632" t="str">
        <f t="shared" si="215"/>
        <v>Met</v>
      </c>
      <c r="BS315" s="620" t="str">
        <f>IF(AND(BH315="Did not Meet",BK315="Did not Meet", BN315="Did not Meet",BQ315="Did not Meet",),"Did not Meet","Met")</f>
        <v>Met</v>
      </c>
    </row>
    <row r="316" spans="1:71" x14ac:dyDescent="0.25">
      <c r="A316" s="343" t="s">
        <v>814</v>
      </c>
      <c r="B316" s="510" t="s">
        <v>1125</v>
      </c>
      <c r="C316" s="511"/>
      <c r="D316" s="444">
        <v>1412356.11</v>
      </c>
      <c r="E316" s="343" t="s">
        <v>835</v>
      </c>
      <c r="F316" s="511"/>
      <c r="G316" s="444">
        <v>10562386.119999999</v>
      </c>
      <c r="H316" s="343" t="s">
        <v>835</v>
      </c>
      <c r="I316" s="511"/>
      <c r="J316" s="444">
        <v>1681.3763214285716</v>
      </c>
      <c r="K316" s="343" t="s">
        <v>835</v>
      </c>
      <c r="L316" s="511"/>
      <c r="M316" s="444">
        <v>12574.269190476189</v>
      </c>
      <c r="N316" s="343" t="s">
        <v>835</v>
      </c>
      <c r="O316" s="511"/>
      <c r="P316" s="512" t="str">
        <f t="shared" si="199"/>
        <v>Met</v>
      </c>
      <c r="Q316" s="511"/>
      <c r="R316" s="444">
        <f>VLOOKUP(A316,'2020-21'!$A$6:$F$319,6,0)</f>
        <v>2326820.2799999998</v>
      </c>
      <c r="S316" s="513" t="str">
        <f t="shared" si="200"/>
        <v>Met</v>
      </c>
      <c r="U316" s="444">
        <f>VLOOKUP(A316,'2020-21'!$A$6:$G$319,7,0)</f>
        <v>11719580.319999998</v>
      </c>
      <c r="V316" s="513" t="str">
        <f t="shared" si="178"/>
        <v>Met</v>
      </c>
      <c r="X316" s="444">
        <f>VLOOKUP(A316,'2020-21'!$A$6:$F$319,6,0)/VLOOKUP(A316,'42. SEA or LEA Worksheet'!$A$4:$T$324,20,0)</f>
        <v>2851.4954411764702</v>
      </c>
      <c r="Y316" s="513" t="str">
        <f t="shared" si="201"/>
        <v>Met</v>
      </c>
      <c r="AA316" s="444">
        <f>VLOOKUP(A316,'42. SEA or LEA Worksheet'!$A$4:$W$324,23,0)/VLOOKUP(compliance!A316,'42. SEA or LEA Worksheet'!$A$4:$T$324,20,0)</f>
        <v>14362.230784313724</v>
      </c>
      <c r="AB316" s="513" t="str">
        <f t="shared" si="202"/>
        <v>Met</v>
      </c>
      <c r="AD316" s="512" t="str">
        <f t="shared" si="203"/>
        <v>Met</v>
      </c>
      <c r="AF316" s="444">
        <f>VLOOKUP(A316,'42. SEA or LEA Worksheet'!$A$4:$Z$324,26,0)</f>
        <v>2318718.5099999998</v>
      </c>
      <c r="AG316" s="513" t="str">
        <f t="shared" si="204"/>
        <v>Did not Meet</v>
      </c>
      <c r="AI316" s="444">
        <f>VLOOKUP(A316,'42. SEA or LEA Worksheet'!$A$4:$AB$324,28,0)</f>
        <v>11934490.549999999</v>
      </c>
      <c r="AJ316" s="513" t="str">
        <f t="shared" si="205"/>
        <v>Met</v>
      </c>
      <c r="AL316" s="444">
        <f>VLOOKUP(compliance!A316,'42. SEA or LEA Worksheet'!$A$4:$AB$324,26,0)/VLOOKUP(compliance!A316,'42. SEA or LEA Worksheet'!$A$4:$Y$324,25,0)</f>
        <v>2942.5361802030452</v>
      </c>
      <c r="AM316" s="513" t="str">
        <f t="shared" si="206"/>
        <v>Met</v>
      </c>
      <c r="AO316" s="444">
        <f>VLOOKUP(A316,'42. SEA or LEA Worksheet'!$A$4:$AB$324,28,0)/VLOOKUP(compliance!A316,'42. SEA or LEA Worksheet'!$A$4:$Y$324,25,0)</f>
        <v>15145.29257614213</v>
      </c>
      <c r="AP316" s="513" t="str">
        <f t="shared" si="207"/>
        <v>Met</v>
      </c>
      <c r="AR316" s="512" t="str">
        <f t="shared" si="208"/>
        <v>Met</v>
      </c>
      <c r="AT316" s="444">
        <f>VLOOKUP(A316,'42. SEA or LEA Worksheet'!$A$4:$AE$324,31,0)</f>
        <v>2319000</v>
      </c>
      <c r="AU316" s="513" t="str">
        <f t="shared" si="209"/>
        <v>Met</v>
      </c>
      <c r="AW316" s="444">
        <f>VLOOKUP(A316,'42. SEA or LEA Worksheet'!$A$4:$AG$324,33,0)</f>
        <v>14148705.310000001</v>
      </c>
      <c r="AX316" s="513" t="str">
        <f t="shared" si="210"/>
        <v>Met</v>
      </c>
      <c r="AZ316" s="444">
        <f>VLOOKUP(A316,'42. SEA or LEA Worksheet'!$A$4:$AG$324,31,0)/VLOOKUP(A316,'42. SEA or LEA Worksheet'!$A$4:$AD$324,30,0)</f>
        <v>2783.9135654261704</v>
      </c>
      <c r="BA316" s="513" t="str">
        <f t="shared" si="211"/>
        <v>Did not Meet</v>
      </c>
      <c r="BC316" s="444">
        <f>VLOOKUP(A316,'42. SEA or LEA Worksheet'!$A$4:$AG$324,33,0)/VLOOKUP(A316,'42. SEA or LEA Worksheet'!$A$4:$AD$324,30,0)</f>
        <v>16985.240468187276</v>
      </c>
      <c r="BD316" s="513" t="str">
        <f t="shared" si="196"/>
        <v>Met</v>
      </c>
      <c r="BF316" s="512" t="str">
        <f>IF(AND(AU316="Did not Meet",AX316="Did not Meet", BA316="Did not Meet",BD316="Did not Meet",),"Did not Meet","Met")</f>
        <v>Met</v>
      </c>
      <c r="BG316" s="637">
        <f>VLOOKUP(A316,'42. SEA or LEA Worksheet'!$A$4:$AM$324,36,0)</f>
        <v>1538316.24</v>
      </c>
      <c r="BH316" s="638" t="str">
        <f t="shared" si="212"/>
        <v>Did not Meet</v>
      </c>
      <c r="BI316" s="639"/>
      <c r="BJ316" s="637">
        <f>VLOOKUP(A316,'42. SEA or LEA Worksheet'!$A$4:$AM$324,38,0)</f>
        <v>15769138.859999999</v>
      </c>
      <c r="BK316" s="638" t="str">
        <f t="shared" si="213"/>
        <v>Met</v>
      </c>
      <c r="BM316" s="631">
        <f>VLOOKUP(A316,'42. SEA or LEA Worksheet'!$A$4:$AL$324,36,0)/VLOOKUP(A316,'42. SEA or LEA Worksheet'!$A$4:$AL$324,35,0)</f>
        <v>1666.6481473456122</v>
      </c>
      <c r="BN316" s="632" t="str">
        <f t="shared" si="214"/>
        <v>Met</v>
      </c>
      <c r="BP316" s="631">
        <f>VLOOKUP(A316,'42. SEA or LEA Worksheet'!$A$4:$AL$324,38,0)/VLOOKUP(A316,'42. SEA or LEA Worksheet'!$A$4:$AL$324,35,0)</f>
        <v>17084.657486457203</v>
      </c>
      <c r="BQ316" s="632" t="str">
        <f t="shared" si="215"/>
        <v>Met</v>
      </c>
      <c r="BS316" s="620" t="str">
        <f>IF(AND(BH316="Did not Meet",BK316="Did not Meet", BN316="Did not Meet",BQ316="Did not Meet",),"Did not Meet","Met")</f>
        <v>Met</v>
      </c>
    </row>
    <row r="317" spans="1:71" x14ac:dyDescent="0.25">
      <c r="A317" s="343" t="s">
        <v>816</v>
      </c>
      <c r="B317" s="510" t="s">
        <v>1126</v>
      </c>
      <c r="C317" s="511"/>
      <c r="D317" s="444">
        <v>0</v>
      </c>
      <c r="E317" s="343" t="s">
        <v>835</v>
      </c>
      <c r="F317" s="511"/>
      <c r="G317" s="444">
        <v>1423862.59</v>
      </c>
      <c r="H317" s="343" t="s">
        <v>835</v>
      </c>
      <c r="I317" s="511"/>
      <c r="J317" s="444">
        <v>0</v>
      </c>
      <c r="K317" s="343" t="s">
        <v>856</v>
      </c>
      <c r="L317" s="511"/>
      <c r="M317" s="444">
        <v>9556.1247651006724</v>
      </c>
      <c r="N317" s="343" t="s">
        <v>856</v>
      </c>
      <c r="O317" s="511"/>
      <c r="P317" s="512" t="str">
        <f t="shared" si="199"/>
        <v>Met</v>
      </c>
      <c r="Q317" s="511"/>
      <c r="R317" s="444">
        <f>VLOOKUP(A317,'2020-21'!$A$6:$F$319,6,0)</f>
        <v>0</v>
      </c>
      <c r="S317" s="513" t="str">
        <f t="shared" si="200"/>
        <v>Met</v>
      </c>
      <c r="U317" s="444">
        <f>VLOOKUP(A317,'2020-21'!$A$6:$G$319,7,0)</f>
        <v>1429921.39</v>
      </c>
      <c r="V317" s="513" t="str">
        <f t="shared" si="178"/>
        <v>Met</v>
      </c>
      <c r="X317" s="444">
        <f>VLOOKUP(A317,'2020-21'!$A$6:$F$319,6,0)/VLOOKUP(A317,'42. SEA or LEA Worksheet'!$A$4:$T$324,20,0)</f>
        <v>0</v>
      </c>
      <c r="Y317" s="513" t="str">
        <f t="shared" si="201"/>
        <v>Met</v>
      </c>
      <c r="AA317" s="444">
        <f>VLOOKUP(A317,'42. SEA or LEA Worksheet'!$A$4:$W$324,23,0)/VLOOKUP(compliance!A317,'42. SEA or LEA Worksheet'!$A$4:$T$324,20,0)</f>
        <v>9727.3563945578226</v>
      </c>
      <c r="AB317" s="513" t="str">
        <f t="shared" si="202"/>
        <v>Met</v>
      </c>
      <c r="AD317" s="512" t="str">
        <f t="shared" si="203"/>
        <v>Met</v>
      </c>
      <c r="AF317" s="444">
        <f>VLOOKUP(A317,'42. SEA or LEA Worksheet'!$A$4:$Z$324,26,0)</f>
        <v>0</v>
      </c>
      <c r="AG317" s="513" t="str">
        <f t="shared" si="204"/>
        <v>Met</v>
      </c>
      <c r="AI317" s="444">
        <f>VLOOKUP(A317,'42. SEA or LEA Worksheet'!$A$4:$AB$324,28,0)</f>
        <v>1335765.49</v>
      </c>
      <c r="AJ317" s="513" t="str">
        <f t="shared" si="205"/>
        <v>Did not Meet</v>
      </c>
      <c r="AL317" s="444">
        <f>VLOOKUP(compliance!A317,'42. SEA or LEA Worksheet'!$A$4:$AB$324,26,0)/VLOOKUP(compliance!A317,'42. SEA or LEA Worksheet'!$A$4:$Y$324,25,0)</f>
        <v>0</v>
      </c>
      <c r="AM317" s="513" t="str">
        <f t="shared" si="206"/>
        <v>Met</v>
      </c>
      <c r="AO317" s="444">
        <f>VLOOKUP(A317,'42. SEA or LEA Worksheet'!$A$4:$AB$324,28,0)/VLOOKUP(compliance!A317,'42. SEA or LEA Worksheet'!$A$4:$Y$324,25,0)</f>
        <v>9968.3991791044773</v>
      </c>
      <c r="AP317" s="513" t="str">
        <f t="shared" si="207"/>
        <v>Met</v>
      </c>
      <c r="AR317" s="512" t="str">
        <f t="shared" si="208"/>
        <v>Met</v>
      </c>
      <c r="AT317" s="444">
        <f>VLOOKUP(A317,'42. SEA or LEA Worksheet'!$A$4:$AE$324,31,0)</f>
        <v>0</v>
      </c>
      <c r="AU317" s="513" t="str">
        <f t="shared" si="209"/>
        <v>Met</v>
      </c>
      <c r="AW317" s="444">
        <f>VLOOKUP(A317,'42. SEA or LEA Worksheet'!$A$4:$AG$324,33,0)</f>
        <v>1696580.64</v>
      </c>
      <c r="AX317" s="513" t="str">
        <f t="shared" si="210"/>
        <v>Met</v>
      </c>
      <c r="AZ317" s="444">
        <f>VLOOKUP(A317,'42. SEA or LEA Worksheet'!$A$4:$AG$324,31,0)/VLOOKUP(A317,'42. SEA or LEA Worksheet'!$A$4:$AD$324,30,0)</f>
        <v>0</v>
      </c>
      <c r="BA317" s="513" t="str">
        <f t="shared" si="211"/>
        <v>Met</v>
      </c>
      <c r="BC317" s="444">
        <f>VLOOKUP(A317,'42. SEA or LEA Worksheet'!$A$4:$AG$324,33,0)/VLOOKUP(A317,'42. SEA or LEA Worksheet'!$A$4:$AD$324,30,0)</f>
        <v>10806.246114649681</v>
      </c>
      <c r="BD317" s="513" t="str">
        <f t="shared" si="196"/>
        <v>Met</v>
      </c>
      <c r="BF317" s="512" t="str">
        <f>IF(AND(AU317="Did not Meet",AX317="Did not Meet", BA317="Did not Meet",BD317="Did not Meet",),"Did not Meet","Met")</f>
        <v>Met</v>
      </c>
      <c r="BG317" s="637">
        <f>VLOOKUP(A317,'42. SEA or LEA Worksheet'!$A$4:$AM$324,36,0)</f>
        <v>0</v>
      </c>
      <c r="BH317" s="638" t="str">
        <f t="shared" si="212"/>
        <v>Met</v>
      </c>
      <c r="BI317" s="639"/>
      <c r="BJ317" s="637">
        <f>VLOOKUP(A317,'42. SEA or LEA Worksheet'!$A$4:$AM$324,38,0)</f>
        <v>1753449.67</v>
      </c>
      <c r="BK317" s="638" t="str">
        <f t="shared" si="213"/>
        <v>Met</v>
      </c>
      <c r="BM317" s="631">
        <f>VLOOKUP(A317,'42. SEA or LEA Worksheet'!$A$4:$AL$324,36,0)/VLOOKUP(A317,'42. SEA or LEA Worksheet'!$A$4:$AL$324,35,0)</f>
        <v>0</v>
      </c>
      <c r="BN317" s="632" t="str">
        <f t="shared" si="214"/>
        <v>Met</v>
      </c>
      <c r="BP317" s="631">
        <f>VLOOKUP(A317,'42. SEA or LEA Worksheet'!$A$4:$AL$324,38,0)/VLOOKUP(A317,'42. SEA or LEA Worksheet'!$A$4:$AL$324,35,0)</f>
        <v>10562.949819277108</v>
      </c>
      <c r="BQ317" s="632" t="str">
        <f t="shared" si="215"/>
        <v>Met</v>
      </c>
      <c r="BS317" s="620" t="str">
        <f>IF(AND(BH317="Did not Meet",BK317="Did not Meet", BN317="Did not Meet",BQ317="Did not Meet",),"Did not Meet","Met")</f>
        <v>Met</v>
      </c>
    </row>
    <row r="318" spans="1:71" x14ac:dyDescent="0.25">
      <c r="D318" s="538"/>
      <c r="G318" s="538"/>
      <c r="J318" s="538"/>
      <c r="M318" s="538"/>
      <c r="R318" s="538"/>
      <c r="S318" s="343"/>
      <c r="T318" s="343"/>
      <c r="U318" s="538"/>
      <c r="V318" s="343"/>
      <c r="W318" s="343"/>
      <c r="X318" s="538"/>
      <c r="Y318" s="343"/>
      <c r="Z318" s="343"/>
      <c r="AA318" s="538"/>
      <c r="AB318" s="343"/>
      <c r="AC318" s="343"/>
      <c r="AE318" s="343"/>
      <c r="AF318" s="538"/>
      <c r="AG318" s="343"/>
      <c r="AH318" s="343"/>
      <c r="AI318" s="538"/>
      <c r="AJ318" s="343"/>
      <c r="AK318" s="343"/>
      <c r="AL318" s="538"/>
      <c r="AM318" s="343"/>
      <c r="AN318" s="343"/>
      <c r="AO318" s="538"/>
      <c r="AP318" s="343"/>
      <c r="AQ318" s="343"/>
      <c r="AS318" s="343"/>
      <c r="AT318" s="538"/>
      <c r="AU318" s="343"/>
      <c r="AV318" s="343"/>
      <c r="AW318" s="538"/>
      <c r="AX318" s="343"/>
      <c r="AY318" s="343"/>
      <c r="AZ318" s="538"/>
      <c r="BA318" s="343"/>
      <c r="BB318" s="343"/>
      <c r="BC318" s="538"/>
      <c r="BD318" s="343"/>
      <c r="BE318" s="343"/>
      <c r="BG318" s="644"/>
      <c r="BH318" s="515"/>
      <c r="BI318" s="515"/>
      <c r="BJ318" s="644"/>
      <c r="BK318" s="515"/>
      <c r="BL318" s="515"/>
      <c r="BM318" s="644"/>
      <c r="BN318" s="515"/>
      <c r="BO318" s="515"/>
      <c r="BP318" s="644"/>
      <c r="BQ318" s="515"/>
      <c r="BR318" s="515"/>
    </row>
    <row r="319" spans="1:71" x14ac:dyDescent="0.25">
      <c r="D319" s="538"/>
      <c r="G319" s="538"/>
      <c r="J319" s="538"/>
      <c r="M319" s="538"/>
      <c r="R319" s="538"/>
      <c r="S319" s="343"/>
      <c r="T319" s="343"/>
      <c r="U319" s="538"/>
      <c r="V319" s="343"/>
      <c r="W319" s="343"/>
      <c r="X319" s="538"/>
      <c r="Y319" s="343"/>
      <c r="Z319" s="343"/>
      <c r="AA319" s="538"/>
      <c r="AB319" s="343"/>
      <c r="AC319" s="343"/>
      <c r="AE319" s="343"/>
      <c r="AF319" s="538"/>
      <c r="AG319" s="343"/>
      <c r="AH319" s="343"/>
      <c r="AI319" s="538"/>
      <c r="AJ319" s="343"/>
      <c r="AK319" s="343"/>
      <c r="AL319" s="538"/>
      <c r="AM319" s="343"/>
      <c r="AN319" s="343"/>
      <c r="AO319" s="538"/>
      <c r="AP319" s="343"/>
      <c r="AQ319" s="343"/>
      <c r="AS319" s="343"/>
      <c r="AT319" s="538"/>
      <c r="AU319" s="343"/>
      <c r="AV319" s="343"/>
      <c r="AW319" s="538"/>
      <c r="AX319" s="343"/>
      <c r="AY319" s="343"/>
      <c r="AZ319" s="538"/>
      <c r="BA319" s="343"/>
      <c r="BB319" s="343"/>
      <c r="BC319" s="538"/>
      <c r="BD319" s="343"/>
      <c r="BE319" s="343"/>
      <c r="BG319" s="644"/>
      <c r="BH319" s="515"/>
      <c r="BI319" s="515"/>
      <c r="BJ319" s="644"/>
      <c r="BK319" s="515"/>
      <c r="BL319" s="515"/>
      <c r="BM319" s="644"/>
      <c r="BN319" s="515"/>
      <c r="BO319" s="515"/>
      <c r="BP319" s="644"/>
      <c r="BQ319" s="515"/>
      <c r="BR319" s="515"/>
    </row>
    <row r="320" spans="1:71" x14ac:dyDescent="0.25">
      <c r="D320" s="538"/>
      <c r="G320" s="538"/>
      <c r="J320" s="538"/>
      <c r="M320" s="538"/>
      <c r="R320" s="538"/>
      <c r="S320" s="343"/>
      <c r="T320" s="343"/>
      <c r="U320" s="538"/>
      <c r="V320" s="343"/>
      <c r="W320" s="343"/>
      <c r="X320" s="538"/>
      <c r="Y320" s="343"/>
      <c r="Z320" s="343"/>
      <c r="AA320" s="538"/>
      <c r="AB320" s="343"/>
      <c r="AC320" s="343"/>
      <c r="AE320" s="343"/>
      <c r="AF320" s="538"/>
      <c r="AG320" s="343"/>
      <c r="AH320" s="343"/>
      <c r="AI320" s="538"/>
      <c r="AJ320" s="343"/>
      <c r="AK320" s="343"/>
      <c r="AL320" s="538"/>
      <c r="AM320" s="343"/>
      <c r="AN320" s="343"/>
      <c r="AO320" s="538"/>
      <c r="AP320" s="343"/>
      <c r="AQ320" s="343"/>
      <c r="AS320" s="343"/>
      <c r="AT320" s="538"/>
      <c r="AU320" s="343"/>
      <c r="AV320" s="343"/>
      <c r="AW320" s="538"/>
      <c r="AX320" s="343"/>
      <c r="AY320" s="343"/>
      <c r="AZ320" s="538"/>
      <c r="BA320" s="343"/>
      <c r="BB320" s="343"/>
      <c r="BC320" s="538"/>
      <c r="BD320" s="343"/>
      <c r="BE320" s="343"/>
      <c r="BG320" s="644"/>
      <c r="BH320" s="515"/>
      <c r="BI320" s="515"/>
      <c r="BJ320" s="644"/>
      <c r="BK320" s="515"/>
      <c r="BL320" s="515"/>
      <c r="BM320" s="644"/>
      <c r="BN320" s="515"/>
      <c r="BO320" s="515"/>
      <c r="BP320" s="644"/>
      <c r="BQ320" s="515"/>
      <c r="BR320" s="515"/>
    </row>
    <row r="321" spans="4:70" x14ac:dyDescent="0.25">
      <c r="D321" s="538"/>
      <c r="G321" s="538"/>
      <c r="J321" s="538"/>
      <c r="M321" s="538"/>
      <c r="R321" s="538"/>
      <c r="S321" s="343"/>
      <c r="T321" s="343"/>
      <c r="U321" s="538"/>
      <c r="V321" s="343"/>
      <c r="W321" s="343"/>
      <c r="X321" s="538"/>
      <c r="Y321" s="343"/>
      <c r="Z321" s="343"/>
      <c r="AA321" s="538"/>
      <c r="AB321" s="343"/>
      <c r="AC321" s="343"/>
      <c r="AE321" s="343"/>
      <c r="AF321" s="538"/>
      <c r="AG321" s="343"/>
      <c r="AH321" s="343"/>
      <c r="AI321" s="538"/>
      <c r="AJ321" s="343"/>
      <c r="AK321" s="343"/>
      <c r="AL321" s="538"/>
      <c r="AM321" s="343"/>
      <c r="AN321" s="343"/>
      <c r="AO321" s="538"/>
      <c r="AP321" s="343"/>
      <c r="AQ321" s="343"/>
      <c r="AS321" s="343"/>
      <c r="AT321" s="538"/>
      <c r="AU321" s="343"/>
      <c r="AV321" s="343"/>
      <c r="AW321" s="538"/>
      <c r="AX321" s="343"/>
      <c r="AY321" s="343"/>
      <c r="AZ321" s="538"/>
      <c r="BA321" s="343"/>
      <c r="BB321" s="343"/>
      <c r="BC321" s="538"/>
      <c r="BD321" s="343"/>
      <c r="BE321" s="343"/>
      <c r="BG321" s="644"/>
      <c r="BH321" s="515"/>
      <c r="BI321" s="515"/>
      <c r="BJ321" s="644"/>
      <c r="BK321" s="515"/>
      <c r="BL321" s="515"/>
      <c r="BM321" s="644"/>
      <c r="BN321" s="515"/>
      <c r="BO321" s="515"/>
      <c r="BP321" s="644"/>
      <c r="BQ321" s="515"/>
      <c r="BR321" s="515"/>
    </row>
    <row r="322" spans="4:70" x14ac:dyDescent="0.25">
      <c r="D322" s="538"/>
      <c r="G322" s="538"/>
      <c r="J322" s="538"/>
      <c r="M322" s="538"/>
      <c r="R322" s="538"/>
      <c r="S322" s="343"/>
      <c r="T322" s="343"/>
      <c r="U322" s="538"/>
      <c r="V322" s="343"/>
      <c r="W322" s="343"/>
      <c r="X322" s="538"/>
      <c r="Y322" s="343"/>
      <c r="Z322" s="343"/>
      <c r="AA322" s="538"/>
      <c r="AB322" s="343"/>
      <c r="AC322" s="343"/>
      <c r="AE322" s="343"/>
      <c r="AF322" s="538"/>
      <c r="AG322" s="343"/>
      <c r="AH322" s="343"/>
      <c r="AI322" s="538"/>
      <c r="AJ322" s="343"/>
      <c r="AK322" s="343"/>
      <c r="AL322" s="538"/>
      <c r="AM322" s="343"/>
      <c r="AN322" s="343"/>
      <c r="AO322" s="538"/>
      <c r="AP322" s="343"/>
      <c r="AQ322" s="343"/>
      <c r="AS322" s="343"/>
      <c r="AT322" s="538"/>
      <c r="AU322" s="343"/>
      <c r="AV322" s="343"/>
      <c r="AW322" s="538"/>
      <c r="AX322" s="343"/>
      <c r="AY322" s="343"/>
      <c r="AZ322" s="538"/>
      <c r="BA322" s="343"/>
      <c r="BB322" s="343"/>
      <c r="BC322" s="538"/>
      <c r="BD322" s="343"/>
      <c r="BE322" s="343"/>
      <c r="BG322" s="644"/>
      <c r="BH322" s="515"/>
      <c r="BI322" s="515"/>
      <c r="BJ322" s="644"/>
      <c r="BK322" s="515"/>
      <c r="BL322" s="515"/>
      <c r="BM322" s="644"/>
      <c r="BN322" s="515"/>
      <c r="BO322" s="515"/>
      <c r="BP322" s="644"/>
      <c r="BQ322" s="515"/>
      <c r="BR322" s="515"/>
    </row>
    <row r="323" spans="4:70" x14ac:dyDescent="0.25">
      <c r="D323" s="538"/>
      <c r="G323" s="538"/>
      <c r="J323" s="538"/>
      <c r="M323" s="538"/>
      <c r="R323" s="538"/>
      <c r="S323" s="343"/>
      <c r="T323" s="343"/>
      <c r="U323" s="538"/>
      <c r="V323" s="343"/>
      <c r="W323" s="343"/>
      <c r="X323" s="538"/>
      <c r="Y323" s="343"/>
      <c r="Z323" s="343"/>
      <c r="AA323" s="538"/>
      <c r="AB323" s="343"/>
      <c r="AC323" s="343"/>
      <c r="AE323" s="343"/>
      <c r="AF323" s="538"/>
      <c r="AG323" s="343"/>
      <c r="AH323" s="343"/>
      <c r="AI323" s="538"/>
      <c r="AJ323" s="343"/>
      <c r="AK323" s="343"/>
      <c r="AL323" s="538"/>
      <c r="AM323" s="343"/>
      <c r="AN323" s="343"/>
      <c r="AO323" s="538"/>
      <c r="AP323" s="343"/>
      <c r="AQ323" s="343"/>
      <c r="AS323" s="343"/>
      <c r="AT323" s="538"/>
      <c r="AU323" s="343"/>
      <c r="AV323" s="343"/>
      <c r="AW323" s="538"/>
      <c r="AX323" s="343"/>
      <c r="AY323" s="343"/>
      <c r="AZ323" s="538"/>
      <c r="BA323" s="343"/>
      <c r="BB323" s="343"/>
      <c r="BC323" s="538"/>
      <c r="BD323" s="343"/>
      <c r="BE323" s="343"/>
      <c r="BG323" s="644"/>
      <c r="BH323" s="515"/>
      <c r="BI323" s="515"/>
      <c r="BJ323" s="644"/>
      <c r="BK323" s="515"/>
      <c r="BL323" s="515"/>
      <c r="BM323" s="644"/>
      <c r="BN323" s="515"/>
      <c r="BO323" s="515"/>
      <c r="BP323" s="644"/>
      <c r="BQ323" s="515"/>
      <c r="BR323" s="515"/>
    </row>
    <row r="324" spans="4:70" x14ac:dyDescent="0.25">
      <c r="D324" s="538"/>
      <c r="G324" s="538"/>
      <c r="J324" s="538"/>
      <c r="M324" s="538"/>
      <c r="R324" s="538"/>
      <c r="S324" s="343"/>
      <c r="T324" s="343"/>
      <c r="U324" s="538"/>
      <c r="V324" s="343"/>
      <c r="W324" s="343"/>
      <c r="X324" s="538"/>
      <c r="Y324" s="343"/>
      <c r="Z324" s="343"/>
      <c r="AA324" s="538"/>
      <c r="AB324" s="343"/>
      <c r="AC324" s="343"/>
      <c r="AE324" s="343"/>
      <c r="AF324" s="538"/>
      <c r="AG324" s="343"/>
      <c r="AH324" s="343"/>
      <c r="AI324" s="538"/>
      <c r="AJ324" s="343"/>
      <c r="AK324" s="343"/>
      <c r="AL324" s="538"/>
      <c r="AM324" s="343"/>
      <c r="AN324" s="343"/>
      <c r="AO324" s="538"/>
      <c r="AP324" s="343"/>
      <c r="AQ324" s="343"/>
      <c r="AS324" s="343"/>
      <c r="AT324" s="538"/>
      <c r="AU324" s="343"/>
      <c r="AV324" s="343"/>
      <c r="AW324" s="538"/>
      <c r="AX324" s="343"/>
      <c r="AY324" s="343"/>
      <c r="AZ324" s="538"/>
      <c r="BA324" s="343"/>
      <c r="BB324" s="343"/>
      <c r="BC324" s="538"/>
      <c r="BD324" s="343"/>
      <c r="BE324" s="343"/>
      <c r="BG324" s="644"/>
      <c r="BH324" s="515"/>
      <c r="BI324" s="515"/>
      <c r="BJ324" s="644"/>
      <c r="BK324" s="515"/>
      <c r="BL324" s="515"/>
      <c r="BM324" s="644"/>
      <c r="BN324" s="515"/>
      <c r="BO324" s="515"/>
      <c r="BP324" s="644"/>
      <c r="BQ324" s="515"/>
      <c r="BR324" s="515"/>
    </row>
    <row r="325" spans="4:70" x14ac:dyDescent="0.25">
      <c r="D325" s="538"/>
      <c r="G325" s="538"/>
      <c r="J325" s="538"/>
      <c r="M325" s="538"/>
      <c r="R325" s="538"/>
      <c r="S325" s="343"/>
      <c r="T325" s="343"/>
      <c r="U325" s="538"/>
      <c r="V325" s="343"/>
      <c r="W325" s="343"/>
      <c r="X325" s="538"/>
      <c r="Y325" s="343"/>
      <c r="Z325" s="343"/>
      <c r="AA325" s="538"/>
      <c r="AB325" s="343"/>
      <c r="AC325" s="343"/>
      <c r="AE325" s="343"/>
      <c r="AF325" s="538"/>
      <c r="AG325" s="343"/>
      <c r="AH325" s="343"/>
      <c r="AI325" s="538"/>
      <c r="AJ325" s="343"/>
      <c r="AK325" s="343"/>
      <c r="AL325" s="538"/>
      <c r="AM325" s="343"/>
      <c r="AN325" s="343"/>
      <c r="AO325" s="538"/>
      <c r="AP325" s="343"/>
      <c r="AQ325" s="343"/>
      <c r="AS325" s="343"/>
      <c r="AT325" s="538"/>
      <c r="AU325" s="343"/>
      <c r="AV325" s="343"/>
      <c r="AW325" s="538"/>
      <c r="AX325" s="343"/>
      <c r="AY325" s="343"/>
      <c r="AZ325" s="538"/>
      <c r="BA325" s="343"/>
      <c r="BB325" s="343"/>
      <c r="BC325" s="538"/>
      <c r="BD325" s="343"/>
      <c r="BE325" s="343"/>
      <c r="BG325" s="644"/>
      <c r="BH325" s="515"/>
      <c r="BI325" s="515"/>
      <c r="BJ325" s="644"/>
      <c r="BK325" s="515"/>
      <c r="BL325" s="515"/>
      <c r="BM325" s="644"/>
      <c r="BN325" s="515"/>
      <c r="BO325" s="515"/>
      <c r="BP325" s="644"/>
      <c r="BQ325" s="515"/>
      <c r="BR325" s="515"/>
    </row>
    <row r="326" spans="4:70" x14ac:dyDescent="0.25">
      <c r="D326" s="538"/>
      <c r="G326" s="538"/>
      <c r="J326" s="538"/>
      <c r="M326" s="538"/>
      <c r="R326" s="538"/>
      <c r="S326" s="343"/>
      <c r="T326" s="343"/>
      <c r="U326" s="538"/>
      <c r="V326" s="343"/>
      <c r="W326" s="343"/>
      <c r="X326" s="538"/>
      <c r="Y326" s="343"/>
      <c r="Z326" s="343"/>
      <c r="AA326" s="538"/>
      <c r="AB326" s="343"/>
      <c r="AC326" s="343"/>
      <c r="AE326" s="343"/>
      <c r="AF326" s="538"/>
      <c r="AG326" s="343"/>
      <c r="AH326" s="343"/>
      <c r="AI326" s="538"/>
      <c r="AJ326" s="343"/>
      <c r="AK326" s="343"/>
      <c r="AL326" s="538"/>
      <c r="AM326" s="343"/>
      <c r="AN326" s="343"/>
      <c r="AO326" s="538"/>
      <c r="AP326" s="343"/>
      <c r="AQ326" s="343"/>
      <c r="AS326" s="343"/>
      <c r="AT326" s="538"/>
      <c r="AU326" s="343"/>
      <c r="AV326" s="343"/>
      <c r="AW326" s="538"/>
      <c r="AX326" s="343"/>
      <c r="AY326" s="343"/>
      <c r="AZ326" s="538"/>
      <c r="BA326" s="343"/>
      <c r="BB326" s="343"/>
      <c r="BC326" s="538"/>
      <c r="BD326" s="343"/>
      <c r="BE326" s="343"/>
      <c r="BG326" s="644"/>
      <c r="BH326" s="515"/>
      <c r="BI326" s="515"/>
      <c r="BJ326" s="644"/>
      <c r="BK326" s="515"/>
      <c r="BL326" s="515"/>
      <c r="BM326" s="644"/>
      <c r="BN326" s="515"/>
      <c r="BO326" s="515"/>
      <c r="BP326" s="644"/>
      <c r="BQ326" s="515"/>
      <c r="BR326" s="515"/>
    </row>
    <row r="327" spans="4:70" x14ac:dyDescent="0.25">
      <c r="D327" s="538"/>
      <c r="G327" s="538"/>
      <c r="J327" s="538"/>
      <c r="M327" s="538"/>
      <c r="R327" s="538"/>
      <c r="S327" s="343"/>
      <c r="T327" s="343"/>
      <c r="U327" s="538"/>
      <c r="V327" s="343"/>
      <c r="W327" s="343"/>
      <c r="X327" s="538"/>
      <c r="Y327" s="343"/>
      <c r="Z327" s="343"/>
      <c r="AA327" s="538"/>
      <c r="AB327" s="343"/>
      <c r="AC327" s="343"/>
      <c r="AE327" s="343"/>
      <c r="AF327" s="538"/>
      <c r="AG327" s="343"/>
      <c r="AH327" s="343"/>
      <c r="AI327" s="538"/>
      <c r="AJ327" s="343"/>
      <c r="AK327" s="343"/>
      <c r="AL327" s="538"/>
      <c r="AM327" s="343"/>
      <c r="AN327" s="343"/>
      <c r="AO327" s="538"/>
      <c r="AP327" s="343"/>
      <c r="AQ327" s="343"/>
      <c r="AS327" s="343"/>
      <c r="AT327" s="538"/>
      <c r="AU327" s="343"/>
      <c r="AV327" s="343"/>
      <c r="AW327" s="538"/>
      <c r="AX327" s="343"/>
      <c r="AY327" s="343"/>
      <c r="AZ327" s="538"/>
      <c r="BA327" s="343"/>
      <c r="BB327" s="343"/>
      <c r="BC327" s="538"/>
      <c r="BD327" s="343"/>
      <c r="BE327" s="343"/>
      <c r="BG327" s="644"/>
      <c r="BH327" s="515"/>
      <c r="BI327" s="515"/>
      <c r="BJ327" s="644"/>
      <c r="BK327" s="515"/>
      <c r="BL327" s="515"/>
      <c r="BM327" s="644"/>
      <c r="BN327" s="515"/>
      <c r="BO327" s="515"/>
      <c r="BP327" s="644"/>
      <c r="BQ327" s="515"/>
      <c r="BR327" s="515"/>
    </row>
    <row r="328" spans="4:70" x14ac:dyDescent="0.25">
      <c r="D328" s="538"/>
      <c r="G328" s="538"/>
      <c r="J328" s="538"/>
      <c r="M328" s="538"/>
      <c r="R328" s="538"/>
      <c r="S328" s="343"/>
      <c r="T328" s="343"/>
      <c r="U328" s="538"/>
      <c r="V328" s="343"/>
      <c r="W328" s="343"/>
      <c r="X328" s="538"/>
      <c r="Y328" s="343"/>
      <c r="Z328" s="343"/>
      <c r="AA328" s="538"/>
      <c r="AB328" s="343"/>
      <c r="AC328" s="343"/>
      <c r="AE328" s="343"/>
      <c r="AF328" s="538"/>
      <c r="AG328" s="343"/>
      <c r="AH328" s="343"/>
      <c r="AI328" s="538"/>
      <c r="AJ328" s="343"/>
      <c r="AK328" s="343"/>
      <c r="AL328" s="538"/>
      <c r="AM328" s="343"/>
      <c r="AN328" s="343"/>
      <c r="AO328" s="538"/>
      <c r="AP328" s="343"/>
      <c r="AQ328" s="343"/>
      <c r="AS328" s="343"/>
      <c r="AT328" s="538"/>
      <c r="AU328" s="343"/>
      <c r="AV328" s="343"/>
      <c r="AW328" s="538"/>
      <c r="AX328" s="343"/>
      <c r="AY328" s="343"/>
      <c r="AZ328" s="538"/>
      <c r="BA328" s="343"/>
      <c r="BB328" s="343"/>
      <c r="BC328" s="538"/>
      <c r="BD328" s="343"/>
      <c r="BE328" s="343"/>
      <c r="BG328" s="644"/>
      <c r="BH328" s="515"/>
      <c r="BI328" s="515"/>
      <c r="BJ328" s="644"/>
      <c r="BK328" s="515"/>
      <c r="BL328" s="515"/>
      <c r="BM328" s="644"/>
      <c r="BN328" s="515"/>
      <c r="BO328" s="515"/>
      <c r="BP328" s="644"/>
      <c r="BQ328" s="515"/>
      <c r="BR328" s="515"/>
    </row>
    <row r="329" spans="4:70" x14ac:dyDescent="0.25">
      <c r="D329" s="538"/>
      <c r="G329" s="538"/>
      <c r="J329" s="538"/>
      <c r="M329" s="538"/>
      <c r="R329" s="538"/>
      <c r="S329" s="343"/>
      <c r="T329" s="343"/>
      <c r="U329" s="538"/>
      <c r="V329" s="343"/>
      <c r="W329" s="343"/>
      <c r="X329" s="538"/>
      <c r="Y329" s="343"/>
      <c r="Z329" s="343"/>
      <c r="AA329" s="538"/>
      <c r="AB329" s="343"/>
      <c r="AC329" s="343"/>
      <c r="AE329" s="343"/>
      <c r="AF329" s="538"/>
      <c r="AG329" s="343"/>
      <c r="AH329" s="343"/>
      <c r="AI329" s="538"/>
      <c r="AJ329" s="343"/>
      <c r="AK329" s="343"/>
      <c r="AL329" s="538"/>
      <c r="AM329" s="343"/>
      <c r="AN329" s="343"/>
      <c r="AO329" s="538"/>
      <c r="AP329" s="343"/>
      <c r="AQ329" s="343"/>
      <c r="AS329" s="343"/>
      <c r="AT329" s="538"/>
      <c r="AU329" s="343"/>
      <c r="AV329" s="343"/>
      <c r="AW329" s="538"/>
      <c r="AX329" s="343"/>
      <c r="AY329" s="343"/>
      <c r="AZ329" s="538"/>
      <c r="BA329" s="343"/>
      <c r="BB329" s="343"/>
      <c r="BC329" s="538"/>
      <c r="BD329" s="343"/>
      <c r="BE329" s="343"/>
      <c r="BG329" s="644"/>
      <c r="BH329" s="515"/>
      <c r="BI329" s="515"/>
      <c r="BJ329" s="644"/>
      <c r="BK329" s="515"/>
      <c r="BL329" s="515"/>
      <c r="BM329" s="644"/>
      <c r="BN329" s="515"/>
      <c r="BO329" s="515"/>
      <c r="BP329" s="644"/>
      <c r="BQ329" s="515"/>
      <c r="BR329" s="515"/>
    </row>
    <row r="330" spans="4:70" x14ac:dyDescent="0.25">
      <c r="D330" s="538"/>
      <c r="G330" s="538"/>
      <c r="J330" s="538"/>
      <c r="M330" s="538"/>
      <c r="R330" s="538"/>
      <c r="S330" s="343"/>
      <c r="T330" s="343"/>
      <c r="U330" s="538"/>
      <c r="V330" s="343"/>
      <c r="W330" s="343"/>
      <c r="X330" s="538"/>
      <c r="Y330" s="343"/>
      <c r="Z330" s="343"/>
      <c r="AA330" s="538"/>
      <c r="AB330" s="343"/>
      <c r="AC330" s="343"/>
      <c r="AE330" s="343"/>
      <c r="AF330" s="538"/>
      <c r="AG330" s="343"/>
      <c r="AH330" s="343"/>
      <c r="AI330" s="538"/>
      <c r="AJ330" s="343"/>
      <c r="AK330" s="343"/>
      <c r="AL330" s="538"/>
      <c r="AM330" s="343"/>
      <c r="AN330" s="343"/>
      <c r="AO330" s="538"/>
      <c r="AP330" s="343"/>
      <c r="AQ330" s="343"/>
      <c r="AS330" s="343"/>
      <c r="AT330" s="538"/>
      <c r="AU330" s="343"/>
      <c r="AV330" s="343"/>
      <c r="AW330" s="538"/>
      <c r="AX330" s="343"/>
      <c r="AY330" s="343"/>
      <c r="AZ330" s="538"/>
      <c r="BA330" s="343"/>
      <c r="BB330" s="343"/>
      <c r="BC330" s="538"/>
      <c r="BD330" s="343"/>
      <c r="BE330" s="343"/>
      <c r="BG330" s="644"/>
      <c r="BH330" s="515"/>
      <c r="BI330" s="515"/>
      <c r="BJ330" s="644"/>
      <c r="BK330" s="515"/>
      <c r="BL330" s="515"/>
      <c r="BM330" s="644"/>
      <c r="BN330" s="515"/>
      <c r="BO330" s="515"/>
      <c r="BP330" s="644"/>
      <c r="BQ330" s="515"/>
      <c r="BR330" s="515"/>
    </row>
    <row r="331" spans="4:70" x14ac:dyDescent="0.25">
      <c r="D331" s="538"/>
      <c r="G331" s="538"/>
      <c r="J331" s="538"/>
      <c r="M331" s="538"/>
      <c r="R331" s="538"/>
      <c r="S331" s="343"/>
      <c r="T331" s="343"/>
      <c r="U331" s="538"/>
      <c r="V331" s="343"/>
      <c r="W331" s="343"/>
      <c r="X331" s="538"/>
      <c r="Y331" s="343"/>
      <c r="Z331" s="343"/>
      <c r="AA331" s="538"/>
      <c r="AB331" s="343"/>
      <c r="AC331" s="343"/>
      <c r="AE331" s="343"/>
      <c r="AF331" s="538"/>
      <c r="AG331" s="343"/>
      <c r="AH331" s="343"/>
      <c r="AI331" s="538"/>
      <c r="AJ331" s="343"/>
      <c r="AK331" s="343"/>
      <c r="AL331" s="538"/>
      <c r="AM331" s="343"/>
      <c r="AN331" s="343"/>
      <c r="AO331" s="538"/>
      <c r="AP331" s="343"/>
      <c r="AQ331" s="343"/>
      <c r="AS331" s="343"/>
      <c r="AT331" s="538"/>
      <c r="AU331" s="343"/>
      <c r="AV331" s="343"/>
      <c r="AW331" s="538"/>
      <c r="AX331" s="343"/>
      <c r="AY331" s="343"/>
      <c r="AZ331" s="538"/>
      <c r="BA331" s="343"/>
      <c r="BB331" s="343"/>
      <c r="BC331" s="538"/>
      <c r="BD331" s="343"/>
      <c r="BE331" s="343"/>
      <c r="BG331" s="644"/>
      <c r="BH331" s="515"/>
      <c r="BI331" s="515"/>
      <c r="BJ331" s="644"/>
      <c r="BK331" s="515"/>
      <c r="BL331" s="515"/>
      <c r="BM331" s="644"/>
      <c r="BN331" s="515"/>
      <c r="BO331" s="515"/>
      <c r="BP331" s="644"/>
      <c r="BQ331" s="515"/>
      <c r="BR331" s="515"/>
    </row>
    <row r="332" spans="4:70" x14ac:dyDescent="0.25">
      <c r="D332" s="538"/>
      <c r="G332" s="538"/>
      <c r="J332" s="538"/>
      <c r="M332" s="538"/>
      <c r="R332" s="538"/>
      <c r="S332" s="343"/>
      <c r="T332" s="343"/>
      <c r="U332" s="538"/>
      <c r="V332" s="343"/>
      <c r="W332" s="343"/>
      <c r="X332" s="538"/>
      <c r="Y332" s="343"/>
      <c r="Z332" s="343"/>
      <c r="AA332" s="538"/>
      <c r="AB332" s="343"/>
      <c r="AC332" s="343"/>
      <c r="AE332" s="343"/>
      <c r="AF332" s="538"/>
      <c r="AG332" s="343"/>
      <c r="AH332" s="343"/>
      <c r="AI332" s="538"/>
      <c r="AJ332" s="343"/>
      <c r="AK332" s="343"/>
      <c r="AL332" s="538"/>
      <c r="AM332" s="343"/>
      <c r="AN332" s="343"/>
      <c r="AO332" s="538"/>
      <c r="AP332" s="343"/>
      <c r="AQ332" s="343"/>
      <c r="AS332" s="343"/>
      <c r="AT332" s="538"/>
      <c r="AU332" s="343"/>
      <c r="AV332" s="343"/>
      <c r="AW332" s="538"/>
      <c r="AX332" s="343"/>
      <c r="AY332" s="343"/>
      <c r="AZ332" s="538"/>
      <c r="BA332" s="343"/>
      <c r="BB332" s="343"/>
      <c r="BC332" s="538"/>
      <c r="BD332" s="343"/>
      <c r="BE332" s="343"/>
      <c r="BG332" s="644"/>
      <c r="BH332" s="515"/>
      <c r="BI332" s="515"/>
      <c r="BJ332" s="644"/>
      <c r="BK332" s="515"/>
      <c r="BL332" s="515"/>
      <c r="BM332" s="644"/>
      <c r="BN332" s="515"/>
      <c r="BO332" s="515"/>
      <c r="BP332" s="644"/>
      <c r="BQ332" s="515"/>
      <c r="BR332" s="515"/>
    </row>
    <row r="333" spans="4:70" x14ac:dyDescent="0.25">
      <c r="D333" s="538"/>
      <c r="G333" s="538"/>
      <c r="J333" s="538"/>
      <c r="M333" s="538"/>
      <c r="R333" s="538"/>
      <c r="S333" s="343"/>
      <c r="T333" s="343"/>
      <c r="U333" s="538"/>
      <c r="V333" s="343"/>
      <c r="W333" s="343"/>
      <c r="X333" s="538"/>
      <c r="Y333" s="343"/>
      <c r="Z333" s="343"/>
      <c r="AA333" s="538"/>
      <c r="AB333" s="343"/>
      <c r="AC333" s="343"/>
      <c r="AE333" s="343"/>
      <c r="AF333" s="538"/>
      <c r="AG333" s="343"/>
      <c r="AH333" s="343"/>
      <c r="AI333" s="538"/>
      <c r="AJ333" s="343"/>
      <c r="AK333" s="343"/>
      <c r="AL333" s="538"/>
      <c r="AM333" s="343"/>
      <c r="AN333" s="343"/>
      <c r="AO333" s="538"/>
      <c r="AP333" s="343"/>
      <c r="AQ333" s="343"/>
      <c r="AS333" s="343"/>
      <c r="AT333" s="538"/>
      <c r="AU333" s="343"/>
      <c r="AV333" s="343"/>
      <c r="AW333" s="538"/>
      <c r="AX333" s="343"/>
      <c r="AY333" s="343"/>
      <c r="AZ333" s="538"/>
      <c r="BA333" s="343"/>
      <c r="BB333" s="343"/>
      <c r="BC333" s="538"/>
      <c r="BD333" s="343"/>
      <c r="BE333" s="343"/>
      <c r="BG333" s="644"/>
      <c r="BH333" s="515"/>
      <c r="BI333" s="515"/>
      <c r="BJ333" s="644"/>
      <c r="BK333" s="515"/>
      <c r="BL333" s="515"/>
      <c r="BM333" s="644"/>
      <c r="BN333" s="515"/>
      <c r="BO333" s="515"/>
      <c r="BP333" s="644"/>
      <c r="BQ333" s="515"/>
      <c r="BR333" s="515"/>
    </row>
    <row r="334" spans="4:70" x14ac:dyDescent="0.25">
      <c r="D334" s="538"/>
      <c r="G334" s="538"/>
      <c r="J334" s="538"/>
      <c r="M334" s="538"/>
      <c r="R334" s="538"/>
      <c r="S334" s="343"/>
      <c r="T334" s="343"/>
      <c r="U334" s="538"/>
      <c r="V334" s="343"/>
      <c r="W334" s="343"/>
      <c r="X334" s="538"/>
      <c r="Y334" s="343"/>
      <c r="Z334" s="343"/>
      <c r="AA334" s="538"/>
      <c r="AB334" s="343"/>
      <c r="AC334" s="343"/>
      <c r="AE334" s="343"/>
      <c r="AF334" s="538"/>
      <c r="AG334" s="343"/>
      <c r="AH334" s="343"/>
      <c r="AI334" s="538"/>
      <c r="AJ334" s="343"/>
      <c r="AK334" s="343"/>
      <c r="AL334" s="538"/>
      <c r="AM334" s="343"/>
      <c r="AN334" s="343"/>
      <c r="AO334" s="538"/>
      <c r="AP334" s="343"/>
      <c r="AQ334" s="343"/>
      <c r="AS334" s="343"/>
      <c r="AT334" s="538"/>
      <c r="AU334" s="343"/>
      <c r="AV334" s="343"/>
      <c r="AW334" s="538"/>
      <c r="AX334" s="343"/>
      <c r="AY334" s="343"/>
      <c r="AZ334" s="538"/>
      <c r="BA334" s="343"/>
      <c r="BB334" s="343"/>
      <c r="BC334" s="538"/>
      <c r="BD334" s="343"/>
      <c r="BE334" s="343"/>
      <c r="BG334" s="644"/>
      <c r="BH334" s="515"/>
      <c r="BI334" s="515"/>
      <c r="BJ334" s="644"/>
      <c r="BK334" s="515"/>
      <c r="BL334" s="515"/>
      <c r="BM334" s="644"/>
      <c r="BN334" s="515"/>
      <c r="BO334" s="515"/>
      <c r="BP334" s="644"/>
      <c r="BQ334" s="515"/>
      <c r="BR334" s="515"/>
    </row>
    <row r="335" spans="4:70" x14ac:dyDescent="0.25">
      <c r="D335" s="538"/>
      <c r="G335" s="538"/>
      <c r="J335" s="538"/>
      <c r="M335" s="538"/>
      <c r="R335" s="538"/>
      <c r="S335" s="343"/>
      <c r="T335" s="343"/>
      <c r="U335" s="538"/>
      <c r="V335" s="343"/>
      <c r="W335" s="343"/>
      <c r="X335" s="538"/>
      <c r="Y335" s="343"/>
      <c r="Z335" s="343"/>
      <c r="AA335" s="538"/>
      <c r="AB335" s="343"/>
      <c r="AC335" s="343"/>
      <c r="AE335" s="343"/>
      <c r="AF335" s="538"/>
      <c r="AG335" s="343"/>
      <c r="AH335" s="343"/>
      <c r="AI335" s="538"/>
      <c r="AJ335" s="343"/>
      <c r="AK335" s="343"/>
      <c r="AL335" s="538"/>
      <c r="AM335" s="343"/>
      <c r="AN335" s="343"/>
      <c r="AO335" s="538"/>
      <c r="AP335" s="343"/>
      <c r="AQ335" s="343"/>
      <c r="AS335" s="343"/>
      <c r="AT335" s="538"/>
      <c r="AU335" s="343"/>
      <c r="AV335" s="343"/>
      <c r="AW335" s="538"/>
      <c r="AX335" s="343"/>
      <c r="AY335" s="343"/>
      <c r="AZ335" s="538"/>
      <c r="BA335" s="343"/>
      <c r="BB335" s="343"/>
      <c r="BC335" s="538"/>
      <c r="BD335" s="343"/>
      <c r="BE335" s="343"/>
      <c r="BG335" s="644"/>
      <c r="BH335" s="515"/>
      <c r="BI335" s="515"/>
      <c r="BJ335" s="644"/>
      <c r="BK335" s="515"/>
      <c r="BL335" s="515"/>
      <c r="BM335" s="644"/>
      <c r="BN335" s="515"/>
      <c r="BO335" s="515"/>
      <c r="BP335" s="644"/>
      <c r="BQ335" s="515"/>
      <c r="BR335" s="515"/>
    </row>
    <row r="336" spans="4:70" x14ac:dyDescent="0.25">
      <c r="D336" s="538"/>
      <c r="G336" s="538"/>
      <c r="J336" s="538"/>
      <c r="M336" s="538"/>
      <c r="R336" s="538"/>
      <c r="S336" s="343"/>
      <c r="T336" s="343"/>
      <c r="U336" s="538"/>
      <c r="V336" s="343"/>
      <c r="W336" s="343"/>
      <c r="X336" s="538"/>
      <c r="Y336" s="343"/>
      <c r="Z336" s="343"/>
      <c r="AA336" s="538"/>
      <c r="AB336" s="343"/>
      <c r="AC336" s="343"/>
      <c r="AE336" s="343"/>
      <c r="AF336" s="538"/>
      <c r="AG336" s="343"/>
      <c r="AH336" s="343"/>
      <c r="AI336" s="538"/>
      <c r="AJ336" s="343"/>
      <c r="AK336" s="343"/>
      <c r="AL336" s="538"/>
      <c r="AM336" s="343"/>
      <c r="AN336" s="343"/>
      <c r="AO336" s="538"/>
      <c r="AP336" s="343"/>
      <c r="AQ336" s="343"/>
      <c r="AS336" s="343"/>
      <c r="AT336" s="538"/>
      <c r="AU336" s="343"/>
      <c r="AV336" s="343"/>
      <c r="AW336" s="538"/>
      <c r="AX336" s="343"/>
      <c r="AY336" s="343"/>
      <c r="AZ336" s="538"/>
      <c r="BA336" s="343"/>
      <c r="BB336" s="343"/>
      <c r="BC336" s="538"/>
      <c r="BD336" s="343"/>
      <c r="BE336" s="343"/>
      <c r="BG336" s="644"/>
      <c r="BH336" s="515"/>
      <c r="BI336" s="515"/>
      <c r="BJ336" s="644"/>
      <c r="BK336" s="515"/>
      <c r="BL336" s="515"/>
      <c r="BM336" s="644"/>
      <c r="BN336" s="515"/>
      <c r="BO336" s="515"/>
      <c r="BP336" s="644"/>
      <c r="BQ336" s="515"/>
      <c r="BR336" s="515"/>
    </row>
    <row r="337" spans="4:70" x14ac:dyDescent="0.25">
      <c r="D337" s="538"/>
      <c r="G337" s="538"/>
      <c r="J337" s="538"/>
      <c r="M337" s="538"/>
      <c r="R337" s="538"/>
      <c r="S337" s="343"/>
      <c r="T337" s="343"/>
      <c r="U337" s="538"/>
      <c r="V337" s="343"/>
      <c r="W337" s="343"/>
      <c r="X337" s="538"/>
      <c r="Y337" s="343"/>
      <c r="Z337" s="343"/>
      <c r="AA337" s="538"/>
      <c r="AB337" s="343"/>
      <c r="AC337" s="343"/>
      <c r="AE337" s="343"/>
      <c r="AF337" s="538"/>
      <c r="AG337" s="343"/>
      <c r="AH337" s="343"/>
      <c r="AI337" s="538"/>
      <c r="AJ337" s="343"/>
      <c r="AK337" s="343"/>
      <c r="AL337" s="538"/>
      <c r="AM337" s="343"/>
      <c r="AN337" s="343"/>
      <c r="AO337" s="538"/>
      <c r="AP337" s="343"/>
      <c r="AQ337" s="343"/>
      <c r="AS337" s="343"/>
      <c r="AT337" s="538"/>
      <c r="AU337" s="343"/>
      <c r="AV337" s="343"/>
      <c r="AW337" s="538"/>
      <c r="AX337" s="343"/>
      <c r="AY337" s="343"/>
      <c r="AZ337" s="538"/>
      <c r="BA337" s="343"/>
      <c r="BB337" s="343"/>
      <c r="BC337" s="538"/>
      <c r="BD337" s="343"/>
      <c r="BE337" s="343"/>
      <c r="BG337" s="644"/>
      <c r="BH337" s="515"/>
      <c r="BI337" s="515"/>
      <c r="BJ337" s="644"/>
      <c r="BK337" s="515"/>
      <c r="BL337" s="515"/>
      <c r="BM337" s="644"/>
      <c r="BN337" s="515"/>
      <c r="BO337" s="515"/>
      <c r="BP337" s="644"/>
      <c r="BQ337" s="515"/>
      <c r="BR337" s="515"/>
    </row>
    <row r="338" spans="4:70" x14ac:dyDescent="0.25">
      <c r="D338" s="538"/>
      <c r="G338" s="538"/>
      <c r="J338" s="538"/>
      <c r="M338" s="538"/>
      <c r="R338" s="538"/>
      <c r="S338" s="343"/>
      <c r="T338" s="343"/>
      <c r="U338" s="538"/>
      <c r="V338" s="343"/>
      <c r="W338" s="343"/>
      <c r="X338" s="538"/>
      <c r="Y338" s="343"/>
      <c r="Z338" s="343"/>
      <c r="AA338" s="538"/>
      <c r="AB338" s="343"/>
      <c r="AC338" s="343"/>
      <c r="AE338" s="343"/>
      <c r="AF338" s="538"/>
      <c r="AG338" s="343"/>
      <c r="AH338" s="343"/>
      <c r="AI338" s="538"/>
      <c r="AJ338" s="343"/>
      <c r="AK338" s="343"/>
      <c r="AL338" s="538"/>
      <c r="AM338" s="343"/>
      <c r="AN338" s="343"/>
      <c r="AO338" s="538"/>
      <c r="AP338" s="343"/>
      <c r="AQ338" s="343"/>
      <c r="AS338" s="343"/>
      <c r="AT338" s="538"/>
      <c r="AU338" s="343"/>
      <c r="AV338" s="343"/>
      <c r="AW338" s="538"/>
      <c r="AX338" s="343"/>
      <c r="AY338" s="343"/>
      <c r="AZ338" s="538"/>
      <c r="BA338" s="343"/>
      <c r="BB338" s="343"/>
      <c r="BC338" s="538"/>
      <c r="BD338" s="343"/>
      <c r="BE338" s="343"/>
      <c r="BG338" s="644"/>
      <c r="BH338" s="515"/>
      <c r="BI338" s="515"/>
      <c r="BJ338" s="644"/>
      <c r="BK338" s="515"/>
      <c r="BL338" s="515"/>
      <c r="BM338" s="644"/>
      <c r="BN338" s="515"/>
      <c r="BO338" s="515"/>
      <c r="BP338" s="644"/>
      <c r="BQ338" s="515"/>
      <c r="BR338" s="515"/>
    </row>
    <row r="339" spans="4:70" x14ac:dyDescent="0.25">
      <c r="D339" s="538"/>
      <c r="G339" s="538"/>
      <c r="J339" s="538"/>
      <c r="M339" s="538"/>
      <c r="R339" s="538"/>
      <c r="S339" s="343"/>
      <c r="T339" s="343"/>
      <c r="U339" s="538"/>
      <c r="V339" s="343"/>
      <c r="W339" s="343"/>
      <c r="X339" s="538"/>
      <c r="Y339" s="343"/>
      <c r="Z339" s="343"/>
      <c r="AA339" s="538"/>
      <c r="AB339" s="343"/>
      <c r="AC339" s="343"/>
      <c r="AE339" s="343"/>
      <c r="AF339" s="538"/>
      <c r="AG339" s="343"/>
      <c r="AH339" s="343"/>
      <c r="AI339" s="538"/>
      <c r="AJ339" s="343"/>
      <c r="AK339" s="343"/>
      <c r="AL339" s="538"/>
      <c r="AM339" s="343"/>
      <c r="AN339" s="343"/>
      <c r="AO339" s="538"/>
      <c r="AP339" s="343"/>
      <c r="AQ339" s="343"/>
      <c r="AS339" s="343"/>
      <c r="AT339" s="538"/>
      <c r="AU339" s="343"/>
      <c r="AV339" s="343"/>
      <c r="AW339" s="538"/>
      <c r="AX339" s="343"/>
      <c r="AY339" s="343"/>
      <c r="AZ339" s="538"/>
      <c r="BA339" s="343"/>
      <c r="BB339" s="343"/>
      <c r="BC339" s="538"/>
      <c r="BD339" s="343"/>
      <c r="BE339" s="343"/>
      <c r="BG339" s="644"/>
      <c r="BH339" s="515"/>
      <c r="BI339" s="515"/>
      <c r="BJ339" s="644"/>
      <c r="BK339" s="515"/>
      <c r="BL339" s="515"/>
      <c r="BM339" s="644"/>
      <c r="BN339" s="515"/>
      <c r="BO339" s="515"/>
      <c r="BP339" s="644"/>
      <c r="BQ339" s="515"/>
      <c r="BR339" s="515"/>
    </row>
    <row r="340" spans="4:70" x14ac:dyDescent="0.25">
      <c r="D340" s="538"/>
      <c r="G340" s="538"/>
      <c r="J340" s="538"/>
      <c r="M340" s="538"/>
      <c r="R340" s="538"/>
      <c r="S340" s="343"/>
      <c r="T340" s="343"/>
      <c r="U340" s="538"/>
      <c r="V340" s="343"/>
      <c r="W340" s="343"/>
      <c r="X340" s="538"/>
      <c r="Y340" s="343"/>
      <c r="Z340" s="343"/>
      <c r="AA340" s="538"/>
      <c r="AB340" s="343"/>
      <c r="AC340" s="343"/>
      <c r="AE340" s="343"/>
      <c r="AF340" s="538"/>
      <c r="AG340" s="343"/>
      <c r="AH340" s="343"/>
      <c r="AI340" s="538"/>
      <c r="AJ340" s="343"/>
      <c r="AK340" s="343"/>
      <c r="AL340" s="538"/>
      <c r="AM340" s="343"/>
      <c r="AN340" s="343"/>
      <c r="AO340" s="538"/>
      <c r="AP340" s="343"/>
      <c r="AQ340" s="343"/>
      <c r="AS340" s="343"/>
      <c r="AT340" s="538"/>
      <c r="AU340" s="343"/>
      <c r="AV340" s="343"/>
      <c r="AW340" s="538"/>
      <c r="AX340" s="343"/>
      <c r="AY340" s="343"/>
      <c r="AZ340" s="538"/>
      <c r="BA340" s="343"/>
      <c r="BB340" s="343"/>
      <c r="BC340" s="538"/>
      <c r="BD340" s="343"/>
      <c r="BE340" s="343"/>
      <c r="BG340" s="644"/>
      <c r="BH340" s="515"/>
      <c r="BI340" s="515"/>
      <c r="BJ340" s="644"/>
      <c r="BK340" s="515"/>
      <c r="BL340" s="515"/>
      <c r="BM340" s="644"/>
      <c r="BN340" s="515"/>
      <c r="BO340" s="515"/>
      <c r="BP340" s="644"/>
      <c r="BQ340" s="515"/>
      <c r="BR340" s="515"/>
    </row>
    <row r="341" spans="4:70" x14ac:dyDescent="0.25">
      <c r="D341" s="538"/>
      <c r="G341" s="538"/>
      <c r="J341" s="538"/>
      <c r="M341" s="538"/>
      <c r="R341" s="538"/>
      <c r="S341" s="343"/>
      <c r="T341" s="343"/>
      <c r="U341" s="538"/>
      <c r="V341" s="343"/>
      <c r="W341" s="343"/>
      <c r="X341" s="538"/>
      <c r="Y341" s="343"/>
      <c r="Z341" s="343"/>
      <c r="AA341" s="538"/>
      <c r="AB341" s="343"/>
      <c r="AC341" s="343"/>
      <c r="AE341" s="343"/>
      <c r="AF341" s="538"/>
      <c r="AG341" s="343"/>
      <c r="AH341" s="343"/>
      <c r="AI341" s="538"/>
      <c r="AJ341" s="343"/>
      <c r="AK341" s="343"/>
      <c r="AL341" s="538"/>
      <c r="AM341" s="343"/>
      <c r="AN341" s="343"/>
      <c r="AO341" s="538"/>
      <c r="AP341" s="343"/>
      <c r="AQ341" s="343"/>
      <c r="AS341" s="343"/>
      <c r="AT341" s="538"/>
      <c r="AU341" s="343"/>
      <c r="AV341" s="343"/>
      <c r="AW341" s="538"/>
      <c r="AX341" s="343"/>
      <c r="AY341" s="343"/>
      <c r="AZ341" s="538"/>
      <c r="BA341" s="343"/>
      <c r="BB341" s="343"/>
      <c r="BC341" s="538"/>
      <c r="BD341" s="343"/>
      <c r="BE341" s="343"/>
      <c r="BG341" s="644"/>
      <c r="BH341" s="515"/>
      <c r="BI341" s="515"/>
      <c r="BJ341" s="644"/>
      <c r="BK341" s="515"/>
      <c r="BL341" s="515"/>
      <c r="BM341" s="644"/>
      <c r="BN341" s="515"/>
      <c r="BO341" s="515"/>
      <c r="BP341" s="644"/>
      <c r="BQ341" s="515"/>
      <c r="BR341" s="515"/>
    </row>
    <row r="342" spans="4:70" x14ac:dyDescent="0.25">
      <c r="D342" s="538"/>
      <c r="G342" s="538"/>
      <c r="J342" s="538"/>
      <c r="M342" s="538"/>
      <c r="R342" s="538"/>
      <c r="S342" s="343"/>
      <c r="T342" s="343"/>
      <c r="U342" s="538"/>
      <c r="V342" s="343"/>
      <c r="W342" s="343"/>
      <c r="X342" s="538"/>
      <c r="Y342" s="343"/>
      <c r="Z342" s="343"/>
      <c r="AA342" s="538"/>
      <c r="AB342" s="343"/>
      <c r="AC342" s="343"/>
      <c r="AE342" s="343"/>
      <c r="AF342" s="538"/>
      <c r="AG342" s="343"/>
      <c r="AH342" s="343"/>
      <c r="AI342" s="538"/>
      <c r="AJ342" s="343"/>
      <c r="AK342" s="343"/>
      <c r="AL342" s="538"/>
      <c r="AM342" s="343"/>
      <c r="AN342" s="343"/>
      <c r="AO342" s="538"/>
      <c r="AP342" s="343"/>
      <c r="AQ342" s="343"/>
      <c r="AS342" s="343"/>
      <c r="AT342" s="538"/>
      <c r="AU342" s="343"/>
      <c r="AV342" s="343"/>
      <c r="AW342" s="538"/>
      <c r="AX342" s="343"/>
      <c r="AY342" s="343"/>
      <c r="AZ342" s="538"/>
      <c r="BA342" s="343"/>
      <c r="BB342" s="343"/>
      <c r="BC342" s="538"/>
      <c r="BD342" s="343"/>
      <c r="BE342" s="343"/>
      <c r="BG342" s="644"/>
      <c r="BH342" s="515"/>
      <c r="BI342" s="515"/>
      <c r="BJ342" s="644"/>
      <c r="BK342" s="515"/>
      <c r="BL342" s="515"/>
      <c r="BM342" s="644"/>
      <c r="BN342" s="515"/>
      <c r="BO342" s="515"/>
      <c r="BP342" s="644"/>
      <c r="BQ342" s="515"/>
      <c r="BR342" s="515"/>
    </row>
    <row r="343" spans="4:70" x14ac:dyDescent="0.25">
      <c r="D343" s="538"/>
      <c r="G343" s="538"/>
      <c r="J343" s="538"/>
      <c r="M343" s="538"/>
      <c r="R343" s="538"/>
      <c r="S343" s="343"/>
      <c r="T343" s="343"/>
      <c r="U343" s="538"/>
      <c r="V343" s="343"/>
      <c r="W343" s="343"/>
      <c r="X343" s="538"/>
      <c r="Y343" s="343"/>
      <c r="Z343" s="343"/>
      <c r="AA343" s="538"/>
      <c r="AB343" s="343"/>
      <c r="AC343" s="343"/>
      <c r="AE343" s="343"/>
      <c r="AF343" s="538"/>
      <c r="AG343" s="343"/>
      <c r="AH343" s="343"/>
      <c r="AI343" s="538"/>
      <c r="AJ343" s="343"/>
      <c r="AK343" s="343"/>
      <c r="AL343" s="538"/>
      <c r="AM343" s="343"/>
      <c r="AN343" s="343"/>
      <c r="AO343" s="538"/>
      <c r="AP343" s="343"/>
      <c r="AQ343" s="343"/>
      <c r="AS343" s="343"/>
      <c r="AT343" s="538"/>
      <c r="AU343" s="343"/>
      <c r="AV343" s="343"/>
      <c r="AW343" s="538"/>
      <c r="AX343" s="343"/>
      <c r="AY343" s="343"/>
      <c r="AZ343" s="538"/>
      <c r="BA343" s="343"/>
      <c r="BB343" s="343"/>
      <c r="BC343" s="538"/>
      <c r="BD343" s="343"/>
      <c r="BE343" s="343"/>
      <c r="BG343" s="644"/>
      <c r="BH343" s="515"/>
      <c r="BI343" s="515"/>
      <c r="BJ343" s="644"/>
      <c r="BK343" s="515"/>
      <c r="BL343" s="515"/>
      <c r="BM343" s="644"/>
      <c r="BN343" s="515"/>
      <c r="BO343" s="515"/>
      <c r="BP343" s="644"/>
      <c r="BQ343" s="515"/>
      <c r="BR343" s="515"/>
    </row>
    <row r="344" spans="4:70" x14ac:dyDescent="0.25">
      <c r="D344" s="538"/>
      <c r="G344" s="538"/>
      <c r="J344" s="538"/>
      <c r="M344" s="538"/>
      <c r="R344" s="538"/>
      <c r="S344" s="343"/>
      <c r="T344" s="343"/>
      <c r="U344" s="538"/>
      <c r="V344" s="343"/>
      <c r="W344" s="343"/>
      <c r="X344" s="538"/>
      <c r="Y344" s="343"/>
      <c r="Z344" s="343"/>
      <c r="AA344" s="538"/>
      <c r="AB344" s="343"/>
      <c r="AC344" s="343"/>
      <c r="AE344" s="343"/>
      <c r="AF344" s="538"/>
      <c r="AG344" s="343"/>
      <c r="AH344" s="343"/>
      <c r="AI344" s="538"/>
      <c r="AJ344" s="343"/>
      <c r="AK344" s="343"/>
      <c r="AL344" s="538"/>
      <c r="AM344" s="343"/>
      <c r="AN344" s="343"/>
      <c r="AO344" s="538"/>
      <c r="AP344" s="343"/>
      <c r="AQ344" s="343"/>
      <c r="AS344" s="343"/>
      <c r="AT344" s="538"/>
      <c r="AU344" s="343"/>
      <c r="AV344" s="343"/>
      <c r="AW344" s="538"/>
      <c r="AX344" s="343"/>
      <c r="AY344" s="343"/>
      <c r="AZ344" s="538"/>
      <c r="BA344" s="343"/>
      <c r="BB344" s="343"/>
      <c r="BC344" s="538"/>
      <c r="BD344" s="343"/>
      <c r="BE344" s="343"/>
      <c r="BG344" s="644"/>
      <c r="BH344" s="515"/>
      <c r="BI344" s="515"/>
      <c r="BJ344" s="644"/>
      <c r="BK344" s="515"/>
      <c r="BL344" s="515"/>
      <c r="BM344" s="644"/>
      <c r="BN344" s="515"/>
      <c r="BO344" s="515"/>
      <c r="BP344" s="644"/>
      <c r="BQ344" s="515"/>
      <c r="BR344" s="515"/>
    </row>
    <row r="345" spans="4:70" x14ac:dyDescent="0.25">
      <c r="D345" s="538"/>
      <c r="G345" s="538"/>
      <c r="J345" s="538"/>
      <c r="M345" s="538"/>
      <c r="R345" s="538"/>
      <c r="S345" s="343"/>
      <c r="T345" s="343"/>
      <c r="U345" s="538"/>
      <c r="V345" s="343"/>
      <c r="W345" s="343"/>
      <c r="X345" s="538"/>
      <c r="Y345" s="343"/>
      <c r="Z345" s="343"/>
      <c r="AA345" s="538"/>
      <c r="AB345" s="343"/>
      <c r="AC345" s="343"/>
      <c r="AE345" s="343"/>
      <c r="AF345" s="538"/>
      <c r="AG345" s="343"/>
      <c r="AH345" s="343"/>
      <c r="AI345" s="538"/>
      <c r="AJ345" s="343"/>
      <c r="AK345" s="343"/>
      <c r="AL345" s="538"/>
      <c r="AM345" s="343"/>
      <c r="AN345" s="343"/>
      <c r="AO345" s="538"/>
      <c r="AP345" s="343"/>
      <c r="AQ345" s="343"/>
      <c r="AS345" s="343"/>
      <c r="AT345" s="538"/>
      <c r="AU345" s="343"/>
      <c r="AV345" s="343"/>
      <c r="AW345" s="538"/>
      <c r="AX345" s="343"/>
      <c r="AY345" s="343"/>
      <c r="AZ345" s="538"/>
      <c r="BA345" s="343"/>
      <c r="BB345" s="343"/>
      <c r="BC345" s="538"/>
      <c r="BD345" s="343"/>
      <c r="BE345" s="343"/>
      <c r="BG345" s="644"/>
      <c r="BH345" s="515"/>
      <c r="BI345" s="515"/>
      <c r="BJ345" s="644"/>
      <c r="BK345" s="515"/>
      <c r="BL345" s="515"/>
      <c r="BM345" s="644"/>
      <c r="BN345" s="515"/>
      <c r="BO345" s="515"/>
      <c r="BP345" s="644"/>
      <c r="BQ345" s="515"/>
      <c r="BR345" s="515"/>
    </row>
    <row r="346" spans="4:70" x14ac:dyDescent="0.25">
      <c r="D346" s="538"/>
      <c r="G346" s="538"/>
      <c r="J346" s="538"/>
      <c r="M346" s="538"/>
      <c r="R346" s="538"/>
      <c r="S346" s="343"/>
      <c r="T346" s="343"/>
      <c r="U346" s="538"/>
      <c r="V346" s="343"/>
      <c r="W346" s="343"/>
      <c r="X346" s="538"/>
      <c r="Y346" s="343"/>
      <c r="Z346" s="343"/>
      <c r="AA346" s="538"/>
      <c r="AB346" s="343"/>
      <c r="AC346" s="343"/>
      <c r="AE346" s="343"/>
      <c r="AF346" s="538"/>
      <c r="AG346" s="343"/>
      <c r="AH346" s="343"/>
      <c r="AI346" s="538"/>
      <c r="AJ346" s="343"/>
      <c r="AK346" s="343"/>
      <c r="AL346" s="538"/>
      <c r="AM346" s="343"/>
      <c r="AN346" s="343"/>
      <c r="AO346" s="538"/>
      <c r="AP346" s="343"/>
      <c r="AQ346" s="343"/>
      <c r="AS346" s="343"/>
      <c r="AT346" s="538"/>
      <c r="AU346" s="343"/>
      <c r="AV346" s="343"/>
      <c r="AW346" s="538"/>
      <c r="AX346" s="343"/>
      <c r="AY346" s="343"/>
      <c r="AZ346" s="538"/>
      <c r="BA346" s="343"/>
      <c r="BB346" s="343"/>
      <c r="BC346" s="538"/>
      <c r="BD346" s="343"/>
      <c r="BE346" s="343"/>
      <c r="BG346" s="644"/>
      <c r="BH346" s="515"/>
      <c r="BI346" s="515"/>
      <c r="BJ346" s="644"/>
      <c r="BK346" s="515"/>
      <c r="BL346" s="515"/>
      <c r="BM346" s="644"/>
      <c r="BN346" s="515"/>
      <c r="BO346" s="515"/>
      <c r="BP346" s="644"/>
      <c r="BQ346" s="515"/>
      <c r="BR346" s="515"/>
    </row>
    <row r="347" spans="4:70" x14ac:dyDescent="0.25">
      <c r="D347" s="538"/>
      <c r="G347" s="538"/>
      <c r="J347" s="538"/>
      <c r="M347" s="538"/>
      <c r="R347" s="538"/>
      <c r="S347" s="343"/>
      <c r="T347" s="343"/>
      <c r="U347" s="538"/>
      <c r="V347" s="343"/>
      <c r="W347" s="343"/>
      <c r="X347" s="538"/>
      <c r="Y347" s="343"/>
      <c r="Z347" s="343"/>
      <c r="AA347" s="538"/>
      <c r="AB347" s="343"/>
      <c r="AC347" s="343"/>
      <c r="AE347" s="343"/>
      <c r="AF347" s="538"/>
      <c r="AG347" s="343"/>
      <c r="AH347" s="343"/>
      <c r="AI347" s="538"/>
      <c r="AJ347" s="343"/>
      <c r="AK347" s="343"/>
      <c r="AL347" s="538"/>
      <c r="AM347" s="343"/>
      <c r="AN347" s="343"/>
      <c r="AO347" s="538"/>
      <c r="AP347" s="343"/>
      <c r="AQ347" s="343"/>
      <c r="AS347" s="343"/>
      <c r="AT347" s="538"/>
      <c r="AU347" s="343"/>
      <c r="AV347" s="343"/>
      <c r="AW347" s="538"/>
      <c r="AX347" s="343"/>
      <c r="AY347" s="343"/>
      <c r="AZ347" s="538"/>
      <c r="BA347" s="343"/>
      <c r="BB347" s="343"/>
      <c r="BC347" s="538"/>
      <c r="BD347" s="343"/>
      <c r="BE347" s="343"/>
      <c r="BG347" s="644"/>
      <c r="BH347" s="515"/>
      <c r="BI347" s="515"/>
      <c r="BJ347" s="644"/>
      <c r="BK347" s="515"/>
      <c r="BL347" s="515"/>
      <c r="BM347" s="644"/>
      <c r="BN347" s="515"/>
      <c r="BO347" s="515"/>
      <c r="BP347" s="644"/>
      <c r="BQ347" s="515"/>
      <c r="BR347" s="515"/>
    </row>
    <row r="348" spans="4:70" x14ac:dyDescent="0.25">
      <c r="D348" s="538"/>
      <c r="G348" s="538"/>
      <c r="J348" s="538"/>
      <c r="M348" s="538"/>
      <c r="R348" s="538"/>
      <c r="S348" s="343"/>
      <c r="T348" s="343"/>
      <c r="U348" s="538"/>
      <c r="V348" s="343"/>
      <c r="W348" s="343"/>
      <c r="X348" s="538"/>
      <c r="Y348" s="343"/>
      <c r="Z348" s="343"/>
      <c r="AA348" s="538"/>
      <c r="AB348" s="343"/>
      <c r="AC348" s="343"/>
      <c r="AE348" s="343"/>
      <c r="AF348" s="538"/>
      <c r="AG348" s="343"/>
      <c r="AH348" s="343"/>
      <c r="AI348" s="538"/>
      <c r="AJ348" s="343"/>
      <c r="AK348" s="343"/>
      <c r="AL348" s="538"/>
      <c r="AM348" s="343"/>
      <c r="AN348" s="343"/>
      <c r="AO348" s="538"/>
      <c r="AP348" s="343"/>
      <c r="AQ348" s="343"/>
      <c r="AS348" s="343"/>
      <c r="AT348" s="538"/>
      <c r="AU348" s="343"/>
      <c r="AV348" s="343"/>
      <c r="AW348" s="538"/>
      <c r="AX348" s="343"/>
      <c r="AY348" s="343"/>
      <c r="AZ348" s="538"/>
      <c r="BA348" s="343"/>
      <c r="BB348" s="343"/>
      <c r="BC348" s="538"/>
      <c r="BD348" s="343"/>
      <c r="BE348" s="343"/>
      <c r="BG348" s="644"/>
      <c r="BH348" s="515"/>
      <c r="BI348" s="515"/>
      <c r="BJ348" s="644"/>
      <c r="BK348" s="515"/>
      <c r="BL348" s="515"/>
      <c r="BM348" s="644"/>
      <c r="BN348" s="515"/>
      <c r="BO348" s="515"/>
      <c r="BP348" s="644"/>
      <c r="BQ348" s="515"/>
      <c r="BR348" s="515"/>
    </row>
    <row r="349" spans="4:70" x14ac:dyDescent="0.25">
      <c r="D349" s="538"/>
      <c r="G349" s="538"/>
      <c r="J349" s="538"/>
      <c r="M349" s="538"/>
      <c r="R349" s="538"/>
      <c r="S349" s="343"/>
      <c r="T349" s="343"/>
      <c r="U349" s="538"/>
      <c r="V349" s="343"/>
      <c r="W349" s="343"/>
      <c r="X349" s="538"/>
      <c r="Y349" s="343"/>
      <c r="Z349" s="343"/>
      <c r="AA349" s="538"/>
      <c r="AB349" s="343"/>
      <c r="AC349" s="343"/>
      <c r="AE349" s="343"/>
      <c r="AF349" s="538"/>
      <c r="AG349" s="343"/>
      <c r="AH349" s="343"/>
      <c r="AI349" s="538"/>
      <c r="AJ349" s="343"/>
      <c r="AK349" s="343"/>
      <c r="AL349" s="538"/>
      <c r="AM349" s="343"/>
      <c r="AN349" s="343"/>
      <c r="AO349" s="538"/>
      <c r="AP349" s="343"/>
      <c r="AQ349" s="343"/>
      <c r="AS349" s="343"/>
      <c r="AT349" s="538"/>
      <c r="AU349" s="343"/>
      <c r="AV349" s="343"/>
      <c r="AW349" s="538"/>
      <c r="AX349" s="343"/>
      <c r="AY349" s="343"/>
      <c r="AZ349" s="538"/>
      <c r="BA349" s="343"/>
      <c r="BB349" s="343"/>
      <c r="BC349" s="538"/>
      <c r="BD349" s="343"/>
      <c r="BE349" s="343"/>
      <c r="BG349" s="644"/>
      <c r="BH349" s="515"/>
      <c r="BI349" s="515"/>
      <c r="BJ349" s="644"/>
      <c r="BK349" s="515"/>
      <c r="BL349" s="515"/>
      <c r="BM349" s="644"/>
      <c r="BN349" s="515"/>
      <c r="BO349" s="515"/>
      <c r="BP349" s="644"/>
      <c r="BQ349" s="515"/>
      <c r="BR349" s="515"/>
    </row>
    <row r="350" spans="4:70" x14ac:dyDescent="0.25">
      <c r="D350" s="538"/>
      <c r="G350" s="538"/>
      <c r="J350" s="538"/>
      <c r="M350" s="538"/>
      <c r="R350" s="538"/>
      <c r="S350" s="343"/>
      <c r="T350" s="343"/>
      <c r="U350" s="538"/>
      <c r="V350" s="343"/>
      <c r="W350" s="343"/>
      <c r="X350" s="538"/>
      <c r="Y350" s="343"/>
      <c r="Z350" s="343"/>
      <c r="AA350" s="538"/>
      <c r="AB350" s="343"/>
      <c r="AC350" s="343"/>
      <c r="AE350" s="343"/>
      <c r="AF350" s="538"/>
      <c r="AG350" s="343"/>
      <c r="AH350" s="343"/>
      <c r="AI350" s="538"/>
      <c r="AJ350" s="343"/>
      <c r="AK350" s="343"/>
      <c r="AL350" s="538"/>
      <c r="AM350" s="343"/>
      <c r="AN350" s="343"/>
      <c r="AO350" s="538"/>
      <c r="AP350" s="343"/>
      <c r="AQ350" s="343"/>
      <c r="AS350" s="343"/>
      <c r="AT350" s="538"/>
      <c r="AU350" s="343"/>
      <c r="AV350" s="343"/>
      <c r="AW350" s="538"/>
      <c r="AX350" s="343"/>
      <c r="AY350" s="343"/>
      <c r="AZ350" s="538"/>
      <c r="BA350" s="343"/>
      <c r="BB350" s="343"/>
      <c r="BC350" s="538"/>
      <c r="BD350" s="343"/>
      <c r="BE350" s="343"/>
      <c r="BG350" s="644"/>
      <c r="BH350" s="515"/>
      <c r="BI350" s="515"/>
      <c r="BJ350" s="644"/>
      <c r="BK350" s="515"/>
      <c r="BL350" s="515"/>
      <c r="BM350" s="644"/>
      <c r="BN350" s="515"/>
      <c r="BO350" s="515"/>
      <c r="BP350" s="644"/>
      <c r="BQ350" s="515"/>
      <c r="BR350" s="515"/>
    </row>
    <row r="351" spans="4:70" x14ac:dyDescent="0.25">
      <c r="D351" s="538"/>
      <c r="G351" s="538"/>
      <c r="J351" s="538"/>
      <c r="M351" s="538"/>
      <c r="R351" s="538"/>
      <c r="S351" s="343"/>
      <c r="T351" s="343"/>
      <c r="U351" s="538"/>
      <c r="V351" s="343"/>
      <c r="W351" s="343"/>
      <c r="X351" s="538"/>
      <c r="Y351" s="343"/>
      <c r="Z351" s="343"/>
      <c r="AA351" s="538"/>
      <c r="AB351" s="343"/>
      <c r="AC351" s="343"/>
      <c r="AE351" s="343"/>
      <c r="AF351" s="538"/>
      <c r="AG351" s="343"/>
      <c r="AH351" s="343"/>
      <c r="AI351" s="538"/>
      <c r="AJ351" s="343"/>
      <c r="AK351" s="343"/>
      <c r="AL351" s="538"/>
      <c r="AM351" s="343"/>
      <c r="AN351" s="343"/>
      <c r="AO351" s="538"/>
      <c r="AP351" s="343"/>
      <c r="AQ351" s="343"/>
      <c r="AS351" s="343"/>
      <c r="AT351" s="538"/>
      <c r="AU351" s="343"/>
      <c r="AV351" s="343"/>
      <c r="AW351" s="538"/>
      <c r="AX351" s="343"/>
      <c r="AY351" s="343"/>
      <c r="AZ351" s="538"/>
      <c r="BA351" s="343"/>
      <c r="BB351" s="343"/>
      <c r="BC351" s="538"/>
      <c r="BD351" s="343"/>
      <c r="BE351" s="343"/>
      <c r="BG351" s="644"/>
      <c r="BH351" s="515"/>
      <c r="BI351" s="515"/>
      <c r="BJ351" s="644"/>
      <c r="BK351" s="515"/>
      <c r="BL351" s="515"/>
      <c r="BM351" s="644"/>
      <c r="BN351" s="515"/>
      <c r="BO351" s="515"/>
      <c r="BP351" s="644"/>
      <c r="BQ351" s="515"/>
      <c r="BR351" s="515"/>
    </row>
    <row r="352" spans="4:70" x14ac:dyDescent="0.25">
      <c r="D352" s="538"/>
      <c r="G352" s="538"/>
      <c r="J352" s="538"/>
      <c r="M352" s="538"/>
      <c r="R352" s="538"/>
      <c r="S352" s="343"/>
      <c r="T352" s="343"/>
      <c r="U352" s="538"/>
      <c r="V352" s="343"/>
      <c r="W352" s="343"/>
      <c r="X352" s="538"/>
      <c r="Y352" s="343"/>
      <c r="Z352" s="343"/>
      <c r="AA352" s="538"/>
      <c r="AB352" s="343"/>
      <c r="AC352" s="343"/>
      <c r="AE352" s="343"/>
      <c r="AF352" s="538"/>
      <c r="AG352" s="343"/>
      <c r="AH352" s="343"/>
      <c r="AI352" s="538"/>
      <c r="AJ352" s="343"/>
      <c r="AK352" s="343"/>
      <c r="AL352" s="538"/>
      <c r="AM352" s="343"/>
      <c r="AN352" s="343"/>
      <c r="AO352" s="538"/>
      <c r="AP352" s="343"/>
      <c r="AQ352" s="343"/>
      <c r="AS352" s="343"/>
      <c r="AT352" s="538"/>
      <c r="AU352" s="343"/>
      <c r="AV352" s="343"/>
      <c r="AW352" s="538"/>
      <c r="AX352" s="343"/>
      <c r="AY352" s="343"/>
      <c r="AZ352" s="538"/>
      <c r="BA352" s="343"/>
      <c r="BB352" s="343"/>
      <c r="BC352" s="538"/>
      <c r="BD352" s="343"/>
      <c r="BE352" s="343"/>
      <c r="BG352" s="644"/>
      <c r="BH352" s="515"/>
      <c r="BI352" s="515"/>
      <c r="BJ352" s="644"/>
      <c r="BK352" s="515"/>
      <c r="BL352" s="515"/>
      <c r="BM352" s="644"/>
      <c r="BN352" s="515"/>
      <c r="BO352" s="515"/>
      <c r="BP352" s="644"/>
      <c r="BQ352" s="515"/>
      <c r="BR352" s="515"/>
    </row>
    <row r="353" spans="4:70" x14ac:dyDescent="0.25">
      <c r="D353" s="538"/>
      <c r="G353" s="538"/>
      <c r="J353" s="538"/>
      <c r="M353" s="538"/>
      <c r="R353" s="538"/>
      <c r="S353" s="343"/>
      <c r="T353" s="343"/>
      <c r="U353" s="538"/>
      <c r="V353" s="343"/>
      <c r="W353" s="343"/>
      <c r="X353" s="538"/>
      <c r="Y353" s="343"/>
      <c r="Z353" s="343"/>
      <c r="AA353" s="538"/>
      <c r="AB353" s="343"/>
      <c r="AC353" s="343"/>
      <c r="AE353" s="343"/>
      <c r="AF353" s="538"/>
      <c r="AG353" s="343"/>
      <c r="AH353" s="343"/>
      <c r="AI353" s="538"/>
      <c r="AJ353" s="343"/>
      <c r="AK353" s="343"/>
      <c r="AL353" s="538"/>
      <c r="AM353" s="343"/>
      <c r="AN353" s="343"/>
      <c r="AO353" s="538"/>
      <c r="AP353" s="343"/>
      <c r="AQ353" s="343"/>
      <c r="AS353" s="343"/>
      <c r="AT353" s="538"/>
      <c r="AU353" s="343"/>
      <c r="AV353" s="343"/>
      <c r="AW353" s="538"/>
      <c r="AX353" s="343"/>
      <c r="AY353" s="343"/>
      <c r="AZ353" s="538"/>
      <c r="BA353" s="343"/>
      <c r="BB353" s="343"/>
      <c r="BC353" s="538"/>
      <c r="BD353" s="343"/>
      <c r="BE353" s="343"/>
      <c r="BG353" s="644"/>
      <c r="BH353" s="515"/>
      <c r="BI353" s="515"/>
      <c r="BJ353" s="644"/>
      <c r="BK353" s="515"/>
      <c r="BL353" s="515"/>
      <c r="BM353" s="644"/>
      <c r="BN353" s="515"/>
      <c r="BO353" s="515"/>
      <c r="BP353" s="644"/>
      <c r="BQ353" s="515"/>
      <c r="BR353" s="515"/>
    </row>
    <row r="354" spans="4:70" x14ac:dyDescent="0.25">
      <c r="D354" s="538"/>
      <c r="G354" s="538"/>
      <c r="J354" s="538"/>
      <c r="M354" s="538"/>
      <c r="R354" s="538"/>
      <c r="S354" s="343"/>
      <c r="T354" s="343"/>
      <c r="U354" s="538"/>
      <c r="V354" s="343"/>
      <c r="W354" s="343"/>
      <c r="X354" s="538"/>
      <c r="Y354" s="343"/>
      <c r="Z354" s="343"/>
      <c r="AA354" s="538"/>
      <c r="AB354" s="343"/>
      <c r="AC354" s="343"/>
      <c r="AE354" s="343"/>
      <c r="AF354" s="538"/>
      <c r="AG354" s="343"/>
      <c r="AH354" s="343"/>
      <c r="AI354" s="538"/>
      <c r="AJ354" s="343"/>
      <c r="AK354" s="343"/>
      <c r="AL354" s="538"/>
      <c r="AM354" s="343"/>
      <c r="AN354" s="343"/>
      <c r="AO354" s="538"/>
      <c r="AP354" s="343"/>
      <c r="AQ354" s="343"/>
      <c r="AS354" s="343"/>
      <c r="AT354" s="538"/>
      <c r="AU354" s="343"/>
      <c r="AV354" s="343"/>
      <c r="AW354" s="538"/>
      <c r="AX354" s="343"/>
      <c r="AY354" s="343"/>
      <c r="AZ354" s="538"/>
      <c r="BA354" s="343"/>
      <c r="BB354" s="343"/>
      <c r="BC354" s="538"/>
      <c r="BD354" s="343"/>
      <c r="BE354" s="343"/>
      <c r="BG354" s="644"/>
      <c r="BH354" s="515"/>
      <c r="BI354" s="515"/>
      <c r="BJ354" s="644"/>
      <c r="BK354" s="515"/>
      <c r="BL354" s="515"/>
      <c r="BM354" s="644"/>
      <c r="BN354" s="515"/>
      <c r="BO354" s="515"/>
      <c r="BP354" s="644"/>
      <c r="BQ354" s="515"/>
      <c r="BR354" s="515"/>
    </row>
    <row r="355" spans="4:70" x14ac:dyDescent="0.25">
      <c r="D355" s="538"/>
      <c r="G355" s="538"/>
      <c r="J355" s="538"/>
      <c r="M355" s="538"/>
      <c r="R355" s="538"/>
      <c r="S355" s="343"/>
      <c r="T355" s="343"/>
      <c r="U355" s="538"/>
      <c r="V355" s="343"/>
      <c r="W355" s="343"/>
      <c r="X355" s="538"/>
      <c r="Y355" s="343"/>
      <c r="Z355" s="343"/>
      <c r="AA355" s="538"/>
      <c r="AB355" s="343"/>
      <c r="AC355" s="343"/>
      <c r="AE355" s="343"/>
      <c r="AF355" s="538"/>
      <c r="AG355" s="343"/>
      <c r="AH355" s="343"/>
      <c r="AI355" s="538"/>
      <c r="AJ355" s="343"/>
      <c r="AK355" s="343"/>
      <c r="AL355" s="538"/>
      <c r="AM355" s="343"/>
      <c r="AN355" s="343"/>
      <c r="AO355" s="538"/>
      <c r="AP355" s="343"/>
      <c r="AQ355" s="343"/>
      <c r="AS355" s="343"/>
      <c r="AT355" s="538"/>
      <c r="AU355" s="343"/>
      <c r="AV355" s="343"/>
      <c r="AW355" s="538"/>
      <c r="AX355" s="343"/>
      <c r="AY355" s="343"/>
      <c r="AZ355" s="538"/>
      <c r="BA355" s="343"/>
      <c r="BB355" s="343"/>
      <c r="BC355" s="538"/>
      <c r="BD355" s="343"/>
      <c r="BE355" s="343"/>
      <c r="BG355" s="644"/>
      <c r="BH355" s="515"/>
      <c r="BI355" s="515"/>
      <c r="BJ355" s="644"/>
      <c r="BK355" s="515"/>
      <c r="BL355" s="515"/>
      <c r="BM355" s="644"/>
      <c r="BN355" s="515"/>
      <c r="BO355" s="515"/>
      <c r="BP355" s="644"/>
      <c r="BQ355" s="515"/>
      <c r="BR355" s="515"/>
    </row>
    <row r="356" spans="4:70" x14ac:dyDescent="0.25">
      <c r="D356" s="538"/>
      <c r="G356" s="538"/>
      <c r="J356" s="538"/>
      <c r="M356" s="538"/>
      <c r="R356" s="538"/>
      <c r="S356" s="343"/>
      <c r="T356" s="343"/>
      <c r="U356" s="538"/>
      <c r="V356" s="343"/>
      <c r="W356" s="343"/>
      <c r="X356" s="538"/>
      <c r="Y356" s="343"/>
      <c r="Z356" s="343"/>
      <c r="AA356" s="538"/>
      <c r="AB356" s="343"/>
      <c r="AC356" s="343"/>
      <c r="AE356" s="343"/>
      <c r="AF356" s="538"/>
      <c r="AG356" s="343"/>
      <c r="AH356" s="343"/>
      <c r="AI356" s="538"/>
      <c r="AJ356" s="343"/>
      <c r="AK356" s="343"/>
      <c r="AL356" s="538"/>
      <c r="AM356" s="343"/>
      <c r="AN356" s="343"/>
      <c r="AO356" s="538"/>
      <c r="AP356" s="343"/>
      <c r="AQ356" s="343"/>
      <c r="AS356" s="343"/>
      <c r="AT356" s="538"/>
      <c r="AU356" s="343"/>
      <c r="AV356" s="343"/>
      <c r="AW356" s="538"/>
      <c r="AX356" s="343"/>
      <c r="AY356" s="343"/>
      <c r="AZ356" s="538"/>
      <c r="BA356" s="343"/>
      <c r="BB356" s="343"/>
      <c r="BC356" s="538"/>
      <c r="BD356" s="343"/>
      <c r="BE356" s="343"/>
      <c r="BG356" s="644"/>
      <c r="BH356" s="515"/>
      <c r="BI356" s="515"/>
      <c r="BJ356" s="644"/>
      <c r="BK356" s="515"/>
      <c r="BL356" s="515"/>
      <c r="BM356" s="644"/>
      <c r="BN356" s="515"/>
      <c r="BO356" s="515"/>
      <c r="BP356" s="644"/>
      <c r="BQ356" s="515"/>
      <c r="BR356" s="515"/>
    </row>
    <row r="357" spans="4:70" x14ac:dyDescent="0.25">
      <c r="D357" s="538"/>
      <c r="G357" s="538"/>
      <c r="J357" s="538"/>
      <c r="M357" s="538"/>
      <c r="R357" s="538"/>
      <c r="S357" s="343"/>
      <c r="T357" s="343"/>
      <c r="U357" s="538"/>
      <c r="V357" s="343"/>
      <c r="W357" s="343"/>
      <c r="X357" s="538"/>
      <c r="Y357" s="343"/>
      <c r="Z357" s="343"/>
      <c r="AA357" s="538"/>
      <c r="AB357" s="343"/>
      <c r="AC357" s="343"/>
      <c r="AE357" s="343"/>
      <c r="AF357" s="538"/>
      <c r="AG357" s="343"/>
      <c r="AH357" s="343"/>
      <c r="AI357" s="538"/>
      <c r="AJ357" s="343"/>
      <c r="AK357" s="343"/>
      <c r="AL357" s="538"/>
      <c r="AM357" s="343"/>
      <c r="AN357" s="343"/>
      <c r="AO357" s="538"/>
      <c r="AP357" s="343"/>
      <c r="AQ357" s="343"/>
      <c r="AS357" s="343"/>
      <c r="AT357" s="538"/>
      <c r="AU357" s="343"/>
      <c r="AV357" s="343"/>
      <c r="AW357" s="538"/>
      <c r="AX357" s="343"/>
      <c r="AY357" s="343"/>
      <c r="AZ357" s="538"/>
      <c r="BA357" s="343"/>
      <c r="BB357" s="343"/>
      <c r="BC357" s="538"/>
      <c r="BD357" s="343"/>
      <c r="BE357" s="343"/>
      <c r="BG357" s="644"/>
      <c r="BH357" s="515"/>
      <c r="BI357" s="515"/>
      <c r="BJ357" s="644"/>
      <c r="BK357" s="515"/>
      <c r="BL357" s="515"/>
      <c r="BM357" s="644"/>
      <c r="BN357" s="515"/>
      <c r="BO357" s="515"/>
      <c r="BP357" s="644"/>
      <c r="BQ357" s="515"/>
      <c r="BR357" s="515"/>
    </row>
    <row r="358" spans="4:70" x14ac:dyDescent="0.25">
      <c r="D358" s="538"/>
      <c r="G358" s="538"/>
      <c r="J358" s="538"/>
      <c r="M358" s="538"/>
      <c r="R358" s="538"/>
      <c r="S358" s="343"/>
      <c r="T358" s="343"/>
      <c r="U358" s="538"/>
      <c r="V358" s="343"/>
      <c r="W358" s="343"/>
      <c r="X358" s="538"/>
      <c r="Y358" s="343"/>
      <c r="Z358" s="343"/>
      <c r="AA358" s="538"/>
      <c r="AB358" s="343"/>
      <c r="AC358" s="343"/>
      <c r="AE358" s="343"/>
      <c r="AF358" s="538"/>
      <c r="AG358" s="343"/>
      <c r="AH358" s="343"/>
      <c r="AI358" s="538"/>
      <c r="AJ358" s="343"/>
      <c r="AK358" s="343"/>
      <c r="AL358" s="538"/>
      <c r="AM358" s="343"/>
      <c r="AN358" s="343"/>
      <c r="AO358" s="538"/>
      <c r="AP358" s="343"/>
      <c r="AQ358" s="343"/>
      <c r="AS358" s="343"/>
      <c r="AT358" s="538"/>
      <c r="AU358" s="343"/>
      <c r="AV358" s="343"/>
      <c r="AW358" s="538"/>
      <c r="AX358" s="343"/>
      <c r="AY358" s="343"/>
      <c r="AZ358" s="538"/>
      <c r="BA358" s="343"/>
      <c r="BB358" s="343"/>
      <c r="BC358" s="538"/>
      <c r="BD358" s="343"/>
      <c r="BE358" s="343"/>
      <c r="BG358" s="644"/>
      <c r="BH358" s="515"/>
      <c r="BI358" s="515"/>
      <c r="BJ358" s="644"/>
      <c r="BK358" s="515"/>
      <c r="BL358" s="515"/>
      <c r="BM358" s="644"/>
      <c r="BN358" s="515"/>
      <c r="BO358" s="515"/>
      <c r="BP358" s="644"/>
      <c r="BQ358" s="515"/>
      <c r="BR358" s="515"/>
    </row>
    <row r="359" spans="4:70" x14ac:dyDescent="0.25">
      <c r="D359" s="538"/>
      <c r="G359" s="538"/>
      <c r="J359" s="538"/>
      <c r="M359" s="538"/>
      <c r="R359" s="538"/>
      <c r="S359" s="343"/>
      <c r="T359" s="343"/>
      <c r="U359" s="538"/>
      <c r="V359" s="343"/>
      <c r="W359" s="343"/>
      <c r="X359" s="538"/>
      <c r="Y359" s="343"/>
      <c r="Z359" s="343"/>
      <c r="AA359" s="538"/>
      <c r="AB359" s="343"/>
      <c r="AC359" s="343"/>
      <c r="AE359" s="343"/>
      <c r="AF359" s="538"/>
      <c r="AG359" s="343"/>
      <c r="AH359" s="343"/>
      <c r="AI359" s="538"/>
      <c r="AJ359" s="343"/>
      <c r="AK359" s="343"/>
      <c r="AL359" s="538"/>
      <c r="AM359" s="343"/>
      <c r="AN359" s="343"/>
      <c r="AO359" s="538"/>
      <c r="AP359" s="343"/>
      <c r="AQ359" s="343"/>
      <c r="AS359" s="343"/>
      <c r="AT359" s="538"/>
      <c r="AU359" s="343"/>
      <c r="AV359" s="343"/>
      <c r="AW359" s="538"/>
      <c r="AX359" s="343"/>
      <c r="AY359" s="343"/>
      <c r="AZ359" s="538"/>
      <c r="BA359" s="343"/>
      <c r="BB359" s="343"/>
      <c r="BC359" s="538"/>
      <c r="BD359" s="343"/>
      <c r="BE359" s="343"/>
      <c r="BG359" s="644"/>
      <c r="BH359" s="515"/>
      <c r="BI359" s="515"/>
      <c r="BJ359" s="644"/>
      <c r="BK359" s="515"/>
      <c r="BL359" s="515"/>
      <c r="BM359" s="644"/>
      <c r="BN359" s="515"/>
      <c r="BO359" s="515"/>
      <c r="BP359" s="644"/>
      <c r="BQ359" s="515"/>
      <c r="BR359" s="515"/>
    </row>
    <row r="360" spans="4:70" x14ac:dyDescent="0.25">
      <c r="D360" s="538"/>
      <c r="G360" s="538"/>
      <c r="J360" s="538"/>
      <c r="M360" s="538"/>
      <c r="R360" s="538"/>
      <c r="S360" s="343"/>
      <c r="T360" s="343"/>
      <c r="U360" s="538"/>
      <c r="V360" s="343"/>
      <c r="W360" s="343"/>
      <c r="X360" s="538"/>
      <c r="Y360" s="343"/>
      <c r="Z360" s="343"/>
      <c r="AA360" s="538"/>
      <c r="AB360" s="343"/>
      <c r="AC360" s="343"/>
      <c r="AE360" s="343"/>
      <c r="AF360" s="538"/>
      <c r="AG360" s="343"/>
      <c r="AH360" s="343"/>
      <c r="AI360" s="538"/>
      <c r="AJ360" s="343"/>
      <c r="AK360" s="343"/>
      <c r="AL360" s="538"/>
      <c r="AM360" s="343"/>
      <c r="AN360" s="343"/>
      <c r="AO360" s="538"/>
      <c r="AP360" s="343"/>
      <c r="AQ360" s="343"/>
      <c r="AS360" s="343"/>
      <c r="AT360" s="538"/>
      <c r="AU360" s="343"/>
      <c r="AV360" s="343"/>
      <c r="AW360" s="538"/>
      <c r="AX360" s="343"/>
      <c r="AY360" s="343"/>
      <c r="AZ360" s="538"/>
      <c r="BA360" s="343"/>
      <c r="BB360" s="343"/>
      <c r="BC360" s="538"/>
      <c r="BD360" s="343"/>
      <c r="BE360" s="343"/>
      <c r="BG360" s="644"/>
      <c r="BH360" s="515"/>
      <c r="BI360" s="515"/>
      <c r="BJ360" s="644"/>
      <c r="BK360" s="515"/>
      <c r="BL360" s="515"/>
      <c r="BM360" s="644"/>
      <c r="BN360" s="515"/>
      <c r="BO360" s="515"/>
      <c r="BP360" s="644"/>
      <c r="BQ360" s="515"/>
      <c r="BR360" s="515"/>
    </row>
    <row r="361" spans="4:70" x14ac:dyDescent="0.25">
      <c r="D361" s="538"/>
      <c r="G361" s="538"/>
      <c r="J361" s="538"/>
      <c r="M361" s="538"/>
      <c r="R361" s="538"/>
      <c r="S361" s="343"/>
      <c r="T361" s="343"/>
      <c r="U361" s="538"/>
      <c r="V361" s="343"/>
      <c r="W361" s="343"/>
      <c r="X361" s="538"/>
      <c r="Y361" s="343"/>
      <c r="Z361" s="343"/>
      <c r="AA361" s="538"/>
      <c r="AB361" s="343"/>
      <c r="AC361" s="343"/>
      <c r="AE361" s="343"/>
      <c r="AF361" s="538"/>
      <c r="AG361" s="343"/>
      <c r="AH361" s="343"/>
      <c r="AI361" s="538"/>
      <c r="AJ361" s="343"/>
      <c r="AK361" s="343"/>
      <c r="AL361" s="538"/>
      <c r="AM361" s="343"/>
      <c r="AN361" s="343"/>
      <c r="AO361" s="538"/>
      <c r="AP361" s="343"/>
      <c r="AQ361" s="343"/>
      <c r="AS361" s="343"/>
      <c r="AT361" s="538"/>
      <c r="AU361" s="343"/>
      <c r="AV361" s="343"/>
      <c r="AW361" s="538"/>
      <c r="AX361" s="343"/>
      <c r="AY361" s="343"/>
      <c r="AZ361" s="538"/>
      <c r="BA361" s="343"/>
      <c r="BB361" s="343"/>
      <c r="BC361" s="538"/>
      <c r="BD361" s="343"/>
      <c r="BE361" s="343"/>
      <c r="BG361" s="644"/>
      <c r="BH361" s="515"/>
      <c r="BI361" s="515"/>
      <c r="BJ361" s="644"/>
      <c r="BK361" s="515"/>
      <c r="BL361" s="515"/>
      <c r="BM361" s="644"/>
      <c r="BN361" s="515"/>
      <c r="BO361" s="515"/>
      <c r="BP361" s="644"/>
      <c r="BQ361" s="515"/>
      <c r="BR361" s="515"/>
    </row>
    <row r="362" spans="4:70" x14ac:dyDescent="0.25">
      <c r="D362" s="538"/>
      <c r="G362" s="538"/>
      <c r="J362" s="538"/>
      <c r="M362" s="538"/>
      <c r="R362" s="538"/>
      <c r="S362" s="343"/>
      <c r="T362" s="343"/>
      <c r="U362" s="538"/>
      <c r="V362" s="343"/>
      <c r="W362" s="343"/>
      <c r="X362" s="538"/>
      <c r="Y362" s="343"/>
      <c r="Z362" s="343"/>
      <c r="AA362" s="538"/>
      <c r="AB362" s="343"/>
      <c r="AC362" s="343"/>
      <c r="AE362" s="343"/>
      <c r="AF362" s="538"/>
      <c r="AG362" s="343"/>
      <c r="AH362" s="343"/>
      <c r="AI362" s="538"/>
      <c r="AJ362" s="343"/>
      <c r="AK362" s="343"/>
      <c r="AL362" s="538"/>
      <c r="AM362" s="343"/>
      <c r="AN362" s="343"/>
      <c r="AO362" s="538"/>
      <c r="AP362" s="343"/>
      <c r="AQ362" s="343"/>
      <c r="AS362" s="343"/>
      <c r="AT362" s="538"/>
      <c r="AU362" s="343"/>
      <c r="AV362" s="343"/>
      <c r="AW362" s="538"/>
      <c r="AX362" s="343"/>
      <c r="AY362" s="343"/>
      <c r="AZ362" s="538"/>
      <c r="BA362" s="343"/>
      <c r="BB362" s="343"/>
      <c r="BC362" s="538"/>
      <c r="BD362" s="343"/>
      <c r="BE362" s="343"/>
      <c r="BG362" s="644"/>
      <c r="BH362" s="515"/>
      <c r="BI362" s="515"/>
      <c r="BJ362" s="644"/>
      <c r="BK362" s="515"/>
      <c r="BL362" s="515"/>
      <c r="BM362" s="644"/>
      <c r="BN362" s="515"/>
      <c r="BO362" s="515"/>
      <c r="BP362" s="644"/>
      <c r="BQ362" s="515"/>
      <c r="BR362" s="515"/>
    </row>
    <row r="363" spans="4:70" x14ac:dyDescent="0.25">
      <c r="D363" s="538"/>
      <c r="G363" s="538"/>
      <c r="J363" s="538"/>
      <c r="M363" s="538"/>
      <c r="R363" s="538"/>
      <c r="S363" s="343"/>
      <c r="T363" s="343"/>
      <c r="U363" s="538"/>
      <c r="V363" s="343"/>
      <c r="W363" s="343"/>
      <c r="X363" s="538"/>
      <c r="Y363" s="343"/>
      <c r="Z363" s="343"/>
      <c r="AA363" s="538"/>
      <c r="AB363" s="343"/>
      <c r="AC363" s="343"/>
      <c r="AE363" s="343"/>
      <c r="AF363" s="538"/>
      <c r="AG363" s="343"/>
      <c r="AH363" s="343"/>
      <c r="AI363" s="538"/>
      <c r="AJ363" s="343"/>
      <c r="AK363" s="343"/>
      <c r="AL363" s="538"/>
      <c r="AM363" s="343"/>
      <c r="AN363" s="343"/>
      <c r="AO363" s="538"/>
      <c r="AP363" s="343"/>
      <c r="AQ363" s="343"/>
      <c r="AS363" s="343"/>
      <c r="AT363" s="538"/>
      <c r="AU363" s="343"/>
      <c r="AV363" s="343"/>
      <c r="AW363" s="538"/>
      <c r="AX363" s="343"/>
      <c r="AY363" s="343"/>
      <c r="AZ363" s="538"/>
      <c r="BA363" s="343"/>
      <c r="BB363" s="343"/>
      <c r="BC363" s="538"/>
      <c r="BD363" s="343"/>
      <c r="BE363" s="343"/>
      <c r="BG363" s="644"/>
      <c r="BH363" s="515"/>
      <c r="BI363" s="515"/>
      <c r="BJ363" s="644"/>
      <c r="BK363" s="515"/>
      <c r="BL363" s="515"/>
      <c r="BM363" s="644"/>
      <c r="BN363" s="515"/>
      <c r="BO363" s="515"/>
      <c r="BP363" s="644"/>
      <c r="BQ363" s="515"/>
      <c r="BR363" s="515"/>
    </row>
    <row r="364" spans="4:70" x14ac:dyDescent="0.25">
      <c r="D364" s="538"/>
      <c r="G364" s="538"/>
      <c r="J364" s="538"/>
      <c r="M364" s="538"/>
      <c r="R364" s="538"/>
      <c r="S364" s="343"/>
      <c r="T364" s="343"/>
      <c r="U364" s="538"/>
      <c r="V364" s="343"/>
      <c r="W364" s="343"/>
      <c r="X364" s="538"/>
      <c r="Y364" s="343"/>
      <c r="Z364" s="343"/>
      <c r="AA364" s="538"/>
      <c r="AB364" s="343"/>
      <c r="AC364" s="343"/>
      <c r="AE364" s="343"/>
      <c r="AF364" s="538"/>
      <c r="AG364" s="343"/>
      <c r="AH364" s="343"/>
      <c r="AI364" s="538"/>
      <c r="AJ364" s="343"/>
      <c r="AK364" s="343"/>
      <c r="AL364" s="538"/>
      <c r="AM364" s="343"/>
      <c r="AN364" s="343"/>
      <c r="AO364" s="538"/>
      <c r="AP364" s="343"/>
      <c r="AQ364" s="343"/>
      <c r="AS364" s="343"/>
      <c r="AT364" s="538"/>
      <c r="AU364" s="343"/>
      <c r="AV364" s="343"/>
      <c r="AW364" s="538"/>
      <c r="AX364" s="343"/>
      <c r="AY364" s="343"/>
      <c r="AZ364" s="538"/>
      <c r="BA364" s="343"/>
      <c r="BB364" s="343"/>
      <c r="BC364" s="538"/>
      <c r="BD364" s="343"/>
      <c r="BE364" s="343"/>
      <c r="BG364" s="644"/>
      <c r="BH364" s="515"/>
      <c r="BI364" s="515"/>
      <c r="BJ364" s="644"/>
      <c r="BK364" s="515"/>
      <c r="BL364" s="515"/>
      <c r="BM364" s="644"/>
      <c r="BN364" s="515"/>
      <c r="BO364" s="515"/>
      <c r="BP364" s="644"/>
      <c r="BQ364" s="515"/>
      <c r="BR364" s="515"/>
    </row>
    <row r="365" spans="4:70" x14ac:dyDescent="0.25">
      <c r="D365" s="538"/>
      <c r="G365" s="538"/>
      <c r="J365" s="538"/>
      <c r="M365" s="538"/>
      <c r="R365" s="538"/>
      <c r="S365" s="343"/>
      <c r="T365" s="343"/>
      <c r="U365" s="538"/>
      <c r="V365" s="343"/>
      <c r="W365" s="343"/>
      <c r="X365" s="538"/>
      <c r="Y365" s="343"/>
      <c r="Z365" s="343"/>
      <c r="AA365" s="538"/>
      <c r="AB365" s="343"/>
      <c r="AC365" s="343"/>
      <c r="AE365" s="343"/>
      <c r="AF365" s="538"/>
      <c r="AG365" s="343"/>
      <c r="AH365" s="343"/>
      <c r="AI365" s="538"/>
      <c r="AJ365" s="343"/>
      <c r="AK365" s="343"/>
      <c r="AL365" s="538"/>
      <c r="AM365" s="343"/>
      <c r="AN365" s="343"/>
      <c r="AO365" s="538"/>
      <c r="AP365" s="343"/>
      <c r="AQ365" s="343"/>
      <c r="AS365" s="343"/>
      <c r="AT365" s="538"/>
      <c r="AU365" s="343"/>
      <c r="AV365" s="343"/>
      <c r="AW365" s="538"/>
      <c r="AX365" s="343"/>
      <c r="AY365" s="343"/>
      <c r="AZ365" s="538"/>
      <c r="BA365" s="343"/>
      <c r="BB365" s="343"/>
      <c r="BC365" s="538"/>
      <c r="BD365" s="343"/>
      <c r="BE365" s="343"/>
      <c r="BG365" s="644"/>
      <c r="BH365" s="515"/>
      <c r="BI365" s="515"/>
      <c r="BJ365" s="644"/>
      <c r="BK365" s="515"/>
      <c r="BL365" s="515"/>
      <c r="BM365" s="644"/>
      <c r="BN365" s="515"/>
      <c r="BO365" s="515"/>
      <c r="BP365" s="644"/>
      <c r="BQ365" s="515"/>
      <c r="BR365" s="515"/>
    </row>
    <row r="366" spans="4:70" x14ac:dyDescent="0.25">
      <c r="D366" s="538"/>
      <c r="G366" s="538"/>
      <c r="J366" s="538"/>
      <c r="M366" s="538"/>
      <c r="R366" s="538"/>
      <c r="S366" s="343"/>
      <c r="T366" s="343"/>
      <c r="U366" s="538"/>
      <c r="V366" s="343"/>
      <c r="W366" s="343"/>
      <c r="X366" s="538"/>
      <c r="Y366" s="343"/>
      <c r="Z366" s="343"/>
      <c r="AA366" s="538"/>
      <c r="AB366" s="343"/>
      <c r="AC366" s="343"/>
      <c r="AE366" s="343"/>
      <c r="AF366" s="538"/>
      <c r="AG366" s="343"/>
      <c r="AH366" s="343"/>
      <c r="AI366" s="538"/>
      <c r="AJ366" s="343"/>
      <c r="AK366" s="343"/>
      <c r="AL366" s="538"/>
      <c r="AM366" s="343"/>
      <c r="AN366" s="343"/>
      <c r="AO366" s="538"/>
      <c r="AP366" s="343"/>
      <c r="AQ366" s="343"/>
      <c r="AS366" s="343"/>
      <c r="AT366" s="538"/>
      <c r="AU366" s="343"/>
      <c r="AV366" s="343"/>
      <c r="AW366" s="538"/>
      <c r="AX366" s="343"/>
      <c r="AY366" s="343"/>
      <c r="AZ366" s="538"/>
      <c r="BA366" s="343"/>
      <c r="BB366" s="343"/>
      <c r="BC366" s="538"/>
      <c r="BD366" s="343"/>
      <c r="BE366" s="343"/>
      <c r="BG366" s="644"/>
      <c r="BH366" s="515"/>
      <c r="BI366" s="515"/>
      <c r="BJ366" s="644"/>
      <c r="BK366" s="515"/>
      <c r="BL366" s="515"/>
      <c r="BM366" s="644"/>
      <c r="BN366" s="515"/>
      <c r="BO366" s="515"/>
      <c r="BP366" s="644"/>
      <c r="BQ366" s="515"/>
      <c r="BR366" s="515"/>
    </row>
    <row r="367" spans="4:70" x14ac:dyDescent="0.25">
      <c r="D367" s="538"/>
      <c r="G367" s="538"/>
      <c r="J367" s="538"/>
      <c r="M367" s="538"/>
      <c r="R367" s="538"/>
      <c r="S367" s="343"/>
      <c r="T367" s="343"/>
      <c r="U367" s="538"/>
      <c r="V367" s="343"/>
      <c r="W367" s="343"/>
      <c r="X367" s="538"/>
      <c r="Y367" s="343"/>
      <c r="Z367" s="343"/>
      <c r="AA367" s="538"/>
      <c r="AB367" s="343"/>
      <c r="AC367" s="343"/>
      <c r="AE367" s="343"/>
      <c r="AF367" s="538"/>
      <c r="AG367" s="343"/>
      <c r="AH367" s="343"/>
      <c r="AI367" s="538"/>
      <c r="AJ367" s="343"/>
      <c r="AK367" s="343"/>
      <c r="AL367" s="538"/>
      <c r="AM367" s="343"/>
      <c r="AN367" s="343"/>
      <c r="AO367" s="538"/>
      <c r="AP367" s="343"/>
      <c r="AQ367" s="343"/>
      <c r="AS367" s="343"/>
      <c r="AT367" s="538"/>
      <c r="AU367" s="343"/>
      <c r="AV367" s="343"/>
      <c r="AW367" s="538"/>
      <c r="AX367" s="343"/>
      <c r="AY367" s="343"/>
      <c r="AZ367" s="538"/>
      <c r="BA367" s="343"/>
      <c r="BB367" s="343"/>
      <c r="BC367" s="538"/>
      <c r="BD367" s="343"/>
      <c r="BE367" s="343"/>
      <c r="BG367" s="644"/>
      <c r="BH367" s="515"/>
      <c r="BI367" s="515"/>
      <c r="BJ367" s="644"/>
      <c r="BK367" s="515"/>
      <c r="BL367" s="515"/>
      <c r="BM367" s="644"/>
      <c r="BN367" s="515"/>
      <c r="BO367" s="515"/>
      <c r="BP367" s="644"/>
      <c r="BQ367" s="515"/>
      <c r="BR367" s="515"/>
    </row>
    <row r="368" spans="4:70" x14ac:dyDescent="0.25">
      <c r="D368" s="538"/>
      <c r="G368" s="538"/>
      <c r="J368" s="538"/>
      <c r="M368" s="538"/>
      <c r="R368" s="538"/>
      <c r="S368" s="343"/>
      <c r="T368" s="343"/>
      <c r="U368" s="538"/>
      <c r="V368" s="343"/>
      <c r="W368" s="343"/>
      <c r="X368" s="538"/>
      <c r="Y368" s="343"/>
      <c r="Z368" s="343"/>
      <c r="AA368" s="538"/>
      <c r="AB368" s="343"/>
      <c r="AC368" s="343"/>
      <c r="AE368" s="343"/>
      <c r="AF368" s="538"/>
      <c r="AG368" s="343"/>
      <c r="AH368" s="343"/>
      <c r="AI368" s="538"/>
      <c r="AJ368" s="343"/>
      <c r="AK368" s="343"/>
      <c r="AL368" s="538"/>
      <c r="AM368" s="343"/>
      <c r="AN368" s="343"/>
      <c r="AO368" s="538"/>
      <c r="AP368" s="343"/>
      <c r="AQ368" s="343"/>
      <c r="AS368" s="343"/>
      <c r="AT368" s="538"/>
      <c r="AU368" s="343"/>
      <c r="AV368" s="343"/>
      <c r="AW368" s="538"/>
      <c r="AX368" s="343"/>
      <c r="AY368" s="343"/>
      <c r="AZ368" s="538"/>
      <c r="BA368" s="343"/>
      <c r="BB368" s="343"/>
      <c r="BC368" s="538"/>
      <c r="BD368" s="343"/>
      <c r="BE368" s="343"/>
      <c r="BG368" s="644"/>
      <c r="BH368" s="515"/>
      <c r="BI368" s="515"/>
      <c r="BJ368" s="644"/>
      <c r="BK368" s="515"/>
      <c r="BL368" s="515"/>
      <c r="BM368" s="644"/>
      <c r="BN368" s="515"/>
      <c r="BO368" s="515"/>
      <c r="BP368" s="644"/>
      <c r="BQ368" s="515"/>
      <c r="BR368" s="515"/>
    </row>
    <row r="369" spans="4:70" x14ac:dyDescent="0.25">
      <c r="D369" s="538"/>
      <c r="G369" s="538"/>
      <c r="J369" s="538"/>
      <c r="M369" s="538"/>
      <c r="R369" s="538"/>
      <c r="S369" s="343"/>
      <c r="T369" s="343"/>
      <c r="U369" s="538"/>
      <c r="V369" s="343"/>
      <c r="W369" s="343"/>
      <c r="X369" s="538"/>
      <c r="Y369" s="343"/>
      <c r="Z369" s="343"/>
      <c r="AA369" s="538"/>
      <c r="AB369" s="343"/>
      <c r="AC369" s="343"/>
      <c r="AE369" s="343"/>
      <c r="AF369" s="538"/>
      <c r="AG369" s="343"/>
      <c r="AH369" s="343"/>
      <c r="AI369" s="538"/>
      <c r="AJ369" s="343"/>
      <c r="AK369" s="343"/>
      <c r="AL369" s="538"/>
      <c r="AM369" s="343"/>
      <c r="AN369" s="343"/>
      <c r="AO369" s="538"/>
      <c r="AP369" s="343"/>
      <c r="AQ369" s="343"/>
      <c r="AS369" s="343"/>
      <c r="AT369" s="538"/>
      <c r="AU369" s="343"/>
      <c r="AV369" s="343"/>
      <c r="AW369" s="538"/>
      <c r="AX369" s="343"/>
      <c r="AY369" s="343"/>
      <c r="AZ369" s="538"/>
      <c r="BA369" s="343"/>
      <c r="BB369" s="343"/>
      <c r="BC369" s="538"/>
      <c r="BD369" s="343"/>
      <c r="BE369" s="343"/>
      <c r="BG369" s="644"/>
      <c r="BH369" s="515"/>
      <c r="BI369" s="515"/>
      <c r="BJ369" s="644"/>
      <c r="BK369" s="515"/>
      <c r="BL369" s="515"/>
      <c r="BM369" s="644"/>
      <c r="BN369" s="515"/>
      <c r="BO369" s="515"/>
      <c r="BP369" s="644"/>
      <c r="BQ369" s="515"/>
      <c r="BR369" s="515"/>
    </row>
    <row r="370" spans="4:70" x14ac:dyDescent="0.25">
      <c r="D370" s="538"/>
      <c r="G370" s="538"/>
      <c r="J370" s="538"/>
      <c r="M370" s="538"/>
      <c r="R370" s="538"/>
      <c r="S370" s="343"/>
      <c r="T370" s="343"/>
      <c r="U370" s="538"/>
      <c r="V370" s="343"/>
      <c r="W370" s="343"/>
      <c r="X370" s="538"/>
      <c r="Y370" s="343"/>
      <c r="Z370" s="343"/>
      <c r="AA370" s="538"/>
      <c r="AB370" s="343"/>
      <c r="AC370" s="343"/>
      <c r="AE370" s="343"/>
      <c r="AF370" s="538"/>
      <c r="AG370" s="343"/>
      <c r="AH370" s="343"/>
      <c r="AI370" s="538"/>
      <c r="AJ370" s="343"/>
      <c r="AK370" s="343"/>
      <c r="AL370" s="538"/>
      <c r="AM370" s="343"/>
      <c r="AN370" s="343"/>
      <c r="AO370" s="538"/>
      <c r="AP370" s="343"/>
      <c r="AQ370" s="343"/>
      <c r="AS370" s="343"/>
      <c r="AT370" s="538"/>
      <c r="AU370" s="343"/>
      <c r="AV370" s="343"/>
      <c r="AW370" s="538"/>
      <c r="AX370" s="343"/>
      <c r="AY370" s="343"/>
      <c r="AZ370" s="538"/>
      <c r="BA370" s="343"/>
      <c r="BB370" s="343"/>
      <c r="BC370" s="538"/>
      <c r="BD370" s="343"/>
      <c r="BE370" s="343"/>
      <c r="BG370" s="644"/>
      <c r="BH370" s="515"/>
      <c r="BI370" s="515"/>
      <c r="BJ370" s="644"/>
      <c r="BK370" s="515"/>
      <c r="BL370" s="515"/>
      <c r="BM370" s="644"/>
      <c r="BN370" s="515"/>
      <c r="BO370" s="515"/>
      <c r="BP370" s="644"/>
      <c r="BQ370" s="515"/>
      <c r="BR370" s="515"/>
    </row>
    <row r="371" spans="4:70" x14ac:dyDescent="0.25">
      <c r="D371" s="538"/>
      <c r="G371" s="538"/>
      <c r="J371" s="538"/>
      <c r="M371" s="538"/>
      <c r="R371" s="538"/>
      <c r="S371" s="343"/>
      <c r="T371" s="343"/>
      <c r="U371" s="538"/>
      <c r="V371" s="343"/>
      <c r="W371" s="343"/>
      <c r="X371" s="538"/>
      <c r="Y371" s="343"/>
      <c r="Z371" s="343"/>
      <c r="AA371" s="538"/>
      <c r="AB371" s="343"/>
      <c r="AC371" s="343"/>
      <c r="AE371" s="343"/>
      <c r="AF371" s="538"/>
      <c r="AG371" s="343"/>
      <c r="AH371" s="343"/>
      <c r="AI371" s="538"/>
      <c r="AJ371" s="343"/>
      <c r="AK371" s="343"/>
      <c r="AL371" s="538"/>
      <c r="AM371" s="343"/>
      <c r="AN371" s="343"/>
      <c r="AO371" s="538"/>
      <c r="AP371" s="343"/>
      <c r="AQ371" s="343"/>
      <c r="AS371" s="343"/>
      <c r="AT371" s="538"/>
      <c r="AU371" s="343"/>
      <c r="AV371" s="343"/>
      <c r="AW371" s="538"/>
      <c r="AX371" s="343"/>
      <c r="AY371" s="343"/>
      <c r="AZ371" s="538"/>
      <c r="BA371" s="343"/>
      <c r="BB371" s="343"/>
      <c r="BC371" s="538"/>
      <c r="BD371" s="343"/>
      <c r="BE371" s="343"/>
      <c r="BG371" s="644"/>
      <c r="BH371" s="515"/>
      <c r="BI371" s="515"/>
      <c r="BJ371" s="644"/>
      <c r="BK371" s="515"/>
      <c r="BL371" s="515"/>
      <c r="BM371" s="644"/>
      <c r="BN371" s="515"/>
      <c r="BO371" s="515"/>
      <c r="BP371" s="644"/>
      <c r="BQ371" s="515"/>
      <c r="BR371" s="515"/>
    </row>
    <row r="372" spans="4:70" x14ac:dyDescent="0.25">
      <c r="D372" s="538"/>
      <c r="G372" s="538"/>
      <c r="J372" s="538"/>
      <c r="M372" s="538"/>
      <c r="R372" s="538"/>
      <c r="S372" s="343"/>
      <c r="T372" s="343"/>
      <c r="U372" s="538"/>
      <c r="V372" s="343"/>
      <c r="W372" s="343"/>
      <c r="X372" s="538"/>
      <c r="Y372" s="343"/>
      <c r="Z372" s="343"/>
      <c r="AA372" s="538"/>
      <c r="AB372" s="343"/>
      <c r="AC372" s="343"/>
      <c r="AE372" s="343"/>
      <c r="AF372" s="538"/>
      <c r="AG372" s="343"/>
      <c r="AH372" s="343"/>
      <c r="AI372" s="538"/>
      <c r="AJ372" s="343"/>
      <c r="AK372" s="343"/>
      <c r="AL372" s="538"/>
      <c r="AM372" s="343"/>
      <c r="AN372" s="343"/>
      <c r="AO372" s="538"/>
      <c r="AP372" s="343"/>
      <c r="AQ372" s="343"/>
      <c r="AS372" s="343"/>
      <c r="AT372" s="538"/>
      <c r="AU372" s="343"/>
      <c r="AV372" s="343"/>
      <c r="AW372" s="538"/>
      <c r="AX372" s="343"/>
      <c r="AY372" s="343"/>
      <c r="AZ372" s="538"/>
      <c r="BA372" s="343"/>
      <c r="BB372" s="343"/>
      <c r="BC372" s="538"/>
      <c r="BD372" s="343"/>
      <c r="BE372" s="343"/>
      <c r="BG372" s="644"/>
      <c r="BH372" s="515"/>
      <c r="BI372" s="515"/>
      <c r="BJ372" s="644"/>
      <c r="BK372" s="515"/>
      <c r="BL372" s="515"/>
      <c r="BM372" s="644"/>
      <c r="BN372" s="515"/>
      <c r="BO372" s="515"/>
      <c r="BP372" s="644"/>
      <c r="BQ372" s="515"/>
      <c r="BR372" s="515"/>
    </row>
    <row r="373" spans="4:70" x14ac:dyDescent="0.25">
      <c r="D373" s="538"/>
      <c r="G373" s="538"/>
      <c r="J373" s="538"/>
      <c r="M373" s="538"/>
      <c r="R373" s="538"/>
      <c r="S373" s="343"/>
      <c r="T373" s="343"/>
      <c r="U373" s="538"/>
      <c r="V373" s="343"/>
      <c r="W373" s="343"/>
      <c r="X373" s="538"/>
      <c r="Y373" s="343"/>
      <c r="Z373" s="343"/>
      <c r="AA373" s="538"/>
      <c r="AB373" s="343"/>
      <c r="AC373" s="343"/>
      <c r="AE373" s="343"/>
      <c r="AF373" s="538"/>
      <c r="AG373" s="343"/>
      <c r="AH373" s="343"/>
      <c r="AI373" s="538"/>
      <c r="AJ373" s="343"/>
      <c r="AK373" s="343"/>
      <c r="AL373" s="538"/>
      <c r="AM373" s="343"/>
      <c r="AN373" s="343"/>
      <c r="AO373" s="538"/>
      <c r="AP373" s="343"/>
      <c r="AQ373" s="343"/>
      <c r="AS373" s="343"/>
      <c r="AT373" s="538"/>
      <c r="AU373" s="343"/>
      <c r="AV373" s="343"/>
      <c r="AW373" s="538"/>
      <c r="AX373" s="343"/>
      <c r="AY373" s="343"/>
      <c r="AZ373" s="538"/>
      <c r="BA373" s="343"/>
      <c r="BB373" s="343"/>
      <c r="BC373" s="538"/>
      <c r="BD373" s="343"/>
      <c r="BE373" s="343"/>
      <c r="BG373" s="644"/>
      <c r="BH373" s="515"/>
      <c r="BI373" s="515"/>
      <c r="BJ373" s="644"/>
      <c r="BK373" s="515"/>
      <c r="BL373" s="515"/>
      <c r="BM373" s="644"/>
      <c r="BN373" s="515"/>
      <c r="BO373" s="515"/>
      <c r="BP373" s="644"/>
      <c r="BQ373" s="515"/>
      <c r="BR373" s="515"/>
    </row>
    <row r="374" spans="4:70" x14ac:dyDescent="0.25">
      <c r="D374" s="538"/>
      <c r="G374" s="538"/>
      <c r="J374" s="538"/>
      <c r="M374" s="538"/>
      <c r="R374" s="538"/>
      <c r="S374" s="343"/>
      <c r="T374" s="343"/>
      <c r="U374" s="538"/>
      <c r="V374" s="343"/>
      <c r="W374" s="343"/>
      <c r="X374" s="538"/>
      <c r="Y374" s="343"/>
      <c r="Z374" s="343"/>
      <c r="AA374" s="538"/>
      <c r="AB374" s="343"/>
      <c r="AC374" s="343"/>
      <c r="AE374" s="343"/>
      <c r="AF374" s="538"/>
      <c r="AG374" s="343"/>
      <c r="AH374" s="343"/>
      <c r="AI374" s="538"/>
      <c r="AJ374" s="343"/>
      <c r="AK374" s="343"/>
      <c r="AL374" s="538"/>
      <c r="AM374" s="343"/>
      <c r="AN374" s="343"/>
      <c r="AO374" s="538"/>
      <c r="AP374" s="343"/>
      <c r="AQ374" s="343"/>
      <c r="AS374" s="343"/>
      <c r="AT374" s="538"/>
      <c r="AU374" s="343"/>
      <c r="AV374" s="343"/>
      <c r="AW374" s="538"/>
      <c r="AX374" s="343"/>
      <c r="AY374" s="343"/>
      <c r="AZ374" s="538"/>
      <c r="BA374" s="343"/>
      <c r="BB374" s="343"/>
      <c r="BC374" s="538"/>
      <c r="BD374" s="343"/>
      <c r="BE374" s="343"/>
      <c r="BG374" s="644"/>
      <c r="BH374" s="515"/>
      <c r="BI374" s="515"/>
      <c r="BJ374" s="644"/>
      <c r="BK374" s="515"/>
      <c r="BL374" s="515"/>
      <c r="BM374" s="644"/>
      <c r="BN374" s="515"/>
      <c r="BO374" s="515"/>
      <c r="BP374" s="644"/>
      <c r="BQ374" s="515"/>
      <c r="BR374" s="515"/>
    </row>
    <row r="375" spans="4:70" x14ac:dyDescent="0.25">
      <c r="D375" s="538"/>
      <c r="G375" s="538"/>
      <c r="J375" s="538"/>
      <c r="M375" s="538"/>
      <c r="R375" s="538"/>
      <c r="S375" s="343"/>
      <c r="T375" s="343"/>
      <c r="U375" s="538"/>
      <c r="V375" s="343"/>
      <c r="W375" s="343"/>
      <c r="X375" s="538"/>
      <c r="Y375" s="343"/>
      <c r="Z375" s="343"/>
      <c r="AA375" s="538"/>
      <c r="AB375" s="343"/>
      <c r="AC375" s="343"/>
      <c r="AE375" s="343"/>
      <c r="AF375" s="538"/>
      <c r="AG375" s="343"/>
      <c r="AH375" s="343"/>
      <c r="AI375" s="538"/>
      <c r="AJ375" s="343"/>
      <c r="AK375" s="343"/>
      <c r="AL375" s="538"/>
      <c r="AM375" s="343"/>
      <c r="AN375" s="343"/>
      <c r="AO375" s="538"/>
      <c r="AP375" s="343"/>
      <c r="AQ375" s="343"/>
      <c r="AS375" s="343"/>
      <c r="AT375" s="538"/>
      <c r="AU375" s="343"/>
      <c r="AV375" s="343"/>
      <c r="AW375" s="538"/>
      <c r="AX375" s="343"/>
      <c r="AY375" s="343"/>
      <c r="AZ375" s="538"/>
      <c r="BA375" s="343"/>
      <c r="BB375" s="343"/>
      <c r="BC375" s="538"/>
      <c r="BD375" s="343"/>
      <c r="BE375" s="343"/>
      <c r="BG375" s="644"/>
      <c r="BH375" s="515"/>
      <c r="BI375" s="515"/>
      <c r="BJ375" s="644"/>
      <c r="BK375" s="515"/>
      <c r="BL375" s="515"/>
      <c r="BM375" s="644"/>
      <c r="BN375" s="515"/>
      <c r="BO375" s="515"/>
      <c r="BP375" s="644"/>
      <c r="BQ375" s="515"/>
      <c r="BR375" s="515"/>
    </row>
    <row r="376" spans="4:70" x14ac:dyDescent="0.25">
      <c r="D376" s="538"/>
      <c r="G376" s="538"/>
      <c r="J376" s="538"/>
      <c r="M376" s="538"/>
      <c r="R376" s="538"/>
      <c r="S376" s="343"/>
      <c r="T376" s="343"/>
      <c r="U376" s="538"/>
      <c r="V376" s="343"/>
      <c r="W376" s="343"/>
      <c r="X376" s="538"/>
      <c r="Y376" s="343"/>
      <c r="Z376" s="343"/>
      <c r="AA376" s="538"/>
      <c r="AB376" s="343"/>
      <c r="AC376" s="343"/>
      <c r="AE376" s="343"/>
      <c r="AF376" s="538"/>
      <c r="AG376" s="343"/>
      <c r="AH376" s="343"/>
      <c r="AI376" s="538"/>
      <c r="AJ376" s="343"/>
      <c r="AK376" s="343"/>
      <c r="AL376" s="538"/>
      <c r="AM376" s="343"/>
      <c r="AN376" s="343"/>
      <c r="AO376" s="538"/>
      <c r="AP376" s="343"/>
      <c r="AQ376" s="343"/>
      <c r="AS376" s="343"/>
      <c r="AT376" s="538"/>
      <c r="AU376" s="343"/>
      <c r="AV376" s="343"/>
      <c r="AW376" s="538"/>
      <c r="AX376" s="343"/>
      <c r="AY376" s="343"/>
      <c r="AZ376" s="538"/>
      <c r="BA376" s="343"/>
      <c r="BB376" s="343"/>
      <c r="BC376" s="538"/>
      <c r="BD376" s="343"/>
      <c r="BE376" s="343"/>
      <c r="BG376" s="644"/>
      <c r="BH376" s="515"/>
      <c r="BI376" s="515"/>
      <c r="BJ376" s="644"/>
      <c r="BK376" s="515"/>
      <c r="BL376" s="515"/>
      <c r="BM376" s="644"/>
      <c r="BN376" s="515"/>
      <c r="BO376" s="515"/>
      <c r="BP376" s="644"/>
      <c r="BQ376" s="515"/>
      <c r="BR376" s="515"/>
    </row>
    <row r="377" spans="4:70" x14ac:dyDescent="0.25">
      <c r="D377" s="538"/>
      <c r="G377" s="538"/>
      <c r="J377" s="538"/>
      <c r="M377" s="538"/>
      <c r="R377" s="538"/>
      <c r="S377" s="343"/>
      <c r="T377" s="343"/>
      <c r="U377" s="538"/>
      <c r="V377" s="343"/>
      <c r="W377" s="343"/>
      <c r="X377" s="538"/>
      <c r="Y377" s="343"/>
      <c r="Z377" s="343"/>
      <c r="AA377" s="538"/>
      <c r="AB377" s="343"/>
      <c r="AC377" s="343"/>
      <c r="AE377" s="343"/>
      <c r="AF377" s="538"/>
      <c r="AG377" s="343"/>
      <c r="AH377" s="343"/>
      <c r="AI377" s="538"/>
      <c r="AJ377" s="343"/>
      <c r="AK377" s="343"/>
      <c r="AL377" s="538"/>
      <c r="AM377" s="343"/>
      <c r="AN377" s="343"/>
      <c r="AO377" s="538"/>
      <c r="AP377" s="343"/>
      <c r="AQ377" s="343"/>
      <c r="AS377" s="343"/>
      <c r="AT377" s="538"/>
      <c r="AU377" s="343"/>
      <c r="AV377" s="343"/>
      <c r="AW377" s="538"/>
      <c r="AX377" s="343"/>
      <c r="AY377" s="343"/>
      <c r="AZ377" s="538"/>
      <c r="BA377" s="343"/>
      <c r="BB377" s="343"/>
      <c r="BC377" s="538"/>
      <c r="BD377" s="343"/>
      <c r="BE377" s="343"/>
      <c r="BG377" s="644"/>
      <c r="BH377" s="515"/>
      <c r="BI377" s="515"/>
      <c r="BJ377" s="644"/>
      <c r="BK377" s="515"/>
      <c r="BL377" s="515"/>
      <c r="BM377" s="644"/>
      <c r="BN377" s="515"/>
      <c r="BO377" s="515"/>
      <c r="BP377" s="644"/>
      <c r="BQ377" s="515"/>
      <c r="BR377" s="515"/>
    </row>
    <row r="378" spans="4:70" x14ac:dyDescent="0.25">
      <c r="D378" s="538"/>
      <c r="G378" s="538"/>
      <c r="J378" s="538"/>
      <c r="M378" s="538"/>
      <c r="R378" s="538"/>
      <c r="S378" s="343"/>
      <c r="T378" s="343"/>
      <c r="U378" s="538"/>
      <c r="V378" s="343"/>
      <c r="W378" s="343"/>
      <c r="X378" s="538"/>
      <c r="Y378" s="343"/>
      <c r="Z378" s="343"/>
      <c r="AA378" s="538"/>
      <c r="AB378" s="343"/>
      <c r="AC378" s="343"/>
      <c r="AE378" s="343"/>
      <c r="AF378" s="538"/>
      <c r="AG378" s="343"/>
      <c r="AH378" s="343"/>
      <c r="AI378" s="538"/>
      <c r="AJ378" s="343"/>
      <c r="AK378" s="343"/>
      <c r="AL378" s="538"/>
      <c r="AM378" s="343"/>
      <c r="AN378" s="343"/>
      <c r="AO378" s="538"/>
      <c r="AP378" s="343"/>
      <c r="AQ378" s="343"/>
      <c r="AS378" s="343"/>
      <c r="AT378" s="538"/>
      <c r="AU378" s="343"/>
      <c r="AV378" s="343"/>
      <c r="AW378" s="538"/>
      <c r="AX378" s="343"/>
      <c r="AY378" s="343"/>
      <c r="AZ378" s="538"/>
      <c r="BA378" s="343"/>
      <c r="BB378" s="343"/>
      <c r="BC378" s="538"/>
      <c r="BD378" s="343"/>
      <c r="BE378" s="343"/>
      <c r="BG378" s="644"/>
      <c r="BH378" s="515"/>
      <c r="BI378" s="515"/>
      <c r="BJ378" s="644"/>
      <c r="BK378" s="515"/>
      <c r="BL378" s="515"/>
      <c r="BM378" s="644"/>
      <c r="BN378" s="515"/>
      <c r="BO378" s="515"/>
      <c r="BP378" s="644"/>
      <c r="BQ378" s="515"/>
      <c r="BR378" s="515"/>
    </row>
    <row r="379" spans="4:70" x14ac:dyDescent="0.25">
      <c r="D379" s="538"/>
      <c r="G379" s="538"/>
      <c r="J379" s="538"/>
      <c r="M379" s="538"/>
      <c r="R379" s="538"/>
      <c r="S379" s="343"/>
      <c r="T379" s="343"/>
      <c r="U379" s="538"/>
      <c r="V379" s="343"/>
      <c r="W379" s="343"/>
      <c r="X379" s="538"/>
      <c r="Y379" s="343"/>
      <c r="Z379" s="343"/>
      <c r="AA379" s="538"/>
      <c r="AB379" s="343"/>
      <c r="AC379" s="343"/>
      <c r="AE379" s="343"/>
      <c r="AF379" s="538"/>
      <c r="AG379" s="343"/>
      <c r="AH379" s="343"/>
      <c r="AI379" s="538"/>
      <c r="AJ379" s="343"/>
      <c r="AK379" s="343"/>
      <c r="AL379" s="538"/>
      <c r="AM379" s="343"/>
      <c r="AN379" s="343"/>
      <c r="AO379" s="538"/>
      <c r="AP379" s="343"/>
      <c r="AQ379" s="343"/>
      <c r="AS379" s="343"/>
      <c r="AT379" s="538"/>
      <c r="AU379" s="343"/>
      <c r="AV379" s="343"/>
      <c r="AW379" s="538"/>
      <c r="AX379" s="343"/>
      <c r="AY379" s="343"/>
      <c r="AZ379" s="538"/>
      <c r="BA379" s="343"/>
      <c r="BB379" s="343"/>
      <c r="BC379" s="538"/>
      <c r="BD379" s="343"/>
      <c r="BE379" s="343"/>
      <c r="BG379" s="644"/>
      <c r="BH379" s="515"/>
      <c r="BI379" s="515"/>
      <c r="BJ379" s="644"/>
      <c r="BK379" s="515"/>
      <c r="BL379" s="515"/>
      <c r="BM379" s="644"/>
      <c r="BN379" s="515"/>
      <c r="BO379" s="515"/>
      <c r="BP379" s="644"/>
      <c r="BQ379" s="515"/>
      <c r="BR379" s="515"/>
    </row>
    <row r="380" spans="4:70" x14ac:dyDescent="0.25">
      <c r="D380" s="538"/>
      <c r="G380" s="538"/>
      <c r="J380" s="538"/>
      <c r="M380" s="538"/>
      <c r="R380" s="538"/>
      <c r="S380" s="343"/>
      <c r="T380" s="343"/>
      <c r="U380" s="538"/>
      <c r="V380" s="343"/>
      <c r="W380" s="343"/>
      <c r="X380" s="538"/>
      <c r="Y380" s="343"/>
      <c r="Z380" s="343"/>
      <c r="AA380" s="538"/>
      <c r="AB380" s="343"/>
      <c r="AC380" s="343"/>
      <c r="AE380" s="343"/>
      <c r="AF380" s="538"/>
      <c r="AG380" s="343"/>
      <c r="AH380" s="343"/>
      <c r="AI380" s="538"/>
      <c r="AJ380" s="343"/>
      <c r="AK380" s="343"/>
      <c r="AL380" s="538"/>
      <c r="AM380" s="343"/>
      <c r="AN380" s="343"/>
      <c r="AO380" s="538"/>
      <c r="AP380" s="343"/>
      <c r="AQ380" s="343"/>
      <c r="AS380" s="343"/>
      <c r="AT380" s="538"/>
      <c r="AU380" s="343"/>
      <c r="AV380" s="343"/>
      <c r="AW380" s="538"/>
      <c r="AX380" s="343"/>
      <c r="AY380" s="343"/>
      <c r="AZ380" s="538"/>
      <c r="BA380" s="343"/>
      <c r="BB380" s="343"/>
      <c r="BC380" s="538"/>
      <c r="BD380" s="343"/>
      <c r="BE380" s="343"/>
      <c r="BG380" s="644"/>
      <c r="BH380" s="515"/>
      <c r="BI380" s="515"/>
      <c r="BJ380" s="644"/>
      <c r="BK380" s="515"/>
      <c r="BL380" s="515"/>
      <c r="BM380" s="644"/>
      <c r="BN380" s="515"/>
      <c r="BO380" s="515"/>
      <c r="BP380" s="644"/>
      <c r="BQ380" s="515"/>
      <c r="BR380" s="515"/>
    </row>
    <row r="381" spans="4:70" x14ac:dyDescent="0.25">
      <c r="D381" s="538"/>
      <c r="G381" s="538"/>
      <c r="J381" s="538"/>
      <c r="M381" s="538"/>
      <c r="R381" s="538"/>
      <c r="S381" s="343"/>
      <c r="T381" s="343"/>
      <c r="U381" s="538"/>
      <c r="V381" s="343"/>
      <c r="W381" s="343"/>
      <c r="X381" s="538"/>
      <c r="Y381" s="343"/>
      <c r="Z381" s="343"/>
      <c r="AA381" s="538"/>
      <c r="AB381" s="343"/>
      <c r="AC381" s="343"/>
      <c r="AE381" s="343"/>
      <c r="AF381" s="538"/>
      <c r="AG381" s="343"/>
      <c r="AH381" s="343"/>
      <c r="AI381" s="538"/>
      <c r="AJ381" s="343"/>
      <c r="AK381" s="343"/>
      <c r="AL381" s="538"/>
      <c r="AM381" s="343"/>
      <c r="AN381" s="343"/>
      <c r="AO381" s="538"/>
      <c r="AP381" s="343"/>
      <c r="AQ381" s="343"/>
      <c r="AS381" s="343"/>
      <c r="AT381" s="538"/>
      <c r="AU381" s="343"/>
      <c r="AV381" s="343"/>
      <c r="AW381" s="538"/>
      <c r="AX381" s="343"/>
      <c r="AY381" s="343"/>
      <c r="AZ381" s="538"/>
      <c r="BA381" s="343"/>
      <c r="BB381" s="343"/>
      <c r="BC381" s="538"/>
      <c r="BD381" s="343"/>
      <c r="BE381" s="343"/>
      <c r="BG381" s="644"/>
      <c r="BH381" s="515"/>
      <c r="BI381" s="515"/>
      <c r="BJ381" s="644"/>
      <c r="BK381" s="515"/>
      <c r="BL381" s="515"/>
      <c r="BM381" s="644"/>
      <c r="BN381" s="515"/>
      <c r="BO381" s="515"/>
      <c r="BP381" s="644"/>
      <c r="BQ381" s="515"/>
      <c r="BR381" s="515"/>
    </row>
    <row r="382" spans="4:70" x14ac:dyDescent="0.25">
      <c r="D382" s="538"/>
      <c r="G382" s="538"/>
      <c r="J382" s="538"/>
      <c r="M382" s="538"/>
      <c r="R382" s="538"/>
      <c r="S382" s="343"/>
      <c r="T382" s="343"/>
      <c r="U382" s="538"/>
      <c r="V382" s="343"/>
      <c r="W382" s="343"/>
      <c r="X382" s="538"/>
      <c r="Y382" s="343"/>
      <c r="Z382" s="343"/>
      <c r="AA382" s="538"/>
      <c r="AB382" s="343"/>
      <c r="AC382" s="343"/>
      <c r="AE382" s="343"/>
      <c r="AF382" s="538"/>
      <c r="AG382" s="343"/>
      <c r="AH382" s="343"/>
      <c r="AI382" s="538"/>
      <c r="AJ382" s="343"/>
      <c r="AK382" s="343"/>
      <c r="AL382" s="538"/>
      <c r="AM382" s="343"/>
      <c r="AN382" s="343"/>
      <c r="AO382" s="538"/>
      <c r="AP382" s="343"/>
      <c r="AQ382" s="343"/>
      <c r="AS382" s="343"/>
      <c r="AT382" s="538"/>
      <c r="AU382" s="343"/>
      <c r="AV382" s="343"/>
      <c r="AW382" s="538"/>
      <c r="AX382" s="343"/>
      <c r="AY382" s="343"/>
      <c r="AZ382" s="538"/>
      <c r="BA382" s="343"/>
      <c r="BB382" s="343"/>
      <c r="BC382" s="538"/>
      <c r="BD382" s="343"/>
      <c r="BE382" s="343"/>
      <c r="BG382" s="644"/>
      <c r="BH382" s="515"/>
      <c r="BI382" s="515"/>
      <c r="BJ382" s="644"/>
      <c r="BK382" s="515"/>
      <c r="BL382" s="515"/>
      <c r="BM382" s="644"/>
      <c r="BN382" s="515"/>
      <c r="BO382" s="515"/>
      <c r="BP382" s="644"/>
      <c r="BQ382" s="515"/>
      <c r="BR382" s="515"/>
    </row>
    <row r="383" spans="4:70" x14ac:dyDescent="0.25">
      <c r="D383" s="538"/>
      <c r="G383" s="538"/>
      <c r="J383" s="538"/>
      <c r="M383" s="538"/>
      <c r="R383" s="538"/>
      <c r="S383" s="343"/>
      <c r="T383" s="343"/>
      <c r="U383" s="538"/>
      <c r="V383" s="343"/>
      <c r="W383" s="343"/>
      <c r="X383" s="538"/>
      <c r="Y383" s="343"/>
      <c r="Z383" s="343"/>
      <c r="AA383" s="538"/>
      <c r="AB383" s="343"/>
      <c r="AC383" s="343"/>
      <c r="AE383" s="343"/>
      <c r="AF383" s="538"/>
      <c r="AG383" s="343"/>
      <c r="AH383" s="343"/>
      <c r="AI383" s="538"/>
      <c r="AJ383" s="343"/>
      <c r="AK383" s="343"/>
      <c r="AL383" s="538"/>
      <c r="AM383" s="343"/>
      <c r="AN383" s="343"/>
      <c r="AO383" s="538"/>
      <c r="AP383" s="343"/>
      <c r="AQ383" s="343"/>
      <c r="AS383" s="343"/>
      <c r="AT383" s="538"/>
      <c r="AU383" s="343"/>
      <c r="AV383" s="343"/>
      <c r="AW383" s="538"/>
      <c r="AX383" s="343"/>
      <c r="AY383" s="343"/>
      <c r="AZ383" s="538"/>
      <c r="BA383" s="343"/>
      <c r="BB383" s="343"/>
      <c r="BC383" s="538"/>
      <c r="BD383" s="343"/>
      <c r="BE383" s="343"/>
      <c r="BG383" s="644"/>
      <c r="BH383" s="515"/>
      <c r="BI383" s="515"/>
      <c r="BJ383" s="644"/>
      <c r="BK383" s="515"/>
      <c r="BL383" s="515"/>
      <c r="BM383" s="644"/>
      <c r="BN383" s="515"/>
      <c r="BO383" s="515"/>
      <c r="BP383" s="644"/>
      <c r="BQ383" s="515"/>
      <c r="BR383" s="515"/>
    </row>
    <row r="384" spans="4:70" x14ac:dyDescent="0.25">
      <c r="D384" s="538"/>
      <c r="G384" s="538"/>
      <c r="J384" s="538"/>
      <c r="M384" s="538"/>
      <c r="R384" s="538"/>
      <c r="S384" s="343"/>
      <c r="T384" s="343"/>
      <c r="U384" s="538"/>
      <c r="V384" s="343"/>
      <c r="W384" s="343"/>
      <c r="X384" s="538"/>
      <c r="Y384" s="343"/>
      <c r="Z384" s="343"/>
      <c r="AA384" s="538"/>
      <c r="AB384" s="343"/>
      <c r="AC384" s="343"/>
      <c r="AE384" s="343"/>
      <c r="AF384" s="538"/>
      <c r="AG384" s="343"/>
      <c r="AH384" s="343"/>
      <c r="AI384" s="538"/>
      <c r="AJ384" s="343"/>
      <c r="AK384" s="343"/>
      <c r="AL384" s="538"/>
      <c r="AM384" s="343"/>
      <c r="AN384" s="343"/>
      <c r="AO384" s="538"/>
      <c r="AP384" s="343"/>
      <c r="AQ384" s="343"/>
      <c r="AS384" s="343"/>
      <c r="AT384" s="538"/>
      <c r="AU384" s="343"/>
      <c r="AV384" s="343"/>
      <c r="AW384" s="538"/>
      <c r="AX384" s="343"/>
      <c r="AY384" s="343"/>
      <c r="AZ384" s="538"/>
      <c r="BA384" s="343"/>
      <c r="BB384" s="343"/>
      <c r="BC384" s="538"/>
      <c r="BD384" s="343"/>
      <c r="BE384" s="343"/>
      <c r="BG384" s="644"/>
      <c r="BH384" s="515"/>
      <c r="BI384" s="515"/>
      <c r="BJ384" s="644"/>
      <c r="BK384" s="515"/>
      <c r="BL384" s="515"/>
      <c r="BM384" s="644"/>
      <c r="BN384" s="515"/>
      <c r="BO384" s="515"/>
      <c r="BP384" s="644"/>
      <c r="BQ384" s="515"/>
      <c r="BR384" s="515"/>
    </row>
    <row r="385" spans="4:70" x14ac:dyDescent="0.25">
      <c r="D385" s="538"/>
      <c r="G385" s="538"/>
      <c r="J385" s="538"/>
      <c r="M385" s="538"/>
      <c r="R385" s="538"/>
      <c r="S385" s="343"/>
      <c r="T385" s="343"/>
      <c r="U385" s="538"/>
      <c r="V385" s="343"/>
      <c r="W385" s="343"/>
      <c r="X385" s="538"/>
      <c r="Y385" s="343"/>
      <c r="Z385" s="343"/>
      <c r="AA385" s="538"/>
      <c r="AB385" s="343"/>
      <c r="AC385" s="343"/>
      <c r="AE385" s="343"/>
      <c r="AF385" s="538"/>
      <c r="AG385" s="343"/>
      <c r="AH385" s="343"/>
      <c r="AI385" s="538"/>
      <c r="AJ385" s="343"/>
      <c r="AK385" s="343"/>
      <c r="AL385" s="538"/>
      <c r="AM385" s="343"/>
      <c r="AN385" s="343"/>
      <c r="AO385" s="538"/>
      <c r="AP385" s="343"/>
      <c r="AQ385" s="343"/>
      <c r="AS385" s="343"/>
      <c r="AT385" s="538"/>
      <c r="AU385" s="343"/>
      <c r="AV385" s="343"/>
      <c r="AW385" s="538"/>
      <c r="AX385" s="343"/>
      <c r="AY385" s="343"/>
      <c r="AZ385" s="538"/>
      <c r="BA385" s="343"/>
      <c r="BB385" s="343"/>
      <c r="BC385" s="538"/>
      <c r="BD385" s="343"/>
      <c r="BE385" s="343"/>
      <c r="BG385" s="644"/>
      <c r="BH385" s="515"/>
      <c r="BI385" s="515"/>
      <c r="BJ385" s="644"/>
      <c r="BK385" s="515"/>
      <c r="BL385" s="515"/>
      <c r="BM385" s="644"/>
      <c r="BN385" s="515"/>
      <c r="BO385" s="515"/>
      <c r="BP385" s="644"/>
      <c r="BQ385" s="515"/>
      <c r="BR385" s="515"/>
    </row>
    <row r="386" spans="4:70" x14ac:dyDescent="0.25">
      <c r="D386" s="538"/>
      <c r="G386" s="538"/>
      <c r="J386" s="538"/>
      <c r="M386" s="538"/>
      <c r="R386" s="538"/>
      <c r="S386" s="343"/>
      <c r="T386" s="343"/>
      <c r="U386" s="538"/>
      <c r="V386" s="343"/>
      <c r="W386" s="343"/>
      <c r="X386" s="538"/>
      <c r="Y386" s="343"/>
      <c r="Z386" s="343"/>
      <c r="AA386" s="538"/>
      <c r="AB386" s="343"/>
      <c r="AC386" s="343"/>
      <c r="AE386" s="343"/>
      <c r="AF386" s="538"/>
      <c r="AG386" s="343"/>
      <c r="AH386" s="343"/>
      <c r="AI386" s="538"/>
      <c r="AJ386" s="343"/>
      <c r="AK386" s="343"/>
      <c r="AL386" s="538"/>
      <c r="AM386" s="343"/>
      <c r="AN386" s="343"/>
      <c r="AO386" s="538"/>
      <c r="AP386" s="343"/>
      <c r="AQ386" s="343"/>
      <c r="AS386" s="343"/>
      <c r="AT386" s="538"/>
      <c r="AU386" s="343"/>
      <c r="AV386" s="343"/>
      <c r="AW386" s="538"/>
      <c r="AX386" s="343"/>
      <c r="AY386" s="343"/>
      <c r="AZ386" s="538"/>
      <c r="BA386" s="343"/>
      <c r="BB386" s="343"/>
      <c r="BC386" s="538"/>
      <c r="BD386" s="343"/>
      <c r="BE386" s="343"/>
      <c r="BG386" s="644"/>
      <c r="BH386" s="515"/>
      <c r="BI386" s="515"/>
      <c r="BJ386" s="644"/>
      <c r="BK386" s="515"/>
      <c r="BL386" s="515"/>
      <c r="BM386" s="644"/>
      <c r="BN386" s="515"/>
      <c r="BO386" s="515"/>
      <c r="BP386" s="644"/>
      <c r="BQ386" s="515"/>
      <c r="BR386" s="515"/>
    </row>
    <row r="387" spans="4:70" x14ac:dyDescent="0.25">
      <c r="D387" s="538"/>
      <c r="G387" s="538"/>
      <c r="J387" s="538"/>
      <c r="M387" s="538"/>
      <c r="R387" s="538"/>
      <c r="S387" s="343"/>
      <c r="T387" s="343"/>
      <c r="U387" s="538"/>
      <c r="V387" s="343"/>
      <c r="W387" s="343"/>
      <c r="X387" s="538"/>
      <c r="Y387" s="343"/>
      <c r="Z387" s="343"/>
      <c r="AA387" s="538"/>
      <c r="AB387" s="343"/>
      <c r="AC387" s="343"/>
      <c r="AE387" s="343"/>
      <c r="AF387" s="538"/>
      <c r="AG387" s="343"/>
      <c r="AH387" s="343"/>
      <c r="AI387" s="538"/>
      <c r="AJ387" s="343"/>
      <c r="AK387" s="343"/>
      <c r="AL387" s="538"/>
      <c r="AM387" s="343"/>
      <c r="AN387" s="343"/>
      <c r="AO387" s="538"/>
      <c r="AP387" s="343"/>
      <c r="AQ387" s="343"/>
      <c r="AS387" s="343"/>
      <c r="AT387" s="538"/>
      <c r="AU387" s="343"/>
      <c r="AV387" s="343"/>
      <c r="AW387" s="538"/>
      <c r="AX387" s="343"/>
      <c r="AY387" s="343"/>
      <c r="AZ387" s="538"/>
      <c r="BA387" s="343"/>
      <c r="BB387" s="343"/>
      <c r="BC387" s="538"/>
      <c r="BD387" s="343"/>
      <c r="BE387" s="343"/>
      <c r="BG387" s="644"/>
      <c r="BH387" s="515"/>
      <c r="BI387" s="515"/>
      <c r="BJ387" s="644"/>
      <c r="BK387" s="515"/>
      <c r="BL387" s="515"/>
      <c r="BM387" s="644"/>
      <c r="BN387" s="515"/>
      <c r="BO387" s="515"/>
      <c r="BP387" s="644"/>
      <c r="BQ387" s="515"/>
      <c r="BR387" s="515"/>
    </row>
    <row r="388" spans="4:70" x14ac:dyDescent="0.25">
      <c r="D388" s="538"/>
      <c r="G388" s="538"/>
      <c r="J388" s="538"/>
      <c r="M388" s="538"/>
      <c r="R388" s="538"/>
      <c r="S388" s="343"/>
      <c r="T388" s="343"/>
      <c r="U388" s="538"/>
      <c r="V388" s="343"/>
      <c r="W388" s="343"/>
      <c r="X388" s="538"/>
      <c r="Y388" s="343"/>
      <c r="Z388" s="343"/>
      <c r="AA388" s="538"/>
      <c r="AB388" s="343"/>
      <c r="AC388" s="343"/>
      <c r="AE388" s="343"/>
      <c r="AF388" s="538"/>
      <c r="AG388" s="343"/>
      <c r="AH388" s="343"/>
      <c r="AI388" s="538"/>
      <c r="AJ388" s="343"/>
      <c r="AK388" s="343"/>
      <c r="AL388" s="538"/>
      <c r="AM388" s="343"/>
      <c r="AN388" s="343"/>
      <c r="AO388" s="538"/>
      <c r="AP388" s="343"/>
      <c r="AQ388" s="343"/>
      <c r="AS388" s="343"/>
      <c r="AT388" s="538"/>
      <c r="AU388" s="343"/>
      <c r="AV388" s="343"/>
      <c r="AW388" s="538"/>
      <c r="AX388" s="343"/>
      <c r="AY388" s="343"/>
      <c r="AZ388" s="538"/>
      <c r="BA388" s="343"/>
      <c r="BB388" s="343"/>
      <c r="BC388" s="538"/>
      <c r="BD388" s="343"/>
      <c r="BE388" s="343"/>
      <c r="BG388" s="644"/>
      <c r="BH388" s="515"/>
      <c r="BI388" s="515"/>
      <c r="BJ388" s="644"/>
      <c r="BK388" s="515"/>
      <c r="BL388" s="515"/>
      <c r="BM388" s="644"/>
      <c r="BN388" s="515"/>
      <c r="BO388" s="515"/>
      <c r="BP388" s="644"/>
      <c r="BQ388" s="515"/>
      <c r="BR388" s="515"/>
    </row>
    <row r="389" spans="4:70" x14ac:dyDescent="0.25">
      <c r="D389" s="538"/>
      <c r="G389" s="538"/>
      <c r="J389" s="538"/>
      <c r="M389" s="538"/>
      <c r="R389" s="538"/>
      <c r="S389" s="343"/>
      <c r="T389" s="343"/>
      <c r="U389" s="538"/>
      <c r="V389" s="343"/>
      <c r="W389" s="343"/>
      <c r="X389" s="538"/>
      <c r="Y389" s="343"/>
      <c r="Z389" s="343"/>
      <c r="AA389" s="538"/>
      <c r="AB389" s="343"/>
      <c r="AC389" s="343"/>
      <c r="AE389" s="343"/>
      <c r="AF389" s="538"/>
      <c r="AG389" s="343"/>
      <c r="AH389" s="343"/>
      <c r="AI389" s="538"/>
      <c r="AJ389" s="343"/>
      <c r="AK389" s="343"/>
      <c r="AL389" s="538"/>
      <c r="AM389" s="343"/>
      <c r="AN389" s="343"/>
      <c r="AO389" s="538"/>
      <c r="AP389" s="343"/>
      <c r="AQ389" s="343"/>
      <c r="AS389" s="343"/>
      <c r="AT389" s="538"/>
      <c r="AU389" s="343"/>
      <c r="AV389" s="343"/>
      <c r="AW389" s="538"/>
      <c r="AX389" s="343"/>
      <c r="AY389" s="343"/>
      <c r="AZ389" s="538"/>
      <c r="BA389" s="343"/>
      <c r="BB389" s="343"/>
      <c r="BC389" s="538"/>
      <c r="BD389" s="343"/>
      <c r="BE389" s="343"/>
      <c r="BG389" s="644"/>
      <c r="BH389" s="515"/>
      <c r="BI389" s="515"/>
      <c r="BJ389" s="644"/>
      <c r="BK389" s="515"/>
      <c r="BL389" s="515"/>
      <c r="BM389" s="644"/>
      <c r="BN389" s="515"/>
      <c r="BO389" s="515"/>
      <c r="BP389" s="644"/>
      <c r="BQ389" s="515"/>
      <c r="BR389" s="515"/>
    </row>
    <row r="390" spans="4:70" x14ac:dyDescent="0.25">
      <c r="D390" s="538"/>
      <c r="G390" s="538"/>
      <c r="J390" s="538"/>
      <c r="M390" s="538"/>
      <c r="R390" s="538"/>
      <c r="S390" s="343"/>
      <c r="T390" s="343"/>
      <c r="U390" s="538"/>
      <c r="V390" s="343"/>
      <c r="W390" s="343"/>
      <c r="X390" s="538"/>
      <c r="Y390" s="343"/>
      <c r="Z390" s="343"/>
      <c r="AA390" s="538"/>
      <c r="AB390" s="343"/>
      <c r="AC390" s="343"/>
      <c r="AE390" s="343"/>
      <c r="AF390" s="538"/>
      <c r="AG390" s="343"/>
      <c r="AH390" s="343"/>
      <c r="AI390" s="538"/>
      <c r="AJ390" s="343"/>
      <c r="AK390" s="343"/>
      <c r="AL390" s="538"/>
      <c r="AM390" s="343"/>
      <c r="AN390" s="343"/>
      <c r="AO390" s="538"/>
      <c r="AP390" s="343"/>
      <c r="AQ390" s="343"/>
      <c r="AS390" s="343"/>
      <c r="AT390" s="538"/>
      <c r="AU390" s="343"/>
      <c r="AV390" s="343"/>
      <c r="AW390" s="538"/>
      <c r="AX390" s="343"/>
      <c r="AY390" s="343"/>
      <c r="AZ390" s="538"/>
      <c r="BA390" s="343"/>
      <c r="BB390" s="343"/>
      <c r="BC390" s="538"/>
      <c r="BD390" s="343"/>
      <c r="BE390" s="343"/>
      <c r="BG390" s="644"/>
      <c r="BH390" s="515"/>
      <c r="BI390" s="515"/>
      <c r="BJ390" s="644"/>
      <c r="BK390" s="515"/>
      <c r="BL390" s="515"/>
      <c r="BM390" s="644"/>
      <c r="BN390" s="515"/>
      <c r="BO390" s="515"/>
      <c r="BP390" s="644"/>
      <c r="BQ390" s="515"/>
      <c r="BR390" s="515"/>
    </row>
    <row r="391" spans="4:70" x14ac:dyDescent="0.25">
      <c r="D391" s="538"/>
      <c r="G391" s="538"/>
      <c r="J391" s="538"/>
      <c r="M391" s="538"/>
      <c r="R391" s="538"/>
      <c r="S391" s="343"/>
      <c r="T391" s="343"/>
      <c r="U391" s="538"/>
      <c r="V391" s="343"/>
      <c r="W391" s="343"/>
      <c r="X391" s="538"/>
      <c r="Y391" s="343"/>
      <c r="Z391" s="343"/>
      <c r="AA391" s="538"/>
      <c r="AB391" s="343"/>
      <c r="AC391" s="343"/>
      <c r="AE391" s="343"/>
      <c r="AF391" s="538"/>
      <c r="AG391" s="343"/>
      <c r="AH391" s="343"/>
      <c r="AI391" s="538"/>
      <c r="AJ391" s="343"/>
      <c r="AK391" s="343"/>
      <c r="AL391" s="538"/>
      <c r="AM391" s="343"/>
      <c r="AN391" s="343"/>
      <c r="AO391" s="538"/>
      <c r="AP391" s="343"/>
      <c r="AQ391" s="343"/>
      <c r="AS391" s="343"/>
      <c r="AT391" s="538"/>
      <c r="AU391" s="343"/>
      <c r="AV391" s="343"/>
      <c r="AW391" s="538"/>
      <c r="AX391" s="343"/>
      <c r="AY391" s="343"/>
      <c r="AZ391" s="538"/>
      <c r="BA391" s="343"/>
      <c r="BB391" s="343"/>
      <c r="BC391" s="538"/>
      <c r="BD391" s="343"/>
      <c r="BE391" s="343"/>
      <c r="BG391" s="644"/>
      <c r="BH391" s="515"/>
      <c r="BI391" s="515"/>
      <c r="BJ391" s="644"/>
      <c r="BK391" s="515"/>
      <c r="BL391" s="515"/>
      <c r="BM391" s="644"/>
      <c r="BN391" s="515"/>
      <c r="BO391" s="515"/>
      <c r="BP391" s="644"/>
      <c r="BQ391" s="515"/>
      <c r="BR391" s="515"/>
    </row>
    <row r="392" spans="4:70" x14ac:dyDescent="0.25">
      <c r="D392" s="538"/>
      <c r="G392" s="538"/>
      <c r="J392" s="538"/>
      <c r="M392" s="538"/>
      <c r="R392" s="538"/>
      <c r="S392" s="343"/>
      <c r="T392" s="343"/>
      <c r="U392" s="538"/>
      <c r="V392" s="343"/>
      <c r="W392" s="343"/>
      <c r="X392" s="538"/>
      <c r="Y392" s="343"/>
      <c r="Z392" s="343"/>
      <c r="AA392" s="538"/>
      <c r="AB392" s="343"/>
      <c r="AC392" s="343"/>
      <c r="AE392" s="343"/>
      <c r="AF392" s="538"/>
      <c r="AG392" s="343"/>
      <c r="AH392" s="343"/>
      <c r="AI392" s="538"/>
      <c r="AJ392" s="343"/>
      <c r="AK392" s="343"/>
      <c r="AL392" s="538"/>
      <c r="AM392" s="343"/>
      <c r="AN392" s="343"/>
      <c r="AO392" s="538"/>
      <c r="AP392" s="343"/>
      <c r="AQ392" s="343"/>
      <c r="AS392" s="343"/>
      <c r="AT392" s="538"/>
      <c r="AU392" s="343"/>
      <c r="AV392" s="343"/>
      <c r="AW392" s="538"/>
      <c r="AX392" s="343"/>
      <c r="AY392" s="343"/>
      <c r="AZ392" s="538"/>
      <c r="BA392" s="343"/>
      <c r="BB392" s="343"/>
      <c r="BC392" s="538"/>
      <c r="BD392" s="343"/>
      <c r="BE392" s="343"/>
      <c r="BG392" s="644"/>
      <c r="BH392" s="515"/>
      <c r="BI392" s="515"/>
      <c r="BJ392" s="644"/>
      <c r="BK392" s="515"/>
      <c r="BL392" s="515"/>
      <c r="BM392" s="644"/>
      <c r="BN392" s="515"/>
      <c r="BO392" s="515"/>
      <c r="BP392" s="644"/>
      <c r="BQ392" s="515"/>
      <c r="BR392" s="515"/>
    </row>
    <row r="393" spans="4:70" x14ac:dyDescent="0.25">
      <c r="D393" s="538"/>
      <c r="G393" s="538"/>
      <c r="J393" s="538"/>
      <c r="M393" s="538"/>
      <c r="R393" s="538"/>
      <c r="S393" s="343"/>
      <c r="T393" s="343"/>
      <c r="U393" s="538"/>
      <c r="V393" s="343"/>
      <c r="W393" s="343"/>
      <c r="X393" s="538"/>
      <c r="Y393" s="343"/>
      <c r="Z393" s="343"/>
      <c r="AA393" s="538"/>
      <c r="AB393" s="343"/>
      <c r="AC393" s="343"/>
      <c r="AE393" s="343"/>
      <c r="AF393" s="538"/>
      <c r="AG393" s="343"/>
      <c r="AH393" s="343"/>
      <c r="AI393" s="538"/>
      <c r="AJ393" s="343"/>
      <c r="AK393" s="343"/>
      <c r="AL393" s="538"/>
      <c r="AM393" s="343"/>
      <c r="AN393" s="343"/>
      <c r="AO393" s="538"/>
      <c r="AP393" s="343"/>
      <c r="AQ393" s="343"/>
      <c r="AS393" s="343"/>
      <c r="AT393" s="538"/>
      <c r="AU393" s="343"/>
      <c r="AV393" s="343"/>
      <c r="AW393" s="538"/>
      <c r="AX393" s="343"/>
      <c r="AY393" s="343"/>
      <c r="AZ393" s="538"/>
      <c r="BA393" s="343"/>
      <c r="BB393" s="343"/>
      <c r="BC393" s="538"/>
      <c r="BD393" s="343"/>
      <c r="BE393" s="343"/>
      <c r="BG393" s="644"/>
      <c r="BH393" s="515"/>
      <c r="BI393" s="515"/>
      <c r="BJ393" s="644"/>
      <c r="BK393" s="515"/>
      <c r="BL393" s="515"/>
      <c r="BM393" s="644"/>
      <c r="BN393" s="515"/>
      <c r="BO393" s="515"/>
      <c r="BP393" s="644"/>
      <c r="BQ393" s="515"/>
      <c r="BR393" s="515"/>
    </row>
    <row r="394" spans="4:70" x14ac:dyDescent="0.25">
      <c r="D394" s="538"/>
      <c r="G394" s="538"/>
      <c r="J394" s="538"/>
      <c r="M394" s="538"/>
      <c r="R394" s="538"/>
      <c r="S394" s="343"/>
      <c r="T394" s="343"/>
      <c r="U394" s="538"/>
      <c r="V394" s="343"/>
      <c r="W394" s="343"/>
      <c r="X394" s="538"/>
      <c r="Y394" s="343"/>
      <c r="Z394" s="343"/>
      <c r="AA394" s="538"/>
      <c r="AB394" s="343"/>
      <c r="AC394" s="343"/>
      <c r="AE394" s="343"/>
      <c r="AF394" s="538"/>
      <c r="AG394" s="343"/>
      <c r="AH394" s="343"/>
      <c r="AI394" s="538"/>
      <c r="AJ394" s="343"/>
      <c r="AK394" s="343"/>
      <c r="AL394" s="538"/>
      <c r="AM394" s="343"/>
      <c r="AN394" s="343"/>
      <c r="AO394" s="538"/>
      <c r="AP394" s="343"/>
      <c r="AQ394" s="343"/>
      <c r="AS394" s="343"/>
      <c r="AT394" s="538"/>
      <c r="AU394" s="343"/>
      <c r="AV394" s="343"/>
      <c r="AW394" s="538"/>
      <c r="AX394" s="343"/>
      <c r="AY394" s="343"/>
      <c r="AZ394" s="538"/>
      <c r="BA394" s="343"/>
      <c r="BB394" s="343"/>
      <c r="BC394" s="538"/>
      <c r="BD394" s="343"/>
      <c r="BE394" s="343"/>
      <c r="BG394" s="644"/>
      <c r="BH394" s="515"/>
      <c r="BI394" s="515"/>
      <c r="BJ394" s="644"/>
      <c r="BK394" s="515"/>
      <c r="BL394" s="515"/>
      <c r="BM394" s="644"/>
      <c r="BN394" s="515"/>
      <c r="BO394" s="515"/>
      <c r="BP394" s="644"/>
      <c r="BQ394" s="515"/>
      <c r="BR394" s="515"/>
    </row>
    <row r="395" spans="4:70" x14ac:dyDescent="0.25">
      <c r="D395" s="538"/>
      <c r="G395" s="538"/>
      <c r="J395" s="538"/>
      <c r="M395" s="538"/>
      <c r="R395" s="538"/>
      <c r="S395" s="343"/>
      <c r="T395" s="343"/>
      <c r="U395" s="538"/>
      <c r="V395" s="343"/>
      <c r="W395" s="343"/>
      <c r="X395" s="538"/>
      <c r="Y395" s="343"/>
      <c r="Z395" s="343"/>
      <c r="AA395" s="538"/>
      <c r="AB395" s="343"/>
      <c r="AC395" s="343"/>
      <c r="AE395" s="343"/>
      <c r="AF395" s="538"/>
      <c r="AG395" s="343"/>
      <c r="AH395" s="343"/>
      <c r="AI395" s="538"/>
      <c r="AJ395" s="343"/>
      <c r="AK395" s="343"/>
      <c r="AL395" s="538"/>
      <c r="AM395" s="343"/>
      <c r="AN395" s="343"/>
      <c r="AO395" s="538"/>
      <c r="AP395" s="343"/>
      <c r="AQ395" s="343"/>
      <c r="AS395" s="343"/>
      <c r="AT395" s="538"/>
      <c r="AU395" s="343"/>
      <c r="AV395" s="343"/>
      <c r="AW395" s="538"/>
      <c r="AX395" s="343"/>
      <c r="AY395" s="343"/>
      <c r="AZ395" s="538"/>
      <c r="BA395" s="343"/>
      <c r="BB395" s="343"/>
      <c r="BC395" s="538"/>
      <c r="BD395" s="343"/>
      <c r="BE395" s="343"/>
      <c r="BG395" s="644"/>
      <c r="BH395" s="515"/>
      <c r="BI395" s="515"/>
      <c r="BJ395" s="644"/>
      <c r="BK395" s="515"/>
      <c r="BL395" s="515"/>
      <c r="BM395" s="644"/>
      <c r="BN395" s="515"/>
      <c r="BO395" s="515"/>
      <c r="BP395" s="644"/>
      <c r="BQ395" s="515"/>
      <c r="BR395" s="515"/>
    </row>
    <row r="396" spans="4:70" x14ac:dyDescent="0.25">
      <c r="D396" s="538"/>
      <c r="G396" s="538"/>
      <c r="J396" s="538"/>
      <c r="M396" s="538"/>
      <c r="R396" s="538"/>
      <c r="S396" s="343"/>
      <c r="T396" s="343"/>
      <c r="U396" s="538"/>
      <c r="V396" s="343"/>
      <c r="W396" s="343"/>
      <c r="X396" s="538"/>
      <c r="Y396" s="343"/>
      <c r="Z396" s="343"/>
      <c r="AA396" s="538"/>
      <c r="AB396" s="343"/>
      <c r="AC396" s="343"/>
      <c r="AE396" s="343"/>
      <c r="AF396" s="538"/>
      <c r="AG396" s="343"/>
      <c r="AH396" s="343"/>
      <c r="AI396" s="538"/>
      <c r="AJ396" s="343"/>
      <c r="AK396" s="343"/>
      <c r="AL396" s="538"/>
      <c r="AM396" s="343"/>
      <c r="AN396" s="343"/>
      <c r="AO396" s="538"/>
      <c r="AP396" s="343"/>
      <c r="AQ396" s="343"/>
      <c r="AS396" s="343"/>
      <c r="AT396" s="538"/>
      <c r="AU396" s="343"/>
      <c r="AV396" s="343"/>
      <c r="AW396" s="538"/>
      <c r="AX396" s="343"/>
      <c r="AY396" s="343"/>
      <c r="AZ396" s="538"/>
      <c r="BA396" s="343"/>
      <c r="BB396" s="343"/>
      <c r="BC396" s="538"/>
      <c r="BD396" s="343"/>
      <c r="BE396" s="343"/>
      <c r="BG396" s="644"/>
      <c r="BH396" s="515"/>
      <c r="BI396" s="515"/>
      <c r="BJ396" s="644"/>
      <c r="BK396" s="515"/>
      <c r="BL396" s="515"/>
      <c r="BM396" s="644"/>
      <c r="BN396" s="515"/>
      <c r="BO396" s="515"/>
      <c r="BP396" s="644"/>
      <c r="BQ396" s="515"/>
      <c r="BR396" s="515"/>
    </row>
    <row r="397" spans="4:70" x14ac:dyDescent="0.25">
      <c r="D397" s="538"/>
      <c r="G397" s="538"/>
      <c r="J397" s="538"/>
      <c r="M397" s="538"/>
      <c r="R397" s="538"/>
      <c r="S397" s="343"/>
      <c r="T397" s="343"/>
      <c r="U397" s="538"/>
      <c r="V397" s="343"/>
      <c r="W397" s="343"/>
      <c r="X397" s="538"/>
      <c r="Y397" s="343"/>
      <c r="Z397" s="343"/>
      <c r="AA397" s="538"/>
      <c r="AB397" s="343"/>
      <c r="AC397" s="343"/>
      <c r="AE397" s="343"/>
      <c r="AF397" s="538"/>
      <c r="AG397" s="343"/>
      <c r="AH397" s="343"/>
      <c r="AI397" s="538"/>
      <c r="AJ397" s="343"/>
      <c r="AK397" s="343"/>
      <c r="AL397" s="538"/>
      <c r="AM397" s="343"/>
      <c r="AN397" s="343"/>
      <c r="AO397" s="538"/>
      <c r="AP397" s="343"/>
      <c r="AQ397" s="343"/>
      <c r="AS397" s="343"/>
      <c r="AT397" s="538"/>
      <c r="AU397" s="343"/>
      <c r="AV397" s="343"/>
      <c r="AW397" s="538"/>
      <c r="AX397" s="343"/>
      <c r="AY397" s="343"/>
      <c r="AZ397" s="538"/>
      <c r="BA397" s="343"/>
      <c r="BB397" s="343"/>
      <c r="BC397" s="538"/>
      <c r="BD397" s="343"/>
      <c r="BE397" s="343"/>
      <c r="BG397" s="644"/>
      <c r="BH397" s="515"/>
      <c r="BI397" s="515"/>
      <c r="BJ397" s="644"/>
      <c r="BK397" s="515"/>
      <c r="BL397" s="515"/>
      <c r="BM397" s="644"/>
      <c r="BN397" s="515"/>
      <c r="BO397" s="515"/>
      <c r="BP397" s="644"/>
      <c r="BQ397" s="515"/>
      <c r="BR397" s="515"/>
    </row>
    <row r="398" spans="4:70" x14ac:dyDescent="0.25">
      <c r="D398" s="538"/>
      <c r="G398" s="538"/>
      <c r="J398" s="538"/>
      <c r="M398" s="538"/>
      <c r="R398" s="538"/>
      <c r="S398" s="343"/>
      <c r="T398" s="343"/>
      <c r="U398" s="538"/>
      <c r="V398" s="343"/>
      <c r="W398" s="343"/>
      <c r="X398" s="538"/>
      <c r="Y398" s="343"/>
      <c r="Z398" s="343"/>
      <c r="AA398" s="538"/>
      <c r="AB398" s="343"/>
      <c r="AC398" s="343"/>
      <c r="AE398" s="343"/>
      <c r="AF398" s="538"/>
      <c r="AG398" s="343"/>
      <c r="AH398" s="343"/>
      <c r="AI398" s="538"/>
      <c r="AJ398" s="343"/>
      <c r="AK398" s="343"/>
      <c r="AL398" s="538"/>
      <c r="AM398" s="343"/>
      <c r="AN398" s="343"/>
      <c r="AO398" s="538"/>
      <c r="AP398" s="343"/>
      <c r="AQ398" s="343"/>
      <c r="AS398" s="343"/>
      <c r="AT398" s="538"/>
      <c r="AU398" s="343"/>
      <c r="AV398" s="343"/>
      <c r="AW398" s="538"/>
      <c r="AX398" s="343"/>
      <c r="AY398" s="343"/>
      <c r="AZ398" s="538"/>
      <c r="BA398" s="343"/>
      <c r="BB398" s="343"/>
      <c r="BC398" s="538"/>
      <c r="BD398" s="343"/>
      <c r="BE398" s="343"/>
      <c r="BG398" s="644"/>
      <c r="BH398" s="515"/>
      <c r="BI398" s="515"/>
      <c r="BJ398" s="644"/>
      <c r="BK398" s="515"/>
      <c r="BL398" s="515"/>
      <c r="BM398" s="644"/>
      <c r="BN398" s="515"/>
      <c r="BO398" s="515"/>
      <c r="BP398" s="644"/>
      <c r="BQ398" s="515"/>
      <c r="BR398" s="515"/>
    </row>
    <row r="399" spans="4:70" x14ac:dyDescent="0.25">
      <c r="D399" s="538"/>
      <c r="G399" s="538"/>
      <c r="J399" s="538"/>
      <c r="M399" s="538"/>
      <c r="R399" s="538"/>
      <c r="S399" s="343"/>
      <c r="T399" s="343"/>
      <c r="U399" s="538"/>
      <c r="V399" s="343"/>
      <c r="W399" s="343"/>
      <c r="X399" s="538"/>
      <c r="Y399" s="343"/>
      <c r="Z399" s="343"/>
      <c r="AA399" s="538"/>
      <c r="AB399" s="343"/>
      <c r="AC399" s="343"/>
      <c r="AE399" s="343"/>
      <c r="AF399" s="538"/>
      <c r="AG399" s="343"/>
      <c r="AH399" s="343"/>
      <c r="AI399" s="538"/>
      <c r="AJ399" s="343"/>
      <c r="AK399" s="343"/>
      <c r="AL399" s="538"/>
      <c r="AM399" s="343"/>
      <c r="AN399" s="343"/>
      <c r="AO399" s="538"/>
      <c r="AP399" s="343"/>
      <c r="AQ399" s="343"/>
      <c r="AS399" s="343"/>
      <c r="AT399" s="538"/>
      <c r="AU399" s="343"/>
      <c r="AV399" s="343"/>
      <c r="AW399" s="538"/>
      <c r="AX399" s="343"/>
      <c r="AY399" s="343"/>
      <c r="AZ399" s="538"/>
      <c r="BA399" s="343"/>
      <c r="BB399" s="343"/>
      <c r="BC399" s="538"/>
      <c r="BD399" s="343"/>
      <c r="BE399" s="343"/>
      <c r="BG399" s="644"/>
      <c r="BH399" s="515"/>
      <c r="BI399" s="515"/>
      <c r="BJ399" s="644"/>
      <c r="BK399" s="515"/>
      <c r="BL399" s="515"/>
      <c r="BM399" s="644"/>
      <c r="BN399" s="515"/>
      <c r="BO399" s="515"/>
      <c r="BP399" s="644"/>
      <c r="BQ399" s="515"/>
      <c r="BR399" s="515"/>
    </row>
    <row r="400" spans="4:70" x14ac:dyDescent="0.25">
      <c r="D400" s="538"/>
      <c r="G400" s="538"/>
      <c r="J400" s="538"/>
      <c r="M400" s="538"/>
      <c r="R400" s="538"/>
      <c r="S400" s="343"/>
      <c r="T400" s="343"/>
      <c r="U400" s="538"/>
      <c r="V400" s="343"/>
      <c r="W400" s="343"/>
      <c r="X400" s="538"/>
      <c r="Y400" s="343"/>
      <c r="Z400" s="343"/>
      <c r="AA400" s="538"/>
      <c r="AB400" s="343"/>
      <c r="AC400" s="343"/>
      <c r="AE400" s="343"/>
      <c r="AF400" s="538"/>
      <c r="AG400" s="343"/>
      <c r="AH400" s="343"/>
      <c r="AI400" s="538"/>
      <c r="AJ400" s="343"/>
      <c r="AK400" s="343"/>
      <c r="AL400" s="538"/>
      <c r="AM400" s="343"/>
      <c r="AN400" s="343"/>
      <c r="AO400" s="538"/>
      <c r="AP400" s="343"/>
      <c r="AQ400" s="343"/>
      <c r="AS400" s="343"/>
      <c r="AT400" s="538"/>
      <c r="AU400" s="343"/>
      <c r="AV400" s="343"/>
      <c r="AW400" s="538"/>
      <c r="AX400" s="343"/>
      <c r="AY400" s="343"/>
      <c r="AZ400" s="538"/>
      <c r="BA400" s="343"/>
      <c r="BB400" s="343"/>
      <c r="BC400" s="538"/>
      <c r="BD400" s="343"/>
      <c r="BE400" s="343"/>
      <c r="BG400" s="644"/>
      <c r="BH400" s="515"/>
      <c r="BI400" s="515"/>
      <c r="BJ400" s="644"/>
      <c r="BK400" s="515"/>
      <c r="BL400" s="515"/>
      <c r="BM400" s="644"/>
      <c r="BN400" s="515"/>
      <c r="BO400" s="515"/>
      <c r="BP400" s="644"/>
      <c r="BQ400" s="515"/>
      <c r="BR400" s="515"/>
    </row>
    <row r="401" spans="4:70" x14ac:dyDescent="0.25">
      <c r="D401" s="538"/>
      <c r="G401" s="538"/>
      <c r="J401" s="538"/>
      <c r="M401" s="538"/>
      <c r="R401" s="538"/>
      <c r="S401" s="343"/>
      <c r="T401" s="343"/>
      <c r="U401" s="538"/>
      <c r="V401" s="343"/>
      <c r="W401" s="343"/>
      <c r="X401" s="538"/>
      <c r="Y401" s="343"/>
      <c r="Z401" s="343"/>
      <c r="AA401" s="538"/>
      <c r="AB401" s="343"/>
      <c r="AC401" s="343"/>
      <c r="AE401" s="343"/>
      <c r="AF401" s="538"/>
      <c r="AG401" s="343"/>
      <c r="AH401" s="343"/>
      <c r="AI401" s="538"/>
      <c r="AJ401" s="343"/>
      <c r="AK401" s="343"/>
      <c r="AL401" s="538"/>
      <c r="AM401" s="343"/>
      <c r="AN401" s="343"/>
      <c r="AO401" s="538"/>
      <c r="AP401" s="343"/>
      <c r="AQ401" s="343"/>
      <c r="AS401" s="343"/>
      <c r="AT401" s="538"/>
      <c r="AU401" s="343"/>
      <c r="AV401" s="343"/>
      <c r="AW401" s="538"/>
      <c r="AX401" s="343"/>
      <c r="AY401" s="343"/>
      <c r="AZ401" s="538"/>
      <c r="BA401" s="343"/>
      <c r="BB401" s="343"/>
      <c r="BC401" s="538"/>
      <c r="BD401" s="343"/>
      <c r="BE401" s="343"/>
      <c r="BG401" s="644"/>
      <c r="BH401" s="515"/>
      <c r="BI401" s="515"/>
      <c r="BJ401" s="644"/>
      <c r="BK401" s="515"/>
      <c r="BL401" s="515"/>
      <c r="BM401" s="644"/>
      <c r="BN401" s="515"/>
      <c r="BO401" s="515"/>
      <c r="BP401" s="644"/>
      <c r="BQ401" s="515"/>
      <c r="BR401" s="515"/>
    </row>
    <row r="402" spans="4:70" x14ac:dyDescent="0.25">
      <c r="D402" s="538"/>
      <c r="G402" s="538"/>
      <c r="J402" s="538"/>
      <c r="M402" s="538"/>
      <c r="R402" s="538"/>
      <c r="S402" s="343"/>
      <c r="T402" s="343"/>
      <c r="U402" s="538"/>
      <c r="V402" s="343"/>
      <c r="W402" s="343"/>
      <c r="X402" s="538"/>
      <c r="Y402" s="343"/>
      <c r="Z402" s="343"/>
      <c r="AA402" s="538"/>
      <c r="AB402" s="343"/>
      <c r="AC402" s="343"/>
      <c r="AE402" s="343"/>
      <c r="AF402" s="538"/>
      <c r="AG402" s="343"/>
      <c r="AH402" s="343"/>
      <c r="AI402" s="538"/>
      <c r="AJ402" s="343"/>
      <c r="AK402" s="343"/>
      <c r="AL402" s="538"/>
      <c r="AM402" s="343"/>
      <c r="AN402" s="343"/>
      <c r="AO402" s="538"/>
      <c r="AP402" s="343"/>
      <c r="AQ402" s="343"/>
      <c r="AS402" s="343"/>
      <c r="AT402" s="538"/>
      <c r="AU402" s="343"/>
      <c r="AV402" s="343"/>
      <c r="AW402" s="538"/>
      <c r="AX402" s="343"/>
      <c r="AY402" s="343"/>
      <c r="AZ402" s="538"/>
      <c r="BA402" s="343"/>
      <c r="BB402" s="343"/>
      <c r="BC402" s="538"/>
      <c r="BD402" s="343"/>
      <c r="BE402" s="343"/>
      <c r="BG402" s="644"/>
      <c r="BH402" s="515"/>
      <c r="BI402" s="515"/>
      <c r="BJ402" s="644"/>
      <c r="BK402" s="515"/>
      <c r="BL402" s="515"/>
      <c r="BM402" s="644"/>
      <c r="BN402" s="515"/>
      <c r="BO402" s="515"/>
      <c r="BP402" s="644"/>
      <c r="BQ402" s="515"/>
      <c r="BR402" s="515"/>
    </row>
    <row r="403" spans="4:70" x14ac:dyDescent="0.25">
      <c r="D403" s="538"/>
      <c r="G403" s="538"/>
      <c r="J403" s="538"/>
      <c r="M403" s="538"/>
      <c r="R403" s="538"/>
      <c r="S403" s="343"/>
      <c r="T403" s="343"/>
      <c r="U403" s="538"/>
      <c r="V403" s="343"/>
      <c r="W403" s="343"/>
      <c r="X403" s="538"/>
      <c r="Y403" s="343"/>
      <c r="Z403" s="343"/>
      <c r="AA403" s="538"/>
      <c r="AB403" s="343"/>
      <c r="AC403" s="343"/>
      <c r="AE403" s="343"/>
      <c r="AF403" s="538"/>
      <c r="AG403" s="343"/>
      <c r="AH403" s="343"/>
      <c r="AI403" s="538"/>
      <c r="AJ403" s="343"/>
      <c r="AK403" s="343"/>
      <c r="AL403" s="538"/>
      <c r="AM403" s="343"/>
      <c r="AN403" s="343"/>
      <c r="AO403" s="538"/>
      <c r="AP403" s="343"/>
      <c r="AQ403" s="343"/>
      <c r="AS403" s="343"/>
      <c r="AT403" s="538"/>
      <c r="AU403" s="343"/>
      <c r="AV403" s="343"/>
      <c r="AW403" s="538"/>
      <c r="AX403" s="343"/>
      <c r="AY403" s="343"/>
      <c r="AZ403" s="538"/>
      <c r="BA403" s="343"/>
      <c r="BB403" s="343"/>
      <c r="BC403" s="538"/>
      <c r="BD403" s="343"/>
      <c r="BE403" s="343"/>
      <c r="BG403" s="644"/>
      <c r="BH403" s="515"/>
      <c r="BI403" s="515"/>
      <c r="BJ403" s="644"/>
      <c r="BK403" s="515"/>
      <c r="BL403" s="515"/>
      <c r="BM403" s="644"/>
      <c r="BN403" s="515"/>
      <c r="BO403" s="515"/>
      <c r="BP403" s="644"/>
      <c r="BQ403" s="515"/>
      <c r="BR403" s="515"/>
    </row>
    <row r="404" spans="4:70" x14ac:dyDescent="0.25">
      <c r="D404" s="538"/>
      <c r="G404" s="538"/>
      <c r="J404" s="538"/>
      <c r="M404" s="538"/>
      <c r="R404" s="538"/>
      <c r="S404" s="343"/>
      <c r="T404" s="343"/>
      <c r="U404" s="538"/>
      <c r="V404" s="343"/>
      <c r="W404" s="343"/>
      <c r="X404" s="538"/>
      <c r="Y404" s="343"/>
      <c r="Z404" s="343"/>
      <c r="AA404" s="538"/>
      <c r="AB404" s="343"/>
      <c r="AC404" s="343"/>
      <c r="AE404" s="343"/>
      <c r="AF404" s="538"/>
      <c r="AG404" s="343"/>
      <c r="AH404" s="343"/>
      <c r="AI404" s="538"/>
      <c r="AJ404" s="343"/>
      <c r="AK404" s="343"/>
      <c r="AL404" s="538"/>
      <c r="AM404" s="343"/>
      <c r="AN404" s="343"/>
      <c r="AO404" s="538"/>
      <c r="AP404" s="343"/>
      <c r="AQ404" s="343"/>
      <c r="AS404" s="343"/>
      <c r="AT404" s="538"/>
      <c r="AU404" s="343"/>
      <c r="AV404" s="343"/>
      <c r="AW404" s="538"/>
      <c r="AX404" s="343"/>
      <c r="AY404" s="343"/>
      <c r="AZ404" s="538"/>
      <c r="BA404" s="343"/>
      <c r="BB404" s="343"/>
      <c r="BC404" s="538"/>
      <c r="BD404" s="343"/>
      <c r="BE404" s="343"/>
      <c r="BG404" s="644"/>
      <c r="BH404" s="515"/>
      <c r="BI404" s="515"/>
      <c r="BJ404" s="644"/>
      <c r="BK404" s="515"/>
      <c r="BL404" s="515"/>
      <c r="BM404" s="644"/>
      <c r="BN404" s="515"/>
      <c r="BO404" s="515"/>
      <c r="BP404" s="644"/>
      <c r="BQ404" s="515"/>
      <c r="BR404" s="515"/>
    </row>
    <row r="405" spans="4:70" x14ac:dyDescent="0.25">
      <c r="D405" s="538"/>
      <c r="G405" s="538"/>
      <c r="J405" s="538"/>
      <c r="M405" s="538"/>
      <c r="R405" s="538"/>
      <c r="S405" s="343"/>
      <c r="T405" s="343"/>
      <c r="U405" s="538"/>
      <c r="V405" s="343"/>
      <c r="W405" s="343"/>
      <c r="X405" s="538"/>
      <c r="Y405" s="343"/>
      <c r="Z405" s="343"/>
      <c r="AA405" s="538"/>
      <c r="AB405" s="343"/>
      <c r="AC405" s="343"/>
      <c r="AE405" s="343"/>
      <c r="AF405" s="538"/>
      <c r="AG405" s="343"/>
      <c r="AH405" s="343"/>
      <c r="AI405" s="538"/>
      <c r="AJ405" s="343"/>
      <c r="AK405" s="343"/>
      <c r="AL405" s="538"/>
      <c r="AM405" s="343"/>
      <c r="AN405" s="343"/>
      <c r="AO405" s="538"/>
      <c r="AP405" s="343"/>
      <c r="AQ405" s="343"/>
      <c r="AS405" s="343"/>
      <c r="AT405" s="538"/>
      <c r="AU405" s="343"/>
      <c r="AV405" s="343"/>
      <c r="AW405" s="538"/>
      <c r="AX405" s="343"/>
      <c r="AY405" s="343"/>
      <c r="AZ405" s="538"/>
      <c r="BA405" s="343"/>
      <c r="BB405" s="343"/>
      <c r="BC405" s="538"/>
      <c r="BD405" s="343"/>
      <c r="BE405" s="343"/>
      <c r="BG405" s="644"/>
      <c r="BH405" s="515"/>
      <c r="BI405" s="515"/>
      <c r="BJ405" s="644"/>
      <c r="BK405" s="515"/>
      <c r="BL405" s="515"/>
      <c r="BM405" s="644"/>
      <c r="BN405" s="515"/>
      <c r="BO405" s="515"/>
      <c r="BP405" s="644"/>
      <c r="BQ405" s="515"/>
      <c r="BR405" s="515"/>
    </row>
    <row r="406" spans="4:70" x14ac:dyDescent="0.25">
      <c r="D406" s="538"/>
      <c r="G406" s="538"/>
      <c r="J406" s="538"/>
      <c r="M406" s="538"/>
      <c r="R406" s="538"/>
      <c r="S406" s="343"/>
      <c r="T406" s="343"/>
      <c r="U406" s="538"/>
      <c r="V406" s="343"/>
      <c r="W406" s="343"/>
      <c r="X406" s="538"/>
      <c r="Y406" s="343"/>
      <c r="Z406" s="343"/>
      <c r="AA406" s="538"/>
      <c r="AB406" s="343"/>
      <c r="AC406" s="343"/>
      <c r="AE406" s="343"/>
      <c r="AF406" s="538"/>
      <c r="AG406" s="343"/>
      <c r="AH406" s="343"/>
      <c r="AI406" s="538"/>
      <c r="AJ406" s="343"/>
      <c r="AK406" s="343"/>
      <c r="AL406" s="538"/>
      <c r="AM406" s="343"/>
      <c r="AN406" s="343"/>
      <c r="AO406" s="538"/>
      <c r="AP406" s="343"/>
      <c r="AQ406" s="343"/>
      <c r="AS406" s="343"/>
      <c r="AT406" s="538"/>
      <c r="AU406" s="343"/>
      <c r="AV406" s="343"/>
      <c r="AW406" s="538"/>
      <c r="AX406" s="343"/>
      <c r="AY406" s="343"/>
      <c r="AZ406" s="538"/>
      <c r="BA406" s="343"/>
      <c r="BB406" s="343"/>
      <c r="BC406" s="538"/>
      <c r="BD406" s="343"/>
      <c r="BE406" s="343"/>
      <c r="BG406" s="644"/>
      <c r="BH406" s="515"/>
      <c r="BI406" s="515"/>
      <c r="BJ406" s="644"/>
      <c r="BK406" s="515"/>
      <c r="BL406" s="515"/>
      <c r="BM406" s="644"/>
      <c r="BN406" s="515"/>
      <c r="BO406" s="515"/>
      <c r="BP406" s="644"/>
      <c r="BQ406" s="515"/>
      <c r="BR406" s="515"/>
    </row>
    <row r="407" spans="4:70" x14ac:dyDescent="0.25">
      <c r="D407" s="538"/>
      <c r="G407" s="538"/>
      <c r="J407" s="538"/>
      <c r="M407" s="538"/>
      <c r="R407" s="538"/>
      <c r="S407" s="343"/>
      <c r="T407" s="343"/>
      <c r="U407" s="538"/>
      <c r="V407" s="343"/>
      <c r="W407" s="343"/>
      <c r="X407" s="538"/>
      <c r="Y407" s="343"/>
      <c r="Z407" s="343"/>
      <c r="AA407" s="538"/>
      <c r="AB407" s="343"/>
      <c r="AC407" s="343"/>
      <c r="AE407" s="343"/>
      <c r="AF407" s="538"/>
      <c r="AG407" s="343"/>
      <c r="AH407" s="343"/>
      <c r="AI407" s="538"/>
      <c r="AJ407" s="343"/>
      <c r="AK407" s="343"/>
      <c r="AL407" s="538"/>
      <c r="AM407" s="343"/>
      <c r="AN407" s="343"/>
      <c r="AO407" s="538"/>
      <c r="AP407" s="343"/>
      <c r="AQ407" s="343"/>
      <c r="AS407" s="343"/>
      <c r="AT407" s="538"/>
      <c r="AU407" s="343"/>
      <c r="AV407" s="343"/>
      <c r="AW407" s="538"/>
      <c r="AX407" s="343"/>
      <c r="AY407" s="343"/>
      <c r="AZ407" s="538"/>
      <c r="BA407" s="343"/>
      <c r="BB407" s="343"/>
      <c r="BC407" s="538"/>
      <c r="BD407" s="343"/>
      <c r="BE407" s="343"/>
      <c r="BG407" s="644"/>
      <c r="BH407" s="515"/>
      <c r="BI407" s="515"/>
      <c r="BJ407" s="644"/>
      <c r="BK407" s="515"/>
      <c r="BL407" s="515"/>
      <c r="BM407" s="644"/>
      <c r="BN407" s="515"/>
      <c r="BO407" s="515"/>
      <c r="BP407" s="644"/>
      <c r="BQ407" s="515"/>
      <c r="BR407" s="515"/>
    </row>
    <row r="408" spans="4:70" x14ac:dyDescent="0.25">
      <c r="D408" s="538"/>
      <c r="G408" s="538"/>
      <c r="J408" s="538"/>
      <c r="M408" s="538"/>
      <c r="R408" s="538"/>
      <c r="S408" s="343"/>
      <c r="T408" s="343"/>
      <c r="U408" s="538"/>
      <c r="V408" s="343"/>
      <c r="W408" s="343"/>
      <c r="X408" s="538"/>
      <c r="Y408" s="343"/>
      <c r="Z408" s="343"/>
      <c r="AA408" s="538"/>
      <c r="AB408" s="343"/>
      <c r="AC408" s="343"/>
      <c r="AE408" s="343"/>
      <c r="AF408" s="538"/>
      <c r="AG408" s="343"/>
      <c r="AH408" s="343"/>
      <c r="AI408" s="538"/>
      <c r="AJ408" s="343"/>
      <c r="AK408" s="343"/>
      <c r="AL408" s="538"/>
      <c r="AM408" s="343"/>
      <c r="AN408" s="343"/>
      <c r="AO408" s="538"/>
      <c r="AP408" s="343"/>
      <c r="AQ408" s="343"/>
      <c r="AS408" s="343"/>
      <c r="AT408" s="538"/>
      <c r="AU408" s="343"/>
      <c r="AV408" s="343"/>
      <c r="AW408" s="538"/>
      <c r="AX408" s="343"/>
      <c r="AY408" s="343"/>
      <c r="AZ408" s="538"/>
      <c r="BA408" s="343"/>
      <c r="BB408" s="343"/>
      <c r="BC408" s="538"/>
      <c r="BD408" s="343"/>
      <c r="BE408" s="343"/>
      <c r="BG408" s="644"/>
      <c r="BH408" s="515"/>
      <c r="BI408" s="515"/>
      <c r="BJ408" s="644"/>
      <c r="BK408" s="515"/>
      <c r="BL408" s="515"/>
      <c r="BM408" s="644"/>
      <c r="BN408" s="515"/>
      <c r="BO408" s="515"/>
      <c r="BP408" s="644"/>
      <c r="BQ408" s="515"/>
      <c r="BR408" s="515"/>
    </row>
    <row r="409" spans="4:70" x14ac:dyDescent="0.25">
      <c r="D409" s="538"/>
      <c r="G409" s="538"/>
      <c r="J409" s="538"/>
      <c r="M409" s="538"/>
      <c r="R409" s="538"/>
      <c r="S409" s="343"/>
      <c r="T409" s="343"/>
      <c r="U409" s="538"/>
      <c r="V409" s="343"/>
      <c r="W409" s="343"/>
      <c r="X409" s="538"/>
      <c r="Y409" s="343"/>
      <c r="Z409" s="343"/>
      <c r="AA409" s="538"/>
      <c r="AB409" s="343"/>
      <c r="AC409" s="343"/>
      <c r="AE409" s="343"/>
      <c r="AF409" s="538"/>
      <c r="AG409" s="343"/>
      <c r="AH409" s="343"/>
      <c r="AI409" s="538"/>
      <c r="AJ409" s="343"/>
      <c r="AK409" s="343"/>
      <c r="AL409" s="538"/>
      <c r="AM409" s="343"/>
      <c r="AN409" s="343"/>
      <c r="AO409" s="538"/>
      <c r="AP409" s="343"/>
      <c r="AQ409" s="343"/>
      <c r="AS409" s="343"/>
      <c r="AT409" s="538"/>
      <c r="AU409" s="343"/>
      <c r="AV409" s="343"/>
      <c r="AW409" s="538"/>
      <c r="AX409" s="343"/>
      <c r="AY409" s="343"/>
      <c r="AZ409" s="538"/>
      <c r="BA409" s="343"/>
      <c r="BB409" s="343"/>
      <c r="BC409" s="538"/>
      <c r="BD409" s="343"/>
      <c r="BE409" s="343"/>
      <c r="BG409" s="644"/>
      <c r="BH409" s="515"/>
      <c r="BI409" s="515"/>
      <c r="BJ409" s="644"/>
      <c r="BK409" s="515"/>
      <c r="BL409" s="515"/>
      <c r="BM409" s="644"/>
      <c r="BN409" s="515"/>
      <c r="BO409" s="515"/>
      <c r="BP409" s="644"/>
      <c r="BQ409" s="515"/>
      <c r="BR409" s="515"/>
    </row>
    <row r="410" spans="4:70" x14ac:dyDescent="0.25">
      <c r="D410" s="538"/>
      <c r="G410" s="538"/>
      <c r="J410" s="538"/>
      <c r="M410" s="538"/>
      <c r="R410" s="538"/>
      <c r="S410" s="343"/>
      <c r="T410" s="343"/>
      <c r="U410" s="538"/>
      <c r="V410" s="343"/>
      <c r="W410" s="343"/>
      <c r="X410" s="538"/>
      <c r="Y410" s="343"/>
      <c r="Z410" s="343"/>
      <c r="AA410" s="538"/>
      <c r="AB410" s="343"/>
      <c r="AC410" s="343"/>
      <c r="AE410" s="343"/>
      <c r="AF410" s="538"/>
      <c r="AG410" s="343"/>
      <c r="AH410" s="343"/>
      <c r="AI410" s="538"/>
      <c r="AJ410" s="343"/>
      <c r="AK410" s="343"/>
      <c r="AL410" s="538"/>
      <c r="AM410" s="343"/>
      <c r="AN410" s="343"/>
      <c r="AO410" s="538"/>
      <c r="AP410" s="343"/>
      <c r="AQ410" s="343"/>
      <c r="AS410" s="343"/>
      <c r="AT410" s="538"/>
      <c r="AU410" s="343"/>
      <c r="AV410" s="343"/>
      <c r="AW410" s="538"/>
      <c r="AX410" s="343"/>
      <c r="AY410" s="343"/>
      <c r="AZ410" s="538"/>
      <c r="BA410" s="343"/>
      <c r="BB410" s="343"/>
      <c r="BC410" s="538"/>
      <c r="BD410" s="343"/>
      <c r="BE410" s="343"/>
      <c r="BG410" s="644"/>
      <c r="BH410" s="515"/>
      <c r="BI410" s="515"/>
      <c r="BJ410" s="644"/>
      <c r="BK410" s="515"/>
      <c r="BL410" s="515"/>
      <c r="BM410" s="644"/>
      <c r="BN410" s="515"/>
      <c r="BO410" s="515"/>
      <c r="BP410" s="644"/>
      <c r="BQ410" s="515"/>
      <c r="BR410" s="515"/>
    </row>
    <row r="411" spans="4:70" x14ac:dyDescent="0.25">
      <c r="D411" s="538"/>
      <c r="G411" s="538"/>
      <c r="J411" s="538"/>
      <c r="M411" s="538"/>
      <c r="R411" s="538"/>
      <c r="S411" s="343"/>
      <c r="T411" s="343"/>
      <c r="U411" s="538"/>
      <c r="V411" s="343"/>
      <c r="W411" s="343"/>
      <c r="X411" s="538"/>
      <c r="Y411" s="343"/>
      <c r="Z411" s="343"/>
      <c r="AA411" s="538"/>
      <c r="AB411" s="343"/>
      <c r="AC411" s="343"/>
      <c r="AE411" s="343"/>
      <c r="AF411" s="538"/>
      <c r="AG411" s="343"/>
      <c r="AH411" s="343"/>
      <c r="AI411" s="538"/>
      <c r="AJ411" s="343"/>
      <c r="AK411" s="343"/>
      <c r="AL411" s="538"/>
      <c r="AM411" s="343"/>
      <c r="AN411" s="343"/>
      <c r="AO411" s="538"/>
      <c r="AP411" s="343"/>
      <c r="AQ411" s="343"/>
      <c r="AS411" s="343"/>
      <c r="AT411" s="538"/>
      <c r="AU411" s="343"/>
      <c r="AV411" s="343"/>
      <c r="AW411" s="538"/>
      <c r="AX411" s="343"/>
      <c r="AY411" s="343"/>
      <c r="AZ411" s="538"/>
      <c r="BA411" s="343"/>
      <c r="BB411" s="343"/>
      <c r="BC411" s="538"/>
      <c r="BD411" s="343"/>
      <c r="BE411" s="343"/>
      <c r="BG411" s="644"/>
      <c r="BH411" s="515"/>
      <c r="BI411" s="515"/>
      <c r="BJ411" s="644"/>
      <c r="BK411" s="515"/>
      <c r="BL411" s="515"/>
      <c r="BM411" s="644"/>
      <c r="BN411" s="515"/>
      <c r="BO411" s="515"/>
      <c r="BP411" s="644"/>
      <c r="BQ411" s="515"/>
      <c r="BR411" s="515"/>
    </row>
    <row r="412" spans="4:70" x14ac:dyDescent="0.25">
      <c r="D412" s="538"/>
      <c r="G412" s="538"/>
      <c r="J412" s="538"/>
      <c r="M412" s="538"/>
      <c r="R412" s="538"/>
      <c r="S412" s="343"/>
      <c r="T412" s="343"/>
      <c r="U412" s="538"/>
      <c r="V412" s="343"/>
      <c r="W412" s="343"/>
      <c r="X412" s="538"/>
      <c r="Y412" s="343"/>
      <c r="Z412" s="343"/>
      <c r="AA412" s="538"/>
      <c r="AB412" s="343"/>
      <c r="AC412" s="343"/>
      <c r="AE412" s="343"/>
      <c r="AF412" s="538"/>
      <c r="AG412" s="343"/>
      <c r="AH412" s="343"/>
      <c r="AI412" s="538"/>
      <c r="AJ412" s="343"/>
      <c r="AK412" s="343"/>
      <c r="AL412" s="538"/>
      <c r="AM412" s="343"/>
      <c r="AN412" s="343"/>
      <c r="AO412" s="538"/>
      <c r="AP412" s="343"/>
      <c r="AQ412" s="343"/>
      <c r="AS412" s="343"/>
      <c r="AT412" s="538"/>
      <c r="AU412" s="343"/>
      <c r="AV412" s="343"/>
      <c r="AW412" s="538"/>
      <c r="AX412" s="343"/>
      <c r="AY412" s="343"/>
      <c r="AZ412" s="538"/>
      <c r="BA412" s="343"/>
      <c r="BB412" s="343"/>
      <c r="BC412" s="538"/>
      <c r="BD412" s="343"/>
      <c r="BE412" s="343"/>
      <c r="BG412" s="644"/>
      <c r="BH412" s="515"/>
      <c r="BI412" s="515"/>
      <c r="BJ412" s="644"/>
      <c r="BK412" s="515"/>
      <c r="BL412" s="515"/>
      <c r="BM412" s="644"/>
      <c r="BN412" s="515"/>
      <c r="BO412" s="515"/>
      <c r="BP412" s="644"/>
      <c r="BQ412" s="515"/>
      <c r="BR412" s="515"/>
    </row>
    <row r="413" spans="4:70" x14ac:dyDescent="0.25">
      <c r="D413" s="538"/>
      <c r="G413" s="538"/>
      <c r="J413" s="538"/>
      <c r="M413" s="538"/>
      <c r="R413" s="538"/>
      <c r="S413" s="343"/>
      <c r="T413" s="343"/>
      <c r="U413" s="538"/>
      <c r="V413" s="343"/>
      <c r="W413" s="343"/>
      <c r="X413" s="538"/>
      <c r="Y413" s="343"/>
      <c r="Z413" s="343"/>
      <c r="AA413" s="538"/>
      <c r="AB413" s="343"/>
      <c r="AC413" s="343"/>
      <c r="AE413" s="343"/>
      <c r="AF413" s="538"/>
      <c r="AG413" s="343"/>
      <c r="AH413" s="343"/>
      <c r="AI413" s="538"/>
      <c r="AJ413" s="343"/>
      <c r="AK413" s="343"/>
      <c r="AL413" s="538"/>
      <c r="AM413" s="343"/>
      <c r="AN413" s="343"/>
      <c r="AO413" s="538"/>
      <c r="AP413" s="343"/>
      <c r="AQ413" s="343"/>
      <c r="AS413" s="343"/>
      <c r="AT413" s="538"/>
      <c r="AU413" s="343"/>
      <c r="AV413" s="343"/>
      <c r="AW413" s="538"/>
      <c r="AX413" s="343"/>
      <c r="AY413" s="343"/>
      <c r="AZ413" s="538"/>
      <c r="BA413" s="343"/>
      <c r="BB413" s="343"/>
      <c r="BC413" s="538"/>
      <c r="BD413" s="343"/>
      <c r="BE413" s="343"/>
      <c r="BG413" s="644"/>
      <c r="BH413" s="515"/>
      <c r="BI413" s="515"/>
      <c r="BJ413" s="644"/>
      <c r="BK413" s="515"/>
      <c r="BL413" s="515"/>
      <c r="BM413" s="644"/>
      <c r="BN413" s="515"/>
      <c r="BO413" s="515"/>
      <c r="BP413" s="644"/>
      <c r="BQ413" s="515"/>
      <c r="BR413" s="515"/>
    </row>
    <row r="414" spans="4:70" x14ac:dyDescent="0.25">
      <c r="D414" s="538"/>
      <c r="G414" s="538"/>
      <c r="J414" s="538"/>
      <c r="M414" s="538"/>
      <c r="R414" s="538"/>
      <c r="S414" s="343"/>
      <c r="T414" s="343"/>
      <c r="U414" s="538"/>
      <c r="V414" s="343"/>
      <c r="W414" s="343"/>
      <c r="X414" s="538"/>
      <c r="Y414" s="343"/>
      <c r="Z414" s="343"/>
      <c r="AA414" s="538"/>
      <c r="AB414" s="343"/>
      <c r="AC414" s="343"/>
      <c r="AE414" s="343"/>
      <c r="AF414" s="538"/>
      <c r="AG414" s="343"/>
      <c r="AH414" s="343"/>
      <c r="AI414" s="538"/>
      <c r="AJ414" s="343"/>
      <c r="AK414" s="343"/>
      <c r="AL414" s="538"/>
      <c r="AM414" s="343"/>
      <c r="AN414" s="343"/>
      <c r="AO414" s="538"/>
      <c r="AP414" s="343"/>
      <c r="AQ414" s="343"/>
      <c r="AS414" s="343"/>
      <c r="AT414" s="538"/>
      <c r="AU414" s="343"/>
      <c r="AV414" s="343"/>
      <c r="AW414" s="538"/>
      <c r="AX414" s="343"/>
      <c r="AY414" s="343"/>
      <c r="AZ414" s="538"/>
      <c r="BA414" s="343"/>
      <c r="BB414" s="343"/>
      <c r="BC414" s="538"/>
      <c r="BD414" s="343"/>
      <c r="BE414" s="343"/>
      <c r="BG414" s="644"/>
      <c r="BH414" s="515"/>
      <c r="BI414" s="515"/>
      <c r="BJ414" s="644"/>
      <c r="BK414" s="515"/>
      <c r="BL414" s="515"/>
      <c r="BM414" s="644"/>
      <c r="BN414" s="515"/>
      <c r="BO414" s="515"/>
      <c r="BP414" s="644"/>
      <c r="BQ414" s="515"/>
      <c r="BR414" s="515"/>
    </row>
    <row r="415" spans="4:70" x14ac:dyDescent="0.25">
      <c r="D415" s="538"/>
      <c r="G415" s="538"/>
      <c r="J415" s="538"/>
      <c r="M415" s="538"/>
      <c r="R415" s="538"/>
      <c r="S415" s="343"/>
      <c r="T415" s="343"/>
      <c r="U415" s="538"/>
      <c r="V415" s="343"/>
      <c r="W415" s="343"/>
      <c r="X415" s="538"/>
      <c r="Y415" s="343"/>
      <c r="Z415" s="343"/>
      <c r="AA415" s="538"/>
      <c r="AB415" s="343"/>
      <c r="AC415" s="343"/>
      <c r="AE415" s="343"/>
      <c r="AF415" s="538"/>
      <c r="AG415" s="343"/>
      <c r="AH415" s="343"/>
      <c r="AI415" s="538"/>
      <c r="AJ415" s="343"/>
      <c r="AK415" s="343"/>
      <c r="AL415" s="538"/>
      <c r="AM415" s="343"/>
      <c r="AN415" s="343"/>
      <c r="AO415" s="538"/>
      <c r="AP415" s="343"/>
      <c r="AQ415" s="343"/>
      <c r="AS415" s="343"/>
      <c r="AT415" s="538"/>
      <c r="AU415" s="343"/>
      <c r="AV415" s="343"/>
      <c r="AW415" s="538"/>
      <c r="AX415" s="343"/>
      <c r="AY415" s="343"/>
      <c r="AZ415" s="538"/>
      <c r="BA415" s="343"/>
      <c r="BB415" s="343"/>
      <c r="BC415" s="538"/>
      <c r="BD415" s="343"/>
      <c r="BE415" s="343"/>
      <c r="BG415" s="644"/>
      <c r="BH415" s="515"/>
      <c r="BI415" s="515"/>
      <c r="BJ415" s="644"/>
      <c r="BK415" s="515"/>
      <c r="BL415" s="515"/>
      <c r="BM415" s="644"/>
      <c r="BN415" s="515"/>
      <c r="BO415" s="515"/>
      <c r="BP415" s="644"/>
      <c r="BQ415" s="515"/>
      <c r="BR415" s="515"/>
    </row>
    <row r="416" spans="4:70" x14ac:dyDescent="0.25">
      <c r="D416" s="538"/>
      <c r="G416" s="538"/>
      <c r="J416" s="538"/>
      <c r="M416" s="538"/>
      <c r="R416" s="538"/>
      <c r="S416" s="343"/>
      <c r="T416" s="343"/>
      <c r="U416" s="538"/>
      <c r="V416" s="343"/>
      <c r="W416" s="343"/>
      <c r="X416" s="538"/>
      <c r="Y416" s="343"/>
      <c r="Z416" s="343"/>
      <c r="AA416" s="538"/>
      <c r="AB416" s="343"/>
      <c r="AC416" s="343"/>
      <c r="AE416" s="343"/>
      <c r="AF416" s="538"/>
      <c r="AG416" s="343"/>
      <c r="AH416" s="343"/>
      <c r="AI416" s="538"/>
      <c r="AJ416" s="343"/>
      <c r="AK416" s="343"/>
      <c r="AL416" s="538"/>
      <c r="AM416" s="343"/>
      <c r="AN416" s="343"/>
      <c r="AO416" s="538"/>
      <c r="AP416" s="343"/>
      <c r="AQ416" s="343"/>
      <c r="AS416" s="343"/>
      <c r="AT416" s="538"/>
      <c r="AU416" s="343"/>
      <c r="AV416" s="343"/>
      <c r="AW416" s="538"/>
      <c r="AX416" s="343"/>
      <c r="AY416" s="343"/>
      <c r="AZ416" s="538"/>
      <c r="BA416" s="343"/>
      <c r="BB416" s="343"/>
      <c r="BC416" s="538"/>
      <c r="BD416" s="343"/>
      <c r="BE416" s="343"/>
      <c r="BG416" s="644"/>
      <c r="BH416" s="515"/>
      <c r="BI416" s="515"/>
      <c r="BJ416" s="644"/>
      <c r="BK416" s="515"/>
      <c r="BL416" s="515"/>
      <c r="BM416" s="644"/>
      <c r="BN416" s="515"/>
      <c r="BO416" s="515"/>
      <c r="BP416" s="644"/>
      <c r="BQ416" s="515"/>
      <c r="BR416" s="515"/>
    </row>
    <row r="417" spans="4:70" x14ac:dyDescent="0.25">
      <c r="D417" s="538"/>
      <c r="G417" s="538"/>
      <c r="J417" s="538"/>
      <c r="M417" s="538"/>
      <c r="R417" s="538"/>
      <c r="S417" s="343"/>
      <c r="T417" s="343"/>
      <c r="U417" s="538"/>
      <c r="V417" s="343"/>
      <c r="W417" s="343"/>
      <c r="X417" s="538"/>
      <c r="Y417" s="343"/>
      <c r="Z417" s="343"/>
      <c r="AA417" s="538"/>
      <c r="AB417" s="343"/>
      <c r="AC417" s="343"/>
      <c r="AE417" s="343"/>
      <c r="AF417" s="538"/>
      <c r="AG417" s="343"/>
      <c r="AH417" s="343"/>
      <c r="AI417" s="538"/>
      <c r="AJ417" s="343"/>
      <c r="AK417" s="343"/>
      <c r="AL417" s="538"/>
      <c r="AM417" s="343"/>
      <c r="AN417" s="343"/>
      <c r="AO417" s="538"/>
      <c r="AP417" s="343"/>
      <c r="AQ417" s="343"/>
      <c r="AS417" s="343"/>
      <c r="AT417" s="538"/>
      <c r="AU417" s="343"/>
      <c r="AV417" s="343"/>
      <c r="AW417" s="538"/>
      <c r="AX417" s="343"/>
      <c r="AY417" s="343"/>
      <c r="AZ417" s="538"/>
      <c r="BA417" s="343"/>
      <c r="BB417" s="343"/>
      <c r="BC417" s="538"/>
      <c r="BD417" s="343"/>
      <c r="BE417" s="343"/>
      <c r="BG417" s="644"/>
      <c r="BH417" s="515"/>
      <c r="BI417" s="515"/>
      <c r="BJ417" s="644"/>
      <c r="BK417" s="515"/>
      <c r="BL417" s="515"/>
      <c r="BM417" s="644"/>
      <c r="BN417" s="515"/>
      <c r="BO417" s="515"/>
      <c r="BP417" s="644"/>
      <c r="BQ417" s="515"/>
      <c r="BR417" s="515"/>
    </row>
    <row r="418" spans="4:70" x14ac:dyDescent="0.25">
      <c r="D418" s="538"/>
      <c r="G418" s="538"/>
      <c r="J418" s="538"/>
      <c r="M418" s="538"/>
      <c r="R418" s="538"/>
      <c r="S418" s="343"/>
      <c r="T418" s="343"/>
      <c r="U418" s="538"/>
      <c r="V418" s="343"/>
      <c r="W418" s="343"/>
      <c r="X418" s="538"/>
      <c r="Y418" s="343"/>
      <c r="Z418" s="343"/>
      <c r="AA418" s="538"/>
      <c r="AB418" s="343"/>
      <c r="AC418" s="343"/>
      <c r="AE418" s="343"/>
      <c r="AF418" s="538"/>
      <c r="AG418" s="343"/>
      <c r="AH418" s="343"/>
      <c r="AI418" s="538"/>
      <c r="AJ418" s="343"/>
      <c r="AK418" s="343"/>
      <c r="AL418" s="538"/>
      <c r="AM418" s="343"/>
      <c r="AN418" s="343"/>
      <c r="AO418" s="538"/>
      <c r="AP418" s="343"/>
      <c r="AQ418" s="343"/>
      <c r="AS418" s="343"/>
      <c r="AT418" s="538"/>
      <c r="AU418" s="343"/>
      <c r="AV418" s="343"/>
      <c r="AW418" s="538"/>
      <c r="AX418" s="343"/>
      <c r="AY418" s="343"/>
      <c r="AZ418" s="538"/>
      <c r="BA418" s="343"/>
      <c r="BB418" s="343"/>
      <c r="BC418" s="538"/>
      <c r="BD418" s="343"/>
      <c r="BE418" s="343"/>
      <c r="BG418" s="644"/>
      <c r="BH418" s="515"/>
      <c r="BI418" s="515"/>
      <c r="BJ418" s="644"/>
      <c r="BK418" s="515"/>
      <c r="BL418" s="515"/>
      <c r="BM418" s="644"/>
      <c r="BN418" s="515"/>
      <c r="BO418" s="515"/>
      <c r="BP418" s="644"/>
      <c r="BQ418" s="515"/>
      <c r="BR418" s="515"/>
    </row>
    <row r="419" spans="4:70" x14ac:dyDescent="0.25">
      <c r="D419" s="538"/>
      <c r="G419" s="538"/>
      <c r="J419" s="538"/>
      <c r="M419" s="538"/>
      <c r="R419" s="538"/>
      <c r="S419" s="343"/>
      <c r="T419" s="343"/>
      <c r="U419" s="538"/>
      <c r="V419" s="343"/>
      <c r="W419" s="343"/>
      <c r="X419" s="538"/>
      <c r="Y419" s="343"/>
      <c r="Z419" s="343"/>
      <c r="AA419" s="538"/>
      <c r="AB419" s="343"/>
      <c r="AC419" s="343"/>
      <c r="AE419" s="343"/>
      <c r="AF419" s="538"/>
      <c r="AG419" s="343"/>
      <c r="AH419" s="343"/>
      <c r="AI419" s="538"/>
      <c r="AJ419" s="343"/>
      <c r="AK419" s="343"/>
      <c r="AL419" s="538"/>
      <c r="AM419" s="343"/>
      <c r="AN419" s="343"/>
      <c r="AO419" s="538"/>
      <c r="AP419" s="343"/>
      <c r="AQ419" s="343"/>
      <c r="AS419" s="343"/>
      <c r="AT419" s="538"/>
      <c r="AU419" s="343"/>
      <c r="AV419" s="343"/>
      <c r="AW419" s="538"/>
      <c r="AX419" s="343"/>
      <c r="AY419" s="343"/>
      <c r="AZ419" s="538"/>
      <c r="BA419" s="343"/>
      <c r="BB419" s="343"/>
      <c r="BC419" s="538"/>
      <c r="BD419" s="343"/>
      <c r="BE419" s="343"/>
      <c r="BG419" s="644"/>
      <c r="BH419" s="515"/>
      <c r="BI419" s="515"/>
      <c r="BJ419" s="644"/>
      <c r="BK419" s="515"/>
      <c r="BL419" s="515"/>
      <c r="BM419" s="644"/>
      <c r="BN419" s="515"/>
      <c r="BO419" s="515"/>
      <c r="BP419" s="644"/>
      <c r="BQ419" s="515"/>
      <c r="BR419" s="515"/>
    </row>
    <row r="420" spans="4:70" x14ac:dyDescent="0.25">
      <c r="D420" s="538"/>
      <c r="G420" s="538"/>
      <c r="J420" s="538"/>
      <c r="M420" s="538"/>
      <c r="R420" s="538"/>
      <c r="S420" s="343"/>
      <c r="T420" s="343"/>
      <c r="U420" s="538"/>
      <c r="V420" s="343"/>
      <c r="W420" s="343"/>
      <c r="X420" s="538"/>
      <c r="Y420" s="343"/>
      <c r="Z420" s="343"/>
      <c r="AA420" s="538"/>
      <c r="AB420" s="343"/>
      <c r="AC420" s="343"/>
      <c r="AE420" s="343"/>
      <c r="AF420" s="538"/>
      <c r="AG420" s="343"/>
      <c r="AH420" s="343"/>
      <c r="AI420" s="538"/>
      <c r="AJ420" s="343"/>
      <c r="AK420" s="343"/>
      <c r="AL420" s="538"/>
      <c r="AM420" s="343"/>
      <c r="AN420" s="343"/>
      <c r="AO420" s="538"/>
      <c r="AP420" s="343"/>
      <c r="AQ420" s="343"/>
      <c r="AS420" s="343"/>
      <c r="AT420" s="538"/>
      <c r="AU420" s="343"/>
      <c r="AV420" s="343"/>
      <c r="AW420" s="538"/>
      <c r="AX420" s="343"/>
      <c r="AY420" s="343"/>
      <c r="AZ420" s="538"/>
      <c r="BA420" s="343"/>
      <c r="BB420" s="343"/>
      <c r="BC420" s="538"/>
      <c r="BD420" s="343"/>
      <c r="BE420" s="343"/>
      <c r="BG420" s="644"/>
      <c r="BH420" s="515"/>
      <c r="BI420" s="515"/>
      <c r="BJ420" s="644"/>
      <c r="BK420" s="515"/>
      <c r="BL420" s="515"/>
      <c r="BM420" s="644"/>
      <c r="BN420" s="515"/>
      <c r="BO420" s="515"/>
      <c r="BP420" s="644"/>
      <c r="BQ420" s="515"/>
      <c r="BR420" s="515"/>
    </row>
    <row r="421" spans="4:70" x14ac:dyDescent="0.25">
      <c r="D421" s="538"/>
      <c r="G421" s="538"/>
      <c r="J421" s="538"/>
      <c r="M421" s="538"/>
      <c r="R421" s="538"/>
      <c r="S421" s="343"/>
      <c r="T421" s="343"/>
      <c r="U421" s="538"/>
      <c r="V421" s="343"/>
      <c r="W421" s="343"/>
      <c r="X421" s="538"/>
      <c r="Y421" s="343"/>
      <c r="Z421" s="343"/>
      <c r="AA421" s="538"/>
      <c r="AB421" s="343"/>
      <c r="AC421" s="343"/>
      <c r="AE421" s="343"/>
      <c r="AF421" s="538"/>
      <c r="AG421" s="343"/>
      <c r="AH421" s="343"/>
      <c r="AI421" s="538"/>
      <c r="AJ421" s="343"/>
      <c r="AK421" s="343"/>
      <c r="AL421" s="538"/>
      <c r="AM421" s="343"/>
      <c r="AN421" s="343"/>
      <c r="AO421" s="538"/>
      <c r="AP421" s="343"/>
      <c r="AQ421" s="343"/>
      <c r="AS421" s="343"/>
      <c r="AT421" s="538"/>
      <c r="AU421" s="343"/>
      <c r="AV421" s="343"/>
      <c r="AW421" s="538"/>
      <c r="AX421" s="343"/>
      <c r="AY421" s="343"/>
      <c r="AZ421" s="538"/>
      <c r="BA421" s="343"/>
      <c r="BB421" s="343"/>
      <c r="BC421" s="538"/>
      <c r="BD421" s="343"/>
      <c r="BE421" s="343"/>
      <c r="BG421" s="644"/>
      <c r="BH421" s="515"/>
      <c r="BI421" s="515"/>
      <c r="BJ421" s="644"/>
      <c r="BK421" s="515"/>
      <c r="BL421" s="515"/>
      <c r="BM421" s="644"/>
      <c r="BN421" s="515"/>
      <c r="BO421" s="515"/>
      <c r="BP421" s="644"/>
      <c r="BQ421" s="515"/>
      <c r="BR421" s="515"/>
    </row>
    <row r="422" spans="4:70" x14ac:dyDescent="0.25">
      <c r="D422" s="538"/>
      <c r="G422" s="538"/>
      <c r="J422" s="538"/>
      <c r="M422" s="538"/>
      <c r="R422" s="538"/>
      <c r="S422" s="343"/>
      <c r="T422" s="343"/>
      <c r="U422" s="538"/>
      <c r="V422" s="343"/>
      <c r="W422" s="343"/>
      <c r="X422" s="538"/>
      <c r="Y422" s="343"/>
      <c r="Z422" s="343"/>
      <c r="AA422" s="538"/>
      <c r="AB422" s="343"/>
      <c r="AC422" s="343"/>
      <c r="AE422" s="343"/>
      <c r="AF422" s="538"/>
      <c r="AG422" s="343"/>
      <c r="AH422" s="343"/>
      <c r="AI422" s="538"/>
      <c r="AJ422" s="343"/>
      <c r="AK422" s="343"/>
      <c r="AL422" s="538"/>
      <c r="AM422" s="343"/>
      <c r="AN422" s="343"/>
      <c r="AO422" s="538"/>
      <c r="AP422" s="343"/>
      <c r="AQ422" s="343"/>
      <c r="AS422" s="343"/>
      <c r="AT422" s="538"/>
      <c r="AU422" s="343"/>
      <c r="AV422" s="343"/>
      <c r="AW422" s="538"/>
      <c r="AX422" s="343"/>
      <c r="AY422" s="343"/>
      <c r="AZ422" s="538"/>
      <c r="BA422" s="343"/>
      <c r="BB422" s="343"/>
      <c r="BC422" s="538"/>
      <c r="BD422" s="343"/>
      <c r="BE422" s="343"/>
      <c r="BG422" s="644"/>
      <c r="BH422" s="515"/>
      <c r="BI422" s="515"/>
      <c r="BJ422" s="644"/>
      <c r="BK422" s="515"/>
      <c r="BL422" s="515"/>
      <c r="BM422" s="644"/>
      <c r="BN422" s="515"/>
      <c r="BO422" s="515"/>
      <c r="BP422" s="644"/>
      <c r="BQ422" s="515"/>
      <c r="BR422" s="515"/>
    </row>
    <row r="423" spans="4:70" x14ac:dyDescent="0.25">
      <c r="D423" s="538"/>
      <c r="G423" s="538"/>
      <c r="J423" s="538"/>
      <c r="M423" s="538"/>
      <c r="R423" s="538"/>
      <c r="S423" s="343"/>
      <c r="T423" s="343"/>
      <c r="U423" s="538"/>
      <c r="V423" s="343"/>
      <c r="W423" s="343"/>
      <c r="X423" s="538"/>
      <c r="Y423" s="343"/>
      <c r="Z423" s="343"/>
      <c r="AA423" s="538"/>
      <c r="AB423" s="343"/>
      <c r="AC423" s="343"/>
      <c r="AE423" s="343"/>
      <c r="AF423" s="538"/>
      <c r="AG423" s="343"/>
      <c r="AH423" s="343"/>
      <c r="AI423" s="538"/>
      <c r="AJ423" s="343"/>
      <c r="AK423" s="343"/>
      <c r="AL423" s="538"/>
      <c r="AM423" s="343"/>
      <c r="AN423" s="343"/>
      <c r="AO423" s="538"/>
      <c r="AP423" s="343"/>
      <c r="AQ423" s="343"/>
      <c r="AS423" s="343"/>
      <c r="AT423" s="538"/>
      <c r="AU423" s="343"/>
      <c r="AV423" s="343"/>
      <c r="AW423" s="538"/>
      <c r="AX423" s="343"/>
      <c r="AY423" s="343"/>
      <c r="AZ423" s="538"/>
      <c r="BA423" s="343"/>
      <c r="BB423" s="343"/>
      <c r="BC423" s="538"/>
      <c r="BD423" s="343"/>
      <c r="BE423" s="343"/>
      <c r="BG423" s="644"/>
      <c r="BH423" s="515"/>
      <c r="BI423" s="515"/>
      <c r="BJ423" s="644"/>
      <c r="BK423" s="515"/>
      <c r="BL423" s="515"/>
      <c r="BM423" s="644"/>
      <c r="BN423" s="515"/>
      <c r="BO423" s="515"/>
      <c r="BP423" s="644"/>
      <c r="BQ423" s="515"/>
      <c r="BR423" s="515"/>
    </row>
    <row r="424" spans="4:70" x14ac:dyDescent="0.25">
      <c r="D424" s="538"/>
      <c r="G424" s="538"/>
      <c r="J424" s="538"/>
      <c r="M424" s="538"/>
      <c r="R424" s="538"/>
      <c r="S424" s="343"/>
      <c r="T424" s="343"/>
      <c r="U424" s="538"/>
      <c r="V424" s="343"/>
      <c r="W424" s="343"/>
      <c r="X424" s="538"/>
      <c r="Y424" s="343"/>
      <c r="Z424" s="343"/>
      <c r="AA424" s="538"/>
      <c r="AB424" s="343"/>
      <c r="AC424" s="343"/>
      <c r="AE424" s="343"/>
      <c r="AF424" s="538"/>
      <c r="AG424" s="343"/>
      <c r="AH424" s="343"/>
      <c r="AI424" s="538"/>
      <c r="AJ424" s="343"/>
      <c r="AK424" s="343"/>
      <c r="AL424" s="538"/>
      <c r="AM424" s="343"/>
      <c r="AN424" s="343"/>
      <c r="AO424" s="538"/>
      <c r="AP424" s="343"/>
      <c r="AQ424" s="343"/>
      <c r="AS424" s="343"/>
      <c r="AT424" s="538"/>
      <c r="AU424" s="343"/>
      <c r="AV424" s="343"/>
      <c r="AW424" s="538"/>
      <c r="AX424" s="343"/>
      <c r="AY424" s="343"/>
      <c r="AZ424" s="538"/>
      <c r="BA424" s="343"/>
      <c r="BB424" s="343"/>
      <c r="BC424" s="538"/>
      <c r="BD424" s="343"/>
      <c r="BE424" s="343"/>
      <c r="BG424" s="644"/>
      <c r="BH424" s="515"/>
      <c r="BI424" s="515"/>
      <c r="BJ424" s="644"/>
      <c r="BK424" s="515"/>
      <c r="BL424" s="515"/>
      <c r="BM424" s="644"/>
      <c r="BN424" s="515"/>
      <c r="BO424" s="515"/>
      <c r="BP424" s="644"/>
      <c r="BQ424" s="515"/>
      <c r="BR424" s="515"/>
    </row>
    <row r="425" spans="4:70" x14ac:dyDescent="0.25">
      <c r="D425" s="538"/>
      <c r="G425" s="538"/>
      <c r="J425" s="538"/>
      <c r="M425" s="538"/>
      <c r="R425" s="538"/>
      <c r="S425" s="343"/>
      <c r="T425" s="343"/>
      <c r="U425" s="538"/>
      <c r="V425" s="343"/>
      <c r="W425" s="343"/>
      <c r="X425" s="538"/>
      <c r="Y425" s="343"/>
      <c r="Z425" s="343"/>
      <c r="AA425" s="538"/>
      <c r="AB425" s="343"/>
      <c r="AC425" s="343"/>
      <c r="AE425" s="343"/>
      <c r="AF425" s="538"/>
      <c r="AG425" s="343"/>
      <c r="AH425" s="343"/>
      <c r="AI425" s="538"/>
      <c r="AJ425" s="343"/>
      <c r="AK425" s="343"/>
      <c r="AL425" s="538"/>
      <c r="AM425" s="343"/>
      <c r="AN425" s="343"/>
      <c r="AO425" s="538"/>
      <c r="AP425" s="343"/>
      <c r="AQ425" s="343"/>
      <c r="AS425" s="343"/>
      <c r="AT425" s="538"/>
      <c r="AU425" s="343"/>
      <c r="AV425" s="343"/>
      <c r="AW425" s="538"/>
      <c r="AX425" s="343"/>
      <c r="AY425" s="343"/>
      <c r="AZ425" s="538"/>
      <c r="BA425" s="343"/>
      <c r="BB425" s="343"/>
      <c r="BC425" s="538"/>
      <c r="BD425" s="343"/>
      <c r="BE425" s="343"/>
      <c r="BG425" s="644"/>
      <c r="BH425" s="515"/>
      <c r="BI425" s="515"/>
      <c r="BJ425" s="644"/>
      <c r="BK425" s="515"/>
      <c r="BL425" s="515"/>
      <c r="BM425" s="644"/>
      <c r="BN425" s="515"/>
      <c r="BO425" s="515"/>
      <c r="BP425" s="644"/>
      <c r="BQ425" s="515"/>
      <c r="BR425" s="515"/>
    </row>
    <row r="426" spans="4:70" x14ac:dyDescent="0.25">
      <c r="D426" s="538"/>
      <c r="G426" s="538"/>
      <c r="J426" s="538"/>
      <c r="M426" s="538"/>
      <c r="R426" s="538"/>
      <c r="S426" s="343"/>
      <c r="T426" s="343"/>
      <c r="U426" s="538"/>
      <c r="V426" s="343"/>
      <c r="W426" s="343"/>
      <c r="X426" s="538"/>
      <c r="Y426" s="343"/>
      <c r="Z426" s="343"/>
      <c r="AA426" s="538"/>
      <c r="AB426" s="343"/>
      <c r="AC426" s="343"/>
      <c r="AE426" s="343"/>
      <c r="AF426" s="538"/>
      <c r="AG426" s="343"/>
      <c r="AH426" s="343"/>
      <c r="AI426" s="538"/>
      <c r="AJ426" s="343"/>
      <c r="AK426" s="343"/>
      <c r="AL426" s="538"/>
      <c r="AM426" s="343"/>
      <c r="AN426" s="343"/>
      <c r="AO426" s="538"/>
      <c r="AP426" s="343"/>
      <c r="AQ426" s="343"/>
      <c r="AS426" s="343"/>
      <c r="AT426" s="538"/>
      <c r="AU426" s="343"/>
      <c r="AV426" s="343"/>
      <c r="AW426" s="538"/>
      <c r="AX426" s="343"/>
      <c r="AY426" s="343"/>
      <c r="AZ426" s="538"/>
      <c r="BA426" s="343"/>
      <c r="BB426" s="343"/>
      <c r="BC426" s="538"/>
      <c r="BD426" s="343"/>
      <c r="BE426" s="343"/>
      <c r="BG426" s="644"/>
      <c r="BH426" s="515"/>
      <c r="BI426" s="515"/>
      <c r="BJ426" s="644"/>
      <c r="BK426" s="515"/>
      <c r="BL426" s="515"/>
      <c r="BM426" s="644"/>
      <c r="BN426" s="515"/>
      <c r="BO426" s="515"/>
      <c r="BP426" s="644"/>
      <c r="BQ426" s="515"/>
      <c r="BR426" s="515"/>
    </row>
    <row r="427" spans="4:70" x14ac:dyDescent="0.25">
      <c r="D427" s="538"/>
      <c r="G427" s="538"/>
      <c r="J427" s="538"/>
      <c r="M427" s="538"/>
      <c r="R427" s="538"/>
      <c r="S427" s="343"/>
      <c r="T427" s="343"/>
      <c r="U427" s="538"/>
      <c r="V427" s="343"/>
      <c r="W427" s="343"/>
      <c r="X427" s="538"/>
      <c r="Y427" s="343"/>
      <c r="Z427" s="343"/>
      <c r="AA427" s="538"/>
      <c r="AB427" s="343"/>
      <c r="AC427" s="343"/>
      <c r="AE427" s="343"/>
      <c r="AF427" s="538"/>
      <c r="AG427" s="343"/>
      <c r="AH427" s="343"/>
      <c r="AI427" s="538"/>
      <c r="AJ427" s="343"/>
      <c r="AK427" s="343"/>
      <c r="AL427" s="538"/>
      <c r="AM427" s="343"/>
      <c r="AN427" s="343"/>
      <c r="AO427" s="538"/>
      <c r="AP427" s="343"/>
      <c r="AQ427" s="343"/>
      <c r="AS427" s="343"/>
      <c r="AT427" s="538"/>
      <c r="AU427" s="343"/>
      <c r="AV427" s="343"/>
      <c r="AW427" s="538"/>
      <c r="AX427" s="343"/>
      <c r="AY427" s="343"/>
      <c r="AZ427" s="538"/>
      <c r="BA427" s="343"/>
      <c r="BB427" s="343"/>
      <c r="BC427" s="538"/>
      <c r="BD427" s="343"/>
      <c r="BE427" s="343"/>
      <c r="BG427" s="644"/>
      <c r="BH427" s="515"/>
      <c r="BI427" s="515"/>
      <c r="BJ427" s="644"/>
      <c r="BK427" s="515"/>
      <c r="BL427" s="515"/>
      <c r="BM427" s="644"/>
      <c r="BN427" s="515"/>
      <c r="BO427" s="515"/>
      <c r="BP427" s="644"/>
      <c r="BQ427" s="515"/>
      <c r="BR427" s="515"/>
    </row>
    <row r="428" spans="4:70" x14ac:dyDescent="0.25">
      <c r="D428" s="538"/>
      <c r="G428" s="538"/>
      <c r="J428" s="538"/>
      <c r="M428" s="538"/>
      <c r="R428" s="538"/>
      <c r="S428" s="343"/>
      <c r="T428" s="343"/>
      <c r="U428" s="538"/>
      <c r="V428" s="343"/>
      <c r="W428" s="343"/>
      <c r="X428" s="538"/>
      <c r="Y428" s="343"/>
      <c r="Z428" s="343"/>
      <c r="AA428" s="538"/>
      <c r="AB428" s="343"/>
      <c r="AC428" s="343"/>
      <c r="AE428" s="343"/>
      <c r="AF428" s="538"/>
      <c r="AG428" s="343"/>
      <c r="AH428" s="343"/>
      <c r="AI428" s="538"/>
      <c r="AJ428" s="343"/>
      <c r="AK428" s="343"/>
      <c r="AL428" s="538"/>
      <c r="AM428" s="343"/>
      <c r="AN428" s="343"/>
      <c r="AO428" s="538"/>
      <c r="AP428" s="343"/>
      <c r="AQ428" s="343"/>
      <c r="AS428" s="343"/>
      <c r="AT428" s="538"/>
      <c r="AU428" s="343"/>
      <c r="AV428" s="343"/>
      <c r="AW428" s="538"/>
      <c r="AX428" s="343"/>
      <c r="AY428" s="343"/>
      <c r="AZ428" s="538"/>
      <c r="BA428" s="343"/>
      <c r="BB428" s="343"/>
      <c r="BC428" s="538"/>
      <c r="BD428" s="343"/>
      <c r="BE428" s="343"/>
      <c r="BG428" s="644"/>
      <c r="BH428" s="515"/>
      <c r="BI428" s="515"/>
      <c r="BJ428" s="644"/>
      <c r="BK428" s="515"/>
      <c r="BL428" s="515"/>
      <c r="BM428" s="644"/>
      <c r="BN428" s="515"/>
      <c r="BO428" s="515"/>
      <c r="BP428" s="644"/>
      <c r="BQ428" s="515"/>
      <c r="BR428" s="515"/>
    </row>
    <row r="429" spans="4:70" x14ac:dyDescent="0.25">
      <c r="D429" s="538"/>
      <c r="G429" s="538"/>
      <c r="J429" s="538"/>
      <c r="M429" s="538"/>
      <c r="R429" s="538"/>
      <c r="S429" s="343"/>
      <c r="T429" s="343"/>
      <c r="U429" s="538"/>
      <c r="V429" s="343"/>
      <c r="W429" s="343"/>
      <c r="X429" s="538"/>
      <c r="Y429" s="343"/>
      <c r="Z429" s="343"/>
      <c r="AA429" s="538"/>
      <c r="AB429" s="343"/>
      <c r="AC429" s="343"/>
      <c r="AE429" s="343"/>
      <c r="AF429" s="538"/>
      <c r="AG429" s="343"/>
      <c r="AH429" s="343"/>
      <c r="AI429" s="538"/>
      <c r="AJ429" s="343"/>
      <c r="AK429" s="343"/>
      <c r="AL429" s="538"/>
      <c r="AM429" s="343"/>
      <c r="AN429" s="343"/>
      <c r="AO429" s="538"/>
      <c r="AP429" s="343"/>
      <c r="AQ429" s="343"/>
      <c r="AS429" s="343"/>
      <c r="AT429" s="538"/>
      <c r="AU429" s="343"/>
      <c r="AV429" s="343"/>
      <c r="AW429" s="538"/>
      <c r="AX429" s="343"/>
      <c r="AY429" s="343"/>
      <c r="AZ429" s="538"/>
      <c r="BA429" s="343"/>
      <c r="BB429" s="343"/>
      <c r="BC429" s="538"/>
      <c r="BD429" s="343"/>
      <c r="BE429" s="343"/>
      <c r="BG429" s="644"/>
      <c r="BH429" s="515"/>
      <c r="BI429" s="515"/>
      <c r="BJ429" s="644"/>
      <c r="BK429" s="515"/>
      <c r="BL429" s="515"/>
      <c r="BM429" s="644"/>
      <c r="BN429" s="515"/>
      <c r="BO429" s="515"/>
      <c r="BP429" s="644"/>
      <c r="BQ429" s="515"/>
      <c r="BR429" s="515"/>
    </row>
    <row r="430" spans="4:70" x14ac:dyDescent="0.25">
      <c r="D430" s="538"/>
      <c r="G430" s="538"/>
      <c r="J430" s="538"/>
      <c r="M430" s="538"/>
      <c r="R430" s="538"/>
      <c r="S430" s="343"/>
      <c r="T430" s="343"/>
      <c r="U430" s="538"/>
      <c r="V430" s="343"/>
      <c r="W430" s="343"/>
      <c r="X430" s="538"/>
      <c r="Y430" s="343"/>
      <c r="Z430" s="343"/>
      <c r="AA430" s="538"/>
      <c r="AB430" s="343"/>
      <c r="AC430" s="343"/>
      <c r="AE430" s="343"/>
      <c r="AF430" s="538"/>
      <c r="AG430" s="343"/>
      <c r="AH430" s="343"/>
      <c r="AI430" s="538"/>
      <c r="AJ430" s="343"/>
      <c r="AK430" s="343"/>
      <c r="AL430" s="538"/>
      <c r="AM430" s="343"/>
      <c r="AN430" s="343"/>
      <c r="AO430" s="538"/>
      <c r="AP430" s="343"/>
      <c r="AQ430" s="343"/>
      <c r="AS430" s="343"/>
      <c r="AT430" s="538"/>
      <c r="AU430" s="343"/>
      <c r="AV430" s="343"/>
      <c r="AW430" s="538"/>
      <c r="AX430" s="343"/>
      <c r="AY430" s="343"/>
      <c r="AZ430" s="538"/>
      <c r="BA430" s="343"/>
      <c r="BB430" s="343"/>
      <c r="BC430" s="538"/>
      <c r="BD430" s="343"/>
      <c r="BE430" s="343"/>
      <c r="BG430" s="644"/>
      <c r="BH430" s="515"/>
      <c r="BI430" s="515"/>
      <c r="BJ430" s="644"/>
      <c r="BK430" s="515"/>
      <c r="BL430" s="515"/>
      <c r="BM430" s="644"/>
      <c r="BN430" s="515"/>
      <c r="BO430" s="515"/>
      <c r="BP430" s="644"/>
      <c r="BQ430" s="515"/>
      <c r="BR430" s="515"/>
    </row>
    <row r="431" spans="4:70" x14ac:dyDescent="0.25">
      <c r="D431" s="538"/>
      <c r="G431" s="538"/>
      <c r="J431" s="538"/>
      <c r="M431" s="538"/>
      <c r="R431" s="538"/>
      <c r="S431" s="343"/>
      <c r="T431" s="343"/>
      <c r="U431" s="538"/>
      <c r="V431" s="343"/>
      <c r="W431" s="343"/>
      <c r="X431" s="538"/>
      <c r="Y431" s="343"/>
      <c r="Z431" s="343"/>
      <c r="AA431" s="538"/>
      <c r="AB431" s="343"/>
      <c r="AC431" s="343"/>
      <c r="AE431" s="343"/>
      <c r="AF431" s="538"/>
      <c r="AG431" s="343"/>
      <c r="AH431" s="343"/>
      <c r="AI431" s="538"/>
      <c r="AJ431" s="343"/>
      <c r="AK431" s="343"/>
      <c r="AL431" s="538"/>
      <c r="AM431" s="343"/>
      <c r="AN431" s="343"/>
      <c r="AO431" s="538"/>
      <c r="AP431" s="343"/>
      <c r="AQ431" s="343"/>
      <c r="AS431" s="343"/>
      <c r="AT431" s="538"/>
      <c r="AU431" s="343"/>
      <c r="AV431" s="343"/>
      <c r="AW431" s="538"/>
      <c r="AX431" s="343"/>
      <c r="AY431" s="343"/>
      <c r="AZ431" s="538"/>
      <c r="BA431" s="343"/>
      <c r="BB431" s="343"/>
      <c r="BC431" s="538"/>
      <c r="BD431" s="343"/>
      <c r="BE431" s="343"/>
      <c r="BG431" s="644"/>
      <c r="BH431" s="515"/>
      <c r="BI431" s="515"/>
      <c r="BJ431" s="644"/>
      <c r="BK431" s="515"/>
      <c r="BL431" s="515"/>
      <c r="BM431" s="644"/>
      <c r="BN431" s="515"/>
      <c r="BO431" s="515"/>
      <c r="BP431" s="644"/>
      <c r="BQ431" s="515"/>
      <c r="BR431" s="515"/>
    </row>
    <row r="432" spans="4:70" x14ac:dyDescent="0.25">
      <c r="D432" s="538"/>
      <c r="G432" s="538"/>
      <c r="J432" s="538"/>
      <c r="M432" s="538"/>
      <c r="R432" s="538"/>
      <c r="S432" s="343"/>
      <c r="T432" s="343"/>
      <c r="U432" s="538"/>
      <c r="V432" s="343"/>
      <c r="W432" s="343"/>
      <c r="X432" s="538"/>
      <c r="Y432" s="343"/>
      <c r="Z432" s="343"/>
      <c r="AA432" s="538"/>
      <c r="AB432" s="343"/>
      <c r="AC432" s="343"/>
      <c r="AE432" s="343"/>
      <c r="AF432" s="538"/>
      <c r="AG432" s="343"/>
      <c r="AH432" s="343"/>
      <c r="AI432" s="538"/>
      <c r="AJ432" s="343"/>
      <c r="AK432" s="343"/>
      <c r="AL432" s="538"/>
      <c r="AM432" s="343"/>
      <c r="AN432" s="343"/>
      <c r="AO432" s="538"/>
      <c r="AP432" s="343"/>
      <c r="AQ432" s="343"/>
      <c r="AS432" s="343"/>
      <c r="AT432" s="538"/>
      <c r="AU432" s="343"/>
      <c r="AV432" s="343"/>
      <c r="AW432" s="538"/>
      <c r="AX432" s="343"/>
      <c r="AY432" s="343"/>
      <c r="AZ432" s="538"/>
      <c r="BA432" s="343"/>
      <c r="BB432" s="343"/>
      <c r="BC432" s="538"/>
      <c r="BD432" s="343"/>
      <c r="BE432" s="343"/>
      <c r="BG432" s="644"/>
      <c r="BH432" s="515"/>
      <c r="BI432" s="515"/>
      <c r="BJ432" s="644"/>
      <c r="BK432" s="515"/>
      <c r="BL432" s="515"/>
      <c r="BM432" s="644"/>
      <c r="BN432" s="515"/>
      <c r="BO432" s="515"/>
      <c r="BP432" s="644"/>
      <c r="BQ432" s="515"/>
      <c r="BR432" s="515"/>
    </row>
    <row r="433" spans="4:70" x14ac:dyDescent="0.25">
      <c r="D433" s="538"/>
      <c r="G433" s="538"/>
      <c r="J433" s="538"/>
      <c r="M433" s="538"/>
      <c r="R433" s="538"/>
      <c r="S433" s="343"/>
      <c r="T433" s="343"/>
      <c r="U433" s="538"/>
      <c r="V433" s="343"/>
      <c r="W433" s="343"/>
      <c r="X433" s="538"/>
      <c r="Y433" s="343"/>
      <c r="Z433" s="343"/>
      <c r="AA433" s="538"/>
      <c r="AB433" s="343"/>
      <c r="AC433" s="343"/>
      <c r="AE433" s="343"/>
      <c r="AF433" s="538"/>
      <c r="AG433" s="343"/>
      <c r="AH433" s="343"/>
      <c r="AI433" s="538"/>
      <c r="AJ433" s="343"/>
      <c r="AK433" s="343"/>
      <c r="AL433" s="538"/>
      <c r="AM433" s="343"/>
      <c r="AN433" s="343"/>
      <c r="AO433" s="538"/>
      <c r="AP433" s="343"/>
      <c r="AQ433" s="343"/>
      <c r="AS433" s="343"/>
      <c r="AT433" s="538"/>
      <c r="AU433" s="343"/>
      <c r="AV433" s="343"/>
      <c r="AW433" s="538"/>
      <c r="AX433" s="343"/>
      <c r="AY433" s="343"/>
      <c r="AZ433" s="538"/>
      <c r="BA433" s="343"/>
      <c r="BB433" s="343"/>
      <c r="BC433" s="538"/>
      <c r="BD433" s="343"/>
      <c r="BE433" s="343"/>
      <c r="BG433" s="644"/>
      <c r="BH433" s="515"/>
      <c r="BI433" s="515"/>
      <c r="BJ433" s="644"/>
      <c r="BK433" s="515"/>
      <c r="BL433" s="515"/>
      <c r="BM433" s="644"/>
      <c r="BN433" s="515"/>
      <c r="BO433" s="515"/>
      <c r="BP433" s="644"/>
      <c r="BQ433" s="515"/>
      <c r="BR433" s="515"/>
    </row>
    <row r="434" spans="4:70" x14ac:dyDescent="0.25">
      <c r="D434" s="538"/>
      <c r="G434" s="538"/>
      <c r="J434" s="538"/>
      <c r="M434" s="538"/>
      <c r="R434" s="538"/>
      <c r="S434" s="343"/>
      <c r="T434" s="343"/>
      <c r="U434" s="538"/>
      <c r="V434" s="343"/>
      <c r="W434" s="343"/>
      <c r="X434" s="538"/>
      <c r="Y434" s="343"/>
      <c r="Z434" s="343"/>
      <c r="AA434" s="538"/>
      <c r="AB434" s="343"/>
      <c r="AC434" s="343"/>
      <c r="AE434" s="343"/>
      <c r="AF434" s="538"/>
      <c r="AG434" s="343"/>
      <c r="AH434" s="343"/>
      <c r="AI434" s="538"/>
      <c r="AJ434" s="343"/>
      <c r="AK434" s="343"/>
      <c r="AL434" s="538"/>
      <c r="AM434" s="343"/>
      <c r="AN434" s="343"/>
      <c r="AO434" s="538"/>
      <c r="AP434" s="343"/>
      <c r="AQ434" s="343"/>
      <c r="AS434" s="343"/>
      <c r="AT434" s="538"/>
      <c r="AU434" s="343"/>
      <c r="AV434" s="343"/>
      <c r="AW434" s="538"/>
      <c r="AX434" s="343"/>
      <c r="AY434" s="343"/>
      <c r="AZ434" s="538"/>
      <c r="BA434" s="343"/>
      <c r="BB434" s="343"/>
      <c r="BC434" s="538"/>
      <c r="BD434" s="343"/>
      <c r="BE434" s="343"/>
      <c r="BG434" s="644"/>
      <c r="BH434" s="515"/>
      <c r="BI434" s="515"/>
      <c r="BJ434" s="644"/>
      <c r="BK434" s="515"/>
      <c r="BL434" s="515"/>
      <c r="BM434" s="644"/>
      <c r="BN434" s="515"/>
      <c r="BO434" s="515"/>
      <c r="BP434" s="644"/>
      <c r="BQ434" s="515"/>
      <c r="BR434" s="515"/>
    </row>
    <row r="435" spans="4:70" x14ac:dyDescent="0.25">
      <c r="D435" s="538"/>
      <c r="G435" s="538"/>
      <c r="J435" s="538"/>
      <c r="M435" s="538"/>
      <c r="R435" s="538"/>
      <c r="S435" s="343"/>
      <c r="T435" s="343"/>
      <c r="U435" s="538"/>
      <c r="V435" s="343"/>
      <c r="W435" s="343"/>
      <c r="X435" s="538"/>
      <c r="Y435" s="343"/>
      <c r="Z435" s="343"/>
      <c r="AA435" s="538"/>
      <c r="AB435" s="343"/>
      <c r="AC435" s="343"/>
      <c r="AE435" s="343"/>
      <c r="AF435" s="538"/>
      <c r="AG435" s="343"/>
      <c r="AH435" s="343"/>
      <c r="AI435" s="538"/>
      <c r="AJ435" s="343"/>
      <c r="AK435" s="343"/>
      <c r="AL435" s="538"/>
      <c r="AM435" s="343"/>
      <c r="AN435" s="343"/>
      <c r="AO435" s="538"/>
      <c r="AP435" s="343"/>
      <c r="AQ435" s="343"/>
      <c r="AS435" s="343"/>
      <c r="AT435" s="538"/>
      <c r="AU435" s="343"/>
      <c r="AV435" s="343"/>
      <c r="AW435" s="538"/>
      <c r="AX435" s="343"/>
      <c r="AY435" s="343"/>
      <c r="AZ435" s="538"/>
      <c r="BA435" s="343"/>
      <c r="BB435" s="343"/>
      <c r="BC435" s="538"/>
      <c r="BD435" s="343"/>
      <c r="BE435" s="343"/>
      <c r="BG435" s="644"/>
      <c r="BH435" s="515"/>
      <c r="BI435" s="515"/>
      <c r="BJ435" s="644"/>
      <c r="BK435" s="515"/>
      <c r="BL435" s="515"/>
      <c r="BM435" s="644"/>
      <c r="BN435" s="515"/>
      <c r="BO435" s="515"/>
      <c r="BP435" s="644"/>
      <c r="BQ435" s="515"/>
      <c r="BR435" s="515"/>
    </row>
    <row r="436" spans="4:70" x14ac:dyDescent="0.25">
      <c r="D436" s="538"/>
      <c r="G436" s="538"/>
      <c r="J436" s="538"/>
      <c r="M436" s="538"/>
      <c r="R436" s="538"/>
      <c r="S436" s="343"/>
      <c r="T436" s="343"/>
      <c r="U436" s="538"/>
      <c r="V436" s="343"/>
      <c r="W436" s="343"/>
      <c r="X436" s="538"/>
      <c r="Y436" s="343"/>
      <c r="Z436" s="343"/>
      <c r="AA436" s="538"/>
      <c r="AB436" s="343"/>
      <c r="AC436" s="343"/>
      <c r="AE436" s="343"/>
      <c r="AF436" s="538"/>
      <c r="AG436" s="343"/>
      <c r="AH436" s="343"/>
      <c r="AI436" s="538"/>
      <c r="AJ436" s="343"/>
      <c r="AK436" s="343"/>
      <c r="AL436" s="538"/>
      <c r="AM436" s="343"/>
      <c r="AN436" s="343"/>
      <c r="AO436" s="538"/>
      <c r="AP436" s="343"/>
      <c r="AQ436" s="343"/>
      <c r="AS436" s="343"/>
      <c r="AT436" s="538"/>
      <c r="AU436" s="343"/>
      <c r="AV436" s="343"/>
      <c r="AW436" s="538"/>
      <c r="AX436" s="343"/>
      <c r="AY436" s="343"/>
      <c r="AZ436" s="538"/>
      <c r="BA436" s="343"/>
      <c r="BB436" s="343"/>
      <c r="BC436" s="538"/>
      <c r="BD436" s="343"/>
      <c r="BE436" s="343"/>
      <c r="BG436" s="644"/>
      <c r="BH436" s="515"/>
      <c r="BI436" s="515"/>
      <c r="BJ436" s="644"/>
      <c r="BK436" s="515"/>
      <c r="BL436" s="515"/>
      <c r="BM436" s="644"/>
      <c r="BN436" s="515"/>
      <c r="BO436" s="515"/>
      <c r="BP436" s="644"/>
      <c r="BQ436" s="515"/>
      <c r="BR436" s="515"/>
    </row>
    <row r="437" spans="4:70" x14ac:dyDescent="0.25">
      <c r="D437" s="538"/>
      <c r="G437" s="538"/>
      <c r="J437" s="538"/>
      <c r="M437" s="538"/>
      <c r="R437" s="538"/>
      <c r="S437" s="343"/>
      <c r="T437" s="343"/>
      <c r="U437" s="538"/>
      <c r="V437" s="343"/>
      <c r="W437" s="343"/>
      <c r="X437" s="538"/>
      <c r="Y437" s="343"/>
      <c r="Z437" s="343"/>
      <c r="AA437" s="538"/>
      <c r="AB437" s="343"/>
      <c r="AC437" s="343"/>
      <c r="AE437" s="343"/>
      <c r="AF437" s="538"/>
      <c r="AG437" s="343"/>
      <c r="AH437" s="343"/>
      <c r="AI437" s="538"/>
      <c r="AJ437" s="343"/>
      <c r="AK437" s="343"/>
      <c r="AL437" s="538"/>
      <c r="AM437" s="343"/>
      <c r="AN437" s="343"/>
      <c r="AO437" s="538"/>
      <c r="AP437" s="343"/>
      <c r="AQ437" s="343"/>
      <c r="AS437" s="343"/>
      <c r="AT437" s="538"/>
      <c r="AU437" s="343"/>
      <c r="AV437" s="343"/>
      <c r="AW437" s="538"/>
      <c r="AX437" s="343"/>
      <c r="AY437" s="343"/>
      <c r="AZ437" s="538"/>
      <c r="BA437" s="343"/>
      <c r="BB437" s="343"/>
      <c r="BC437" s="538"/>
      <c r="BD437" s="343"/>
      <c r="BE437" s="343"/>
      <c r="BG437" s="644"/>
      <c r="BH437" s="515"/>
      <c r="BI437" s="515"/>
      <c r="BJ437" s="644"/>
      <c r="BK437" s="515"/>
      <c r="BL437" s="515"/>
      <c r="BM437" s="644"/>
      <c r="BN437" s="515"/>
      <c r="BO437" s="515"/>
      <c r="BP437" s="644"/>
      <c r="BQ437" s="515"/>
      <c r="BR437" s="515"/>
    </row>
    <row r="438" spans="4:70" x14ac:dyDescent="0.25">
      <c r="D438" s="538"/>
      <c r="G438" s="538"/>
      <c r="J438" s="538"/>
      <c r="M438" s="538"/>
      <c r="R438" s="538"/>
      <c r="S438" s="343"/>
      <c r="T438" s="343"/>
      <c r="U438" s="538"/>
      <c r="V438" s="343"/>
      <c r="W438" s="343"/>
      <c r="X438" s="538"/>
      <c r="Y438" s="343"/>
      <c r="Z438" s="343"/>
      <c r="AA438" s="538"/>
      <c r="AB438" s="343"/>
      <c r="AC438" s="343"/>
      <c r="AE438" s="343"/>
      <c r="AF438" s="538"/>
      <c r="AG438" s="343"/>
      <c r="AH438" s="343"/>
      <c r="AI438" s="538"/>
      <c r="AJ438" s="343"/>
      <c r="AK438" s="343"/>
      <c r="AL438" s="538"/>
      <c r="AM438" s="343"/>
      <c r="AN438" s="343"/>
      <c r="AO438" s="538"/>
      <c r="AP438" s="343"/>
      <c r="AQ438" s="343"/>
      <c r="AS438" s="343"/>
      <c r="AT438" s="538"/>
      <c r="AU438" s="343"/>
      <c r="AV438" s="343"/>
      <c r="AW438" s="538"/>
      <c r="AX438" s="343"/>
      <c r="AY438" s="343"/>
      <c r="AZ438" s="538"/>
      <c r="BA438" s="343"/>
      <c r="BB438" s="343"/>
      <c r="BC438" s="538"/>
      <c r="BD438" s="343"/>
      <c r="BE438" s="343"/>
      <c r="BG438" s="644"/>
      <c r="BH438" s="515"/>
      <c r="BI438" s="515"/>
      <c r="BJ438" s="644"/>
      <c r="BK438" s="515"/>
      <c r="BL438" s="515"/>
      <c r="BM438" s="644"/>
      <c r="BN438" s="515"/>
      <c r="BO438" s="515"/>
      <c r="BP438" s="644"/>
      <c r="BQ438" s="515"/>
      <c r="BR438" s="515"/>
    </row>
    <row r="439" spans="4:70" x14ac:dyDescent="0.25">
      <c r="D439" s="538"/>
      <c r="G439" s="538"/>
      <c r="J439" s="538"/>
      <c r="M439" s="538"/>
      <c r="R439" s="538"/>
      <c r="S439" s="343"/>
      <c r="T439" s="343"/>
      <c r="U439" s="538"/>
      <c r="V439" s="343"/>
      <c r="W439" s="343"/>
      <c r="X439" s="538"/>
      <c r="Y439" s="343"/>
      <c r="Z439" s="343"/>
      <c r="AA439" s="538"/>
      <c r="AB439" s="343"/>
      <c r="AC439" s="343"/>
      <c r="AE439" s="343"/>
      <c r="AF439" s="538"/>
      <c r="AG439" s="343"/>
      <c r="AH439" s="343"/>
      <c r="AI439" s="538"/>
      <c r="AJ439" s="343"/>
      <c r="AK439" s="343"/>
      <c r="AL439" s="538"/>
      <c r="AM439" s="343"/>
      <c r="AN439" s="343"/>
      <c r="AO439" s="538"/>
      <c r="AP439" s="343"/>
      <c r="AQ439" s="343"/>
      <c r="AS439" s="343"/>
      <c r="AT439" s="538"/>
      <c r="AU439" s="343"/>
      <c r="AV439" s="343"/>
      <c r="AW439" s="538"/>
      <c r="AX439" s="343"/>
      <c r="AY439" s="343"/>
      <c r="AZ439" s="538"/>
      <c r="BA439" s="343"/>
      <c r="BB439" s="343"/>
      <c r="BC439" s="538"/>
      <c r="BD439" s="343"/>
      <c r="BE439" s="343"/>
      <c r="BG439" s="644"/>
      <c r="BH439" s="515"/>
      <c r="BI439" s="515"/>
      <c r="BJ439" s="644"/>
      <c r="BK439" s="515"/>
      <c r="BL439" s="515"/>
      <c r="BM439" s="644"/>
      <c r="BN439" s="515"/>
      <c r="BO439" s="515"/>
      <c r="BP439" s="644"/>
      <c r="BQ439" s="515"/>
      <c r="BR439" s="515"/>
    </row>
    <row r="440" spans="4:70" x14ac:dyDescent="0.25">
      <c r="D440" s="538"/>
      <c r="G440" s="538"/>
      <c r="J440" s="538"/>
      <c r="M440" s="538"/>
      <c r="R440" s="538"/>
      <c r="S440" s="343"/>
      <c r="T440" s="343"/>
      <c r="U440" s="538"/>
      <c r="V440" s="343"/>
      <c r="W440" s="343"/>
      <c r="X440" s="538"/>
      <c r="Y440" s="343"/>
      <c r="Z440" s="343"/>
      <c r="AA440" s="538"/>
      <c r="AB440" s="343"/>
      <c r="AC440" s="343"/>
      <c r="AE440" s="343"/>
      <c r="AF440" s="538"/>
      <c r="AG440" s="343"/>
      <c r="AH440" s="343"/>
      <c r="AI440" s="538"/>
      <c r="AJ440" s="343"/>
      <c r="AK440" s="343"/>
      <c r="AL440" s="538"/>
      <c r="AM440" s="343"/>
      <c r="AN440" s="343"/>
      <c r="AO440" s="538"/>
      <c r="AP440" s="343"/>
      <c r="AQ440" s="343"/>
      <c r="AS440" s="343"/>
      <c r="AT440" s="538"/>
      <c r="AU440" s="343"/>
      <c r="AV440" s="343"/>
      <c r="AW440" s="538"/>
      <c r="AX440" s="343"/>
      <c r="AY440" s="343"/>
      <c r="AZ440" s="538"/>
      <c r="BA440" s="343"/>
      <c r="BB440" s="343"/>
      <c r="BC440" s="538"/>
      <c r="BD440" s="343"/>
      <c r="BE440" s="343"/>
      <c r="BG440" s="644"/>
      <c r="BH440" s="515"/>
      <c r="BI440" s="515"/>
      <c r="BJ440" s="644"/>
      <c r="BK440" s="515"/>
      <c r="BL440" s="515"/>
      <c r="BM440" s="644"/>
      <c r="BN440" s="515"/>
      <c r="BO440" s="515"/>
      <c r="BP440" s="644"/>
      <c r="BQ440" s="515"/>
      <c r="BR440" s="515"/>
    </row>
    <row r="441" spans="4:70" x14ac:dyDescent="0.25">
      <c r="D441" s="538"/>
      <c r="G441" s="538"/>
      <c r="J441" s="538"/>
      <c r="M441" s="538"/>
      <c r="R441" s="538"/>
      <c r="S441" s="343"/>
      <c r="T441" s="343"/>
      <c r="U441" s="538"/>
      <c r="V441" s="343"/>
      <c r="W441" s="343"/>
      <c r="X441" s="538"/>
      <c r="Y441" s="343"/>
      <c r="Z441" s="343"/>
      <c r="AA441" s="538"/>
      <c r="AB441" s="343"/>
      <c r="AC441" s="343"/>
      <c r="AE441" s="343"/>
      <c r="AF441" s="538"/>
      <c r="AG441" s="343"/>
      <c r="AH441" s="343"/>
      <c r="AI441" s="538"/>
      <c r="AJ441" s="343"/>
      <c r="AK441" s="343"/>
      <c r="AL441" s="538"/>
      <c r="AM441" s="343"/>
      <c r="AN441" s="343"/>
      <c r="AO441" s="538"/>
      <c r="AP441" s="343"/>
      <c r="AQ441" s="343"/>
      <c r="AS441" s="343"/>
      <c r="AT441" s="538"/>
      <c r="AU441" s="343"/>
      <c r="AV441" s="343"/>
      <c r="AW441" s="538"/>
      <c r="AX441" s="343"/>
      <c r="AY441" s="343"/>
      <c r="AZ441" s="538"/>
      <c r="BA441" s="343"/>
      <c r="BB441" s="343"/>
      <c r="BC441" s="538"/>
      <c r="BD441" s="343"/>
      <c r="BE441" s="343"/>
      <c r="BG441" s="644"/>
      <c r="BH441" s="515"/>
      <c r="BI441" s="515"/>
      <c r="BJ441" s="644"/>
      <c r="BK441" s="515"/>
      <c r="BL441" s="515"/>
      <c r="BM441" s="644"/>
      <c r="BN441" s="515"/>
      <c r="BO441" s="515"/>
      <c r="BP441" s="644"/>
      <c r="BQ441" s="515"/>
      <c r="BR441" s="515"/>
    </row>
    <row r="442" spans="4:70" x14ac:dyDescent="0.25">
      <c r="D442" s="538"/>
      <c r="G442" s="538"/>
      <c r="J442" s="538"/>
      <c r="M442" s="538"/>
      <c r="R442" s="538"/>
      <c r="S442" s="343"/>
      <c r="T442" s="343"/>
      <c r="U442" s="538"/>
      <c r="V442" s="343"/>
      <c r="W442" s="343"/>
      <c r="X442" s="538"/>
      <c r="Y442" s="343"/>
      <c r="Z442" s="343"/>
      <c r="AA442" s="538"/>
      <c r="AB442" s="343"/>
      <c r="AC442" s="343"/>
      <c r="AE442" s="343"/>
      <c r="AF442" s="538"/>
      <c r="AG442" s="343"/>
      <c r="AH442" s="343"/>
      <c r="AI442" s="538"/>
      <c r="AJ442" s="343"/>
      <c r="AK442" s="343"/>
      <c r="AL442" s="538"/>
      <c r="AM442" s="343"/>
      <c r="AN442" s="343"/>
      <c r="AO442" s="538"/>
      <c r="AP442" s="343"/>
      <c r="AQ442" s="343"/>
      <c r="AS442" s="343"/>
      <c r="AT442" s="538"/>
      <c r="AU442" s="343"/>
      <c r="AV442" s="343"/>
      <c r="AW442" s="538"/>
      <c r="AX442" s="343"/>
      <c r="AY442" s="343"/>
      <c r="AZ442" s="538"/>
      <c r="BA442" s="343"/>
      <c r="BB442" s="343"/>
      <c r="BC442" s="538"/>
      <c r="BD442" s="343"/>
      <c r="BE442" s="343"/>
      <c r="BG442" s="644"/>
      <c r="BH442" s="515"/>
      <c r="BI442" s="515"/>
      <c r="BJ442" s="644"/>
      <c r="BK442" s="515"/>
      <c r="BL442" s="515"/>
      <c r="BM442" s="644"/>
      <c r="BN442" s="515"/>
      <c r="BO442" s="515"/>
      <c r="BP442" s="644"/>
      <c r="BQ442" s="515"/>
      <c r="BR442" s="515"/>
    </row>
    <row r="443" spans="4:70" x14ac:dyDescent="0.25">
      <c r="D443" s="538"/>
      <c r="G443" s="538"/>
      <c r="J443" s="538"/>
      <c r="M443" s="538"/>
      <c r="R443" s="538"/>
      <c r="S443" s="343"/>
      <c r="T443" s="343"/>
      <c r="U443" s="538"/>
      <c r="V443" s="343"/>
      <c r="W443" s="343"/>
      <c r="X443" s="538"/>
      <c r="Y443" s="343"/>
      <c r="Z443" s="343"/>
      <c r="AA443" s="538"/>
      <c r="AB443" s="343"/>
      <c r="AC443" s="343"/>
      <c r="AE443" s="343"/>
      <c r="AF443" s="538"/>
      <c r="AG443" s="343"/>
      <c r="AH443" s="343"/>
      <c r="AI443" s="538"/>
      <c r="AJ443" s="343"/>
      <c r="AK443" s="343"/>
      <c r="AL443" s="538"/>
      <c r="AM443" s="343"/>
      <c r="AN443" s="343"/>
      <c r="AO443" s="538"/>
      <c r="AP443" s="343"/>
      <c r="AQ443" s="343"/>
      <c r="AS443" s="343"/>
      <c r="AT443" s="538"/>
      <c r="AU443" s="343"/>
      <c r="AV443" s="343"/>
      <c r="AW443" s="538"/>
      <c r="AX443" s="343"/>
      <c r="AY443" s="343"/>
      <c r="AZ443" s="538"/>
      <c r="BA443" s="343"/>
      <c r="BB443" s="343"/>
      <c r="BC443" s="538"/>
      <c r="BD443" s="343"/>
      <c r="BE443" s="343"/>
      <c r="BG443" s="644"/>
      <c r="BH443" s="515"/>
      <c r="BI443" s="515"/>
      <c r="BJ443" s="644"/>
      <c r="BK443" s="515"/>
      <c r="BL443" s="515"/>
      <c r="BM443" s="644"/>
      <c r="BN443" s="515"/>
      <c r="BO443" s="515"/>
      <c r="BP443" s="644"/>
      <c r="BQ443" s="515"/>
      <c r="BR443" s="515"/>
    </row>
    <row r="444" spans="4:70" x14ac:dyDescent="0.25">
      <c r="D444" s="538"/>
      <c r="G444" s="538"/>
      <c r="J444" s="538"/>
      <c r="M444" s="538"/>
      <c r="R444" s="538"/>
      <c r="S444" s="343"/>
      <c r="T444" s="343"/>
      <c r="U444" s="538"/>
      <c r="V444" s="343"/>
      <c r="W444" s="343"/>
      <c r="X444" s="538"/>
      <c r="Y444" s="343"/>
      <c r="Z444" s="343"/>
      <c r="AA444" s="538"/>
      <c r="AB444" s="343"/>
      <c r="AC444" s="343"/>
      <c r="AE444" s="343"/>
      <c r="AF444" s="538"/>
      <c r="AG444" s="343"/>
      <c r="AH444" s="343"/>
      <c r="AI444" s="538"/>
      <c r="AJ444" s="343"/>
      <c r="AK444" s="343"/>
      <c r="AL444" s="538"/>
      <c r="AM444" s="343"/>
      <c r="AN444" s="343"/>
      <c r="AO444" s="538"/>
      <c r="AP444" s="343"/>
      <c r="AQ444" s="343"/>
      <c r="AS444" s="343"/>
      <c r="AT444" s="538"/>
      <c r="AU444" s="343"/>
      <c r="AV444" s="343"/>
      <c r="AW444" s="538"/>
      <c r="AX444" s="343"/>
      <c r="AY444" s="343"/>
      <c r="AZ444" s="538"/>
      <c r="BA444" s="343"/>
      <c r="BB444" s="343"/>
      <c r="BC444" s="538"/>
      <c r="BD444" s="343"/>
      <c r="BE444" s="343"/>
      <c r="BG444" s="644"/>
      <c r="BH444" s="515"/>
      <c r="BI444" s="515"/>
      <c r="BJ444" s="644"/>
      <c r="BK444" s="515"/>
      <c r="BL444" s="515"/>
      <c r="BM444" s="644"/>
      <c r="BN444" s="515"/>
      <c r="BO444" s="515"/>
      <c r="BP444" s="644"/>
      <c r="BQ444" s="515"/>
      <c r="BR444" s="515"/>
    </row>
    <row r="445" spans="4:70" x14ac:dyDescent="0.25">
      <c r="D445" s="538"/>
      <c r="G445" s="538"/>
      <c r="J445" s="538"/>
      <c r="M445" s="538"/>
      <c r="R445" s="538"/>
      <c r="S445" s="343"/>
      <c r="T445" s="343"/>
      <c r="U445" s="538"/>
      <c r="V445" s="343"/>
      <c r="W445" s="343"/>
      <c r="X445" s="538"/>
      <c r="Y445" s="343"/>
      <c r="Z445" s="343"/>
      <c r="AA445" s="538"/>
      <c r="AB445" s="343"/>
      <c r="AC445" s="343"/>
      <c r="AE445" s="343"/>
      <c r="AF445" s="538"/>
      <c r="AG445" s="343"/>
      <c r="AH445" s="343"/>
      <c r="AI445" s="538"/>
      <c r="AJ445" s="343"/>
      <c r="AK445" s="343"/>
      <c r="AL445" s="538"/>
      <c r="AM445" s="343"/>
      <c r="AN445" s="343"/>
      <c r="AO445" s="538"/>
      <c r="AP445" s="343"/>
      <c r="AQ445" s="343"/>
      <c r="AS445" s="343"/>
      <c r="AT445" s="538"/>
      <c r="AU445" s="343"/>
      <c r="AV445" s="343"/>
      <c r="AW445" s="538"/>
      <c r="AX445" s="343"/>
      <c r="AY445" s="343"/>
      <c r="AZ445" s="538"/>
      <c r="BA445" s="343"/>
      <c r="BB445" s="343"/>
      <c r="BC445" s="538"/>
      <c r="BD445" s="343"/>
      <c r="BE445" s="343"/>
      <c r="BG445" s="644"/>
      <c r="BH445" s="515"/>
      <c r="BI445" s="515"/>
      <c r="BJ445" s="644"/>
      <c r="BK445" s="515"/>
      <c r="BL445" s="515"/>
      <c r="BM445" s="644"/>
      <c r="BN445" s="515"/>
      <c r="BO445" s="515"/>
      <c r="BP445" s="644"/>
      <c r="BQ445" s="515"/>
      <c r="BR445" s="515"/>
    </row>
    <row r="446" spans="4:70" x14ac:dyDescent="0.25">
      <c r="D446" s="538"/>
      <c r="G446" s="538"/>
      <c r="J446" s="538"/>
      <c r="M446" s="538"/>
      <c r="R446" s="538"/>
      <c r="S446" s="343"/>
      <c r="T446" s="343"/>
      <c r="U446" s="538"/>
      <c r="V446" s="343"/>
      <c r="W446" s="343"/>
      <c r="X446" s="538"/>
      <c r="Y446" s="343"/>
      <c r="Z446" s="343"/>
      <c r="AA446" s="538"/>
      <c r="AB446" s="343"/>
      <c r="AC446" s="343"/>
      <c r="AE446" s="343"/>
      <c r="AF446" s="538"/>
      <c r="AG446" s="343"/>
      <c r="AH446" s="343"/>
      <c r="AI446" s="538"/>
      <c r="AJ446" s="343"/>
      <c r="AK446" s="343"/>
      <c r="AL446" s="538"/>
      <c r="AM446" s="343"/>
      <c r="AN446" s="343"/>
      <c r="AO446" s="538"/>
      <c r="AP446" s="343"/>
      <c r="AQ446" s="343"/>
      <c r="AS446" s="343"/>
      <c r="AT446" s="538"/>
      <c r="AU446" s="343"/>
      <c r="AV446" s="343"/>
      <c r="AW446" s="538"/>
      <c r="AX446" s="343"/>
      <c r="AY446" s="343"/>
      <c r="AZ446" s="538"/>
      <c r="BA446" s="343"/>
      <c r="BB446" s="343"/>
      <c r="BC446" s="538"/>
      <c r="BD446" s="343"/>
      <c r="BE446" s="343"/>
      <c r="BG446" s="644"/>
      <c r="BH446" s="515"/>
      <c r="BI446" s="515"/>
      <c r="BJ446" s="644"/>
      <c r="BK446" s="515"/>
      <c r="BL446" s="515"/>
      <c r="BM446" s="644"/>
      <c r="BN446" s="515"/>
      <c r="BO446" s="515"/>
      <c r="BP446" s="644"/>
      <c r="BQ446" s="515"/>
      <c r="BR446" s="515"/>
    </row>
    <row r="447" spans="4:70" x14ac:dyDescent="0.25">
      <c r="D447" s="538"/>
      <c r="G447" s="538"/>
      <c r="J447" s="538"/>
      <c r="M447" s="538"/>
      <c r="R447" s="538"/>
      <c r="S447" s="343"/>
      <c r="T447" s="343"/>
      <c r="U447" s="538"/>
      <c r="V447" s="343"/>
      <c r="W447" s="343"/>
      <c r="X447" s="538"/>
      <c r="Y447" s="343"/>
      <c r="Z447" s="343"/>
      <c r="AA447" s="538"/>
      <c r="AB447" s="343"/>
      <c r="AC447" s="343"/>
      <c r="AE447" s="343"/>
      <c r="AF447" s="538"/>
      <c r="AG447" s="343"/>
      <c r="AH447" s="343"/>
      <c r="AI447" s="538"/>
      <c r="AJ447" s="343"/>
      <c r="AK447" s="343"/>
      <c r="AL447" s="538"/>
      <c r="AM447" s="343"/>
      <c r="AN447" s="343"/>
      <c r="AO447" s="538"/>
      <c r="AP447" s="343"/>
      <c r="AQ447" s="343"/>
      <c r="AS447" s="343"/>
      <c r="AT447" s="538"/>
      <c r="AU447" s="343"/>
      <c r="AV447" s="343"/>
      <c r="AW447" s="538"/>
      <c r="AX447" s="343"/>
      <c r="AY447" s="343"/>
      <c r="AZ447" s="538"/>
      <c r="BA447" s="343"/>
      <c r="BB447" s="343"/>
      <c r="BC447" s="538"/>
      <c r="BD447" s="343"/>
      <c r="BE447" s="343"/>
      <c r="BG447" s="644"/>
      <c r="BH447" s="515"/>
      <c r="BI447" s="515"/>
      <c r="BJ447" s="644"/>
      <c r="BK447" s="515"/>
      <c r="BL447" s="515"/>
      <c r="BM447" s="644"/>
      <c r="BN447" s="515"/>
      <c r="BO447" s="515"/>
      <c r="BP447" s="644"/>
      <c r="BQ447" s="515"/>
      <c r="BR447" s="515"/>
    </row>
    <row r="448" spans="4:70" x14ac:dyDescent="0.25">
      <c r="D448" s="538"/>
      <c r="G448" s="538"/>
      <c r="J448" s="538"/>
      <c r="M448" s="538"/>
      <c r="R448" s="538"/>
      <c r="S448" s="343"/>
      <c r="T448" s="343"/>
      <c r="U448" s="538"/>
      <c r="V448" s="343"/>
      <c r="W448" s="343"/>
      <c r="X448" s="538"/>
      <c r="Y448" s="343"/>
      <c r="Z448" s="343"/>
      <c r="AA448" s="538"/>
      <c r="AB448" s="343"/>
      <c r="AC448" s="343"/>
      <c r="AE448" s="343"/>
      <c r="AF448" s="538"/>
      <c r="AG448" s="343"/>
      <c r="AH448" s="343"/>
      <c r="AI448" s="538"/>
      <c r="AJ448" s="343"/>
      <c r="AK448" s="343"/>
      <c r="AL448" s="538"/>
      <c r="AM448" s="343"/>
      <c r="AN448" s="343"/>
      <c r="AO448" s="538"/>
      <c r="AP448" s="343"/>
      <c r="AQ448" s="343"/>
      <c r="AS448" s="343"/>
      <c r="AT448" s="538"/>
      <c r="AU448" s="343"/>
      <c r="AV448" s="343"/>
      <c r="AW448" s="538"/>
      <c r="AX448" s="343"/>
      <c r="AY448" s="343"/>
      <c r="AZ448" s="538"/>
      <c r="BA448" s="343"/>
      <c r="BB448" s="343"/>
      <c r="BC448" s="538"/>
      <c r="BD448" s="343"/>
      <c r="BE448" s="343"/>
      <c r="BG448" s="644"/>
      <c r="BH448" s="515"/>
      <c r="BI448" s="515"/>
      <c r="BJ448" s="644"/>
      <c r="BK448" s="515"/>
      <c r="BL448" s="515"/>
      <c r="BM448" s="644"/>
      <c r="BN448" s="515"/>
      <c r="BO448" s="515"/>
      <c r="BP448" s="644"/>
      <c r="BQ448" s="515"/>
      <c r="BR448" s="515"/>
    </row>
    <row r="449" spans="4:70" x14ac:dyDescent="0.25">
      <c r="D449" s="538"/>
      <c r="G449" s="538"/>
      <c r="J449" s="538"/>
      <c r="M449" s="538"/>
      <c r="R449" s="538"/>
      <c r="S449" s="343"/>
      <c r="T449" s="343"/>
      <c r="U449" s="538"/>
      <c r="V449" s="343"/>
      <c r="W449" s="343"/>
      <c r="X449" s="538"/>
      <c r="Y449" s="343"/>
      <c r="Z449" s="343"/>
      <c r="AA449" s="538"/>
      <c r="AB449" s="343"/>
      <c r="AC449" s="343"/>
      <c r="AE449" s="343"/>
      <c r="AF449" s="538"/>
      <c r="AG449" s="343"/>
      <c r="AH449" s="343"/>
      <c r="AI449" s="538"/>
      <c r="AJ449" s="343"/>
      <c r="AK449" s="343"/>
      <c r="AL449" s="538"/>
      <c r="AM449" s="343"/>
      <c r="AN449" s="343"/>
      <c r="AO449" s="538"/>
      <c r="AP449" s="343"/>
      <c r="AQ449" s="343"/>
      <c r="AS449" s="343"/>
      <c r="AT449" s="538"/>
      <c r="AU449" s="343"/>
      <c r="AV449" s="343"/>
      <c r="AW449" s="538"/>
      <c r="AX449" s="343"/>
      <c r="AY449" s="343"/>
      <c r="AZ449" s="538"/>
      <c r="BA449" s="343"/>
      <c r="BB449" s="343"/>
      <c r="BC449" s="538"/>
      <c r="BD449" s="343"/>
      <c r="BE449" s="343"/>
      <c r="BG449" s="644"/>
      <c r="BH449" s="515"/>
      <c r="BI449" s="515"/>
      <c r="BJ449" s="644"/>
      <c r="BK449" s="515"/>
      <c r="BL449" s="515"/>
      <c r="BM449" s="644"/>
      <c r="BN449" s="515"/>
      <c r="BO449" s="515"/>
      <c r="BP449" s="644"/>
      <c r="BQ449" s="515"/>
      <c r="BR449" s="515"/>
    </row>
    <row r="450" spans="4:70" x14ac:dyDescent="0.25">
      <c r="D450" s="538"/>
      <c r="G450" s="538"/>
      <c r="J450" s="538"/>
      <c r="M450" s="538"/>
      <c r="R450" s="538"/>
      <c r="S450" s="343"/>
      <c r="T450" s="343"/>
      <c r="U450" s="538"/>
      <c r="V450" s="343"/>
      <c r="W450" s="343"/>
      <c r="X450" s="538"/>
      <c r="Y450" s="343"/>
      <c r="Z450" s="343"/>
      <c r="AA450" s="538"/>
      <c r="AB450" s="343"/>
      <c r="AC450" s="343"/>
      <c r="AE450" s="343"/>
      <c r="AF450" s="538"/>
      <c r="AG450" s="343"/>
      <c r="AH450" s="343"/>
      <c r="AI450" s="538"/>
      <c r="AJ450" s="343"/>
      <c r="AK450" s="343"/>
      <c r="AL450" s="538"/>
      <c r="AM450" s="343"/>
      <c r="AN450" s="343"/>
      <c r="AO450" s="538"/>
      <c r="AP450" s="343"/>
      <c r="AQ450" s="343"/>
      <c r="AS450" s="343"/>
      <c r="AT450" s="538"/>
      <c r="AU450" s="343"/>
      <c r="AV450" s="343"/>
      <c r="AW450" s="538"/>
      <c r="AX450" s="343"/>
      <c r="AY450" s="343"/>
      <c r="AZ450" s="538"/>
      <c r="BA450" s="343"/>
      <c r="BB450" s="343"/>
      <c r="BC450" s="538"/>
      <c r="BD450" s="343"/>
      <c r="BE450" s="343"/>
      <c r="BG450" s="644"/>
      <c r="BH450" s="515"/>
      <c r="BI450" s="515"/>
      <c r="BJ450" s="644"/>
      <c r="BK450" s="515"/>
      <c r="BL450" s="515"/>
      <c r="BM450" s="644"/>
      <c r="BN450" s="515"/>
      <c r="BO450" s="515"/>
      <c r="BP450" s="644"/>
      <c r="BQ450" s="515"/>
      <c r="BR450" s="515"/>
    </row>
    <row r="451" spans="4:70" x14ac:dyDescent="0.25">
      <c r="D451" s="538"/>
      <c r="G451" s="538"/>
      <c r="J451" s="538"/>
      <c r="M451" s="538"/>
      <c r="R451" s="538"/>
      <c r="S451" s="343"/>
      <c r="T451" s="343"/>
      <c r="U451" s="538"/>
      <c r="V451" s="343"/>
      <c r="W451" s="343"/>
      <c r="X451" s="538"/>
      <c r="Y451" s="343"/>
      <c r="Z451" s="343"/>
      <c r="AA451" s="538"/>
      <c r="AB451" s="343"/>
      <c r="AC451" s="343"/>
      <c r="AE451" s="343"/>
      <c r="AF451" s="538"/>
      <c r="AG451" s="343"/>
      <c r="AH451" s="343"/>
      <c r="AI451" s="538"/>
      <c r="AJ451" s="343"/>
      <c r="AK451" s="343"/>
      <c r="AL451" s="538"/>
      <c r="AM451" s="343"/>
      <c r="AN451" s="343"/>
      <c r="AO451" s="538"/>
      <c r="AP451" s="343"/>
      <c r="AQ451" s="343"/>
      <c r="AS451" s="343"/>
      <c r="AT451" s="538"/>
      <c r="AU451" s="343"/>
      <c r="AV451" s="343"/>
      <c r="AW451" s="538"/>
      <c r="AX451" s="343"/>
      <c r="AY451" s="343"/>
      <c r="AZ451" s="538"/>
      <c r="BA451" s="343"/>
      <c r="BB451" s="343"/>
      <c r="BC451" s="538"/>
      <c r="BD451" s="343"/>
      <c r="BE451" s="343"/>
      <c r="BG451" s="644"/>
      <c r="BH451" s="515"/>
      <c r="BI451" s="515"/>
      <c r="BJ451" s="644"/>
      <c r="BK451" s="515"/>
      <c r="BL451" s="515"/>
      <c r="BM451" s="644"/>
      <c r="BN451" s="515"/>
      <c r="BO451" s="515"/>
      <c r="BP451" s="644"/>
      <c r="BQ451" s="515"/>
      <c r="BR451" s="515"/>
    </row>
    <row r="452" spans="4:70" x14ac:dyDescent="0.25">
      <c r="D452" s="538"/>
      <c r="G452" s="538"/>
      <c r="J452" s="538"/>
      <c r="M452" s="538"/>
      <c r="R452" s="538"/>
      <c r="S452" s="343"/>
      <c r="T452" s="343"/>
      <c r="U452" s="538"/>
      <c r="V452" s="343"/>
      <c r="W452" s="343"/>
      <c r="X452" s="538"/>
      <c r="Y452" s="343"/>
      <c r="Z452" s="343"/>
      <c r="AA452" s="538"/>
      <c r="AB452" s="343"/>
      <c r="AC452" s="343"/>
      <c r="AE452" s="343"/>
      <c r="AF452" s="538"/>
      <c r="AG452" s="343"/>
      <c r="AH452" s="343"/>
      <c r="AI452" s="538"/>
      <c r="AJ452" s="343"/>
      <c r="AK452" s="343"/>
      <c r="AL452" s="538"/>
      <c r="AM452" s="343"/>
      <c r="AN452" s="343"/>
      <c r="AO452" s="538"/>
      <c r="AP452" s="343"/>
      <c r="AQ452" s="343"/>
      <c r="AS452" s="343"/>
      <c r="AT452" s="538"/>
      <c r="AU452" s="343"/>
      <c r="AV452" s="343"/>
      <c r="AW452" s="538"/>
      <c r="AX452" s="343"/>
      <c r="AY452" s="343"/>
      <c r="AZ452" s="538"/>
      <c r="BA452" s="343"/>
      <c r="BB452" s="343"/>
      <c r="BC452" s="538"/>
      <c r="BD452" s="343"/>
      <c r="BE452" s="343"/>
      <c r="BG452" s="644"/>
      <c r="BH452" s="515"/>
      <c r="BI452" s="515"/>
      <c r="BJ452" s="644"/>
      <c r="BK452" s="515"/>
      <c r="BL452" s="515"/>
      <c r="BM452" s="644"/>
      <c r="BN452" s="515"/>
      <c r="BO452" s="515"/>
      <c r="BP452" s="644"/>
      <c r="BQ452" s="515"/>
      <c r="BR452" s="515"/>
    </row>
    <row r="453" spans="4:70" x14ac:dyDescent="0.25">
      <c r="D453" s="538"/>
      <c r="G453" s="538"/>
      <c r="J453" s="538"/>
      <c r="M453" s="538"/>
      <c r="R453" s="538"/>
      <c r="S453" s="343"/>
      <c r="T453" s="343"/>
      <c r="U453" s="538"/>
      <c r="V453" s="343"/>
      <c r="W453" s="343"/>
      <c r="X453" s="538"/>
      <c r="Y453" s="343"/>
      <c r="Z453" s="343"/>
      <c r="AA453" s="538"/>
      <c r="AB453" s="343"/>
      <c r="AC453" s="343"/>
      <c r="AE453" s="343"/>
      <c r="AF453" s="538"/>
      <c r="AG453" s="343"/>
      <c r="AH453" s="343"/>
      <c r="AI453" s="538"/>
      <c r="AJ453" s="343"/>
      <c r="AK453" s="343"/>
      <c r="AL453" s="538"/>
      <c r="AM453" s="343"/>
      <c r="AN453" s="343"/>
      <c r="AO453" s="538"/>
      <c r="AP453" s="343"/>
      <c r="AQ453" s="343"/>
      <c r="AS453" s="343"/>
      <c r="AT453" s="538"/>
      <c r="AU453" s="343"/>
      <c r="AV453" s="343"/>
      <c r="AW453" s="538"/>
      <c r="AX453" s="343"/>
      <c r="AY453" s="343"/>
      <c r="AZ453" s="538"/>
      <c r="BA453" s="343"/>
      <c r="BB453" s="343"/>
      <c r="BC453" s="538"/>
      <c r="BD453" s="343"/>
      <c r="BE453" s="343"/>
      <c r="BG453" s="644"/>
      <c r="BH453" s="515"/>
      <c r="BI453" s="515"/>
      <c r="BJ453" s="644"/>
      <c r="BK453" s="515"/>
      <c r="BL453" s="515"/>
      <c r="BM453" s="644"/>
      <c r="BN453" s="515"/>
      <c r="BO453" s="515"/>
      <c r="BP453" s="644"/>
      <c r="BQ453" s="515"/>
      <c r="BR453" s="515"/>
    </row>
    <row r="454" spans="4:70" x14ac:dyDescent="0.25">
      <c r="D454" s="538"/>
      <c r="G454" s="538"/>
      <c r="J454" s="538"/>
      <c r="M454" s="538"/>
      <c r="R454" s="538"/>
      <c r="S454" s="343"/>
      <c r="T454" s="343"/>
      <c r="U454" s="538"/>
      <c r="V454" s="343"/>
      <c r="W454" s="343"/>
      <c r="X454" s="538"/>
      <c r="Y454" s="343"/>
      <c r="Z454" s="343"/>
      <c r="AA454" s="538"/>
      <c r="AB454" s="343"/>
      <c r="AC454" s="343"/>
      <c r="AE454" s="343"/>
      <c r="AF454" s="538"/>
      <c r="AG454" s="343"/>
      <c r="AH454" s="343"/>
      <c r="AI454" s="538"/>
      <c r="AJ454" s="343"/>
      <c r="AK454" s="343"/>
      <c r="AL454" s="538"/>
      <c r="AM454" s="343"/>
      <c r="AN454" s="343"/>
      <c r="AO454" s="538"/>
      <c r="AP454" s="343"/>
      <c r="AQ454" s="343"/>
      <c r="AS454" s="343"/>
      <c r="AT454" s="538"/>
      <c r="AU454" s="343"/>
      <c r="AV454" s="343"/>
      <c r="AW454" s="538"/>
      <c r="AX454" s="343"/>
      <c r="AY454" s="343"/>
      <c r="AZ454" s="538"/>
      <c r="BA454" s="343"/>
      <c r="BB454" s="343"/>
      <c r="BC454" s="538"/>
      <c r="BD454" s="343"/>
      <c r="BE454" s="343"/>
      <c r="BG454" s="644"/>
      <c r="BH454" s="515"/>
      <c r="BI454" s="515"/>
      <c r="BJ454" s="644"/>
      <c r="BK454" s="515"/>
      <c r="BL454" s="515"/>
      <c r="BM454" s="644"/>
      <c r="BN454" s="515"/>
      <c r="BO454" s="515"/>
      <c r="BP454" s="644"/>
      <c r="BQ454" s="515"/>
      <c r="BR454" s="515"/>
    </row>
    <row r="455" spans="4:70" x14ac:dyDescent="0.25">
      <c r="D455" s="538"/>
      <c r="G455" s="538"/>
      <c r="J455" s="538"/>
      <c r="M455" s="538"/>
      <c r="R455" s="538"/>
      <c r="S455" s="343"/>
      <c r="T455" s="343"/>
      <c r="U455" s="538"/>
      <c r="V455" s="343"/>
      <c r="W455" s="343"/>
      <c r="X455" s="538"/>
      <c r="Y455" s="343"/>
      <c r="Z455" s="343"/>
      <c r="AA455" s="538"/>
      <c r="AB455" s="343"/>
      <c r="AC455" s="343"/>
      <c r="AE455" s="343"/>
      <c r="AF455" s="538"/>
      <c r="AG455" s="343"/>
      <c r="AH455" s="343"/>
      <c r="AI455" s="538"/>
      <c r="AJ455" s="343"/>
      <c r="AK455" s="343"/>
      <c r="AL455" s="538"/>
      <c r="AM455" s="343"/>
      <c r="AN455" s="343"/>
      <c r="AO455" s="538"/>
      <c r="AP455" s="343"/>
      <c r="AQ455" s="343"/>
      <c r="AS455" s="343"/>
      <c r="AT455" s="538"/>
      <c r="AU455" s="343"/>
      <c r="AV455" s="343"/>
      <c r="AW455" s="538"/>
      <c r="AX455" s="343"/>
      <c r="AY455" s="343"/>
      <c r="AZ455" s="538"/>
      <c r="BA455" s="343"/>
      <c r="BB455" s="343"/>
      <c r="BC455" s="538"/>
      <c r="BD455" s="343"/>
      <c r="BE455" s="343"/>
      <c r="BG455" s="644"/>
      <c r="BH455" s="515"/>
      <c r="BI455" s="515"/>
      <c r="BJ455" s="644"/>
      <c r="BK455" s="515"/>
      <c r="BL455" s="515"/>
      <c r="BM455" s="644"/>
      <c r="BN455" s="515"/>
      <c r="BO455" s="515"/>
      <c r="BP455" s="644"/>
      <c r="BQ455" s="515"/>
      <c r="BR455" s="515"/>
    </row>
    <row r="456" spans="4:70" x14ac:dyDescent="0.25">
      <c r="D456" s="538"/>
      <c r="G456" s="538"/>
      <c r="J456" s="538"/>
      <c r="M456" s="538"/>
      <c r="R456" s="538"/>
      <c r="S456" s="343"/>
      <c r="T456" s="343"/>
      <c r="U456" s="538"/>
      <c r="V456" s="343"/>
      <c r="W456" s="343"/>
      <c r="X456" s="538"/>
      <c r="Y456" s="343"/>
      <c r="Z456" s="343"/>
      <c r="AA456" s="538"/>
      <c r="AB456" s="343"/>
      <c r="AC456" s="343"/>
      <c r="AE456" s="343"/>
      <c r="AF456" s="538"/>
      <c r="AG456" s="343"/>
      <c r="AH456" s="343"/>
      <c r="AI456" s="538"/>
      <c r="AJ456" s="343"/>
      <c r="AK456" s="343"/>
      <c r="AL456" s="538"/>
      <c r="AM456" s="343"/>
      <c r="AN456" s="343"/>
      <c r="AO456" s="538"/>
      <c r="AP456" s="343"/>
      <c r="AQ456" s="343"/>
      <c r="AS456" s="343"/>
      <c r="AT456" s="538"/>
      <c r="AU456" s="343"/>
      <c r="AV456" s="343"/>
      <c r="AW456" s="538"/>
      <c r="AX456" s="343"/>
      <c r="AY456" s="343"/>
      <c r="AZ456" s="538"/>
      <c r="BA456" s="343"/>
      <c r="BB456" s="343"/>
      <c r="BC456" s="538"/>
      <c r="BD456" s="343"/>
      <c r="BE456" s="343"/>
      <c r="BG456" s="644"/>
      <c r="BH456" s="515"/>
      <c r="BI456" s="515"/>
      <c r="BJ456" s="644"/>
      <c r="BK456" s="515"/>
      <c r="BL456" s="515"/>
      <c r="BM456" s="644"/>
      <c r="BN456" s="515"/>
      <c r="BO456" s="515"/>
      <c r="BP456" s="644"/>
      <c r="BQ456" s="515"/>
      <c r="BR456" s="515"/>
    </row>
    <row r="457" spans="4:70" x14ac:dyDescent="0.25">
      <c r="D457" s="538"/>
      <c r="G457" s="538"/>
      <c r="J457" s="538"/>
      <c r="M457" s="538"/>
      <c r="R457" s="538"/>
      <c r="S457" s="343"/>
      <c r="T457" s="343"/>
      <c r="U457" s="538"/>
      <c r="V457" s="343"/>
      <c r="W457" s="343"/>
      <c r="X457" s="538"/>
      <c r="Y457" s="343"/>
      <c r="Z457" s="343"/>
      <c r="AA457" s="538"/>
      <c r="AB457" s="343"/>
      <c r="AC457" s="343"/>
      <c r="AE457" s="343"/>
      <c r="AF457" s="538"/>
      <c r="AG457" s="343"/>
      <c r="AH457" s="343"/>
      <c r="AI457" s="538"/>
      <c r="AJ457" s="343"/>
      <c r="AK457" s="343"/>
      <c r="AL457" s="538"/>
      <c r="AM457" s="343"/>
      <c r="AN457" s="343"/>
      <c r="AO457" s="538"/>
      <c r="AP457" s="343"/>
      <c r="AQ457" s="343"/>
      <c r="AS457" s="343"/>
      <c r="AT457" s="538"/>
      <c r="AU457" s="343"/>
      <c r="AV457" s="343"/>
      <c r="AW457" s="538"/>
      <c r="AX457" s="343"/>
      <c r="AY457" s="343"/>
      <c r="AZ457" s="538"/>
      <c r="BA457" s="343"/>
      <c r="BB457" s="343"/>
      <c r="BC457" s="538"/>
      <c r="BD457" s="343"/>
      <c r="BE457" s="343"/>
      <c r="BG457" s="644"/>
      <c r="BH457" s="515"/>
      <c r="BI457" s="515"/>
      <c r="BJ457" s="644"/>
      <c r="BK457" s="515"/>
      <c r="BL457" s="515"/>
      <c r="BM457" s="644"/>
      <c r="BN457" s="515"/>
      <c r="BO457" s="515"/>
      <c r="BP457" s="644"/>
      <c r="BQ457" s="515"/>
      <c r="BR457" s="515"/>
    </row>
    <row r="458" spans="4:70" x14ac:dyDescent="0.25">
      <c r="D458" s="538"/>
      <c r="G458" s="538"/>
      <c r="J458" s="538"/>
      <c r="M458" s="538"/>
      <c r="R458" s="538"/>
      <c r="S458" s="343"/>
      <c r="T458" s="343"/>
      <c r="U458" s="538"/>
      <c r="V458" s="343"/>
      <c r="W458" s="343"/>
      <c r="X458" s="538"/>
      <c r="Y458" s="343"/>
      <c r="Z458" s="343"/>
      <c r="AA458" s="538"/>
      <c r="AB458" s="343"/>
      <c r="AC458" s="343"/>
      <c r="AE458" s="343"/>
      <c r="AF458" s="538"/>
      <c r="AG458" s="343"/>
      <c r="AH458" s="343"/>
      <c r="AI458" s="538"/>
      <c r="AJ458" s="343"/>
      <c r="AK458" s="343"/>
      <c r="AL458" s="538"/>
      <c r="AM458" s="343"/>
      <c r="AN458" s="343"/>
      <c r="AO458" s="538"/>
      <c r="AP458" s="343"/>
      <c r="AQ458" s="343"/>
      <c r="AS458" s="343"/>
      <c r="AT458" s="538"/>
      <c r="AU458" s="343"/>
      <c r="AV458" s="343"/>
      <c r="AW458" s="538"/>
      <c r="AX458" s="343"/>
      <c r="AY458" s="343"/>
      <c r="AZ458" s="538"/>
      <c r="BA458" s="343"/>
      <c r="BB458" s="343"/>
      <c r="BC458" s="538"/>
      <c r="BD458" s="343"/>
      <c r="BE458" s="343"/>
      <c r="BG458" s="644"/>
      <c r="BH458" s="515"/>
      <c r="BI458" s="515"/>
      <c r="BJ458" s="644"/>
      <c r="BK458" s="515"/>
      <c r="BL458" s="515"/>
      <c r="BM458" s="644"/>
      <c r="BN458" s="515"/>
      <c r="BO458" s="515"/>
      <c r="BP458" s="644"/>
      <c r="BQ458" s="515"/>
      <c r="BR458" s="515"/>
    </row>
    <row r="459" spans="4:70" x14ac:dyDescent="0.25">
      <c r="D459" s="538"/>
      <c r="G459" s="538"/>
      <c r="J459" s="538"/>
      <c r="M459" s="538"/>
      <c r="R459" s="538"/>
      <c r="S459" s="343"/>
      <c r="T459" s="343"/>
      <c r="U459" s="538"/>
      <c r="V459" s="343"/>
      <c r="W459" s="343"/>
      <c r="X459" s="538"/>
      <c r="Y459" s="343"/>
      <c r="Z459" s="343"/>
      <c r="AA459" s="538"/>
      <c r="AB459" s="343"/>
      <c r="AC459" s="343"/>
      <c r="AE459" s="343"/>
      <c r="AF459" s="538"/>
      <c r="AG459" s="343"/>
      <c r="AH459" s="343"/>
      <c r="AI459" s="538"/>
      <c r="AJ459" s="343"/>
      <c r="AK459" s="343"/>
      <c r="AL459" s="538"/>
      <c r="AM459" s="343"/>
      <c r="AN459" s="343"/>
      <c r="AO459" s="538"/>
      <c r="AP459" s="343"/>
      <c r="AQ459" s="343"/>
      <c r="AS459" s="343"/>
      <c r="AT459" s="538"/>
      <c r="AU459" s="343"/>
      <c r="AV459" s="343"/>
      <c r="AW459" s="538"/>
      <c r="AX459" s="343"/>
      <c r="AY459" s="343"/>
      <c r="AZ459" s="538"/>
      <c r="BA459" s="343"/>
      <c r="BB459" s="343"/>
      <c r="BC459" s="538"/>
      <c r="BD459" s="343"/>
      <c r="BE459" s="343"/>
      <c r="BG459" s="644"/>
      <c r="BH459" s="515"/>
      <c r="BI459" s="515"/>
      <c r="BJ459" s="644"/>
      <c r="BK459" s="515"/>
      <c r="BL459" s="515"/>
      <c r="BM459" s="644"/>
      <c r="BN459" s="515"/>
      <c r="BO459" s="515"/>
      <c r="BP459" s="644"/>
      <c r="BQ459" s="515"/>
      <c r="BR459" s="515"/>
    </row>
    <row r="460" spans="4:70" x14ac:dyDescent="0.25">
      <c r="D460" s="538"/>
      <c r="G460" s="538"/>
      <c r="J460" s="538"/>
      <c r="M460" s="538"/>
      <c r="R460" s="538"/>
      <c r="S460" s="343"/>
      <c r="T460" s="343"/>
      <c r="U460" s="538"/>
      <c r="V460" s="343"/>
      <c r="W460" s="343"/>
      <c r="X460" s="538"/>
      <c r="Y460" s="343"/>
      <c r="Z460" s="343"/>
      <c r="AA460" s="538"/>
      <c r="AB460" s="343"/>
      <c r="AC460" s="343"/>
      <c r="AE460" s="343"/>
      <c r="AF460" s="538"/>
      <c r="AG460" s="343"/>
      <c r="AH460" s="343"/>
      <c r="AI460" s="538"/>
      <c r="AJ460" s="343"/>
      <c r="AK460" s="343"/>
      <c r="AL460" s="538"/>
      <c r="AM460" s="343"/>
      <c r="AN460" s="343"/>
      <c r="AO460" s="538"/>
      <c r="AP460" s="343"/>
      <c r="AQ460" s="343"/>
      <c r="AS460" s="343"/>
      <c r="AT460" s="538"/>
      <c r="AU460" s="343"/>
      <c r="AV460" s="343"/>
      <c r="AW460" s="538"/>
      <c r="AX460" s="343"/>
      <c r="AY460" s="343"/>
      <c r="AZ460" s="538"/>
      <c r="BA460" s="343"/>
      <c r="BB460" s="343"/>
      <c r="BC460" s="538"/>
      <c r="BD460" s="343"/>
      <c r="BE460" s="343"/>
      <c r="BG460" s="644"/>
      <c r="BH460" s="515"/>
      <c r="BI460" s="515"/>
      <c r="BJ460" s="644"/>
      <c r="BK460" s="515"/>
      <c r="BL460" s="515"/>
      <c r="BM460" s="644"/>
      <c r="BN460" s="515"/>
      <c r="BO460" s="515"/>
      <c r="BP460" s="644"/>
      <c r="BQ460" s="515"/>
      <c r="BR460" s="515"/>
    </row>
    <row r="461" spans="4:70" x14ac:dyDescent="0.25">
      <c r="D461" s="538"/>
      <c r="G461" s="538"/>
      <c r="J461" s="538"/>
      <c r="M461" s="538"/>
      <c r="R461" s="538"/>
      <c r="S461" s="343"/>
      <c r="T461" s="343"/>
      <c r="U461" s="538"/>
      <c r="V461" s="343"/>
      <c r="W461" s="343"/>
      <c r="X461" s="538"/>
      <c r="Y461" s="343"/>
      <c r="Z461" s="343"/>
      <c r="AA461" s="538"/>
      <c r="AB461" s="343"/>
      <c r="AC461" s="343"/>
      <c r="AE461" s="343"/>
      <c r="AF461" s="538"/>
      <c r="AG461" s="343"/>
      <c r="AH461" s="343"/>
      <c r="AI461" s="538"/>
      <c r="AJ461" s="343"/>
      <c r="AK461" s="343"/>
      <c r="AL461" s="538"/>
      <c r="AM461" s="343"/>
      <c r="AN461" s="343"/>
      <c r="AO461" s="538"/>
      <c r="AP461" s="343"/>
      <c r="AQ461" s="343"/>
      <c r="AS461" s="343"/>
      <c r="AT461" s="538"/>
      <c r="AU461" s="343"/>
      <c r="AV461" s="343"/>
      <c r="AW461" s="538"/>
      <c r="AX461" s="343"/>
      <c r="AY461" s="343"/>
      <c r="AZ461" s="538"/>
      <c r="BA461" s="343"/>
      <c r="BB461" s="343"/>
      <c r="BC461" s="538"/>
      <c r="BD461" s="343"/>
      <c r="BE461" s="343"/>
      <c r="BG461" s="644"/>
      <c r="BH461" s="515"/>
      <c r="BI461" s="515"/>
      <c r="BJ461" s="644"/>
      <c r="BK461" s="515"/>
      <c r="BL461" s="515"/>
      <c r="BM461" s="644"/>
      <c r="BN461" s="515"/>
      <c r="BO461" s="515"/>
      <c r="BP461" s="644"/>
      <c r="BQ461" s="515"/>
      <c r="BR461" s="515"/>
    </row>
    <row r="462" spans="4:70" x14ac:dyDescent="0.25">
      <c r="D462" s="538"/>
      <c r="G462" s="538"/>
      <c r="J462" s="538"/>
      <c r="M462" s="538"/>
      <c r="R462" s="538"/>
      <c r="S462" s="343"/>
      <c r="T462" s="343"/>
      <c r="U462" s="538"/>
      <c r="V462" s="343"/>
      <c r="W462" s="343"/>
      <c r="X462" s="538"/>
      <c r="Y462" s="343"/>
      <c r="Z462" s="343"/>
      <c r="AA462" s="538"/>
      <c r="AB462" s="343"/>
      <c r="AC462" s="343"/>
      <c r="AE462" s="343"/>
      <c r="AF462" s="538"/>
      <c r="AG462" s="343"/>
      <c r="AH462" s="343"/>
      <c r="AI462" s="538"/>
      <c r="AJ462" s="343"/>
      <c r="AK462" s="343"/>
      <c r="AL462" s="538"/>
      <c r="AM462" s="343"/>
      <c r="AN462" s="343"/>
      <c r="AO462" s="538"/>
      <c r="AP462" s="343"/>
      <c r="AQ462" s="343"/>
      <c r="AS462" s="343"/>
      <c r="AT462" s="538"/>
      <c r="AU462" s="343"/>
      <c r="AV462" s="343"/>
      <c r="AW462" s="538"/>
      <c r="AX462" s="343"/>
      <c r="AY462" s="343"/>
      <c r="AZ462" s="538"/>
      <c r="BA462" s="343"/>
      <c r="BB462" s="343"/>
      <c r="BC462" s="538"/>
      <c r="BD462" s="343"/>
      <c r="BE462" s="343"/>
      <c r="BG462" s="644"/>
      <c r="BH462" s="515"/>
      <c r="BI462" s="515"/>
      <c r="BJ462" s="644"/>
      <c r="BK462" s="515"/>
      <c r="BL462" s="515"/>
      <c r="BM462" s="644"/>
      <c r="BN462" s="515"/>
      <c r="BO462" s="515"/>
      <c r="BP462" s="644"/>
      <c r="BQ462" s="515"/>
      <c r="BR462" s="515"/>
    </row>
    <row r="463" spans="4:70" x14ac:dyDescent="0.25">
      <c r="D463" s="538"/>
      <c r="G463" s="538"/>
      <c r="J463" s="538"/>
      <c r="M463" s="538"/>
      <c r="R463" s="538"/>
      <c r="S463" s="343"/>
      <c r="T463" s="343"/>
      <c r="U463" s="538"/>
      <c r="V463" s="343"/>
      <c r="W463" s="343"/>
      <c r="X463" s="538"/>
      <c r="Y463" s="343"/>
      <c r="Z463" s="343"/>
      <c r="AA463" s="538"/>
      <c r="AB463" s="343"/>
      <c r="AC463" s="343"/>
      <c r="AE463" s="343"/>
      <c r="AF463" s="538"/>
      <c r="AG463" s="343"/>
      <c r="AH463" s="343"/>
      <c r="AI463" s="538"/>
      <c r="AJ463" s="343"/>
      <c r="AK463" s="343"/>
      <c r="AL463" s="538"/>
      <c r="AM463" s="343"/>
      <c r="AN463" s="343"/>
      <c r="AO463" s="538"/>
      <c r="AP463" s="343"/>
      <c r="AQ463" s="343"/>
      <c r="AS463" s="343"/>
      <c r="AT463" s="538"/>
      <c r="AU463" s="343"/>
      <c r="AV463" s="343"/>
      <c r="AW463" s="538"/>
      <c r="AX463" s="343"/>
      <c r="AY463" s="343"/>
      <c r="AZ463" s="538"/>
      <c r="BA463" s="343"/>
      <c r="BB463" s="343"/>
      <c r="BC463" s="538"/>
      <c r="BD463" s="343"/>
      <c r="BE463" s="343"/>
      <c r="BG463" s="644"/>
      <c r="BH463" s="515"/>
      <c r="BI463" s="515"/>
      <c r="BJ463" s="644"/>
      <c r="BK463" s="515"/>
      <c r="BL463" s="515"/>
      <c r="BM463" s="644"/>
      <c r="BN463" s="515"/>
      <c r="BO463" s="515"/>
      <c r="BP463" s="644"/>
      <c r="BQ463" s="515"/>
      <c r="BR463" s="515"/>
    </row>
    <row r="464" spans="4:70" x14ac:dyDescent="0.25">
      <c r="D464" s="538"/>
      <c r="G464" s="538"/>
      <c r="J464" s="538"/>
      <c r="M464" s="538"/>
      <c r="R464" s="538"/>
      <c r="S464" s="343"/>
      <c r="T464" s="343"/>
      <c r="U464" s="538"/>
      <c r="V464" s="343"/>
      <c r="W464" s="343"/>
      <c r="X464" s="538"/>
      <c r="Y464" s="343"/>
      <c r="Z464" s="343"/>
      <c r="AA464" s="538"/>
      <c r="AB464" s="343"/>
      <c r="AC464" s="343"/>
      <c r="AE464" s="343"/>
      <c r="AF464" s="538"/>
      <c r="AG464" s="343"/>
      <c r="AH464" s="343"/>
      <c r="AI464" s="538"/>
      <c r="AJ464" s="343"/>
      <c r="AK464" s="343"/>
      <c r="AL464" s="538"/>
      <c r="AM464" s="343"/>
      <c r="AN464" s="343"/>
      <c r="AO464" s="538"/>
      <c r="AP464" s="343"/>
      <c r="AQ464" s="343"/>
      <c r="AS464" s="343"/>
      <c r="AT464" s="538"/>
      <c r="AU464" s="343"/>
      <c r="AV464" s="343"/>
      <c r="AW464" s="538"/>
      <c r="AX464" s="343"/>
      <c r="AY464" s="343"/>
      <c r="AZ464" s="538"/>
      <c r="BA464" s="343"/>
      <c r="BB464" s="343"/>
      <c r="BC464" s="538"/>
      <c r="BD464" s="343"/>
      <c r="BE464" s="343"/>
      <c r="BG464" s="644"/>
      <c r="BH464" s="515"/>
      <c r="BI464" s="515"/>
      <c r="BJ464" s="644"/>
      <c r="BK464" s="515"/>
      <c r="BL464" s="515"/>
      <c r="BM464" s="644"/>
      <c r="BN464" s="515"/>
      <c r="BO464" s="515"/>
      <c r="BP464" s="644"/>
      <c r="BQ464" s="515"/>
      <c r="BR464" s="515"/>
    </row>
    <row r="465" spans="4:70" x14ac:dyDescent="0.25">
      <c r="D465" s="538"/>
      <c r="G465" s="538"/>
      <c r="J465" s="538"/>
      <c r="M465" s="538"/>
      <c r="R465" s="538"/>
      <c r="S465" s="343"/>
      <c r="T465" s="343"/>
      <c r="U465" s="538"/>
      <c r="V465" s="343"/>
      <c r="W465" s="343"/>
      <c r="X465" s="538"/>
      <c r="Y465" s="343"/>
      <c r="Z465" s="343"/>
      <c r="AA465" s="538"/>
      <c r="AB465" s="343"/>
      <c r="AC465" s="343"/>
      <c r="AE465" s="343"/>
      <c r="AF465" s="538"/>
      <c r="AG465" s="343"/>
      <c r="AH465" s="343"/>
      <c r="AI465" s="538"/>
      <c r="AJ465" s="343"/>
      <c r="AK465" s="343"/>
      <c r="AL465" s="538"/>
      <c r="AM465" s="343"/>
      <c r="AN465" s="343"/>
      <c r="AO465" s="538"/>
      <c r="AP465" s="343"/>
      <c r="AQ465" s="343"/>
      <c r="AS465" s="343"/>
      <c r="AT465" s="538"/>
      <c r="AU465" s="343"/>
      <c r="AV465" s="343"/>
      <c r="AW465" s="538"/>
      <c r="AX465" s="343"/>
      <c r="AY465" s="343"/>
      <c r="AZ465" s="538"/>
      <c r="BA465" s="343"/>
      <c r="BB465" s="343"/>
      <c r="BC465" s="538"/>
      <c r="BD465" s="343"/>
      <c r="BE465" s="343"/>
      <c r="BG465" s="644"/>
      <c r="BH465" s="515"/>
      <c r="BI465" s="515"/>
      <c r="BJ465" s="644"/>
      <c r="BK465" s="515"/>
      <c r="BL465" s="515"/>
      <c r="BM465" s="644"/>
      <c r="BN465" s="515"/>
      <c r="BO465" s="515"/>
      <c r="BP465" s="644"/>
      <c r="BQ465" s="515"/>
      <c r="BR465" s="515"/>
    </row>
    <row r="466" spans="4:70" x14ac:dyDescent="0.25">
      <c r="D466" s="538"/>
      <c r="G466" s="538"/>
      <c r="J466" s="538"/>
      <c r="M466" s="538"/>
      <c r="R466" s="538"/>
      <c r="S466" s="343"/>
      <c r="T466" s="343"/>
      <c r="U466" s="538"/>
      <c r="V466" s="343"/>
      <c r="W466" s="343"/>
      <c r="X466" s="538"/>
      <c r="Y466" s="343"/>
      <c r="Z466" s="343"/>
      <c r="AA466" s="538"/>
      <c r="AB466" s="343"/>
      <c r="AC466" s="343"/>
      <c r="AE466" s="343"/>
      <c r="AF466" s="538"/>
      <c r="AG466" s="343"/>
      <c r="AH466" s="343"/>
      <c r="AI466" s="538"/>
      <c r="AJ466" s="343"/>
      <c r="AK466" s="343"/>
      <c r="AL466" s="538"/>
      <c r="AM466" s="343"/>
      <c r="AN466" s="343"/>
      <c r="AO466" s="538"/>
      <c r="AP466" s="343"/>
      <c r="AQ466" s="343"/>
      <c r="AS466" s="343"/>
      <c r="AT466" s="538"/>
      <c r="AU466" s="343"/>
      <c r="AV466" s="343"/>
      <c r="AW466" s="538"/>
      <c r="AX466" s="343"/>
      <c r="AY466" s="343"/>
      <c r="AZ466" s="538"/>
      <c r="BA466" s="343"/>
      <c r="BB466" s="343"/>
      <c r="BC466" s="538"/>
      <c r="BD466" s="343"/>
      <c r="BE466" s="343"/>
      <c r="BG466" s="644"/>
      <c r="BH466" s="515"/>
      <c r="BI466" s="515"/>
      <c r="BJ466" s="644"/>
      <c r="BK466" s="515"/>
      <c r="BL466" s="515"/>
      <c r="BM466" s="644"/>
      <c r="BN466" s="515"/>
      <c r="BO466" s="515"/>
      <c r="BP466" s="644"/>
      <c r="BQ466" s="515"/>
      <c r="BR466" s="515"/>
    </row>
    <row r="467" spans="4:70" x14ac:dyDescent="0.25">
      <c r="D467" s="538"/>
      <c r="G467" s="538"/>
      <c r="J467" s="538"/>
      <c r="M467" s="538"/>
      <c r="R467" s="538"/>
      <c r="S467" s="343"/>
      <c r="T467" s="343"/>
      <c r="U467" s="538"/>
      <c r="V467" s="343"/>
      <c r="W467" s="343"/>
      <c r="X467" s="538"/>
      <c r="Y467" s="343"/>
      <c r="Z467" s="343"/>
      <c r="AA467" s="538"/>
      <c r="AB467" s="343"/>
      <c r="AC467" s="343"/>
      <c r="AE467" s="343"/>
      <c r="AF467" s="538"/>
      <c r="AG467" s="343"/>
      <c r="AH467" s="343"/>
      <c r="AI467" s="538"/>
      <c r="AJ467" s="343"/>
      <c r="AK467" s="343"/>
      <c r="AL467" s="538"/>
      <c r="AM467" s="343"/>
      <c r="AN467" s="343"/>
      <c r="AO467" s="538"/>
      <c r="AP467" s="343"/>
      <c r="AQ467" s="343"/>
      <c r="AS467" s="343"/>
      <c r="AT467" s="538"/>
      <c r="AU467" s="343"/>
      <c r="AV467" s="343"/>
      <c r="AW467" s="538"/>
      <c r="AX467" s="343"/>
      <c r="AY467" s="343"/>
      <c r="AZ467" s="538"/>
      <c r="BA467" s="343"/>
      <c r="BB467" s="343"/>
      <c r="BC467" s="538"/>
      <c r="BD467" s="343"/>
      <c r="BE467" s="343"/>
      <c r="BG467" s="644"/>
      <c r="BH467" s="515"/>
      <c r="BI467" s="515"/>
      <c r="BJ467" s="644"/>
      <c r="BK467" s="515"/>
      <c r="BL467" s="515"/>
      <c r="BM467" s="644"/>
      <c r="BN467" s="515"/>
      <c r="BO467" s="515"/>
      <c r="BP467" s="644"/>
      <c r="BQ467" s="515"/>
      <c r="BR467" s="515"/>
    </row>
    <row r="468" spans="4:70" x14ac:dyDescent="0.25">
      <c r="D468" s="538"/>
      <c r="G468" s="538"/>
      <c r="J468" s="538"/>
      <c r="M468" s="538"/>
      <c r="R468" s="538"/>
      <c r="S468" s="343"/>
      <c r="T468" s="343"/>
      <c r="U468" s="538"/>
      <c r="V468" s="343"/>
      <c r="W468" s="343"/>
      <c r="X468" s="538"/>
      <c r="Y468" s="343"/>
      <c r="Z468" s="343"/>
      <c r="AA468" s="538"/>
      <c r="AB468" s="343"/>
      <c r="AC468" s="343"/>
      <c r="AE468" s="343"/>
      <c r="AF468" s="538"/>
      <c r="AG468" s="343"/>
      <c r="AH468" s="343"/>
      <c r="AI468" s="538"/>
      <c r="AJ468" s="343"/>
      <c r="AK468" s="343"/>
      <c r="AL468" s="538"/>
      <c r="AM468" s="343"/>
      <c r="AN468" s="343"/>
      <c r="AO468" s="538"/>
      <c r="AP468" s="343"/>
      <c r="AQ468" s="343"/>
      <c r="AS468" s="343"/>
      <c r="AT468" s="538"/>
      <c r="AU468" s="343"/>
      <c r="AV468" s="343"/>
      <c r="AW468" s="538"/>
      <c r="AX468" s="343"/>
      <c r="AY468" s="343"/>
      <c r="AZ468" s="538"/>
      <c r="BA468" s="343"/>
      <c r="BB468" s="343"/>
      <c r="BC468" s="538"/>
      <c r="BD468" s="343"/>
      <c r="BE468" s="343"/>
      <c r="BG468" s="644"/>
      <c r="BH468" s="515"/>
      <c r="BI468" s="515"/>
      <c r="BJ468" s="644"/>
      <c r="BK468" s="515"/>
      <c r="BL468" s="515"/>
      <c r="BM468" s="644"/>
      <c r="BN468" s="515"/>
      <c r="BO468" s="515"/>
      <c r="BP468" s="644"/>
      <c r="BQ468" s="515"/>
      <c r="BR468" s="515"/>
    </row>
    <row r="469" spans="4:70" x14ac:dyDescent="0.25">
      <c r="D469" s="538"/>
      <c r="G469" s="538"/>
      <c r="J469" s="538"/>
      <c r="M469" s="538"/>
      <c r="R469" s="538"/>
      <c r="S469" s="343"/>
      <c r="T469" s="343"/>
      <c r="U469" s="538"/>
      <c r="V469" s="343"/>
      <c r="W469" s="343"/>
      <c r="X469" s="538"/>
      <c r="Y469" s="343"/>
      <c r="Z469" s="343"/>
      <c r="AA469" s="538"/>
      <c r="AB469" s="343"/>
      <c r="AC469" s="343"/>
      <c r="AE469" s="343"/>
      <c r="AF469" s="538"/>
      <c r="AG469" s="343"/>
      <c r="AH469" s="343"/>
      <c r="AI469" s="538"/>
      <c r="AJ469" s="343"/>
      <c r="AK469" s="343"/>
      <c r="AL469" s="538"/>
      <c r="AM469" s="343"/>
      <c r="AN469" s="343"/>
      <c r="AO469" s="538"/>
      <c r="AP469" s="343"/>
      <c r="AQ469" s="343"/>
      <c r="AS469" s="343"/>
      <c r="AT469" s="538"/>
      <c r="AU469" s="343"/>
      <c r="AV469" s="343"/>
      <c r="AW469" s="538"/>
      <c r="AX469" s="343"/>
      <c r="AY469" s="343"/>
      <c r="AZ469" s="538"/>
      <c r="BA469" s="343"/>
      <c r="BB469" s="343"/>
      <c r="BC469" s="538"/>
      <c r="BD469" s="343"/>
      <c r="BE469" s="343"/>
      <c r="BG469" s="644"/>
      <c r="BH469" s="515"/>
      <c r="BI469" s="515"/>
      <c r="BJ469" s="644"/>
      <c r="BK469" s="515"/>
      <c r="BL469" s="515"/>
      <c r="BM469" s="644"/>
      <c r="BN469" s="515"/>
      <c r="BO469" s="515"/>
      <c r="BP469" s="644"/>
      <c r="BQ469" s="515"/>
      <c r="BR469" s="515"/>
    </row>
    <row r="470" spans="4:70" x14ac:dyDescent="0.25">
      <c r="D470" s="538"/>
      <c r="G470" s="538"/>
      <c r="J470" s="538"/>
      <c r="M470" s="538"/>
      <c r="R470" s="538"/>
      <c r="S470" s="343"/>
      <c r="T470" s="343"/>
      <c r="U470" s="538"/>
      <c r="V470" s="343"/>
      <c r="W470" s="343"/>
      <c r="X470" s="538"/>
      <c r="Y470" s="343"/>
      <c r="Z470" s="343"/>
      <c r="AA470" s="538"/>
      <c r="AB470" s="343"/>
      <c r="AC470" s="343"/>
      <c r="AE470" s="343"/>
      <c r="AF470" s="538"/>
      <c r="AG470" s="343"/>
      <c r="AH470" s="343"/>
      <c r="AI470" s="538"/>
      <c r="AJ470" s="343"/>
      <c r="AK470" s="343"/>
      <c r="AL470" s="538"/>
      <c r="AM470" s="343"/>
      <c r="AN470" s="343"/>
      <c r="AO470" s="538"/>
      <c r="AP470" s="343"/>
      <c r="AQ470" s="343"/>
      <c r="AS470" s="343"/>
      <c r="AT470" s="538"/>
      <c r="AU470" s="343"/>
      <c r="AV470" s="343"/>
      <c r="AW470" s="538"/>
      <c r="AX470" s="343"/>
      <c r="AY470" s="343"/>
      <c r="AZ470" s="538"/>
      <c r="BA470" s="343"/>
      <c r="BB470" s="343"/>
      <c r="BC470" s="538"/>
      <c r="BD470" s="343"/>
      <c r="BE470" s="343"/>
      <c r="BG470" s="644"/>
      <c r="BH470" s="515"/>
      <c r="BI470" s="515"/>
      <c r="BJ470" s="644"/>
      <c r="BK470" s="515"/>
      <c r="BL470" s="515"/>
      <c r="BM470" s="644"/>
      <c r="BN470" s="515"/>
      <c r="BO470" s="515"/>
      <c r="BP470" s="644"/>
      <c r="BQ470" s="515"/>
      <c r="BR470" s="515"/>
    </row>
    <row r="471" spans="4:70" x14ac:dyDescent="0.25">
      <c r="D471" s="538"/>
      <c r="G471" s="538"/>
      <c r="J471" s="538"/>
      <c r="M471" s="538"/>
      <c r="R471" s="538"/>
      <c r="S471" s="343"/>
      <c r="T471" s="343"/>
      <c r="U471" s="538"/>
      <c r="V471" s="343"/>
      <c r="W471" s="343"/>
      <c r="X471" s="538"/>
      <c r="Y471" s="343"/>
      <c r="Z471" s="343"/>
      <c r="AA471" s="538"/>
      <c r="AB471" s="343"/>
      <c r="AC471" s="343"/>
      <c r="AE471" s="343"/>
      <c r="AF471" s="538"/>
      <c r="AG471" s="343"/>
      <c r="AH471" s="343"/>
      <c r="AI471" s="538"/>
      <c r="AJ471" s="343"/>
      <c r="AK471" s="343"/>
      <c r="AL471" s="538"/>
      <c r="AM471" s="343"/>
      <c r="AN471" s="343"/>
      <c r="AO471" s="538"/>
      <c r="AP471" s="343"/>
      <c r="AQ471" s="343"/>
      <c r="AS471" s="343"/>
      <c r="AT471" s="538"/>
      <c r="AU471" s="343"/>
      <c r="AV471" s="343"/>
      <c r="AW471" s="538"/>
      <c r="AX471" s="343"/>
      <c r="AY471" s="343"/>
      <c r="AZ471" s="538"/>
      <c r="BA471" s="343"/>
      <c r="BB471" s="343"/>
      <c r="BC471" s="538"/>
      <c r="BD471" s="343"/>
      <c r="BE471" s="343"/>
      <c r="BG471" s="644"/>
      <c r="BH471" s="515"/>
      <c r="BI471" s="515"/>
      <c r="BJ471" s="644"/>
      <c r="BK471" s="515"/>
      <c r="BL471" s="515"/>
      <c r="BM471" s="644"/>
      <c r="BN471" s="515"/>
      <c r="BO471" s="515"/>
      <c r="BP471" s="644"/>
      <c r="BQ471" s="515"/>
      <c r="BR471" s="515"/>
    </row>
    <row r="472" spans="4:70" x14ac:dyDescent="0.25">
      <c r="D472" s="538"/>
      <c r="G472" s="538"/>
      <c r="J472" s="538"/>
      <c r="M472" s="538"/>
      <c r="R472" s="538"/>
      <c r="S472" s="343"/>
      <c r="T472" s="343"/>
      <c r="U472" s="538"/>
      <c r="V472" s="343"/>
      <c r="W472" s="343"/>
      <c r="X472" s="538"/>
      <c r="Y472" s="343"/>
      <c r="Z472" s="343"/>
      <c r="AA472" s="538"/>
      <c r="AB472" s="343"/>
      <c r="AC472" s="343"/>
      <c r="AE472" s="343"/>
      <c r="AF472" s="538"/>
      <c r="AG472" s="343"/>
      <c r="AH472" s="343"/>
      <c r="AI472" s="538"/>
      <c r="AJ472" s="343"/>
      <c r="AK472" s="343"/>
      <c r="AL472" s="538"/>
      <c r="AM472" s="343"/>
      <c r="AN472" s="343"/>
      <c r="AO472" s="538"/>
      <c r="AP472" s="343"/>
      <c r="AQ472" s="343"/>
      <c r="AS472" s="343"/>
      <c r="AT472" s="538"/>
      <c r="AU472" s="343"/>
      <c r="AV472" s="343"/>
      <c r="AW472" s="538"/>
      <c r="AX472" s="343"/>
      <c r="AY472" s="343"/>
      <c r="AZ472" s="538"/>
      <c r="BA472" s="343"/>
      <c r="BB472" s="343"/>
      <c r="BC472" s="538"/>
      <c r="BD472" s="343"/>
      <c r="BE472" s="343"/>
      <c r="BG472" s="644"/>
      <c r="BH472" s="515"/>
      <c r="BI472" s="515"/>
      <c r="BJ472" s="644"/>
      <c r="BK472" s="515"/>
      <c r="BL472" s="515"/>
      <c r="BM472" s="644"/>
      <c r="BN472" s="515"/>
      <c r="BO472" s="515"/>
      <c r="BP472" s="644"/>
      <c r="BQ472" s="515"/>
      <c r="BR472" s="515"/>
    </row>
    <row r="473" spans="4:70" x14ac:dyDescent="0.25">
      <c r="D473" s="538"/>
      <c r="G473" s="538"/>
      <c r="J473" s="538"/>
      <c r="M473" s="538"/>
      <c r="R473" s="538"/>
      <c r="S473" s="343"/>
      <c r="T473" s="343"/>
      <c r="U473" s="538"/>
      <c r="V473" s="343"/>
      <c r="W473" s="343"/>
      <c r="X473" s="538"/>
      <c r="Y473" s="343"/>
      <c r="Z473" s="343"/>
      <c r="AA473" s="538"/>
      <c r="AB473" s="343"/>
      <c r="AC473" s="343"/>
      <c r="AE473" s="343"/>
      <c r="AF473" s="538"/>
      <c r="AG473" s="343"/>
      <c r="AH473" s="343"/>
      <c r="AI473" s="538"/>
      <c r="AJ473" s="343"/>
      <c r="AK473" s="343"/>
      <c r="AL473" s="538"/>
      <c r="AM473" s="343"/>
      <c r="AN473" s="343"/>
      <c r="AO473" s="538"/>
      <c r="AP473" s="343"/>
      <c r="AQ473" s="343"/>
      <c r="AS473" s="343"/>
      <c r="AT473" s="538"/>
      <c r="AU473" s="343"/>
      <c r="AV473" s="343"/>
      <c r="AW473" s="538"/>
      <c r="AX473" s="343"/>
      <c r="AY473" s="343"/>
      <c r="AZ473" s="538"/>
      <c r="BA473" s="343"/>
      <c r="BB473" s="343"/>
      <c r="BC473" s="538"/>
      <c r="BD473" s="343"/>
      <c r="BE473" s="343"/>
      <c r="BG473" s="644"/>
      <c r="BH473" s="515"/>
      <c r="BI473" s="515"/>
      <c r="BJ473" s="644"/>
      <c r="BK473" s="515"/>
      <c r="BL473" s="515"/>
      <c r="BM473" s="644"/>
      <c r="BN473" s="515"/>
      <c r="BO473" s="515"/>
      <c r="BP473" s="644"/>
      <c r="BQ473" s="515"/>
      <c r="BR473" s="515"/>
    </row>
    <row r="474" spans="4:70" x14ac:dyDescent="0.25">
      <c r="D474" s="538"/>
      <c r="G474" s="538"/>
      <c r="J474" s="538"/>
      <c r="M474" s="538"/>
      <c r="R474" s="538"/>
      <c r="S474" s="343"/>
      <c r="T474" s="343"/>
      <c r="U474" s="538"/>
      <c r="V474" s="343"/>
      <c r="W474" s="343"/>
      <c r="X474" s="538"/>
      <c r="Y474" s="343"/>
      <c r="Z474" s="343"/>
      <c r="AA474" s="538"/>
      <c r="AB474" s="343"/>
      <c r="AC474" s="343"/>
      <c r="AE474" s="343"/>
      <c r="AF474" s="538"/>
      <c r="AG474" s="343"/>
      <c r="AH474" s="343"/>
      <c r="AI474" s="538"/>
      <c r="AJ474" s="343"/>
      <c r="AK474" s="343"/>
      <c r="AL474" s="538"/>
      <c r="AM474" s="343"/>
      <c r="AN474" s="343"/>
      <c r="AO474" s="538"/>
      <c r="AP474" s="343"/>
      <c r="AQ474" s="343"/>
      <c r="AS474" s="343"/>
      <c r="AT474" s="538"/>
      <c r="AU474" s="343"/>
      <c r="AV474" s="343"/>
      <c r="AW474" s="538"/>
      <c r="AX474" s="343"/>
      <c r="AY474" s="343"/>
      <c r="AZ474" s="538"/>
      <c r="BA474" s="343"/>
      <c r="BB474" s="343"/>
      <c r="BC474" s="538"/>
      <c r="BD474" s="343"/>
      <c r="BE474" s="343"/>
      <c r="BG474" s="644"/>
      <c r="BH474" s="515"/>
      <c r="BI474" s="515"/>
      <c r="BJ474" s="644"/>
      <c r="BK474" s="515"/>
      <c r="BL474" s="515"/>
      <c r="BM474" s="644"/>
      <c r="BN474" s="515"/>
      <c r="BO474" s="515"/>
      <c r="BP474" s="644"/>
      <c r="BQ474" s="515"/>
      <c r="BR474" s="515"/>
    </row>
    <row r="475" spans="4:70" x14ac:dyDescent="0.25">
      <c r="D475" s="538"/>
      <c r="G475" s="538"/>
      <c r="J475" s="538"/>
      <c r="M475" s="538"/>
      <c r="R475" s="538"/>
      <c r="S475" s="343"/>
      <c r="T475" s="343"/>
      <c r="U475" s="538"/>
      <c r="V475" s="343"/>
      <c r="W475" s="343"/>
      <c r="X475" s="538"/>
      <c r="Y475" s="343"/>
      <c r="Z475" s="343"/>
      <c r="AA475" s="538"/>
      <c r="AB475" s="343"/>
      <c r="AC475" s="343"/>
      <c r="AE475" s="343"/>
      <c r="AF475" s="538"/>
      <c r="AG475" s="343"/>
      <c r="AH475" s="343"/>
      <c r="AI475" s="538"/>
      <c r="AJ475" s="343"/>
      <c r="AK475" s="343"/>
      <c r="AL475" s="538"/>
      <c r="AM475" s="343"/>
      <c r="AN475" s="343"/>
      <c r="AO475" s="538"/>
      <c r="AP475" s="343"/>
      <c r="AQ475" s="343"/>
      <c r="AS475" s="343"/>
      <c r="AT475" s="538"/>
      <c r="AU475" s="343"/>
      <c r="AV475" s="343"/>
      <c r="AW475" s="538"/>
      <c r="AX475" s="343"/>
      <c r="AY475" s="343"/>
      <c r="AZ475" s="538"/>
      <c r="BA475" s="343"/>
      <c r="BB475" s="343"/>
      <c r="BC475" s="538"/>
      <c r="BD475" s="343"/>
      <c r="BE475" s="343"/>
      <c r="BG475" s="644"/>
      <c r="BH475" s="515"/>
      <c r="BI475" s="515"/>
      <c r="BJ475" s="644"/>
      <c r="BK475" s="515"/>
      <c r="BL475" s="515"/>
      <c r="BM475" s="644"/>
      <c r="BN475" s="515"/>
      <c r="BO475" s="515"/>
      <c r="BP475" s="644"/>
      <c r="BQ475" s="515"/>
      <c r="BR475" s="515"/>
    </row>
    <row r="476" spans="4:70" x14ac:dyDescent="0.25">
      <c r="D476" s="538"/>
      <c r="G476" s="538"/>
      <c r="J476" s="538"/>
      <c r="M476" s="538"/>
      <c r="R476" s="538"/>
      <c r="S476" s="343"/>
      <c r="T476" s="343"/>
      <c r="U476" s="538"/>
      <c r="V476" s="343"/>
      <c r="W476" s="343"/>
      <c r="X476" s="538"/>
      <c r="Y476" s="343"/>
      <c r="Z476" s="343"/>
      <c r="AA476" s="538"/>
      <c r="AB476" s="343"/>
      <c r="AC476" s="343"/>
      <c r="AE476" s="343"/>
      <c r="AF476" s="538"/>
      <c r="AG476" s="343"/>
      <c r="AH476" s="343"/>
      <c r="AI476" s="538"/>
      <c r="AJ476" s="343"/>
      <c r="AK476" s="343"/>
      <c r="AL476" s="538"/>
      <c r="AM476" s="343"/>
      <c r="AN476" s="343"/>
      <c r="AO476" s="538"/>
      <c r="AP476" s="343"/>
      <c r="AQ476" s="343"/>
      <c r="AS476" s="343"/>
      <c r="AT476" s="538"/>
      <c r="AU476" s="343"/>
      <c r="AV476" s="343"/>
      <c r="AW476" s="538"/>
      <c r="AX476" s="343"/>
      <c r="AY476" s="343"/>
      <c r="AZ476" s="538"/>
      <c r="BA476" s="343"/>
      <c r="BB476" s="343"/>
      <c r="BC476" s="538"/>
      <c r="BD476" s="343"/>
      <c r="BE476" s="343"/>
      <c r="BG476" s="644"/>
      <c r="BH476" s="515"/>
      <c r="BI476" s="515"/>
      <c r="BJ476" s="644"/>
      <c r="BK476" s="515"/>
      <c r="BL476" s="515"/>
      <c r="BM476" s="644"/>
      <c r="BN476" s="515"/>
      <c r="BO476" s="515"/>
      <c r="BP476" s="644"/>
      <c r="BQ476" s="515"/>
      <c r="BR476" s="515"/>
    </row>
    <row r="477" spans="4:70" x14ac:dyDescent="0.25">
      <c r="D477" s="538"/>
      <c r="G477" s="538"/>
      <c r="J477" s="538"/>
      <c r="M477" s="538"/>
      <c r="R477" s="538"/>
      <c r="S477" s="343"/>
      <c r="T477" s="343"/>
      <c r="U477" s="538"/>
      <c r="V477" s="343"/>
      <c r="W477" s="343"/>
      <c r="X477" s="538"/>
      <c r="Y477" s="343"/>
      <c r="Z477" s="343"/>
      <c r="AA477" s="538"/>
      <c r="AB477" s="343"/>
      <c r="AC477" s="343"/>
      <c r="AE477" s="343"/>
      <c r="AF477" s="538"/>
      <c r="AG477" s="343"/>
      <c r="AH477" s="343"/>
      <c r="AI477" s="538"/>
      <c r="AJ477" s="343"/>
      <c r="AK477" s="343"/>
      <c r="AL477" s="538"/>
      <c r="AM477" s="343"/>
      <c r="AN477" s="343"/>
      <c r="AO477" s="538"/>
      <c r="AP477" s="343"/>
      <c r="AQ477" s="343"/>
      <c r="AS477" s="343"/>
      <c r="AT477" s="538"/>
      <c r="AU477" s="343"/>
      <c r="AV477" s="343"/>
      <c r="AW477" s="538"/>
      <c r="AX477" s="343"/>
      <c r="AY477" s="343"/>
      <c r="AZ477" s="538"/>
      <c r="BA477" s="343"/>
      <c r="BB477" s="343"/>
      <c r="BC477" s="538"/>
      <c r="BD477" s="343"/>
      <c r="BE477" s="343"/>
      <c r="BG477" s="644"/>
      <c r="BH477" s="515"/>
      <c r="BI477" s="515"/>
      <c r="BJ477" s="644"/>
      <c r="BK477" s="515"/>
      <c r="BL477" s="515"/>
      <c r="BM477" s="644"/>
      <c r="BN477" s="515"/>
      <c r="BO477" s="515"/>
      <c r="BP477" s="644"/>
      <c r="BQ477" s="515"/>
      <c r="BR477" s="515"/>
    </row>
    <row r="478" spans="4:70" x14ac:dyDescent="0.25">
      <c r="D478" s="538"/>
      <c r="G478" s="538"/>
      <c r="J478" s="538"/>
      <c r="M478" s="538"/>
      <c r="R478" s="538"/>
      <c r="S478" s="343"/>
      <c r="T478" s="343"/>
      <c r="U478" s="538"/>
      <c r="V478" s="343"/>
      <c r="W478" s="343"/>
      <c r="X478" s="538"/>
      <c r="Y478" s="343"/>
      <c r="Z478" s="343"/>
      <c r="AA478" s="538"/>
      <c r="AB478" s="343"/>
      <c r="AC478" s="343"/>
      <c r="AE478" s="343"/>
      <c r="AF478" s="538"/>
      <c r="AG478" s="343"/>
      <c r="AH478" s="343"/>
      <c r="AI478" s="538"/>
      <c r="AJ478" s="343"/>
      <c r="AK478" s="343"/>
      <c r="AL478" s="538"/>
      <c r="AM478" s="343"/>
      <c r="AN478" s="343"/>
      <c r="AO478" s="538"/>
      <c r="AP478" s="343"/>
      <c r="AQ478" s="343"/>
      <c r="AS478" s="343"/>
      <c r="AT478" s="538"/>
      <c r="AU478" s="343"/>
      <c r="AV478" s="343"/>
      <c r="AW478" s="538"/>
      <c r="AX478" s="343"/>
      <c r="AY478" s="343"/>
      <c r="AZ478" s="538"/>
      <c r="BA478" s="343"/>
      <c r="BB478" s="343"/>
      <c r="BC478" s="538"/>
      <c r="BD478" s="343"/>
      <c r="BE478" s="343"/>
      <c r="BG478" s="644"/>
      <c r="BH478" s="515"/>
      <c r="BI478" s="515"/>
      <c r="BJ478" s="644"/>
      <c r="BK478" s="515"/>
      <c r="BL478" s="515"/>
      <c r="BM478" s="644"/>
      <c r="BN478" s="515"/>
      <c r="BO478" s="515"/>
      <c r="BP478" s="644"/>
      <c r="BQ478" s="515"/>
      <c r="BR478" s="515"/>
    </row>
    <row r="479" spans="4:70" x14ac:dyDescent="0.25">
      <c r="D479" s="538"/>
      <c r="G479" s="538"/>
      <c r="J479" s="538"/>
      <c r="M479" s="538"/>
      <c r="R479" s="538"/>
      <c r="S479" s="343"/>
      <c r="T479" s="343"/>
      <c r="U479" s="538"/>
      <c r="V479" s="343"/>
      <c r="W479" s="343"/>
      <c r="X479" s="538"/>
      <c r="Y479" s="343"/>
      <c r="Z479" s="343"/>
      <c r="AA479" s="538"/>
      <c r="AB479" s="343"/>
      <c r="AC479" s="343"/>
      <c r="AE479" s="343"/>
      <c r="AF479" s="538"/>
      <c r="AG479" s="343"/>
      <c r="AH479" s="343"/>
      <c r="AI479" s="538"/>
      <c r="AJ479" s="343"/>
      <c r="AK479" s="343"/>
      <c r="AL479" s="538"/>
      <c r="AM479" s="343"/>
      <c r="AN479" s="343"/>
      <c r="AO479" s="538"/>
      <c r="AP479" s="343"/>
      <c r="AQ479" s="343"/>
      <c r="AS479" s="343"/>
      <c r="AT479" s="538"/>
      <c r="AU479" s="343"/>
      <c r="AV479" s="343"/>
      <c r="AW479" s="538"/>
      <c r="AX479" s="343"/>
      <c r="AY479" s="343"/>
      <c r="AZ479" s="538"/>
      <c r="BA479" s="343"/>
      <c r="BB479" s="343"/>
      <c r="BC479" s="538"/>
      <c r="BD479" s="343"/>
      <c r="BE479" s="343"/>
      <c r="BG479" s="644"/>
      <c r="BH479" s="515"/>
      <c r="BI479" s="515"/>
      <c r="BJ479" s="644"/>
      <c r="BK479" s="515"/>
      <c r="BL479" s="515"/>
      <c r="BM479" s="644"/>
      <c r="BN479" s="515"/>
      <c r="BO479" s="515"/>
      <c r="BP479" s="644"/>
      <c r="BQ479" s="515"/>
      <c r="BR479" s="515"/>
    </row>
    <row r="480" spans="4:70" x14ac:dyDescent="0.25">
      <c r="D480" s="538"/>
      <c r="G480" s="538"/>
      <c r="J480" s="538"/>
      <c r="M480" s="538"/>
      <c r="R480" s="538"/>
      <c r="S480" s="343"/>
      <c r="T480" s="343"/>
      <c r="U480" s="538"/>
      <c r="V480" s="343"/>
      <c r="W480" s="343"/>
      <c r="X480" s="538"/>
      <c r="Y480" s="343"/>
      <c r="Z480" s="343"/>
      <c r="AA480" s="538"/>
      <c r="AB480" s="343"/>
      <c r="AC480" s="343"/>
      <c r="AE480" s="343"/>
      <c r="AF480" s="538"/>
      <c r="AG480" s="343"/>
      <c r="AH480" s="343"/>
      <c r="AI480" s="538"/>
      <c r="AJ480" s="343"/>
      <c r="AK480" s="343"/>
      <c r="AL480" s="538"/>
      <c r="AM480" s="343"/>
      <c r="AN480" s="343"/>
      <c r="AO480" s="538"/>
      <c r="AP480" s="343"/>
      <c r="AQ480" s="343"/>
      <c r="AS480" s="343"/>
      <c r="AT480" s="538"/>
      <c r="AU480" s="343"/>
      <c r="AV480" s="343"/>
      <c r="AW480" s="538"/>
      <c r="AX480" s="343"/>
      <c r="AY480" s="343"/>
      <c r="AZ480" s="538"/>
      <c r="BA480" s="343"/>
      <c r="BB480" s="343"/>
      <c r="BC480" s="538"/>
      <c r="BD480" s="343"/>
      <c r="BE480" s="343"/>
      <c r="BG480" s="644"/>
      <c r="BH480" s="515"/>
      <c r="BI480" s="515"/>
      <c r="BJ480" s="644"/>
      <c r="BK480" s="515"/>
      <c r="BL480" s="515"/>
      <c r="BM480" s="644"/>
      <c r="BN480" s="515"/>
      <c r="BO480" s="515"/>
      <c r="BP480" s="644"/>
      <c r="BQ480" s="515"/>
      <c r="BR480" s="515"/>
    </row>
    <row r="481" spans="4:70" x14ac:dyDescent="0.25">
      <c r="D481" s="538"/>
      <c r="G481" s="538"/>
      <c r="J481" s="538"/>
      <c r="M481" s="538"/>
      <c r="R481" s="538"/>
      <c r="S481" s="343"/>
      <c r="T481" s="343"/>
      <c r="U481" s="538"/>
      <c r="V481" s="343"/>
      <c r="W481" s="343"/>
      <c r="X481" s="538"/>
      <c r="Y481" s="343"/>
      <c r="Z481" s="343"/>
      <c r="AA481" s="538"/>
      <c r="AB481" s="343"/>
      <c r="AC481" s="343"/>
      <c r="AE481" s="343"/>
      <c r="AF481" s="538"/>
      <c r="AG481" s="343"/>
      <c r="AH481" s="343"/>
      <c r="AI481" s="538"/>
      <c r="AJ481" s="343"/>
      <c r="AK481" s="343"/>
      <c r="AL481" s="538"/>
      <c r="AM481" s="343"/>
      <c r="AN481" s="343"/>
      <c r="AO481" s="538"/>
      <c r="AP481" s="343"/>
      <c r="AQ481" s="343"/>
      <c r="AS481" s="343"/>
      <c r="AT481" s="538"/>
      <c r="AU481" s="343"/>
      <c r="AV481" s="343"/>
      <c r="AW481" s="538"/>
      <c r="AX481" s="343"/>
      <c r="AY481" s="343"/>
      <c r="AZ481" s="538"/>
      <c r="BA481" s="343"/>
      <c r="BB481" s="343"/>
      <c r="BC481" s="538"/>
      <c r="BD481" s="343"/>
      <c r="BE481" s="343"/>
      <c r="BG481" s="644"/>
      <c r="BH481" s="515"/>
      <c r="BI481" s="515"/>
      <c r="BJ481" s="644"/>
      <c r="BK481" s="515"/>
      <c r="BL481" s="515"/>
      <c r="BM481" s="644"/>
      <c r="BN481" s="515"/>
      <c r="BO481" s="515"/>
      <c r="BP481" s="644"/>
      <c r="BQ481" s="515"/>
      <c r="BR481" s="515"/>
    </row>
    <row r="482" spans="4:70" x14ac:dyDescent="0.25">
      <c r="D482" s="538"/>
      <c r="G482" s="538"/>
      <c r="J482" s="538"/>
      <c r="M482" s="538"/>
      <c r="R482" s="538"/>
      <c r="S482" s="343"/>
      <c r="T482" s="343"/>
      <c r="U482" s="538"/>
      <c r="V482" s="343"/>
      <c r="W482" s="343"/>
      <c r="X482" s="538"/>
      <c r="Y482" s="343"/>
      <c r="Z482" s="343"/>
      <c r="AA482" s="538"/>
      <c r="AB482" s="343"/>
      <c r="AC482" s="343"/>
      <c r="AE482" s="343"/>
      <c r="AF482" s="538"/>
      <c r="AG482" s="343"/>
      <c r="AH482" s="343"/>
      <c r="AI482" s="538"/>
      <c r="AJ482" s="343"/>
      <c r="AK482" s="343"/>
      <c r="AL482" s="538"/>
      <c r="AM482" s="343"/>
      <c r="AN482" s="343"/>
      <c r="AO482" s="538"/>
      <c r="AP482" s="343"/>
      <c r="AQ482" s="343"/>
      <c r="AS482" s="343"/>
      <c r="AT482" s="538"/>
      <c r="AU482" s="343"/>
      <c r="AV482" s="343"/>
      <c r="AW482" s="538"/>
      <c r="AX482" s="343"/>
      <c r="AY482" s="343"/>
      <c r="AZ482" s="538"/>
      <c r="BA482" s="343"/>
      <c r="BB482" s="343"/>
      <c r="BC482" s="538"/>
      <c r="BD482" s="343"/>
      <c r="BE482" s="343"/>
      <c r="BG482" s="644"/>
      <c r="BH482" s="515"/>
      <c r="BI482" s="515"/>
      <c r="BJ482" s="644"/>
      <c r="BK482" s="515"/>
      <c r="BL482" s="515"/>
      <c r="BM482" s="644"/>
      <c r="BN482" s="515"/>
      <c r="BO482" s="515"/>
      <c r="BP482" s="644"/>
      <c r="BQ482" s="515"/>
      <c r="BR482" s="515"/>
    </row>
    <row r="483" spans="4:70" x14ac:dyDescent="0.25">
      <c r="D483" s="538"/>
      <c r="G483" s="538"/>
      <c r="J483" s="538"/>
      <c r="M483" s="538"/>
      <c r="R483" s="538"/>
      <c r="S483" s="343"/>
      <c r="T483" s="343"/>
      <c r="U483" s="538"/>
      <c r="V483" s="343"/>
      <c r="W483" s="343"/>
      <c r="X483" s="538"/>
      <c r="Y483" s="343"/>
      <c r="Z483" s="343"/>
      <c r="AA483" s="538"/>
      <c r="AB483" s="343"/>
      <c r="AC483" s="343"/>
      <c r="AE483" s="343"/>
      <c r="AF483" s="538"/>
      <c r="AG483" s="343"/>
      <c r="AH483" s="343"/>
      <c r="AI483" s="538"/>
      <c r="AJ483" s="343"/>
      <c r="AK483" s="343"/>
      <c r="AL483" s="538"/>
      <c r="AM483" s="343"/>
      <c r="AN483" s="343"/>
      <c r="AO483" s="538"/>
      <c r="AP483" s="343"/>
      <c r="AQ483" s="343"/>
      <c r="AS483" s="343"/>
      <c r="AT483" s="538"/>
      <c r="AU483" s="343"/>
      <c r="AV483" s="343"/>
      <c r="AW483" s="538"/>
      <c r="AX483" s="343"/>
      <c r="AY483" s="343"/>
      <c r="AZ483" s="538"/>
      <c r="BA483" s="343"/>
      <c r="BB483" s="343"/>
      <c r="BC483" s="538"/>
      <c r="BD483" s="343"/>
      <c r="BE483" s="343"/>
      <c r="BG483" s="644"/>
      <c r="BH483" s="515"/>
      <c r="BI483" s="515"/>
      <c r="BJ483" s="644"/>
      <c r="BK483" s="515"/>
      <c r="BL483" s="515"/>
      <c r="BM483" s="644"/>
      <c r="BN483" s="515"/>
      <c r="BO483" s="515"/>
      <c r="BP483" s="644"/>
      <c r="BQ483" s="515"/>
      <c r="BR483" s="515"/>
    </row>
    <row r="484" spans="4:70" x14ac:dyDescent="0.25">
      <c r="D484" s="538"/>
      <c r="G484" s="538"/>
      <c r="J484" s="538"/>
      <c r="M484" s="538"/>
      <c r="R484" s="538"/>
      <c r="S484" s="343"/>
      <c r="T484" s="343"/>
      <c r="U484" s="538"/>
      <c r="V484" s="343"/>
      <c r="W484" s="343"/>
      <c r="X484" s="538"/>
      <c r="Y484" s="343"/>
      <c r="Z484" s="343"/>
      <c r="AA484" s="538"/>
      <c r="AB484" s="343"/>
      <c r="AC484" s="343"/>
      <c r="AE484" s="343"/>
      <c r="AF484" s="538"/>
      <c r="AG484" s="343"/>
      <c r="AH484" s="343"/>
      <c r="AI484" s="538"/>
      <c r="AJ484" s="343"/>
      <c r="AK484" s="343"/>
      <c r="AL484" s="538"/>
      <c r="AM484" s="343"/>
      <c r="AN484" s="343"/>
      <c r="AO484" s="538"/>
      <c r="AP484" s="343"/>
      <c r="AQ484" s="343"/>
      <c r="AS484" s="343"/>
      <c r="AT484" s="538"/>
      <c r="AU484" s="343"/>
      <c r="AV484" s="343"/>
      <c r="AW484" s="538"/>
      <c r="AX484" s="343"/>
      <c r="AY484" s="343"/>
      <c r="AZ484" s="538"/>
      <c r="BA484" s="343"/>
      <c r="BB484" s="343"/>
      <c r="BC484" s="538"/>
      <c r="BD484" s="343"/>
      <c r="BE484" s="343"/>
      <c r="BG484" s="644"/>
      <c r="BH484" s="515"/>
      <c r="BI484" s="515"/>
      <c r="BJ484" s="644"/>
      <c r="BK484" s="515"/>
      <c r="BL484" s="515"/>
      <c r="BM484" s="644"/>
      <c r="BN484" s="515"/>
      <c r="BO484" s="515"/>
      <c r="BP484" s="644"/>
      <c r="BQ484" s="515"/>
      <c r="BR484" s="515"/>
    </row>
    <row r="485" spans="4:70" x14ac:dyDescent="0.25">
      <c r="D485" s="538"/>
      <c r="G485" s="538"/>
      <c r="J485" s="538"/>
      <c r="M485" s="538"/>
      <c r="R485" s="538"/>
      <c r="S485" s="343"/>
      <c r="T485" s="343"/>
      <c r="U485" s="538"/>
      <c r="V485" s="343"/>
      <c r="W485" s="343"/>
      <c r="X485" s="538"/>
      <c r="Y485" s="343"/>
      <c r="Z485" s="343"/>
      <c r="AA485" s="538"/>
      <c r="AB485" s="343"/>
      <c r="AC485" s="343"/>
      <c r="AE485" s="343"/>
      <c r="AF485" s="538"/>
      <c r="AG485" s="343"/>
      <c r="AH485" s="343"/>
      <c r="AI485" s="538"/>
      <c r="AJ485" s="343"/>
      <c r="AK485" s="343"/>
      <c r="AL485" s="538"/>
      <c r="AM485" s="343"/>
      <c r="AN485" s="343"/>
      <c r="AO485" s="538"/>
      <c r="AP485" s="343"/>
      <c r="AQ485" s="343"/>
      <c r="AS485" s="343"/>
      <c r="AT485" s="538"/>
      <c r="AU485" s="343"/>
      <c r="AV485" s="343"/>
      <c r="AW485" s="538"/>
      <c r="AX485" s="343"/>
      <c r="AY485" s="343"/>
      <c r="AZ485" s="538"/>
      <c r="BA485" s="343"/>
      <c r="BB485" s="343"/>
      <c r="BC485" s="538"/>
      <c r="BD485" s="343"/>
      <c r="BE485" s="343"/>
      <c r="BG485" s="644"/>
      <c r="BH485" s="515"/>
      <c r="BI485" s="515"/>
      <c r="BJ485" s="644"/>
      <c r="BK485" s="515"/>
      <c r="BL485" s="515"/>
      <c r="BM485" s="644"/>
      <c r="BN485" s="515"/>
      <c r="BO485" s="515"/>
      <c r="BP485" s="644"/>
      <c r="BQ485" s="515"/>
      <c r="BR485" s="515"/>
    </row>
    <row r="486" spans="4:70" x14ac:dyDescent="0.25">
      <c r="D486" s="538"/>
      <c r="G486" s="538"/>
      <c r="J486" s="538"/>
      <c r="M486" s="538"/>
      <c r="R486" s="538"/>
      <c r="S486" s="343"/>
      <c r="T486" s="343"/>
      <c r="U486" s="538"/>
      <c r="V486" s="343"/>
      <c r="W486" s="343"/>
      <c r="X486" s="538"/>
      <c r="Y486" s="343"/>
      <c r="Z486" s="343"/>
      <c r="AA486" s="538"/>
      <c r="AB486" s="343"/>
      <c r="AC486" s="343"/>
      <c r="AE486" s="343"/>
      <c r="AF486" s="538"/>
      <c r="AG486" s="343"/>
      <c r="AH486" s="343"/>
      <c r="AI486" s="538"/>
      <c r="AJ486" s="343"/>
      <c r="AK486" s="343"/>
      <c r="AL486" s="538"/>
      <c r="AM486" s="343"/>
      <c r="AN486" s="343"/>
      <c r="AO486" s="538"/>
      <c r="AP486" s="343"/>
      <c r="AQ486" s="343"/>
      <c r="AS486" s="343"/>
      <c r="AT486" s="538"/>
      <c r="AU486" s="343"/>
      <c r="AV486" s="343"/>
      <c r="AW486" s="538"/>
      <c r="AX486" s="343"/>
      <c r="AY486" s="343"/>
      <c r="AZ486" s="538"/>
      <c r="BA486" s="343"/>
      <c r="BB486" s="343"/>
      <c r="BC486" s="538"/>
      <c r="BD486" s="343"/>
      <c r="BE486" s="343"/>
      <c r="BG486" s="644"/>
      <c r="BH486" s="515"/>
      <c r="BI486" s="515"/>
      <c r="BJ486" s="644"/>
      <c r="BK486" s="515"/>
      <c r="BL486" s="515"/>
      <c r="BM486" s="644"/>
      <c r="BN486" s="515"/>
      <c r="BO486" s="515"/>
      <c r="BP486" s="644"/>
      <c r="BQ486" s="515"/>
      <c r="BR486" s="515"/>
    </row>
    <row r="487" spans="4:70" x14ac:dyDescent="0.25">
      <c r="D487" s="538"/>
      <c r="G487" s="538"/>
      <c r="J487" s="538"/>
      <c r="M487" s="538"/>
      <c r="R487" s="538"/>
      <c r="S487" s="343"/>
      <c r="T487" s="343"/>
      <c r="U487" s="538"/>
      <c r="V487" s="343"/>
      <c r="W487" s="343"/>
      <c r="X487" s="538"/>
      <c r="Y487" s="343"/>
      <c r="Z487" s="343"/>
      <c r="AA487" s="538"/>
      <c r="AB487" s="343"/>
      <c r="AC487" s="343"/>
      <c r="AE487" s="343"/>
      <c r="AF487" s="538"/>
      <c r="AG487" s="343"/>
      <c r="AH487" s="343"/>
      <c r="AI487" s="538"/>
      <c r="AJ487" s="343"/>
      <c r="AK487" s="343"/>
      <c r="AL487" s="538"/>
      <c r="AM487" s="343"/>
      <c r="AN487" s="343"/>
      <c r="AO487" s="538"/>
      <c r="AP487" s="343"/>
      <c r="AQ487" s="343"/>
      <c r="AS487" s="343"/>
      <c r="AT487" s="538"/>
      <c r="AU487" s="343"/>
      <c r="AV487" s="343"/>
      <c r="AW487" s="538"/>
      <c r="AX487" s="343"/>
      <c r="AY487" s="343"/>
      <c r="AZ487" s="538"/>
      <c r="BA487" s="343"/>
      <c r="BB487" s="343"/>
      <c r="BC487" s="538"/>
      <c r="BD487" s="343"/>
      <c r="BE487" s="343"/>
      <c r="BG487" s="644"/>
      <c r="BH487" s="515"/>
      <c r="BI487" s="515"/>
      <c r="BJ487" s="644"/>
      <c r="BK487" s="515"/>
      <c r="BL487" s="515"/>
      <c r="BM487" s="644"/>
      <c r="BN487" s="515"/>
      <c r="BO487" s="515"/>
      <c r="BP487" s="644"/>
      <c r="BQ487" s="515"/>
      <c r="BR487" s="515"/>
    </row>
    <row r="488" spans="4:70" x14ac:dyDescent="0.25">
      <c r="D488" s="538"/>
      <c r="G488" s="538"/>
      <c r="J488" s="538"/>
      <c r="M488" s="538"/>
      <c r="R488" s="538"/>
      <c r="S488" s="343"/>
      <c r="T488" s="343"/>
      <c r="U488" s="538"/>
      <c r="V488" s="343"/>
      <c r="W488" s="343"/>
      <c r="X488" s="538"/>
      <c r="Y488" s="343"/>
      <c r="Z488" s="343"/>
      <c r="AA488" s="538"/>
      <c r="AB488" s="343"/>
      <c r="AC488" s="343"/>
      <c r="AE488" s="343"/>
      <c r="AF488" s="538"/>
      <c r="AG488" s="343"/>
      <c r="AH488" s="343"/>
      <c r="AI488" s="538"/>
      <c r="AJ488" s="343"/>
      <c r="AK488" s="343"/>
      <c r="AL488" s="538"/>
      <c r="AM488" s="343"/>
      <c r="AN488" s="343"/>
      <c r="AO488" s="538"/>
      <c r="AP488" s="343"/>
      <c r="AQ488" s="343"/>
      <c r="AS488" s="343"/>
      <c r="AT488" s="538"/>
      <c r="AU488" s="343"/>
      <c r="AV488" s="343"/>
      <c r="AW488" s="538"/>
      <c r="AX488" s="343"/>
      <c r="AY488" s="343"/>
      <c r="AZ488" s="538"/>
      <c r="BA488" s="343"/>
      <c r="BB488" s="343"/>
      <c r="BC488" s="538"/>
      <c r="BD488" s="343"/>
      <c r="BE488" s="343"/>
      <c r="BG488" s="644"/>
      <c r="BH488" s="515"/>
      <c r="BI488" s="515"/>
      <c r="BJ488" s="644"/>
      <c r="BK488" s="515"/>
      <c r="BL488" s="515"/>
      <c r="BM488" s="644"/>
      <c r="BN488" s="515"/>
      <c r="BO488" s="515"/>
      <c r="BP488" s="644"/>
      <c r="BQ488" s="515"/>
      <c r="BR488" s="515"/>
    </row>
    <row r="489" spans="4:70" x14ac:dyDescent="0.25">
      <c r="D489" s="538"/>
      <c r="G489" s="538"/>
      <c r="J489" s="538"/>
      <c r="M489" s="538"/>
      <c r="R489" s="538"/>
      <c r="S489" s="343"/>
      <c r="T489" s="343"/>
      <c r="U489" s="538"/>
      <c r="V489" s="343"/>
      <c r="W489" s="343"/>
      <c r="X489" s="538"/>
      <c r="Y489" s="343"/>
      <c r="Z489" s="343"/>
      <c r="AA489" s="538"/>
      <c r="AB489" s="343"/>
      <c r="AC489" s="343"/>
      <c r="AE489" s="343"/>
      <c r="AF489" s="538"/>
      <c r="AG489" s="343"/>
      <c r="AH489" s="343"/>
      <c r="AI489" s="538"/>
      <c r="AJ489" s="343"/>
      <c r="AK489" s="343"/>
      <c r="AL489" s="538"/>
      <c r="AM489" s="343"/>
      <c r="AN489" s="343"/>
      <c r="AO489" s="538"/>
      <c r="AP489" s="343"/>
      <c r="AQ489" s="343"/>
      <c r="AS489" s="343"/>
      <c r="AT489" s="538"/>
      <c r="AU489" s="343"/>
      <c r="AV489" s="343"/>
      <c r="AW489" s="538"/>
      <c r="AX489" s="343"/>
      <c r="AY489" s="343"/>
      <c r="AZ489" s="538"/>
      <c r="BA489" s="343"/>
      <c r="BB489" s="343"/>
      <c r="BC489" s="538"/>
      <c r="BD489" s="343"/>
      <c r="BE489" s="343"/>
      <c r="BG489" s="644"/>
      <c r="BH489" s="515"/>
      <c r="BI489" s="515"/>
      <c r="BJ489" s="644"/>
      <c r="BK489" s="515"/>
      <c r="BL489" s="515"/>
      <c r="BM489" s="644"/>
      <c r="BN489" s="515"/>
      <c r="BO489" s="515"/>
      <c r="BP489" s="644"/>
      <c r="BQ489" s="515"/>
      <c r="BR489" s="515"/>
    </row>
    <row r="490" spans="4:70" x14ac:dyDescent="0.25">
      <c r="D490" s="538"/>
      <c r="G490" s="538"/>
      <c r="J490" s="538"/>
      <c r="M490" s="538"/>
      <c r="R490" s="538"/>
      <c r="S490" s="343"/>
      <c r="T490" s="343"/>
      <c r="U490" s="538"/>
      <c r="V490" s="343"/>
      <c r="W490" s="343"/>
      <c r="X490" s="538"/>
      <c r="Y490" s="343"/>
      <c r="Z490" s="343"/>
      <c r="AA490" s="538"/>
      <c r="AB490" s="343"/>
      <c r="AC490" s="343"/>
      <c r="AE490" s="343"/>
      <c r="AF490" s="538"/>
      <c r="AG490" s="343"/>
      <c r="AH490" s="343"/>
      <c r="AI490" s="538"/>
      <c r="AJ490" s="343"/>
      <c r="AK490" s="343"/>
      <c r="AL490" s="538"/>
      <c r="AM490" s="343"/>
      <c r="AN490" s="343"/>
      <c r="AO490" s="538"/>
      <c r="AP490" s="343"/>
      <c r="AQ490" s="343"/>
      <c r="AS490" s="343"/>
      <c r="AT490" s="538"/>
      <c r="AU490" s="343"/>
      <c r="AV490" s="343"/>
      <c r="AW490" s="538"/>
      <c r="AX490" s="343"/>
      <c r="AY490" s="343"/>
      <c r="AZ490" s="538"/>
      <c r="BA490" s="343"/>
      <c r="BB490" s="343"/>
      <c r="BC490" s="538"/>
      <c r="BD490" s="343"/>
      <c r="BE490" s="343"/>
      <c r="BG490" s="644"/>
      <c r="BH490" s="515"/>
      <c r="BI490" s="515"/>
      <c r="BJ490" s="644"/>
      <c r="BK490" s="515"/>
      <c r="BL490" s="515"/>
      <c r="BM490" s="644"/>
      <c r="BN490" s="515"/>
      <c r="BO490" s="515"/>
      <c r="BP490" s="644"/>
      <c r="BQ490" s="515"/>
      <c r="BR490" s="515"/>
    </row>
    <row r="491" spans="4:70" x14ac:dyDescent="0.25">
      <c r="D491" s="538"/>
      <c r="G491" s="538"/>
      <c r="J491" s="538"/>
      <c r="M491" s="538"/>
      <c r="R491" s="538"/>
      <c r="S491" s="343"/>
      <c r="T491" s="343"/>
      <c r="U491" s="538"/>
      <c r="V491" s="343"/>
      <c r="W491" s="343"/>
      <c r="X491" s="538"/>
      <c r="Y491" s="343"/>
      <c r="Z491" s="343"/>
      <c r="AA491" s="538"/>
      <c r="AB491" s="343"/>
      <c r="AC491" s="343"/>
      <c r="AE491" s="343"/>
      <c r="AF491" s="538"/>
      <c r="AG491" s="343"/>
      <c r="AH491" s="343"/>
      <c r="AI491" s="538"/>
      <c r="AJ491" s="343"/>
      <c r="AK491" s="343"/>
      <c r="AL491" s="538"/>
      <c r="AM491" s="343"/>
      <c r="AN491" s="343"/>
      <c r="AO491" s="538"/>
      <c r="AP491" s="343"/>
      <c r="AQ491" s="343"/>
      <c r="AS491" s="343"/>
      <c r="AT491" s="538"/>
      <c r="AU491" s="343"/>
      <c r="AV491" s="343"/>
      <c r="AW491" s="538"/>
      <c r="AX491" s="343"/>
      <c r="AY491" s="343"/>
      <c r="AZ491" s="538"/>
      <c r="BA491" s="343"/>
      <c r="BB491" s="343"/>
      <c r="BC491" s="538"/>
      <c r="BD491" s="343"/>
      <c r="BE491" s="343"/>
      <c r="BG491" s="644"/>
      <c r="BH491" s="515"/>
      <c r="BI491" s="515"/>
      <c r="BJ491" s="644"/>
      <c r="BK491" s="515"/>
      <c r="BL491" s="515"/>
      <c r="BM491" s="644"/>
      <c r="BN491" s="515"/>
      <c r="BO491" s="515"/>
      <c r="BP491" s="644"/>
      <c r="BQ491" s="515"/>
      <c r="BR491" s="515"/>
    </row>
    <row r="492" spans="4:70" x14ac:dyDescent="0.25">
      <c r="D492" s="538"/>
      <c r="G492" s="538"/>
      <c r="J492" s="538"/>
      <c r="M492" s="538"/>
      <c r="R492" s="538"/>
      <c r="S492" s="343"/>
      <c r="T492" s="343"/>
      <c r="U492" s="538"/>
      <c r="V492" s="343"/>
      <c r="W492" s="343"/>
      <c r="X492" s="538"/>
      <c r="Y492" s="343"/>
      <c r="Z492" s="343"/>
      <c r="AA492" s="538"/>
      <c r="AB492" s="343"/>
      <c r="AC492" s="343"/>
      <c r="AE492" s="343"/>
      <c r="AF492" s="538"/>
      <c r="AG492" s="343"/>
      <c r="AH492" s="343"/>
      <c r="AI492" s="538"/>
      <c r="AJ492" s="343"/>
      <c r="AK492" s="343"/>
      <c r="AL492" s="538"/>
      <c r="AM492" s="343"/>
      <c r="AN492" s="343"/>
      <c r="AO492" s="538"/>
      <c r="AP492" s="343"/>
      <c r="AQ492" s="343"/>
      <c r="AS492" s="343"/>
      <c r="AT492" s="538"/>
      <c r="AU492" s="343"/>
      <c r="AV492" s="343"/>
      <c r="AW492" s="538"/>
      <c r="AX492" s="343"/>
      <c r="AY492" s="343"/>
      <c r="AZ492" s="538"/>
      <c r="BA492" s="343"/>
      <c r="BB492" s="343"/>
      <c r="BC492" s="538"/>
      <c r="BD492" s="343"/>
      <c r="BE492" s="343"/>
      <c r="BG492" s="644"/>
      <c r="BH492" s="515"/>
      <c r="BI492" s="515"/>
      <c r="BJ492" s="644"/>
      <c r="BK492" s="515"/>
      <c r="BL492" s="515"/>
      <c r="BM492" s="644"/>
      <c r="BN492" s="515"/>
      <c r="BO492" s="515"/>
      <c r="BP492" s="644"/>
      <c r="BQ492" s="515"/>
      <c r="BR492" s="515"/>
    </row>
    <row r="493" spans="4:70" x14ac:dyDescent="0.25">
      <c r="D493" s="538"/>
      <c r="G493" s="538"/>
      <c r="J493" s="538"/>
      <c r="M493" s="538"/>
      <c r="R493" s="538"/>
      <c r="S493" s="343"/>
      <c r="T493" s="343"/>
      <c r="U493" s="538"/>
      <c r="V493" s="343"/>
      <c r="W493" s="343"/>
      <c r="X493" s="538"/>
      <c r="Y493" s="343"/>
      <c r="Z493" s="343"/>
      <c r="AA493" s="538"/>
      <c r="AB493" s="343"/>
      <c r="AC493" s="343"/>
      <c r="AE493" s="343"/>
      <c r="AF493" s="538"/>
      <c r="AG493" s="343"/>
      <c r="AH493" s="343"/>
      <c r="AI493" s="538"/>
      <c r="AJ493" s="343"/>
      <c r="AK493" s="343"/>
      <c r="AL493" s="538"/>
      <c r="AM493" s="343"/>
      <c r="AN493" s="343"/>
      <c r="AO493" s="538"/>
      <c r="AP493" s="343"/>
      <c r="AQ493" s="343"/>
      <c r="AS493" s="343"/>
      <c r="AT493" s="538"/>
      <c r="AU493" s="343"/>
      <c r="AV493" s="343"/>
      <c r="AW493" s="538"/>
      <c r="AX493" s="343"/>
      <c r="AY493" s="343"/>
      <c r="AZ493" s="538"/>
      <c r="BA493" s="343"/>
      <c r="BB493" s="343"/>
      <c r="BC493" s="538"/>
      <c r="BD493" s="343"/>
      <c r="BE493" s="343"/>
      <c r="BG493" s="644"/>
      <c r="BH493" s="515"/>
      <c r="BI493" s="515"/>
      <c r="BJ493" s="644"/>
      <c r="BK493" s="515"/>
      <c r="BL493" s="515"/>
      <c r="BM493" s="644"/>
      <c r="BN493" s="515"/>
      <c r="BO493" s="515"/>
      <c r="BP493" s="644"/>
      <c r="BQ493" s="515"/>
      <c r="BR493" s="515"/>
    </row>
    <row r="494" spans="4:70" x14ac:dyDescent="0.25">
      <c r="D494" s="538"/>
      <c r="G494" s="538"/>
      <c r="J494" s="538"/>
      <c r="M494" s="538"/>
      <c r="R494" s="538"/>
      <c r="S494" s="343"/>
      <c r="T494" s="343"/>
      <c r="U494" s="538"/>
      <c r="V494" s="343"/>
      <c r="W494" s="343"/>
      <c r="X494" s="538"/>
      <c r="Y494" s="343"/>
      <c r="Z494" s="343"/>
      <c r="AA494" s="538"/>
      <c r="AB494" s="343"/>
      <c r="AC494" s="343"/>
      <c r="AE494" s="343"/>
      <c r="AF494" s="538"/>
      <c r="AG494" s="343"/>
      <c r="AH494" s="343"/>
      <c r="AI494" s="538"/>
      <c r="AJ494" s="343"/>
      <c r="AK494" s="343"/>
      <c r="AL494" s="538"/>
      <c r="AM494" s="343"/>
      <c r="AN494" s="343"/>
      <c r="AO494" s="538"/>
      <c r="AP494" s="343"/>
      <c r="AQ494" s="343"/>
      <c r="AS494" s="343"/>
      <c r="AT494" s="538"/>
      <c r="AU494" s="343"/>
      <c r="AV494" s="343"/>
      <c r="AW494" s="538"/>
      <c r="AX494" s="343"/>
      <c r="AY494" s="343"/>
      <c r="AZ494" s="538"/>
      <c r="BA494" s="343"/>
      <c r="BB494" s="343"/>
      <c r="BC494" s="538"/>
      <c r="BD494" s="343"/>
      <c r="BE494" s="343"/>
      <c r="BG494" s="644"/>
      <c r="BH494" s="515"/>
      <c r="BI494" s="515"/>
      <c r="BJ494" s="644"/>
      <c r="BK494" s="515"/>
      <c r="BL494" s="515"/>
      <c r="BM494" s="644"/>
      <c r="BN494" s="515"/>
      <c r="BO494" s="515"/>
      <c r="BP494" s="644"/>
      <c r="BQ494" s="515"/>
      <c r="BR494" s="515"/>
    </row>
    <row r="495" spans="4:70" x14ac:dyDescent="0.25">
      <c r="D495" s="538"/>
      <c r="G495" s="538"/>
      <c r="J495" s="538"/>
      <c r="M495" s="538"/>
      <c r="R495" s="538"/>
      <c r="S495" s="343"/>
      <c r="T495" s="343"/>
      <c r="U495" s="538"/>
      <c r="V495" s="343"/>
      <c r="W495" s="343"/>
      <c r="X495" s="538"/>
      <c r="Y495" s="343"/>
      <c r="Z495" s="343"/>
      <c r="AA495" s="538"/>
      <c r="AB495" s="343"/>
      <c r="AC495" s="343"/>
      <c r="AE495" s="343"/>
      <c r="AF495" s="538"/>
      <c r="AG495" s="343"/>
      <c r="AH495" s="343"/>
      <c r="AI495" s="538"/>
      <c r="AJ495" s="343"/>
      <c r="AK495" s="343"/>
      <c r="AL495" s="538"/>
      <c r="AM495" s="343"/>
      <c r="AN495" s="343"/>
      <c r="AO495" s="538"/>
      <c r="AP495" s="343"/>
      <c r="AQ495" s="343"/>
      <c r="AS495" s="343"/>
      <c r="AT495" s="538"/>
      <c r="AU495" s="343"/>
      <c r="AV495" s="343"/>
      <c r="AW495" s="538"/>
      <c r="AX495" s="343"/>
      <c r="AY495" s="343"/>
      <c r="AZ495" s="538"/>
      <c r="BA495" s="343"/>
      <c r="BB495" s="343"/>
      <c r="BC495" s="538"/>
      <c r="BD495" s="343"/>
      <c r="BE495" s="343"/>
      <c r="BG495" s="644"/>
      <c r="BH495" s="515"/>
      <c r="BI495" s="515"/>
      <c r="BJ495" s="644"/>
      <c r="BK495" s="515"/>
      <c r="BL495" s="515"/>
      <c r="BM495" s="644"/>
      <c r="BN495" s="515"/>
      <c r="BO495" s="515"/>
      <c r="BP495" s="644"/>
      <c r="BQ495" s="515"/>
      <c r="BR495" s="515"/>
    </row>
    <row r="496" spans="4:70" x14ac:dyDescent="0.25">
      <c r="D496" s="538"/>
      <c r="G496" s="538"/>
      <c r="J496" s="538"/>
      <c r="M496" s="538"/>
      <c r="R496" s="538"/>
      <c r="S496" s="343"/>
      <c r="T496" s="343"/>
      <c r="U496" s="538"/>
      <c r="V496" s="343"/>
      <c r="W496" s="343"/>
      <c r="X496" s="538"/>
      <c r="Y496" s="343"/>
      <c r="Z496" s="343"/>
      <c r="AA496" s="538"/>
      <c r="AB496" s="343"/>
      <c r="AC496" s="343"/>
      <c r="AE496" s="343"/>
      <c r="AF496" s="538"/>
      <c r="AG496" s="343"/>
      <c r="AH496" s="343"/>
      <c r="AI496" s="538"/>
      <c r="AJ496" s="343"/>
      <c r="AK496" s="343"/>
      <c r="AL496" s="538"/>
      <c r="AM496" s="343"/>
      <c r="AN496" s="343"/>
      <c r="AO496" s="538"/>
      <c r="AP496" s="343"/>
      <c r="AQ496" s="343"/>
      <c r="AS496" s="343"/>
      <c r="AT496" s="538"/>
      <c r="AU496" s="343"/>
      <c r="AV496" s="343"/>
      <c r="AW496" s="538"/>
      <c r="AX496" s="343"/>
      <c r="AY496" s="343"/>
      <c r="AZ496" s="538"/>
      <c r="BA496" s="343"/>
      <c r="BB496" s="343"/>
      <c r="BC496" s="538"/>
      <c r="BD496" s="343"/>
      <c r="BE496" s="343"/>
      <c r="BG496" s="644"/>
      <c r="BH496" s="515"/>
      <c r="BI496" s="515"/>
      <c r="BJ496" s="644"/>
      <c r="BK496" s="515"/>
      <c r="BL496" s="515"/>
      <c r="BM496" s="644"/>
      <c r="BN496" s="515"/>
      <c r="BO496" s="515"/>
      <c r="BP496" s="644"/>
      <c r="BQ496" s="515"/>
      <c r="BR496" s="515"/>
    </row>
    <row r="497" spans="4:70" x14ac:dyDescent="0.25">
      <c r="D497" s="538"/>
      <c r="G497" s="538"/>
      <c r="J497" s="538"/>
      <c r="M497" s="538"/>
      <c r="R497" s="538"/>
      <c r="S497" s="343"/>
      <c r="T497" s="343"/>
      <c r="U497" s="538"/>
      <c r="V497" s="343"/>
      <c r="W497" s="343"/>
      <c r="X497" s="538"/>
      <c r="Y497" s="343"/>
      <c r="Z497" s="343"/>
      <c r="AA497" s="538"/>
      <c r="AB497" s="343"/>
      <c r="AC497" s="343"/>
      <c r="AE497" s="343"/>
      <c r="AF497" s="538"/>
      <c r="AG497" s="343"/>
      <c r="AH497" s="343"/>
      <c r="AI497" s="538"/>
      <c r="AJ497" s="343"/>
      <c r="AK497" s="343"/>
      <c r="AL497" s="538"/>
      <c r="AM497" s="343"/>
      <c r="AN497" s="343"/>
      <c r="AO497" s="538"/>
      <c r="AP497" s="343"/>
      <c r="AQ497" s="343"/>
      <c r="AS497" s="343"/>
      <c r="AT497" s="538"/>
      <c r="AU497" s="343"/>
      <c r="AV497" s="343"/>
      <c r="AW497" s="538"/>
      <c r="AX497" s="343"/>
      <c r="AY497" s="343"/>
      <c r="AZ497" s="538"/>
      <c r="BA497" s="343"/>
      <c r="BB497" s="343"/>
      <c r="BC497" s="538"/>
      <c r="BD497" s="343"/>
      <c r="BE497" s="343"/>
      <c r="BG497" s="644"/>
      <c r="BH497" s="515"/>
      <c r="BI497" s="515"/>
      <c r="BJ497" s="644"/>
      <c r="BK497" s="515"/>
      <c r="BL497" s="515"/>
      <c r="BM497" s="644"/>
      <c r="BN497" s="515"/>
      <c r="BO497" s="515"/>
      <c r="BP497" s="644"/>
      <c r="BQ497" s="515"/>
      <c r="BR497" s="515"/>
    </row>
    <row r="498" spans="4:70" x14ac:dyDescent="0.25">
      <c r="D498" s="538"/>
      <c r="G498" s="538"/>
      <c r="J498" s="538"/>
      <c r="M498" s="538"/>
      <c r="R498" s="538"/>
      <c r="S498" s="343"/>
      <c r="T498" s="343"/>
      <c r="U498" s="538"/>
      <c r="V498" s="343"/>
      <c r="W498" s="343"/>
      <c r="X498" s="538"/>
      <c r="Y498" s="343"/>
      <c r="Z498" s="343"/>
      <c r="AA498" s="538"/>
      <c r="AB498" s="343"/>
      <c r="AC498" s="343"/>
      <c r="AE498" s="343"/>
      <c r="AF498" s="538"/>
      <c r="AG498" s="343"/>
      <c r="AH498" s="343"/>
      <c r="AI498" s="538"/>
      <c r="AJ498" s="343"/>
      <c r="AK498" s="343"/>
      <c r="AL498" s="538"/>
      <c r="AM498" s="343"/>
      <c r="AN498" s="343"/>
      <c r="AO498" s="538"/>
      <c r="AP498" s="343"/>
      <c r="AQ498" s="343"/>
      <c r="AS498" s="343"/>
      <c r="AT498" s="538"/>
      <c r="AU498" s="343"/>
      <c r="AV498" s="343"/>
      <c r="AW498" s="538"/>
      <c r="AX498" s="343"/>
      <c r="AY498" s="343"/>
      <c r="AZ498" s="538"/>
      <c r="BA498" s="343"/>
      <c r="BB498" s="343"/>
      <c r="BC498" s="538"/>
      <c r="BD498" s="343"/>
      <c r="BE498" s="343"/>
      <c r="BG498" s="644"/>
      <c r="BH498" s="515"/>
      <c r="BI498" s="515"/>
      <c r="BJ498" s="644"/>
      <c r="BK498" s="515"/>
      <c r="BL498" s="515"/>
      <c r="BM498" s="644"/>
      <c r="BN498" s="515"/>
      <c r="BO498" s="515"/>
      <c r="BP498" s="644"/>
      <c r="BQ498" s="515"/>
      <c r="BR498" s="515"/>
    </row>
    <row r="499" spans="4:70" x14ac:dyDescent="0.25">
      <c r="D499" s="538"/>
      <c r="G499" s="538"/>
      <c r="J499" s="538"/>
      <c r="M499" s="538"/>
      <c r="R499" s="538"/>
      <c r="S499" s="343"/>
      <c r="T499" s="343"/>
      <c r="U499" s="538"/>
      <c r="V499" s="343"/>
      <c r="W499" s="343"/>
      <c r="X499" s="538"/>
      <c r="Y499" s="343"/>
      <c r="Z499" s="343"/>
      <c r="AA499" s="538"/>
      <c r="AB499" s="343"/>
      <c r="AC499" s="343"/>
      <c r="AE499" s="343"/>
      <c r="AF499" s="538"/>
      <c r="AG499" s="343"/>
      <c r="AH499" s="343"/>
      <c r="AI499" s="538"/>
      <c r="AJ499" s="343"/>
      <c r="AK499" s="343"/>
      <c r="AL499" s="538"/>
      <c r="AM499" s="343"/>
      <c r="AN499" s="343"/>
      <c r="AO499" s="538"/>
      <c r="AP499" s="343"/>
      <c r="AQ499" s="343"/>
      <c r="AS499" s="343"/>
      <c r="AT499" s="538"/>
      <c r="AU499" s="343"/>
      <c r="AV499" s="343"/>
      <c r="AW499" s="538"/>
      <c r="AX499" s="343"/>
      <c r="AY499" s="343"/>
      <c r="AZ499" s="538"/>
      <c r="BA499" s="343"/>
      <c r="BB499" s="343"/>
      <c r="BC499" s="538"/>
      <c r="BD499" s="343"/>
      <c r="BE499" s="343"/>
      <c r="BG499" s="644"/>
      <c r="BH499" s="515"/>
      <c r="BI499" s="515"/>
      <c r="BJ499" s="644"/>
      <c r="BK499" s="515"/>
      <c r="BL499" s="515"/>
      <c r="BM499" s="644"/>
      <c r="BN499" s="515"/>
      <c r="BO499" s="515"/>
      <c r="BP499" s="644"/>
      <c r="BQ499" s="515"/>
      <c r="BR499" s="515"/>
    </row>
    <row r="500" spans="4:70" x14ac:dyDescent="0.25">
      <c r="D500" s="538"/>
      <c r="G500" s="538"/>
      <c r="J500" s="538"/>
      <c r="M500" s="538"/>
      <c r="R500" s="538"/>
      <c r="S500" s="343"/>
      <c r="T500" s="343"/>
      <c r="U500" s="538"/>
      <c r="V500" s="343"/>
      <c r="W500" s="343"/>
      <c r="X500" s="538"/>
      <c r="Y500" s="343"/>
      <c r="Z500" s="343"/>
      <c r="AA500" s="538"/>
      <c r="AB500" s="343"/>
      <c r="AC500" s="343"/>
      <c r="AE500" s="343"/>
      <c r="AF500" s="538"/>
      <c r="AG500" s="343"/>
      <c r="AH500" s="343"/>
      <c r="AI500" s="538"/>
      <c r="AJ500" s="343"/>
      <c r="AK500" s="343"/>
      <c r="AL500" s="538"/>
      <c r="AM500" s="343"/>
      <c r="AN500" s="343"/>
      <c r="AO500" s="538"/>
      <c r="AP500" s="343"/>
      <c r="AQ500" s="343"/>
      <c r="AS500" s="343"/>
      <c r="AT500" s="538"/>
      <c r="AU500" s="343"/>
      <c r="AV500" s="343"/>
      <c r="AW500" s="538"/>
      <c r="AX500" s="343"/>
      <c r="AY500" s="343"/>
      <c r="AZ500" s="538"/>
      <c r="BA500" s="343"/>
      <c r="BB500" s="343"/>
      <c r="BC500" s="538"/>
      <c r="BD500" s="343"/>
      <c r="BE500" s="343"/>
      <c r="BG500" s="644"/>
      <c r="BH500" s="515"/>
      <c r="BI500" s="515"/>
      <c r="BJ500" s="644"/>
      <c r="BK500" s="515"/>
      <c r="BL500" s="515"/>
      <c r="BM500" s="644"/>
      <c r="BN500" s="515"/>
      <c r="BO500" s="515"/>
      <c r="BP500" s="644"/>
      <c r="BQ500" s="515"/>
      <c r="BR500" s="515"/>
    </row>
    <row r="501" spans="4:70" x14ac:dyDescent="0.25">
      <c r="D501" s="538"/>
      <c r="G501" s="538"/>
      <c r="J501" s="538"/>
      <c r="M501" s="538"/>
      <c r="R501" s="538"/>
      <c r="S501" s="343"/>
      <c r="T501" s="343"/>
      <c r="U501" s="538"/>
      <c r="V501" s="343"/>
      <c r="W501" s="343"/>
      <c r="X501" s="538"/>
      <c r="Y501" s="343"/>
      <c r="Z501" s="343"/>
      <c r="AA501" s="538"/>
      <c r="AB501" s="343"/>
      <c r="AC501" s="343"/>
      <c r="AE501" s="343"/>
      <c r="AF501" s="538"/>
      <c r="AG501" s="343"/>
      <c r="AH501" s="343"/>
      <c r="AI501" s="538"/>
      <c r="AJ501" s="343"/>
      <c r="AK501" s="343"/>
      <c r="AL501" s="538"/>
      <c r="AM501" s="343"/>
      <c r="AN501" s="343"/>
      <c r="AO501" s="538"/>
      <c r="AP501" s="343"/>
      <c r="AQ501" s="343"/>
      <c r="AS501" s="343"/>
      <c r="AT501" s="538"/>
      <c r="AU501" s="343"/>
      <c r="AV501" s="343"/>
      <c r="AW501" s="538"/>
      <c r="AX501" s="343"/>
      <c r="AY501" s="343"/>
      <c r="AZ501" s="538"/>
      <c r="BA501" s="343"/>
      <c r="BB501" s="343"/>
      <c r="BC501" s="538"/>
      <c r="BD501" s="343"/>
      <c r="BE501" s="343"/>
      <c r="BG501" s="644"/>
      <c r="BH501" s="515"/>
      <c r="BI501" s="515"/>
      <c r="BJ501" s="644"/>
      <c r="BK501" s="515"/>
      <c r="BL501" s="515"/>
      <c r="BM501" s="644"/>
      <c r="BN501" s="515"/>
      <c r="BO501" s="515"/>
      <c r="BP501" s="644"/>
      <c r="BQ501" s="515"/>
      <c r="BR501" s="515"/>
    </row>
    <row r="502" spans="4:70" x14ac:dyDescent="0.25">
      <c r="D502" s="538"/>
      <c r="G502" s="538"/>
      <c r="J502" s="538"/>
      <c r="M502" s="538"/>
      <c r="R502" s="538"/>
      <c r="S502" s="343"/>
      <c r="T502" s="343"/>
      <c r="U502" s="538"/>
      <c r="V502" s="343"/>
      <c r="W502" s="343"/>
      <c r="X502" s="538"/>
      <c r="Y502" s="343"/>
      <c r="Z502" s="343"/>
      <c r="AA502" s="538"/>
      <c r="AB502" s="343"/>
      <c r="AC502" s="343"/>
      <c r="AE502" s="343"/>
      <c r="AF502" s="538"/>
      <c r="AG502" s="343"/>
      <c r="AH502" s="343"/>
      <c r="AI502" s="538"/>
      <c r="AJ502" s="343"/>
      <c r="AK502" s="343"/>
      <c r="AL502" s="538"/>
      <c r="AM502" s="343"/>
      <c r="AN502" s="343"/>
      <c r="AO502" s="538"/>
      <c r="AP502" s="343"/>
      <c r="AQ502" s="343"/>
      <c r="AS502" s="343"/>
      <c r="AT502" s="538"/>
      <c r="AU502" s="343"/>
      <c r="AV502" s="343"/>
      <c r="AW502" s="538"/>
      <c r="AX502" s="343"/>
      <c r="AY502" s="343"/>
      <c r="AZ502" s="538"/>
      <c r="BA502" s="343"/>
      <c r="BB502" s="343"/>
      <c r="BC502" s="538"/>
      <c r="BD502" s="343"/>
      <c r="BE502" s="343"/>
      <c r="BG502" s="644"/>
      <c r="BH502" s="515"/>
      <c r="BI502" s="515"/>
      <c r="BJ502" s="644"/>
      <c r="BK502" s="515"/>
      <c r="BL502" s="515"/>
      <c r="BM502" s="644"/>
      <c r="BN502" s="515"/>
      <c r="BO502" s="515"/>
      <c r="BP502" s="644"/>
      <c r="BQ502" s="515"/>
      <c r="BR502" s="515"/>
    </row>
    <row r="503" spans="4:70" x14ac:dyDescent="0.25">
      <c r="D503" s="538"/>
      <c r="G503" s="538"/>
      <c r="J503" s="538"/>
      <c r="M503" s="538"/>
      <c r="R503" s="538"/>
      <c r="S503" s="343"/>
      <c r="T503" s="343"/>
      <c r="U503" s="538"/>
      <c r="V503" s="343"/>
      <c r="W503" s="343"/>
      <c r="X503" s="538"/>
      <c r="Y503" s="343"/>
      <c r="Z503" s="343"/>
      <c r="AA503" s="538"/>
      <c r="AB503" s="343"/>
      <c r="AC503" s="343"/>
      <c r="AE503" s="343"/>
      <c r="AF503" s="538"/>
      <c r="AG503" s="343"/>
      <c r="AH503" s="343"/>
      <c r="AI503" s="538"/>
      <c r="AJ503" s="343"/>
      <c r="AK503" s="343"/>
      <c r="AL503" s="538"/>
      <c r="AM503" s="343"/>
      <c r="AN503" s="343"/>
      <c r="AO503" s="538"/>
      <c r="AP503" s="343"/>
      <c r="AQ503" s="343"/>
      <c r="AS503" s="343"/>
      <c r="AT503" s="538"/>
      <c r="AU503" s="343"/>
      <c r="AV503" s="343"/>
      <c r="AW503" s="538"/>
      <c r="AX503" s="343"/>
      <c r="AY503" s="343"/>
      <c r="AZ503" s="538"/>
      <c r="BA503" s="343"/>
      <c r="BB503" s="343"/>
      <c r="BC503" s="538"/>
      <c r="BD503" s="343"/>
      <c r="BE503" s="343"/>
      <c r="BG503" s="644"/>
      <c r="BH503" s="515"/>
      <c r="BI503" s="515"/>
      <c r="BJ503" s="644"/>
      <c r="BK503" s="515"/>
      <c r="BL503" s="515"/>
      <c r="BM503" s="644"/>
      <c r="BN503" s="515"/>
      <c r="BO503" s="515"/>
      <c r="BP503" s="644"/>
      <c r="BQ503" s="515"/>
      <c r="BR503" s="515"/>
    </row>
    <row r="504" spans="4:70" x14ac:dyDescent="0.25">
      <c r="D504" s="538"/>
      <c r="G504" s="538"/>
      <c r="J504" s="538"/>
      <c r="M504" s="538"/>
      <c r="R504" s="538"/>
      <c r="S504" s="343"/>
      <c r="T504" s="343"/>
      <c r="U504" s="538"/>
      <c r="V504" s="343"/>
      <c r="W504" s="343"/>
      <c r="X504" s="538"/>
      <c r="Y504" s="343"/>
      <c r="Z504" s="343"/>
      <c r="AA504" s="538"/>
      <c r="AB504" s="343"/>
      <c r="AC504" s="343"/>
      <c r="AE504" s="343"/>
      <c r="AF504" s="538"/>
      <c r="AG504" s="343"/>
      <c r="AH504" s="343"/>
      <c r="AI504" s="538"/>
      <c r="AJ504" s="343"/>
      <c r="AK504" s="343"/>
      <c r="AL504" s="538"/>
      <c r="AM504" s="343"/>
      <c r="AN504" s="343"/>
      <c r="AO504" s="538"/>
      <c r="AP504" s="343"/>
      <c r="AQ504" s="343"/>
      <c r="AS504" s="343"/>
      <c r="AT504" s="538"/>
      <c r="AU504" s="343"/>
      <c r="AV504" s="343"/>
      <c r="AW504" s="538"/>
      <c r="AX504" s="343"/>
      <c r="AY504" s="343"/>
      <c r="AZ504" s="538"/>
      <c r="BA504" s="343"/>
      <c r="BB504" s="343"/>
      <c r="BC504" s="538"/>
      <c r="BD504" s="343"/>
      <c r="BE504" s="343"/>
      <c r="BG504" s="644"/>
      <c r="BH504" s="515"/>
      <c r="BI504" s="515"/>
      <c r="BJ504" s="644"/>
      <c r="BK504" s="515"/>
      <c r="BL504" s="515"/>
      <c r="BM504" s="644"/>
      <c r="BN504" s="515"/>
      <c r="BO504" s="515"/>
      <c r="BP504" s="644"/>
      <c r="BQ504" s="515"/>
      <c r="BR504" s="515"/>
    </row>
    <row r="505" spans="4:70" x14ac:dyDescent="0.25">
      <c r="D505" s="538"/>
      <c r="G505" s="538"/>
      <c r="J505" s="538"/>
      <c r="M505" s="538"/>
      <c r="R505" s="538"/>
      <c r="S505" s="343"/>
      <c r="T505" s="343"/>
      <c r="U505" s="538"/>
      <c r="V505" s="343"/>
      <c r="W505" s="343"/>
      <c r="X505" s="538"/>
      <c r="Y505" s="343"/>
      <c r="Z505" s="343"/>
      <c r="AA505" s="538"/>
      <c r="AB505" s="343"/>
      <c r="AC505" s="343"/>
      <c r="AE505" s="343"/>
      <c r="AF505" s="538"/>
      <c r="AG505" s="343"/>
      <c r="AH505" s="343"/>
      <c r="AI505" s="538"/>
      <c r="AJ505" s="343"/>
      <c r="AK505" s="343"/>
      <c r="AL505" s="538"/>
      <c r="AM505" s="343"/>
      <c r="AN505" s="343"/>
      <c r="AO505" s="538"/>
      <c r="AP505" s="343"/>
      <c r="AQ505" s="343"/>
      <c r="AS505" s="343"/>
      <c r="AT505" s="538"/>
      <c r="AU505" s="343"/>
      <c r="AV505" s="343"/>
      <c r="AW505" s="538"/>
      <c r="AX505" s="343"/>
      <c r="AY505" s="343"/>
      <c r="AZ505" s="538"/>
      <c r="BA505" s="343"/>
      <c r="BB505" s="343"/>
      <c r="BC505" s="538"/>
      <c r="BD505" s="343"/>
      <c r="BE505" s="343"/>
      <c r="BG505" s="644"/>
      <c r="BH505" s="515"/>
      <c r="BI505" s="515"/>
      <c r="BJ505" s="644"/>
      <c r="BK505" s="515"/>
      <c r="BL505" s="515"/>
      <c r="BM505" s="644"/>
      <c r="BN505" s="515"/>
      <c r="BO505" s="515"/>
      <c r="BP505" s="644"/>
      <c r="BQ505" s="515"/>
      <c r="BR505" s="515"/>
    </row>
    <row r="506" spans="4:70" x14ac:dyDescent="0.25">
      <c r="D506" s="538"/>
      <c r="G506" s="538"/>
      <c r="J506" s="538"/>
      <c r="M506" s="538"/>
      <c r="R506" s="538"/>
      <c r="S506" s="343"/>
      <c r="T506" s="343"/>
      <c r="U506" s="538"/>
      <c r="V506" s="343"/>
      <c r="W506" s="343"/>
      <c r="X506" s="538"/>
      <c r="Y506" s="343"/>
      <c r="Z506" s="343"/>
      <c r="AA506" s="538"/>
      <c r="AB506" s="343"/>
      <c r="AC506" s="343"/>
      <c r="AE506" s="343"/>
      <c r="AF506" s="538"/>
      <c r="AG506" s="343"/>
      <c r="AH506" s="343"/>
      <c r="AI506" s="538"/>
      <c r="AJ506" s="343"/>
      <c r="AK506" s="343"/>
      <c r="AL506" s="538"/>
      <c r="AM506" s="343"/>
      <c r="AN506" s="343"/>
      <c r="AO506" s="538"/>
      <c r="AP506" s="343"/>
      <c r="AQ506" s="343"/>
      <c r="AS506" s="343"/>
      <c r="AT506" s="538"/>
      <c r="AU506" s="343"/>
      <c r="AV506" s="343"/>
      <c r="AW506" s="538"/>
      <c r="AX506" s="343"/>
      <c r="AY506" s="343"/>
      <c r="AZ506" s="538"/>
      <c r="BA506" s="343"/>
      <c r="BB506" s="343"/>
      <c r="BC506" s="538"/>
      <c r="BD506" s="343"/>
      <c r="BE506" s="343"/>
      <c r="BG506" s="644"/>
      <c r="BH506" s="515"/>
      <c r="BI506" s="515"/>
      <c r="BJ506" s="644"/>
      <c r="BK506" s="515"/>
      <c r="BL506" s="515"/>
      <c r="BM506" s="644"/>
      <c r="BN506" s="515"/>
      <c r="BO506" s="515"/>
      <c r="BP506" s="644"/>
      <c r="BQ506" s="515"/>
      <c r="BR506" s="515"/>
    </row>
    <row r="507" spans="4:70" x14ac:dyDescent="0.25">
      <c r="D507" s="538"/>
      <c r="G507" s="538"/>
      <c r="J507" s="538"/>
      <c r="M507" s="538"/>
      <c r="R507" s="538"/>
      <c r="S507" s="343"/>
      <c r="T507" s="343"/>
      <c r="U507" s="538"/>
      <c r="V507" s="343"/>
      <c r="W507" s="343"/>
      <c r="X507" s="538"/>
      <c r="Y507" s="343"/>
      <c r="Z507" s="343"/>
      <c r="AA507" s="538"/>
      <c r="AB507" s="343"/>
      <c r="AC507" s="343"/>
      <c r="AE507" s="343"/>
      <c r="AF507" s="538"/>
      <c r="AG507" s="343"/>
      <c r="AH507" s="343"/>
      <c r="AI507" s="538"/>
      <c r="AJ507" s="343"/>
      <c r="AK507" s="343"/>
      <c r="AL507" s="538"/>
      <c r="AM507" s="343"/>
      <c r="AN507" s="343"/>
      <c r="AO507" s="538"/>
      <c r="AP507" s="343"/>
      <c r="AQ507" s="343"/>
      <c r="AS507" s="343"/>
      <c r="AT507" s="538"/>
      <c r="AU507" s="343"/>
      <c r="AV507" s="343"/>
      <c r="AW507" s="538"/>
      <c r="AX507" s="343"/>
      <c r="AY507" s="343"/>
      <c r="AZ507" s="538"/>
      <c r="BA507" s="343"/>
      <c r="BB507" s="343"/>
      <c r="BC507" s="538"/>
      <c r="BD507" s="343"/>
      <c r="BE507" s="343"/>
      <c r="BG507" s="644"/>
      <c r="BH507" s="515"/>
      <c r="BI507" s="515"/>
      <c r="BJ507" s="644"/>
      <c r="BK507" s="515"/>
      <c r="BL507" s="515"/>
      <c r="BM507" s="644"/>
      <c r="BN507" s="515"/>
      <c r="BO507" s="515"/>
      <c r="BP507" s="644"/>
      <c r="BQ507" s="515"/>
      <c r="BR507" s="515"/>
    </row>
    <row r="508" spans="4:70" x14ac:dyDescent="0.25">
      <c r="D508" s="538"/>
      <c r="G508" s="538"/>
      <c r="J508" s="538"/>
      <c r="M508" s="538"/>
      <c r="R508" s="538"/>
      <c r="S508" s="343"/>
      <c r="T508" s="343"/>
      <c r="U508" s="538"/>
      <c r="V508" s="343"/>
      <c r="W508" s="343"/>
      <c r="X508" s="538"/>
      <c r="Y508" s="343"/>
      <c r="Z508" s="343"/>
      <c r="AA508" s="538"/>
      <c r="AB508" s="343"/>
      <c r="AC508" s="343"/>
      <c r="AE508" s="343"/>
      <c r="AF508" s="538"/>
      <c r="AG508" s="343"/>
      <c r="AH508" s="343"/>
      <c r="AI508" s="538"/>
      <c r="AJ508" s="343"/>
      <c r="AK508" s="343"/>
      <c r="AL508" s="538"/>
      <c r="AM508" s="343"/>
      <c r="AN508" s="343"/>
      <c r="AO508" s="538"/>
      <c r="AP508" s="343"/>
      <c r="AQ508" s="343"/>
      <c r="AS508" s="343"/>
      <c r="AT508" s="538"/>
      <c r="AU508" s="343"/>
      <c r="AV508" s="343"/>
      <c r="AW508" s="538"/>
      <c r="AX508" s="343"/>
      <c r="AY508" s="343"/>
      <c r="AZ508" s="538"/>
      <c r="BA508" s="343"/>
      <c r="BB508" s="343"/>
      <c r="BC508" s="538"/>
      <c r="BD508" s="343"/>
      <c r="BE508" s="343"/>
      <c r="BG508" s="644"/>
      <c r="BH508" s="515"/>
      <c r="BI508" s="515"/>
      <c r="BJ508" s="644"/>
      <c r="BK508" s="515"/>
      <c r="BL508" s="515"/>
      <c r="BM508" s="644"/>
      <c r="BN508" s="515"/>
      <c r="BO508" s="515"/>
      <c r="BP508" s="644"/>
      <c r="BQ508" s="515"/>
      <c r="BR508" s="515"/>
    </row>
    <row r="509" spans="4:70" x14ac:dyDescent="0.25">
      <c r="D509" s="538"/>
      <c r="G509" s="538"/>
      <c r="J509" s="538"/>
      <c r="M509" s="538"/>
      <c r="R509" s="538"/>
      <c r="S509" s="343"/>
      <c r="T509" s="343"/>
      <c r="U509" s="538"/>
      <c r="V509" s="343"/>
      <c r="W509" s="343"/>
      <c r="X509" s="538"/>
      <c r="Y509" s="343"/>
      <c r="Z509" s="343"/>
      <c r="AA509" s="538"/>
      <c r="AB509" s="343"/>
      <c r="AC509" s="343"/>
      <c r="AE509" s="343"/>
      <c r="AF509" s="538"/>
      <c r="AG509" s="343"/>
      <c r="AH509" s="343"/>
      <c r="AI509" s="538"/>
      <c r="AJ509" s="343"/>
      <c r="AK509" s="343"/>
      <c r="AL509" s="538"/>
      <c r="AM509" s="343"/>
      <c r="AN509" s="343"/>
      <c r="AO509" s="538"/>
      <c r="AP509" s="343"/>
      <c r="AQ509" s="343"/>
      <c r="AS509" s="343"/>
      <c r="AT509" s="538"/>
      <c r="AU509" s="343"/>
      <c r="AV509" s="343"/>
      <c r="AW509" s="538"/>
      <c r="AX509" s="343"/>
      <c r="AY509" s="343"/>
      <c r="AZ509" s="538"/>
      <c r="BA509" s="343"/>
      <c r="BB509" s="343"/>
      <c r="BC509" s="538"/>
      <c r="BD509" s="343"/>
      <c r="BE509" s="343"/>
      <c r="BG509" s="644"/>
      <c r="BH509" s="515"/>
      <c r="BI509" s="515"/>
      <c r="BJ509" s="644"/>
      <c r="BK509" s="515"/>
      <c r="BL509" s="515"/>
      <c r="BM509" s="644"/>
      <c r="BN509" s="515"/>
      <c r="BO509" s="515"/>
      <c r="BP509" s="644"/>
      <c r="BQ509" s="515"/>
      <c r="BR509" s="515"/>
    </row>
    <row r="510" spans="4:70" x14ac:dyDescent="0.25">
      <c r="D510" s="538"/>
      <c r="G510" s="538"/>
      <c r="J510" s="538"/>
      <c r="M510" s="538"/>
      <c r="R510" s="538"/>
      <c r="S510" s="343"/>
      <c r="T510" s="343"/>
      <c r="U510" s="538"/>
      <c r="V510" s="343"/>
      <c r="W510" s="343"/>
      <c r="X510" s="538"/>
      <c r="Y510" s="343"/>
      <c r="Z510" s="343"/>
      <c r="AA510" s="538"/>
      <c r="AB510" s="343"/>
      <c r="AC510" s="343"/>
      <c r="AE510" s="343"/>
      <c r="AF510" s="538"/>
      <c r="AG510" s="343"/>
      <c r="AH510" s="343"/>
      <c r="AI510" s="538"/>
      <c r="AJ510" s="343"/>
      <c r="AK510" s="343"/>
      <c r="AL510" s="538"/>
      <c r="AM510" s="343"/>
      <c r="AN510" s="343"/>
      <c r="AO510" s="538"/>
      <c r="AP510" s="343"/>
      <c r="AQ510" s="343"/>
      <c r="AS510" s="343"/>
      <c r="AT510" s="538"/>
      <c r="AU510" s="343"/>
      <c r="AV510" s="343"/>
      <c r="AW510" s="538"/>
      <c r="AX510" s="343"/>
      <c r="AY510" s="343"/>
      <c r="AZ510" s="538"/>
      <c r="BA510" s="343"/>
      <c r="BB510" s="343"/>
      <c r="BC510" s="538"/>
      <c r="BD510" s="343"/>
      <c r="BE510" s="343"/>
      <c r="BG510" s="644"/>
      <c r="BH510" s="515"/>
      <c r="BI510" s="515"/>
      <c r="BJ510" s="644"/>
      <c r="BK510" s="515"/>
      <c r="BL510" s="515"/>
      <c r="BM510" s="644"/>
      <c r="BN510" s="515"/>
      <c r="BO510" s="515"/>
      <c r="BP510" s="644"/>
      <c r="BQ510" s="515"/>
      <c r="BR510" s="515"/>
    </row>
    <row r="511" spans="4:70" x14ac:dyDescent="0.25">
      <c r="D511" s="538"/>
      <c r="G511" s="538"/>
      <c r="J511" s="538"/>
      <c r="M511" s="538"/>
      <c r="R511" s="538"/>
      <c r="S511" s="343"/>
      <c r="T511" s="343"/>
      <c r="U511" s="538"/>
      <c r="V511" s="343"/>
      <c r="W511" s="343"/>
      <c r="X511" s="538"/>
      <c r="Y511" s="343"/>
      <c r="Z511" s="343"/>
      <c r="AA511" s="538"/>
      <c r="AB511" s="343"/>
      <c r="AC511" s="343"/>
      <c r="AE511" s="343"/>
      <c r="AF511" s="538"/>
      <c r="AG511" s="343"/>
      <c r="AH511" s="343"/>
      <c r="AI511" s="538"/>
      <c r="AJ511" s="343"/>
      <c r="AK511" s="343"/>
      <c r="AL511" s="538"/>
      <c r="AM511" s="343"/>
      <c r="AN511" s="343"/>
      <c r="AO511" s="538"/>
      <c r="AP511" s="343"/>
      <c r="AQ511" s="343"/>
      <c r="AS511" s="343"/>
      <c r="AT511" s="538"/>
      <c r="AU511" s="343"/>
      <c r="AV511" s="343"/>
      <c r="AW511" s="538"/>
      <c r="AX511" s="343"/>
      <c r="AY511" s="343"/>
      <c r="AZ511" s="538"/>
      <c r="BA511" s="343"/>
      <c r="BB511" s="343"/>
      <c r="BC511" s="538"/>
      <c r="BD511" s="343"/>
      <c r="BE511" s="343"/>
      <c r="BG511" s="644"/>
      <c r="BH511" s="515"/>
      <c r="BI511" s="515"/>
      <c r="BJ511" s="644"/>
      <c r="BK511" s="515"/>
      <c r="BL511" s="515"/>
      <c r="BM511" s="644"/>
      <c r="BN511" s="515"/>
      <c r="BO511" s="515"/>
      <c r="BP511" s="644"/>
      <c r="BQ511" s="515"/>
      <c r="BR511" s="515"/>
    </row>
    <row r="512" spans="4:70" x14ac:dyDescent="0.25">
      <c r="D512" s="538"/>
      <c r="G512" s="538"/>
      <c r="J512" s="538"/>
      <c r="M512" s="538"/>
      <c r="R512" s="538"/>
      <c r="S512" s="343"/>
      <c r="T512" s="343"/>
      <c r="U512" s="538"/>
      <c r="V512" s="343"/>
      <c r="W512" s="343"/>
      <c r="X512" s="538"/>
      <c r="Y512" s="343"/>
      <c r="Z512" s="343"/>
      <c r="AA512" s="538"/>
      <c r="AB512" s="343"/>
      <c r="AC512" s="343"/>
      <c r="AE512" s="343"/>
      <c r="AF512" s="538"/>
      <c r="AG512" s="343"/>
      <c r="AH512" s="343"/>
      <c r="AI512" s="538"/>
      <c r="AJ512" s="343"/>
      <c r="AK512" s="343"/>
      <c r="AL512" s="538"/>
      <c r="AM512" s="343"/>
      <c r="AN512" s="343"/>
      <c r="AO512" s="538"/>
      <c r="AP512" s="343"/>
      <c r="AQ512" s="343"/>
      <c r="AS512" s="343"/>
      <c r="AT512" s="538"/>
      <c r="AU512" s="343"/>
      <c r="AV512" s="343"/>
      <c r="AW512" s="538"/>
      <c r="AX512" s="343"/>
      <c r="AY512" s="343"/>
      <c r="AZ512" s="538"/>
      <c r="BA512" s="343"/>
      <c r="BB512" s="343"/>
      <c r="BC512" s="538"/>
      <c r="BD512" s="343"/>
      <c r="BE512" s="343"/>
      <c r="BG512" s="644"/>
      <c r="BH512" s="515"/>
      <c r="BI512" s="515"/>
      <c r="BJ512" s="644"/>
      <c r="BK512" s="515"/>
      <c r="BL512" s="515"/>
      <c r="BM512" s="644"/>
      <c r="BN512" s="515"/>
      <c r="BO512" s="515"/>
      <c r="BP512" s="644"/>
      <c r="BQ512" s="515"/>
      <c r="BR512" s="515"/>
    </row>
    <row r="513" spans="4:70" x14ac:dyDescent="0.25">
      <c r="D513" s="538"/>
      <c r="G513" s="538"/>
      <c r="J513" s="538"/>
      <c r="M513" s="538"/>
      <c r="R513" s="538"/>
      <c r="S513" s="343"/>
      <c r="T513" s="343"/>
      <c r="U513" s="538"/>
      <c r="V513" s="343"/>
      <c r="W513" s="343"/>
      <c r="X513" s="538"/>
      <c r="Y513" s="343"/>
      <c r="Z513" s="343"/>
      <c r="AA513" s="538"/>
      <c r="AB513" s="343"/>
      <c r="AC513" s="343"/>
      <c r="AE513" s="343"/>
      <c r="AF513" s="538"/>
      <c r="AG513" s="343"/>
      <c r="AH513" s="343"/>
      <c r="AI513" s="538"/>
      <c r="AJ513" s="343"/>
      <c r="AK513" s="343"/>
      <c r="AL513" s="538"/>
      <c r="AM513" s="343"/>
      <c r="AN513" s="343"/>
      <c r="AO513" s="538"/>
      <c r="AP513" s="343"/>
      <c r="AQ513" s="343"/>
      <c r="AS513" s="343"/>
      <c r="AT513" s="538"/>
      <c r="AU513" s="343"/>
      <c r="AV513" s="343"/>
      <c r="AW513" s="538"/>
      <c r="AX513" s="343"/>
      <c r="AY513" s="343"/>
      <c r="AZ513" s="538"/>
      <c r="BA513" s="343"/>
      <c r="BB513" s="343"/>
      <c r="BC513" s="538"/>
      <c r="BD513" s="343"/>
      <c r="BE513" s="343"/>
      <c r="BG513" s="644"/>
      <c r="BH513" s="515"/>
      <c r="BI513" s="515"/>
      <c r="BJ513" s="644"/>
      <c r="BK513" s="515"/>
      <c r="BL513" s="515"/>
      <c r="BM513" s="644"/>
      <c r="BN513" s="515"/>
      <c r="BO513" s="515"/>
      <c r="BP513" s="644"/>
      <c r="BQ513" s="515"/>
      <c r="BR513" s="515"/>
    </row>
    <row r="514" spans="4:70" x14ac:dyDescent="0.25">
      <c r="D514" s="538"/>
      <c r="G514" s="538"/>
      <c r="J514" s="538"/>
      <c r="M514" s="538"/>
      <c r="R514" s="538"/>
      <c r="S514" s="343"/>
      <c r="T514" s="343"/>
      <c r="U514" s="538"/>
      <c r="V514" s="343"/>
      <c r="W514" s="343"/>
      <c r="X514" s="538"/>
      <c r="Y514" s="343"/>
      <c r="Z514" s="343"/>
      <c r="AA514" s="538"/>
      <c r="AB514" s="343"/>
      <c r="AC514" s="343"/>
      <c r="AE514" s="343"/>
      <c r="AF514" s="538"/>
      <c r="AG514" s="343"/>
      <c r="AH514" s="343"/>
      <c r="AI514" s="538"/>
      <c r="AJ514" s="343"/>
      <c r="AK514" s="343"/>
      <c r="AL514" s="538"/>
      <c r="AM514" s="343"/>
      <c r="AN514" s="343"/>
      <c r="AO514" s="538"/>
      <c r="AP514" s="343"/>
      <c r="AQ514" s="343"/>
      <c r="AS514" s="343"/>
      <c r="AT514" s="538"/>
      <c r="AU514" s="343"/>
      <c r="AV514" s="343"/>
      <c r="AW514" s="538"/>
      <c r="AX514" s="343"/>
      <c r="AY514" s="343"/>
      <c r="AZ514" s="538"/>
      <c r="BA514" s="343"/>
      <c r="BB514" s="343"/>
      <c r="BC514" s="538"/>
      <c r="BD514" s="343"/>
      <c r="BE514" s="343"/>
      <c r="BG514" s="644"/>
      <c r="BH514" s="515"/>
      <c r="BI514" s="515"/>
      <c r="BJ514" s="644"/>
      <c r="BK514" s="515"/>
      <c r="BL514" s="515"/>
      <c r="BM514" s="644"/>
      <c r="BN514" s="515"/>
      <c r="BO514" s="515"/>
      <c r="BP514" s="644"/>
      <c r="BQ514" s="515"/>
      <c r="BR514" s="515"/>
    </row>
    <row r="515" spans="4:70" x14ac:dyDescent="0.25">
      <c r="D515" s="538"/>
      <c r="G515" s="538"/>
      <c r="J515" s="538"/>
      <c r="M515" s="538"/>
      <c r="R515" s="538"/>
      <c r="S515" s="343"/>
      <c r="T515" s="343"/>
      <c r="U515" s="538"/>
      <c r="V515" s="343"/>
      <c r="W515" s="343"/>
      <c r="X515" s="538"/>
      <c r="Y515" s="343"/>
      <c r="Z515" s="343"/>
      <c r="AA515" s="538"/>
      <c r="AB515" s="343"/>
      <c r="AC515" s="343"/>
      <c r="AE515" s="343"/>
      <c r="AF515" s="538"/>
      <c r="AG515" s="343"/>
      <c r="AH515" s="343"/>
      <c r="AI515" s="538"/>
      <c r="AJ515" s="343"/>
      <c r="AK515" s="343"/>
      <c r="AL515" s="538"/>
      <c r="AM515" s="343"/>
      <c r="AN515" s="343"/>
      <c r="AO515" s="538"/>
      <c r="AP515" s="343"/>
      <c r="AQ515" s="343"/>
      <c r="AS515" s="343"/>
      <c r="AT515" s="538"/>
      <c r="AU515" s="343"/>
      <c r="AV515" s="343"/>
      <c r="AW515" s="538"/>
      <c r="AX515" s="343"/>
      <c r="AY515" s="343"/>
      <c r="AZ515" s="538"/>
      <c r="BA515" s="343"/>
      <c r="BB515" s="343"/>
      <c r="BC515" s="538"/>
      <c r="BD515" s="343"/>
      <c r="BE515" s="343"/>
      <c r="BG515" s="644"/>
      <c r="BH515" s="515"/>
      <c r="BI515" s="515"/>
      <c r="BJ515" s="644"/>
      <c r="BK515" s="515"/>
      <c r="BL515" s="515"/>
      <c r="BM515" s="644"/>
      <c r="BN515" s="515"/>
      <c r="BO515" s="515"/>
      <c r="BP515" s="644"/>
      <c r="BQ515" s="515"/>
      <c r="BR515" s="515"/>
    </row>
    <row r="516" spans="4:70" x14ac:dyDescent="0.25">
      <c r="D516" s="538"/>
      <c r="G516" s="538"/>
      <c r="J516" s="538"/>
      <c r="M516" s="538"/>
      <c r="R516" s="538"/>
      <c r="S516" s="343"/>
      <c r="T516" s="343"/>
      <c r="U516" s="538"/>
      <c r="V516" s="343"/>
      <c r="W516" s="343"/>
      <c r="X516" s="538"/>
      <c r="Y516" s="343"/>
      <c r="Z516" s="343"/>
      <c r="AA516" s="538"/>
      <c r="AB516" s="343"/>
      <c r="AC516" s="343"/>
      <c r="AE516" s="343"/>
      <c r="AF516" s="538"/>
      <c r="AG516" s="343"/>
      <c r="AH516" s="343"/>
      <c r="AI516" s="538"/>
      <c r="AJ516" s="343"/>
      <c r="AK516" s="343"/>
      <c r="AL516" s="538"/>
      <c r="AM516" s="343"/>
      <c r="AN516" s="343"/>
      <c r="AO516" s="538"/>
      <c r="AP516" s="343"/>
      <c r="AQ516" s="343"/>
      <c r="AS516" s="343"/>
      <c r="AT516" s="538"/>
      <c r="AU516" s="343"/>
      <c r="AV516" s="343"/>
      <c r="AW516" s="538"/>
      <c r="AX516" s="343"/>
      <c r="AY516" s="343"/>
      <c r="AZ516" s="538"/>
      <c r="BA516" s="343"/>
      <c r="BB516" s="343"/>
      <c r="BC516" s="538"/>
      <c r="BD516" s="343"/>
      <c r="BE516" s="343"/>
      <c r="BG516" s="644"/>
      <c r="BH516" s="515"/>
      <c r="BI516" s="515"/>
      <c r="BJ516" s="644"/>
      <c r="BK516" s="515"/>
      <c r="BL516" s="515"/>
      <c r="BM516" s="644"/>
      <c r="BN516" s="515"/>
      <c r="BO516" s="515"/>
      <c r="BP516" s="644"/>
      <c r="BQ516" s="515"/>
      <c r="BR516" s="515"/>
    </row>
    <row r="517" spans="4:70" x14ac:dyDescent="0.25">
      <c r="D517" s="538"/>
      <c r="G517" s="538"/>
      <c r="J517" s="538"/>
      <c r="M517" s="538"/>
      <c r="R517" s="538"/>
      <c r="S517" s="343"/>
      <c r="T517" s="343"/>
      <c r="U517" s="538"/>
      <c r="V517" s="343"/>
      <c r="W517" s="343"/>
      <c r="X517" s="538"/>
      <c r="Y517" s="343"/>
      <c r="Z517" s="343"/>
      <c r="AA517" s="538"/>
      <c r="AB517" s="343"/>
      <c r="AC517" s="343"/>
      <c r="AE517" s="343"/>
      <c r="AF517" s="538"/>
      <c r="AG517" s="343"/>
      <c r="AH517" s="343"/>
      <c r="AI517" s="538"/>
      <c r="AJ517" s="343"/>
      <c r="AK517" s="343"/>
      <c r="AL517" s="538"/>
      <c r="AM517" s="343"/>
      <c r="AN517" s="343"/>
      <c r="AO517" s="538"/>
      <c r="AP517" s="343"/>
      <c r="AQ517" s="343"/>
      <c r="AS517" s="343"/>
      <c r="AT517" s="538"/>
      <c r="AU517" s="343"/>
      <c r="AV517" s="343"/>
      <c r="AW517" s="538"/>
      <c r="AX517" s="343"/>
      <c r="AY517" s="343"/>
      <c r="AZ517" s="538"/>
      <c r="BA517" s="343"/>
      <c r="BB517" s="343"/>
      <c r="BC517" s="538"/>
      <c r="BD517" s="343"/>
      <c r="BE517" s="343"/>
      <c r="BG517" s="644"/>
      <c r="BH517" s="515"/>
      <c r="BI517" s="515"/>
      <c r="BJ517" s="644"/>
      <c r="BK517" s="515"/>
      <c r="BL517" s="515"/>
      <c r="BM517" s="644"/>
      <c r="BN517" s="515"/>
      <c r="BO517" s="515"/>
      <c r="BP517" s="644"/>
      <c r="BQ517" s="515"/>
      <c r="BR517" s="515"/>
    </row>
    <row r="518" spans="4:70" x14ac:dyDescent="0.25">
      <c r="D518" s="538"/>
      <c r="G518" s="538"/>
      <c r="J518" s="538"/>
      <c r="M518" s="538"/>
      <c r="R518" s="538"/>
      <c r="S518" s="343"/>
      <c r="T518" s="343"/>
      <c r="U518" s="538"/>
      <c r="V518" s="343"/>
      <c r="W518" s="343"/>
      <c r="X518" s="538"/>
      <c r="Y518" s="343"/>
      <c r="Z518" s="343"/>
      <c r="AA518" s="538"/>
      <c r="AB518" s="343"/>
      <c r="AC518" s="343"/>
      <c r="AE518" s="343"/>
      <c r="AF518" s="538"/>
      <c r="AG518" s="343"/>
      <c r="AH518" s="343"/>
      <c r="AI518" s="538"/>
      <c r="AJ518" s="343"/>
      <c r="AK518" s="343"/>
      <c r="AL518" s="538"/>
      <c r="AM518" s="343"/>
      <c r="AN518" s="343"/>
      <c r="AO518" s="538"/>
      <c r="AP518" s="343"/>
      <c r="AQ518" s="343"/>
      <c r="AS518" s="343"/>
      <c r="AT518" s="538"/>
      <c r="AU518" s="343"/>
      <c r="AV518" s="343"/>
      <c r="AW518" s="538"/>
      <c r="AX518" s="343"/>
      <c r="AY518" s="343"/>
      <c r="AZ518" s="538"/>
      <c r="BA518" s="343"/>
      <c r="BB518" s="343"/>
      <c r="BC518" s="538"/>
      <c r="BD518" s="343"/>
      <c r="BE518" s="343"/>
      <c r="BG518" s="644"/>
      <c r="BH518" s="515"/>
      <c r="BI518" s="515"/>
      <c r="BJ518" s="644"/>
      <c r="BK518" s="515"/>
      <c r="BL518" s="515"/>
      <c r="BM518" s="644"/>
      <c r="BN518" s="515"/>
      <c r="BO518" s="515"/>
      <c r="BP518" s="644"/>
      <c r="BQ518" s="515"/>
      <c r="BR518" s="515"/>
    </row>
    <row r="519" spans="4:70" x14ac:dyDescent="0.25">
      <c r="D519" s="538"/>
      <c r="G519" s="538"/>
      <c r="J519" s="538"/>
      <c r="M519" s="538"/>
      <c r="R519" s="538"/>
      <c r="S519" s="343"/>
      <c r="T519" s="343"/>
      <c r="U519" s="538"/>
      <c r="V519" s="343"/>
      <c r="W519" s="343"/>
      <c r="X519" s="538"/>
      <c r="Y519" s="343"/>
      <c r="Z519" s="343"/>
      <c r="AA519" s="538"/>
      <c r="AB519" s="343"/>
      <c r="AC519" s="343"/>
      <c r="AE519" s="343"/>
      <c r="AF519" s="538"/>
      <c r="AG519" s="343"/>
      <c r="AH519" s="343"/>
      <c r="AI519" s="538"/>
      <c r="AJ519" s="343"/>
      <c r="AK519" s="343"/>
      <c r="AL519" s="538"/>
      <c r="AM519" s="343"/>
      <c r="AN519" s="343"/>
      <c r="AO519" s="538"/>
      <c r="AP519" s="343"/>
      <c r="AQ519" s="343"/>
      <c r="AS519" s="343"/>
      <c r="AT519" s="538"/>
      <c r="AU519" s="343"/>
      <c r="AV519" s="343"/>
      <c r="AW519" s="538"/>
      <c r="AX519" s="343"/>
      <c r="AY519" s="343"/>
      <c r="AZ519" s="538"/>
      <c r="BA519" s="343"/>
      <c r="BB519" s="343"/>
      <c r="BC519" s="538"/>
      <c r="BD519" s="343"/>
      <c r="BE519" s="343"/>
      <c r="BG519" s="644"/>
      <c r="BH519" s="515"/>
      <c r="BI519" s="515"/>
      <c r="BJ519" s="644"/>
      <c r="BK519" s="515"/>
      <c r="BL519" s="515"/>
      <c r="BM519" s="644"/>
      <c r="BN519" s="515"/>
      <c r="BO519" s="515"/>
      <c r="BP519" s="644"/>
      <c r="BQ519" s="515"/>
      <c r="BR519" s="515"/>
    </row>
    <row r="520" spans="4:70" x14ac:dyDescent="0.25">
      <c r="D520" s="538"/>
      <c r="G520" s="538"/>
      <c r="J520" s="538"/>
      <c r="M520" s="538"/>
      <c r="R520" s="538"/>
      <c r="S520" s="343"/>
      <c r="T520" s="343"/>
      <c r="U520" s="538"/>
      <c r="V520" s="343"/>
      <c r="W520" s="343"/>
      <c r="X520" s="538"/>
      <c r="Y520" s="343"/>
      <c r="Z520" s="343"/>
      <c r="AA520" s="538"/>
      <c r="AB520" s="343"/>
      <c r="AC520" s="343"/>
      <c r="AE520" s="343"/>
      <c r="AF520" s="538"/>
      <c r="AG520" s="343"/>
      <c r="AH520" s="343"/>
      <c r="AI520" s="538"/>
      <c r="AJ520" s="343"/>
      <c r="AK520" s="343"/>
      <c r="AL520" s="538"/>
      <c r="AM520" s="343"/>
      <c r="AN520" s="343"/>
      <c r="AO520" s="538"/>
      <c r="AP520" s="343"/>
      <c r="AQ520" s="343"/>
      <c r="AS520" s="343"/>
      <c r="AT520" s="538"/>
      <c r="AU520" s="343"/>
      <c r="AV520" s="343"/>
      <c r="AW520" s="538"/>
      <c r="AX520" s="343"/>
      <c r="AY520" s="343"/>
      <c r="AZ520" s="538"/>
      <c r="BA520" s="343"/>
      <c r="BB520" s="343"/>
      <c r="BC520" s="538"/>
      <c r="BD520" s="343"/>
      <c r="BE520" s="343"/>
      <c r="BG520" s="644"/>
      <c r="BH520" s="515"/>
      <c r="BI520" s="515"/>
      <c r="BJ520" s="644"/>
      <c r="BK520" s="515"/>
      <c r="BL520" s="515"/>
      <c r="BM520" s="644"/>
      <c r="BN520" s="515"/>
      <c r="BO520" s="515"/>
      <c r="BP520" s="644"/>
      <c r="BQ520" s="515"/>
      <c r="BR520" s="515"/>
    </row>
    <row r="521" spans="4:70" x14ac:dyDescent="0.25">
      <c r="D521" s="538"/>
      <c r="G521" s="538"/>
      <c r="J521" s="538"/>
      <c r="M521" s="538"/>
      <c r="R521" s="538"/>
      <c r="S521" s="343"/>
      <c r="T521" s="343"/>
      <c r="U521" s="538"/>
      <c r="V521" s="343"/>
      <c r="W521" s="343"/>
      <c r="X521" s="538"/>
      <c r="Y521" s="343"/>
      <c r="Z521" s="343"/>
      <c r="AA521" s="538"/>
      <c r="AB521" s="343"/>
      <c r="AC521" s="343"/>
      <c r="AE521" s="343"/>
      <c r="AF521" s="538"/>
      <c r="AG521" s="343"/>
      <c r="AH521" s="343"/>
      <c r="AI521" s="538"/>
      <c r="AJ521" s="343"/>
      <c r="AK521" s="343"/>
      <c r="AL521" s="538"/>
      <c r="AM521" s="343"/>
      <c r="AN521" s="343"/>
      <c r="AO521" s="538"/>
      <c r="AP521" s="343"/>
      <c r="AQ521" s="343"/>
      <c r="AS521" s="343"/>
      <c r="AT521" s="538"/>
      <c r="AU521" s="343"/>
      <c r="AV521" s="343"/>
      <c r="AW521" s="538"/>
      <c r="AX521" s="343"/>
      <c r="AY521" s="343"/>
      <c r="AZ521" s="538"/>
      <c r="BA521" s="343"/>
      <c r="BB521" s="343"/>
      <c r="BC521" s="538"/>
      <c r="BD521" s="343"/>
      <c r="BE521" s="343"/>
      <c r="BG521" s="644"/>
      <c r="BH521" s="515"/>
      <c r="BI521" s="515"/>
      <c r="BJ521" s="644"/>
      <c r="BK521" s="515"/>
      <c r="BL521" s="515"/>
      <c r="BM521" s="644"/>
      <c r="BN521" s="515"/>
      <c r="BO521" s="515"/>
      <c r="BP521" s="644"/>
      <c r="BQ521" s="515"/>
      <c r="BR521" s="515"/>
    </row>
    <row r="522" spans="4:70" x14ac:dyDescent="0.25">
      <c r="D522" s="538"/>
      <c r="G522" s="538"/>
      <c r="J522" s="538"/>
      <c r="M522" s="538"/>
      <c r="R522" s="538"/>
      <c r="S522" s="343"/>
      <c r="T522" s="343"/>
      <c r="U522" s="538"/>
      <c r="V522" s="343"/>
      <c r="W522" s="343"/>
      <c r="X522" s="538"/>
      <c r="Y522" s="343"/>
      <c r="Z522" s="343"/>
      <c r="AA522" s="538"/>
      <c r="AB522" s="343"/>
      <c r="AC522" s="343"/>
      <c r="AE522" s="343"/>
      <c r="AF522" s="538"/>
      <c r="AG522" s="343"/>
      <c r="AH522" s="343"/>
      <c r="AI522" s="538"/>
      <c r="AJ522" s="343"/>
      <c r="AK522" s="343"/>
      <c r="AL522" s="538"/>
      <c r="AM522" s="343"/>
      <c r="AN522" s="343"/>
      <c r="AO522" s="538"/>
      <c r="AP522" s="343"/>
      <c r="AQ522" s="343"/>
      <c r="AS522" s="343"/>
      <c r="AT522" s="538"/>
      <c r="AU522" s="343"/>
      <c r="AV522" s="343"/>
      <c r="AW522" s="538"/>
      <c r="AX522" s="343"/>
      <c r="AY522" s="343"/>
      <c r="AZ522" s="538"/>
      <c r="BA522" s="343"/>
      <c r="BB522" s="343"/>
      <c r="BC522" s="538"/>
      <c r="BD522" s="343"/>
      <c r="BE522" s="343"/>
      <c r="BG522" s="644"/>
      <c r="BH522" s="515"/>
      <c r="BI522" s="515"/>
      <c r="BJ522" s="644"/>
      <c r="BK522" s="515"/>
      <c r="BL522" s="515"/>
      <c r="BM522" s="644"/>
      <c r="BN522" s="515"/>
      <c r="BO522" s="515"/>
      <c r="BP522" s="644"/>
      <c r="BQ522" s="515"/>
      <c r="BR522" s="515"/>
    </row>
    <row r="523" spans="4:70" x14ac:dyDescent="0.25">
      <c r="D523" s="538"/>
      <c r="G523" s="538"/>
      <c r="J523" s="538"/>
      <c r="M523" s="538"/>
      <c r="R523" s="538"/>
      <c r="S523" s="343"/>
      <c r="T523" s="343"/>
      <c r="U523" s="538"/>
      <c r="V523" s="343"/>
      <c r="W523" s="343"/>
      <c r="X523" s="538"/>
      <c r="Y523" s="343"/>
      <c r="Z523" s="343"/>
      <c r="AA523" s="538"/>
      <c r="AB523" s="343"/>
      <c r="AC523" s="343"/>
      <c r="AE523" s="343"/>
      <c r="AF523" s="538"/>
      <c r="AG523" s="343"/>
      <c r="AH523" s="343"/>
      <c r="AI523" s="538"/>
      <c r="AJ523" s="343"/>
      <c r="AK523" s="343"/>
      <c r="AL523" s="538"/>
      <c r="AM523" s="343"/>
      <c r="AN523" s="343"/>
      <c r="AO523" s="538"/>
      <c r="AP523" s="343"/>
      <c r="AQ523" s="343"/>
      <c r="AS523" s="343"/>
      <c r="AT523" s="538"/>
      <c r="AU523" s="343"/>
      <c r="AV523" s="343"/>
      <c r="AW523" s="538"/>
      <c r="AX523" s="343"/>
      <c r="AY523" s="343"/>
      <c r="AZ523" s="538"/>
      <c r="BA523" s="343"/>
      <c r="BB523" s="343"/>
      <c r="BC523" s="538"/>
      <c r="BD523" s="343"/>
      <c r="BE523" s="343"/>
      <c r="BG523" s="644"/>
      <c r="BH523" s="515"/>
      <c r="BI523" s="515"/>
      <c r="BJ523" s="644"/>
      <c r="BK523" s="515"/>
      <c r="BL523" s="515"/>
      <c r="BM523" s="644"/>
      <c r="BN523" s="515"/>
      <c r="BO523" s="515"/>
      <c r="BP523" s="644"/>
      <c r="BQ523" s="515"/>
      <c r="BR523" s="515"/>
    </row>
    <row r="524" spans="4:70" x14ac:dyDescent="0.25">
      <c r="D524" s="538"/>
      <c r="G524" s="538"/>
      <c r="J524" s="538"/>
      <c r="M524" s="538"/>
      <c r="R524" s="538"/>
      <c r="S524" s="343"/>
      <c r="T524" s="343"/>
      <c r="U524" s="538"/>
      <c r="V524" s="343"/>
      <c r="W524" s="343"/>
      <c r="X524" s="538"/>
      <c r="Y524" s="343"/>
      <c r="Z524" s="343"/>
      <c r="AA524" s="538"/>
      <c r="AB524" s="343"/>
      <c r="AC524" s="343"/>
      <c r="AE524" s="343"/>
      <c r="AF524" s="538"/>
      <c r="AG524" s="343"/>
      <c r="AH524" s="343"/>
      <c r="AI524" s="538"/>
      <c r="AJ524" s="343"/>
      <c r="AK524" s="343"/>
      <c r="AL524" s="538"/>
      <c r="AM524" s="343"/>
      <c r="AN524" s="343"/>
      <c r="AO524" s="538"/>
      <c r="AP524" s="343"/>
      <c r="AQ524" s="343"/>
      <c r="AS524" s="343"/>
      <c r="AT524" s="538"/>
      <c r="AU524" s="343"/>
      <c r="AV524" s="343"/>
      <c r="AW524" s="538"/>
      <c r="AX524" s="343"/>
      <c r="AY524" s="343"/>
      <c r="AZ524" s="538"/>
      <c r="BA524" s="343"/>
      <c r="BB524" s="343"/>
      <c r="BC524" s="538"/>
      <c r="BD524" s="343"/>
      <c r="BE524" s="343"/>
      <c r="BG524" s="644"/>
      <c r="BH524" s="515"/>
      <c r="BI524" s="515"/>
      <c r="BJ524" s="644"/>
      <c r="BK524" s="515"/>
      <c r="BL524" s="515"/>
      <c r="BM524" s="644"/>
      <c r="BN524" s="515"/>
      <c r="BO524" s="515"/>
      <c r="BP524" s="644"/>
      <c r="BQ524" s="515"/>
      <c r="BR524" s="515"/>
    </row>
    <row r="525" spans="4:70" x14ac:dyDescent="0.25">
      <c r="D525" s="538"/>
      <c r="G525" s="538"/>
      <c r="J525" s="538"/>
      <c r="M525" s="538"/>
      <c r="R525" s="538"/>
      <c r="S525" s="343"/>
      <c r="T525" s="343"/>
      <c r="U525" s="538"/>
      <c r="V525" s="343"/>
      <c r="W525" s="343"/>
      <c r="X525" s="538"/>
      <c r="Y525" s="343"/>
      <c r="Z525" s="343"/>
      <c r="AA525" s="538"/>
      <c r="AB525" s="343"/>
      <c r="AC525" s="343"/>
      <c r="AE525" s="343"/>
      <c r="AF525" s="538"/>
      <c r="AG525" s="343"/>
      <c r="AH525" s="343"/>
      <c r="AI525" s="538"/>
      <c r="AJ525" s="343"/>
      <c r="AK525" s="343"/>
      <c r="AL525" s="538"/>
      <c r="AM525" s="343"/>
      <c r="AN525" s="343"/>
      <c r="AO525" s="538"/>
      <c r="AP525" s="343"/>
      <c r="AQ525" s="343"/>
      <c r="AS525" s="343"/>
      <c r="AT525" s="538"/>
      <c r="AU525" s="343"/>
      <c r="AV525" s="343"/>
      <c r="AW525" s="538"/>
      <c r="AX525" s="343"/>
      <c r="AY525" s="343"/>
      <c r="AZ525" s="538"/>
      <c r="BA525" s="343"/>
      <c r="BB525" s="343"/>
      <c r="BC525" s="538"/>
      <c r="BD525" s="343"/>
      <c r="BE525" s="343"/>
      <c r="BG525" s="644"/>
      <c r="BH525" s="515"/>
      <c r="BI525" s="515"/>
      <c r="BJ525" s="644"/>
      <c r="BK525" s="515"/>
      <c r="BL525" s="515"/>
      <c r="BM525" s="644"/>
      <c r="BN525" s="515"/>
      <c r="BO525" s="515"/>
      <c r="BP525" s="644"/>
      <c r="BQ525" s="515"/>
      <c r="BR525" s="515"/>
    </row>
    <row r="526" spans="4:70" x14ac:dyDescent="0.25">
      <c r="D526" s="538"/>
      <c r="G526" s="538"/>
      <c r="J526" s="538"/>
      <c r="M526" s="538"/>
      <c r="R526" s="538"/>
      <c r="S526" s="343"/>
      <c r="T526" s="343"/>
      <c r="U526" s="538"/>
      <c r="V526" s="343"/>
      <c r="W526" s="343"/>
      <c r="X526" s="538"/>
      <c r="Y526" s="343"/>
      <c r="Z526" s="343"/>
      <c r="AA526" s="538"/>
      <c r="AB526" s="343"/>
      <c r="AC526" s="343"/>
      <c r="AE526" s="343"/>
      <c r="AF526" s="538"/>
      <c r="AG526" s="343"/>
      <c r="AH526" s="343"/>
      <c r="AI526" s="538"/>
      <c r="AJ526" s="343"/>
      <c r="AK526" s="343"/>
      <c r="AL526" s="538"/>
      <c r="AM526" s="343"/>
      <c r="AN526" s="343"/>
      <c r="AO526" s="538"/>
      <c r="AP526" s="343"/>
      <c r="AQ526" s="343"/>
      <c r="AS526" s="343"/>
      <c r="AT526" s="538"/>
      <c r="AU526" s="343"/>
      <c r="AV526" s="343"/>
      <c r="AW526" s="538"/>
      <c r="AX526" s="343"/>
      <c r="AY526" s="343"/>
      <c r="AZ526" s="538"/>
      <c r="BA526" s="343"/>
      <c r="BB526" s="343"/>
      <c r="BC526" s="538"/>
      <c r="BD526" s="343"/>
      <c r="BE526" s="343"/>
      <c r="BG526" s="644"/>
      <c r="BH526" s="515"/>
      <c r="BI526" s="515"/>
      <c r="BJ526" s="644"/>
      <c r="BK526" s="515"/>
      <c r="BL526" s="515"/>
      <c r="BM526" s="644"/>
      <c r="BN526" s="515"/>
      <c r="BO526" s="515"/>
      <c r="BP526" s="644"/>
      <c r="BQ526" s="515"/>
      <c r="BR526" s="515"/>
    </row>
    <row r="527" spans="4:70" x14ac:dyDescent="0.25">
      <c r="D527" s="538"/>
      <c r="G527" s="538"/>
      <c r="J527" s="538"/>
      <c r="M527" s="538"/>
      <c r="R527" s="538"/>
      <c r="S527" s="343"/>
      <c r="T527" s="343"/>
      <c r="U527" s="538"/>
      <c r="V527" s="343"/>
      <c r="W527" s="343"/>
      <c r="X527" s="538"/>
      <c r="Y527" s="343"/>
      <c r="Z527" s="343"/>
      <c r="AA527" s="538"/>
      <c r="AB527" s="343"/>
      <c r="AC527" s="343"/>
      <c r="AE527" s="343"/>
      <c r="AF527" s="538"/>
      <c r="AG527" s="343"/>
      <c r="AH527" s="343"/>
      <c r="AI527" s="538"/>
      <c r="AJ527" s="343"/>
      <c r="AK527" s="343"/>
      <c r="AL527" s="538"/>
      <c r="AM527" s="343"/>
      <c r="AN527" s="343"/>
      <c r="AO527" s="538"/>
      <c r="AP527" s="343"/>
      <c r="AQ527" s="343"/>
      <c r="AS527" s="343"/>
      <c r="AT527" s="538"/>
      <c r="AU527" s="343"/>
      <c r="AV527" s="343"/>
      <c r="AW527" s="538"/>
      <c r="AX527" s="343"/>
      <c r="AY527" s="343"/>
      <c r="AZ527" s="538"/>
      <c r="BA527" s="343"/>
      <c r="BB527" s="343"/>
      <c r="BC527" s="538"/>
      <c r="BD527" s="343"/>
      <c r="BE527" s="343"/>
      <c r="BG527" s="644"/>
      <c r="BH527" s="515"/>
      <c r="BI527" s="515"/>
      <c r="BJ527" s="644"/>
      <c r="BK527" s="515"/>
      <c r="BL527" s="515"/>
      <c r="BM527" s="644"/>
      <c r="BN527" s="515"/>
      <c r="BO527" s="515"/>
      <c r="BP527" s="644"/>
      <c r="BQ527" s="515"/>
      <c r="BR527" s="515"/>
    </row>
    <row r="528" spans="4:70" x14ac:dyDescent="0.25">
      <c r="D528" s="538"/>
      <c r="G528" s="538"/>
      <c r="J528" s="538"/>
      <c r="M528" s="538"/>
      <c r="R528" s="538"/>
      <c r="S528" s="343"/>
      <c r="T528" s="343"/>
      <c r="U528" s="538"/>
      <c r="V528" s="343"/>
      <c r="W528" s="343"/>
      <c r="X528" s="538"/>
      <c r="Y528" s="343"/>
      <c r="Z528" s="343"/>
      <c r="AA528" s="538"/>
      <c r="AB528" s="343"/>
      <c r="AC528" s="343"/>
      <c r="AE528" s="343"/>
      <c r="AF528" s="538"/>
      <c r="AG528" s="343"/>
      <c r="AH528" s="343"/>
      <c r="AI528" s="538"/>
      <c r="AJ528" s="343"/>
      <c r="AK528" s="343"/>
      <c r="AL528" s="538"/>
      <c r="AM528" s="343"/>
      <c r="AN528" s="343"/>
      <c r="AO528" s="538"/>
      <c r="AP528" s="343"/>
      <c r="AQ528" s="343"/>
      <c r="AS528" s="343"/>
      <c r="AT528" s="538"/>
      <c r="AU528" s="343"/>
      <c r="AV528" s="343"/>
      <c r="AW528" s="538"/>
      <c r="AX528" s="343"/>
      <c r="AY528" s="343"/>
      <c r="AZ528" s="538"/>
      <c r="BA528" s="343"/>
      <c r="BB528" s="343"/>
      <c r="BC528" s="538"/>
      <c r="BD528" s="343"/>
      <c r="BE528" s="343"/>
      <c r="BG528" s="644"/>
      <c r="BH528" s="515"/>
      <c r="BI528" s="515"/>
      <c r="BJ528" s="644"/>
      <c r="BK528" s="515"/>
      <c r="BL528" s="515"/>
      <c r="BM528" s="644"/>
      <c r="BN528" s="515"/>
      <c r="BO528" s="515"/>
      <c r="BP528" s="644"/>
      <c r="BQ528" s="515"/>
      <c r="BR528" s="515"/>
    </row>
    <row r="529" spans="4:70" x14ac:dyDescent="0.25">
      <c r="D529" s="538"/>
      <c r="G529" s="538"/>
      <c r="J529" s="538"/>
      <c r="M529" s="538"/>
      <c r="R529" s="538"/>
      <c r="S529" s="343"/>
      <c r="T529" s="343"/>
      <c r="U529" s="538"/>
      <c r="V529" s="343"/>
      <c r="W529" s="343"/>
      <c r="X529" s="538"/>
      <c r="Y529" s="343"/>
      <c r="Z529" s="343"/>
      <c r="AA529" s="538"/>
      <c r="AB529" s="343"/>
      <c r="AC529" s="343"/>
      <c r="AE529" s="343"/>
      <c r="AF529" s="538"/>
      <c r="AG529" s="343"/>
      <c r="AH529" s="343"/>
      <c r="AI529" s="538"/>
      <c r="AJ529" s="343"/>
      <c r="AK529" s="343"/>
      <c r="AL529" s="538"/>
      <c r="AM529" s="343"/>
      <c r="AN529" s="343"/>
      <c r="AO529" s="538"/>
      <c r="AP529" s="343"/>
      <c r="AQ529" s="343"/>
      <c r="AS529" s="343"/>
      <c r="AT529" s="538"/>
      <c r="AU529" s="343"/>
      <c r="AV529" s="343"/>
      <c r="AW529" s="538"/>
      <c r="AX529" s="343"/>
      <c r="AY529" s="343"/>
      <c r="AZ529" s="538"/>
      <c r="BA529" s="343"/>
      <c r="BB529" s="343"/>
      <c r="BC529" s="538"/>
      <c r="BD529" s="343"/>
      <c r="BE529" s="343"/>
      <c r="BG529" s="644"/>
      <c r="BH529" s="515"/>
      <c r="BI529" s="515"/>
      <c r="BJ529" s="644"/>
      <c r="BK529" s="515"/>
      <c r="BL529" s="515"/>
      <c r="BM529" s="644"/>
      <c r="BN529" s="515"/>
      <c r="BO529" s="515"/>
      <c r="BP529" s="644"/>
      <c r="BQ529" s="515"/>
      <c r="BR529" s="515"/>
    </row>
    <row r="530" spans="4:70" x14ac:dyDescent="0.25">
      <c r="D530" s="538"/>
      <c r="G530" s="538"/>
      <c r="J530" s="538"/>
      <c r="M530" s="538"/>
      <c r="R530" s="538"/>
      <c r="S530" s="343"/>
      <c r="T530" s="343"/>
      <c r="U530" s="538"/>
      <c r="V530" s="343"/>
      <c r="W530" s="343"/>
      <c r="X530" s="538"/>
      <c r="Y530" s="343"/>
      <c r="Z530" s="343"/>
      <c r="AA530" s="538"/>
      <c r="AB530" s="343"/>
      <c r="AC530" s="343"/>
      <c r="AE530" s="343"/>
      <c r="AF530" s="538"/>
      <c r="AG530" s="343"/>
      <c r="AH530" s="343"/>
      <c r="AI530" s="538"/>
      <c r="AJ530" s="343"/>
      <c r="AK530" s="343"/>
      <c r="AL530" s="538"/>
      <c r="AM530" s="343"/>
      <c r="AN530" s="343"/>
      <c r="AO530" s="538"/>
      <c r="AP530" s="343"/>
      <c r="AQ530" s="343"/>
      <c r="AS530" s="343"/>
      <c r="AT530" s="538"/>
      <c r="AU530" s="343"/>
      <c r="AV530" s="343"/>
      <c r="AW530" s="538"/>
      <c r="AX530" s="343"/>
      <c r="AY530" s="343"/>
      <c r="AZ530" s="538"/>
      <c r="BA530" s="343"/>
      <c r="BB530" s="343"/>
      <c r="BC530" s="538"/>
      <c r="BD530" s="343"/>
      <c r="BE530" s="343"/>
      <c r="BG530" s="644"/>
      <c r="BH530" s="515"/>
      <c r="BI530" s="515"/>
      <c r="BJ530" s="644"/>
      <c r="BK530" s="515"/>
      <c r="BL530" s="515"/>
      <c r="BM530" s="644"/>
      <c r="BN530" s="515"/>
      <c r="BO530" s="515"/>
      <c r="BP530" s="644"/>
      <c r="BQ530" s="515"/>
      <c r="BR530" s="515"/>
    </row>
    <row r="531" spans="4:70" x14ac:dyDescent="0.25">
      <c r="D531" s="538"/>
      <c r="G531" s="538"/>
      <c r="J531" s="538"/>
      <c r="M531" s="538"/>
      <c r="R531" s="538"/>
      <c r="S531" s="343"/>
      <c r="T531" s="343"/>
      <c r="U531" s="538"/>
      <c r="V531" s="343"/>
      <c r="W531" s="343"/>
      <c r="X531" s="538"/>
      <c r="Y531" s="343"/>
      <c r="Z531" s="343"/>
      <c r="AA531" s="538"/>
      <c r="AB531" s="343"/>
      <c r="AC531" s="343"/>
      <c r="AE531" s="343"/>
      <c r="AF531" s="538"/>
      <c r="AG531" s="343"/>
      <c r="AH531" s="343"/>
      <c r="AI531" s="538"/>
      <c r="AJ531" s="343"/>
      <c r="AK531" s="343"/>
      <c r="AL531" s="538"/>
      <c r="AM531" s="343"/>
      <c r="AN531" s="343"/>
      <c r="AO531" s="538"/>
      <c r="AP531" s="343"/>
      <c r="AQ531" s="343"/>
      <c r="AS531" s="343"/>
      <c r="AT531" s="538"/>
      <c r="AU531" s="343"/>
      <c r="AV531" s="343"/>
      <c r="AW531" s="538"/>
      <c r="AX531" s="343"/>
      <c r="AY531" s="343"/>
      <c r="AZ531" s="538"/>
      <c r="BA531" s="343"/>
      <c r="BB531" s="343"/>
      <c r="BC531" s="538"/>
      <c r="BD531" s="343"/>
      <c r="BE531" s="343"/>
      <c r="BG531" s="644"/>
      <c r="BH531" s="515"/>
      <c r="BI531" s="515"/>
      <c r="BJ531" s="644"/>
      <c r="BK531" s="515"/>
      <c r="BL531" s="515"/>
      <c r="BM531" s="644"/>
      <c r="BN531" s="515"/>
      <c r="BO531" s="515"/>
      <c r="BP531" s="644"/>
      <c r="BQ531" s="515"/>
      <c r="BR531" s="515"/>
    </row>
    <row r="532" spans="4:70" x14ac:dyDescent="0.25">
      <c r="D532" s="538"/>
      <c r="G532" s="538"/>
      <c r="J532" s="538"/>
      <c r="M532" s="538"/>
      <c r="R532" s="538"/>
      <c r="S532" s="343"/>
      <c r="T532" s="343"/>
      <c r="U532" s="538"/>
      <c r="V532" s="343"/>
      <c r="W532" s="343"/>
      <c r="X532" s="538"/>
      <c r="Y532" s="343"/>
      <c r="Z532" s="343"/>
      <c r="AA532" s="538"/>
      <c r="AB532" s="343"/>
      <c r="AC532" s="343"/>
      <c r="AE532" s="343"/>
      <c r="AF532" s="538"/>
      <c r="AG532" s="343"/>
      <c r="AH532" s="343"/>
      <c r="AI532" s="538"/>
      <c r="AJ532" s="343"/>
      <c r="AK532" s="343"/>
      <c r="AL532" s="538"/>
      <c r="AM532" s="343"/>
      <c r="AN532" s="343"/>
      <c r="AO532" s="538"/>
      <c r="AP532" s="343"/>
      <c r="AQ532" s="343"/>
      <c r="AS532" s="343"/>
      <c r="AT532" s="538"/>
      <c r="AU532" s="343"/>
      <c r="AV532" s="343"/>
      <c r="AW532" s="538"/>
      <c r="AX532" s="343"/>
      <c r="AY532" s="343"/>
      <c r="AZ532" s="538"/>
      <c r="BA532" s="343"/>
      <c r="BB532" s="343"/>
      <c r="BC532" s="538"/>
      <c r="BD532" s="343"/>
      <c r="BE532" s="343"/>
      <c r="BG532" s="644"/>
      <c r="BH532" s="515"/>
      <c r="BI532" s="515"/>
      <c r="BJ532" s="644"/>
      <c r="BK532" s="515"/>
      <c r="BL532" s="515"/>
      <c r="BM532" s="644"/>
      <c r="BN532" s="515"/>
      <c r="BO532" s="515"/>
      <c r="BP532" s="644"/>
      <c r="BQ532" s="515"/>
      <c r="BR532" s="515"/>
    </row>
    <row r="533" spans="4:70" x14ac:dyDescent="0.25">
      <c r="D533" s="538"/>
      <c r="G533" s="538"/>
      <c r="J533" s="538"/>
      <c r="M533" s="538"/>
      <c r="R533" s="538"/>
      <c r="S533" s="343"/>
      <c r="T533" s="343"/>
      <c r="U533" s="538"/>
      <c r="V533" s="343"/>
      <c r="W533" s="343"/>
      <c r="X533" s="538"/>
      <c r="Y533" s="343"/>
      <c r="Z533" s="343"/>
      <c r="AA533" s="538"/>
      <c r="AB533" s="343"/>
      <c r="AC533" s="343"/>
      <c r="AE533" s="343"/>
      <c r="AF533" s="538"/>
      <c r="AG533" s="343"/>
      <c r="AH533" s="343"/>
      <c r="AI533" s="538"/>
      <c r="AJ533" s="343"/>
      <c r="AK533" s="343"/>
      <c r="AL533" s="538"/>
      <c r="AM533" s="343"/>
      <c r="AN533" s="343"/>
      <c r="AO533" s="538"/>
      <c r="AP533" s="343"/>
      <c r="AQ533" s="343"/>
      <c r="AS533" s="343"/>
      <c r="AT533" s="538"/>
      <c r="AU533" s="343"/>
      <c r="AV533" s="343"/>
      <c r="AW533" s="538"/>
      <c r="AX533" s="343"/>
      <c r="AY533" s="343"/>
      <c r="AZ533" s="538"/>
      <c r="BA533" s="343"/>
      <c r="BB533" s="343"/>
      <c r="BC533" s="538"/>
      <c r="BD533" s="343"/>
      <c r="BE533" s="343"/>
      <c r="BG533" s="644"/>
      <c r="BH533" s="515"/>
      <c r="BI533" s="515"/>
      <c r="BJ533" s="644"/>
      <c r="BK533" s="515"/>
      <c r="BL533" s="515"/>
      <c r="BM533" s="644"/>
      <c r="BN533" s="515"/>
      <c r="BO533" s="515"/>
      <c r="BP533" s="644"/>
      <c r="BQ533" s="515"/>
      <c r="BR533" s="515"/>
    </row>
    <row r="534" spans="4:70" x14ac:dyDescent="0.25">
      <c r="D534" s="538"/>
      <c r="G534" s="538"/>
      <c r="J534" s="538"/>
      <c r="M534" s="538"/>
      <c r="R534" s="538"/>
      <c r="S534" s="343"/>
      <c r="T534" s="343"/>
      <c r="U534" s="538"/>
      <c r="V534" s="343"/>
      <c r="W534" s="343"/>
      <c r="X534" s="538"/>
      <c r="Y534" s="343"/>
      <c r="Z534" s="343"/>
      <c r="AA534" s="538"/>
      <c r="AB534" s="343"/>
      <c r="AC534" s="343"/>
      <c r="AE534" s="343"/>
      <c r="AF534" s="538"/>
      <c r="AG534" s="343"/>
      <c r="AH534" s="343"/>
      <c r="AI534" s="538"/>
      <c r="AJ534" s="343"/>
      <c r="AK534" s="343"/>
      <c r="AL534" s="538"/>
      <c r="AM534" s="343"/>
      <c r="AN534" s="343"/>
      <c r="AO534" s="538"/>
      <c r="AP534" s="343"/>
      <c r="AQ534" s="343"/>
      <c r="AS534" s="343"/>
      <c r="AT534" s="538"/>
      <c r="AU534" s="343"/>
      <c r="AV534" s="343"/>
      <c r="AW534" s="538"/>
      <c r="AX534" s="343"/>
      <c r="AY534" s="343"/>
      <c r="AZ534" s="538"/>
      <c r="BA534" s="343"/>
      <c r="BB534" s="343"/>
      <c r="BC534" s="538"/>
      <c r="BD534" s="343"/>
      <c r="BE534" s="343"/>
      <c r="BG534" s="644"/>
      <c r="BH534" s="515"/>
      <c r="BI534" s="515"/>
      <c r="BJ534" s="644"/>
      <c r="BK534" s="515"/>
      <c r="BL534" s="515"/>
      <c r="BM534" s="644"/>
      <c r="BN534" s="515"/>
      <c r="BO534" s="515"/>
      <c r="BP534" s="644"/>
      <c r="BQ534" s="515"/>
      <c r="BR534" s="515"/>
    </row>
    <row r="535" spans="4:70" x14ac:dyDescent="0.25">
      <c r="D535" s="538"/>
      <c r="G535" s="538"/>
      <c r="J535" s="538"/>
      <c r="M535" s="538"/>
      <c r="R535" s="538"/>
      <c r="S535" s="343"/>
      <c r="T535" s="343"/>
      <c r="U535" s="538"/>
      <c r="V535" s="343"/>
      <c r="W535" s="343"/>
      <c r="X535" s="538"/>
      <c r="Y535" s="343"/>
      <c r="Z535" s="343"/>
      <c r="AA535" s="538"/>
      <c r="AB535" s="343"/>
      <c r="AC535" s="343"/>
      <c r="AE535" s="343"/>
      <c r="AF535" s="538"/>
      <c r="AG535" s="343"/>
      <c r="AH535" s="343"/>
      <c r="AI535" s="538"/>
      <c r="AJ535" s="343"/>
      <c r="AK535" s="343"/>
      <c r="AL535" s="538"/>
      <c r="AM535" s="343"/>
      <c r="AN535" s="343"/>
      <c r="AO535" s="538"/>
      <c r="AP535" s="343"/>
      <c r="AQ535" s="343"/>
      <c r="AS535" s="343"/>
      <c r="AT535" s="538"/>
      <c r="AU535" s="343"/>
      <c r="AV535" s="343"/>
      <c r="AW535" s="538"/>
      <c r="AX535" s="343"/>
      <c r="AY535" s="343"/>
      <c r="AZ535" s="538"/>
      <c r="BA535" s="343"/>
      <c r="BB535" s="343"/>
      <c r="BC535" s="538"/>
      <c r="BD535" s="343"/>
      <c r="BE535" s="343"/>
      <c r="BG535" s="644"/>
      <c r="BH535" s="515"/>
      <c r="BI535" s="515"/>
      <c r="BJ535" s="644"/>
      <c r="BK535" s="515"/>
      <c r="BL535" s="515"/>
      <c r="BM535" s="644"/>
      <c r="BN535" s="515"/>
      <c r="BO535" s="515"/>
      <c r="BP535" s="644"/>
      <c r="BQ535" s="515"/>
      <c r="BR535" s="515"/>
    </row>
    <row r="536" spans="4:70" x14ac:dyDescent="0.25">
      <c r="D536" s="538"/>
      <c r="G536" s="538"/>
      <c r="J536" s="538"/>
      <c r="M536" s="538"/>
      <c r="R536" s="538"/>
      <c r="S536" s="343"/>
      <c r="T536" s="343"/>
      <c r="U536" s="538"/>
      <c r="V536" s="343"/>
      <c r="W536" s="343"/>
      <c r="X536" s="538"/>
      <c r="Y536" s="343"/>
      <c r="Z536" s="343"/>
      <c r="AA536" s="538"/>
      <c r="AB536" s="343"/>
      <c r="AC536" s="343"/>
      <c r="AE536" s="343"/>
      <c r="AF536" s="538"/>
      <c r="AG536" s="343"/>
      <c r="AH536" s="343"/>
      <c r="AI536" s="538"/>
      <c r="AJ536" s="343"/>
      <c r="AK536" s="343"/>
      <c r="AL536" s="538"/>
      <c r="AM536" s="343"/>
      <c r="AN536" s="343"/>
      <c r="AO536" s="538"/>
      <c r="AP536" s="343"/>
      <c r="AQ536" s="343"/>
      <c r="AS536" s="343"/>
      <c r="AT536" s="538"/>
      <c r="AU536" s="343"/>
      <c r="AV536" s="343"/>
      <c r="AW536" s="538"/>
      <c r="AX536" s="343"/>
      <c r="AY536" s="343"/>
      <c r="AZ536" s="538"/>
      <c r="BA536" s="343"/>
      <c r="BB536" s="343"/>
      <c r="BC536" s="538"/>
      <c r="BD536" s="343"/>
      <c r="BE536" s="343"/>
      <c r="BG536" s="644"/>
      <c r="BH536" s="515"/>
      <c r="BI536" s="515"/>
      <c r="BJ536" s="644"/>
      <c r="BK536" s="515"/>
      <c r="BL536" s="515"/>
      <c r="BM536" s="644"/>
      <c r="BN536" s="515"/>
      <c r="BO536" s="515"/>
      <c r="BP536" s="644"/>
      <c r="BQ536" s="515"/>
      <c r="BR536" s="515"/>
    </row>
    <row r="537" spans="4:70" x14ac:dyDescent="0.25">
      <c r="D537" s="538"/>
      <c r="G537" s="538"/>
      <c r="J537" s="538"/>
      <c r="M537" s="538"/>
      <c r="R537" s="538"/>
      <c r="S537" s="343"/>
      <c r="T537" s="343"/>
      <c r="U537" s="538"/>
      <c r="V537" s="343"/>
      <c r="W537" s="343"/>
      <c r="X537" s="538"/>
      <c r="Y537" s="343"/>
      <c r="Z537" s="343"/>
      <c r="AA537" s="538"/>
      <c r="AB537" s="343"/>
      <c r="AC537" s="343"/>
      <c r="AE537" s="343"/>
      <c r="AF537" s="538"/>
      <c r="AG537" s="343"/>
      <c r="AH537" s="343"/>
      <c r="AI537" s="538"/>
      <c r="AJ537" s="343"/>
      <c r="AK537" s="343"/>
      <c r="AL537" s="538"/>
      <c r="AM537" s="343"/>
      <c r="AN537" s="343"/>
      <c r="AO537" s="538"/>
      <c r="AP537" s="343"/>
      <c r="AQ537" s="343"/>
      <c r="AS537" s="343"/>
      <c r="AT537" s="538"/>
      <c r="AU537" s="343"/>
      <c r="AV537" s="343"/>
      <c r="AW537" s="538"/>
      <c r="AX537" s="343"/>
      <c r="AY537" s="343"/>
      <c r="AZ537" s="538"/>
      <c r="BA537" s="343"/>
      <c r="BB537" s="343"/>
      <c r="BC537" s="538"/>
      <c r="BD537" s="343"/>
      <c r="BE537" s="343"/>
      <c r="BG537" s="644"/>
      <c r="BH537" s="515"/>
      <c r="BI537" s="515"/>
      <c r="BJ537" s="644"/>
      <c r="BK537" s="515"/>
      <c r="BL537" s="515"/>
      <c r="BM537" s="644"/>
      <c r="BN537" s="515"/>
      <c r="BO537" s="515"/>
      <c r="BP537" s="644"/>
      <c r="BQ537" s="515"/>
      <c r="BR537" s="515"/>
    </row>
    <row r="538" spans="4:70" x14ac:dyDescent="0.25">
      <c r="D538" s="538"/>
      <c r="G538" s="538"/>
      <c r="J538" s="538"/>
      <c r="M538" s="538"/>
      <c r="R538" s="538"/>
      <c r="S538" s="343"/>
      <c r="T538" s="343"/>
      <c r="U538" s="538"/>
      <c r="V538" s="343"/>
      <c r="W538" s="343"/>
      <c r="X538" s="538"/>
      <c r="Y538" s="343"/>
      <c r="Z538" s="343"/>
      <c r="AA538" s="538"/>
      <c r="AB538" s="343"/>
      <c r="AC538" s="343"/>
      <c r="AE538" s="343"/>
      <c r="AF538" s="538"/>
      <c r="AG538" s="343"/>
      <c r="AH538" s="343"/>
      <c r="AI538" s="538"/>
      <c r="AJ538" s="343"/>
      <c r="AK538" s="343"/>
      <c r="AL538" s="538"/>
      <c r="AM538" s="343"/>
      <c r="AN538" s="343"/>
      <c r="AO538" s="538"/>
      <c r="AP538" s="343"/>
      <c r="AQ538" s="343"/>
      <c r="AS538" s="343"/>
      <c r="AT538" s="538"/>
      <c r="AU538" s="343"/>
      <c r="AV538" s="343"/>
      <c r="AW538" s="538"/>
      <c r="AX538" s="343"/>
      <c r="AY538" s="343"/>
      <c r="AZ538" s="538"/>
      <c r="BA538" s="343"/>
      <c r="BB538" s="343"/>
      <c r="BC538" s="538"/>
      <c r="BD538" s="343"/>
      <c r="BE538" s="343"/>
      <c r="BG538" s="644"/>
      <c r="BH538" s="515"/>
      <c r="BI538" s="515"/>
      <c r="BJ538" s="644"/>
      <c r="BK538" s="515"/>
      <c r="BL538" s="515"/>
      <c r="BM538" s="644"/>
      <c r="BN538" s="515"/>
      <c r="BO538" s="515"/>
      <c r="BP538" s="644"/>
      <c r="BQ538" s="515"/>
      <c r="BR538" s="515"/>
    </row>
    <row r="539" spans="4:70" x14ac:dyDescent="0.25">
      <c r="D539" s="538"/>
      <c r="G539" s="538"/>
      <c r="J539" s="538"/>
      <c r="M539" s="538"/>
      <c r="R539" s="538"/>
      <c r="S539" s="343"/>
      <c r="T539" s="343"/>
      <c r="U539" s="538"/>
      <c r="V539" s="343"/>
      <c r="W539" s="343"/>
      <c r="X539" s="538"/>
      <c r="Y539" s="343"/>
      <c r="Z539" s="343"/>
      <c r="AA539" s="538"/>
      <c r="AB539" s="343"/>
      <c r="AC539" s="343"/>
      <c r="AE539" s="343"/>
      <c r="AF539" s="538"/>
      <c r="AG539" s="343"/>
      <c r="AH539" s="343"/>
      <c r="AI539" s="538"/>
      <c r="AJ539" s="343"/>
      <c r="AK539" s="343"/>
      <c r="AL539" s="538"/>
      <c r="AM539" s="343"/>
      <c r="AN539" s="343"/>
      <c r="AO539" s="538"/>
      <c r="AP539" s="343"/>
      <c r="AQ539" s="343"/>
      <c r="AS539" s="343"/>
      <c r="AT539" s="538"/>
      <c r="AU539" s="343"/>
      <c r="AV539" s="343"/>
      <c r="AW539" s="538"/>
      <c r="AX539" s="343"/>
      <c r="AY539" s="343"/>
      <c r="AZ539" s="538"/>
      <c r="BA539" s="343"/>
      <c r="BB539" s="343"/>
      <c r="BC539" s="538"/>
      <c r="BD539" s="343"/>
      <c r="BE539" s="343"/>
      <c r="BG539" s="644"/>
      <c r="BH539" s="515"/>
      <c r="BI539" s="515"/>
      <c r="BJ539" s="644"/>
      <c r="BK539" s="515"/>
      <c r="BL539" s="515"/>
      <c r="BM539" s="644"/>
      <c r="BN539" s="515"/>
      <c r="BO539" s="515"/>
      <c r="BP539" s="644"/>
      <c r="BQ539" s="515"/>
      <c r="BR539" s="515"/>
    </row>
    <row r="540" spans="4:70" x14ac:dyDescent="0.25">
      <c r="D540" s="538"/>
      <c r="G540" s="538"/>
      <c r="J540" s="538"/>
      <c r="M540" s="538"/>
      <c r="R540" s="538"/>
      <c r="S540" s="343"/>
      <c r="T540" s="343"/>
      <c r="U540" s="538"/>
      <c r="V540" s="343"/>
      <c r="W540" s="343"/>
      <c r="X540" s="538"/>
      <c r="Y540" s="343"/>
      <c r="Z540" s="343"/>
      <c r="AA540" s="538"/>
      <c r="AB540" s="343"/>
      <c r="AC540" s="343"/>
      <c r="AE540" s="343"/>
      <c r="AF540" s="538"/>
      <c r="AG540" s="343"/>
      <c r="AH540" s="343"/>
      <c r="AI540" s="538"/>
      <c r="AJ540" s="343"/>
      <c r="AK540" s="343"/>
      <c r="AL540" s="538"/>
      <c r="AM540" s="343"/>
      <c r="AN540" s="343"/>
      <c r="AO540" s="538"/>
      <c r="AP540" s="343"/>
      <c r="AQ540" s="343"/>
      <c r="AS540" s="343"/>
      <c r="AT540" s="538"/>
      <c r="AU540" s="343"/>
      <c r="AV540" s="343"/>
      <c r="AW540" s="538"/>
      <c r="AX540" s="343"/>
      <c r="AY540" s="343"/>
      <c r="AZ540" s="538"/>
      <c r="BA540" s="343"/>
      <c r="BB540" s="343"/>
      <c r="BC540" s="538"/>
      <c r="BD540" s="343"/>
      <c r="BE540" s="343"/>
      <c r="BG540" s="644"/>
      <c r="BH540" s="515"/>
      <c r="BI540" s="515"/>
      <c r="BJ540" s="644"/>
      <c r="BK540" s="515"/>
      <c r="BL540" s="515"/>
      <c r="BM540" s="644"/>
      <c r="BN540" s="515"/>
      <c r="BO540" s="515"/>
      <c r="BP540" s="644"/>
      <c r="BQ540" s="515"/>
      <c r="BR540" s="515"/>
    </row>
    <row r="541" spans="4:70" x14ac:dyDescent="0.25">
      <c r="D541" s="538"/>
      <c r="G541" s="538"/>
      <c r="J541" s="538"/>
      <c r="M541" s="538"/>
      <c r="R541" s="538"/>
      <c r="S541" s="343"/>
      <c r="T541" s="343"/>
      <c r="U541" s="538"/>
      <c r="V541" s="343"/>
      <c r="W541" s="343"/>
      <c r="X541" s="538"/>
      <c r="Y541" s="343"/>
      <c r="Z541" s="343"/>
      <c r="AA541" s="538"/>
      <c r="AB541" s="343"/>
      <c r="AC541" s="343"/>
      <c r="AE541" s="343"/>
      <c r="AF541" s="538"/>
      <c r="AG541" s="343"/>
      <c r="AH541" s="343"/>
      <c r="AI541" s="538"/>
      <c r="AJ541" s="343"/>
      <c r="AK541" s="343"/>
      <c r="AL541" s="538"/>
      <c r="AM541" s="343"/>
      <c r="AN541" s="343"/>
      <c r="AO541" s="538"/>
      <c r="AP541" s="343"/>
      <c r="AQ541" s="343"/>
      <c r="AS541" s="343"/>
      <c r="AT541" s="538"/>
      <c r="AU541" s="343"/>
      <c r="AV541" s="343"/>
      <c r="AW541" s="538"/>
      <c r="AX541" s="343"/>
      <c r="AY541" s="343"/>
      <c r="AZ541" s="538"/>
      <c r="BA541" s="343"/>
      <c r="BB541" s="343"/>
      <c r="BC541" s="538"/>
      <c r="BD541" s="343"/>
      <c r="BE541" s="343"/>
      <c r="BG541" s="644"/>
      <c r="BH541" s="515"/>
      <c r="BI541" s="515"/>
      <c r="BJ541" s="644"/>
      <c r="BK541" s="515"/>
      <c r="BL541" s="515"/>
      <c r="BM541" s="644"/>
      <c r="BN541" s="515"/>
      <c r="BO541" s="515"/>
      <c r="BP541" s="644"/>
      <c r="BQ541" s="515"/>
      <c r="BR541" s="515"/>
    </row>
    <row r="542" spans="4:70" x14ac:dyDescent="0.25">
      <c r="D542" s="538"/>
      <c r="G542" s="538"/>
      <c r="J542" s="538"/>
      <c r="M542" s="538"/>
      <c r="R542" s="538"/>
      <c r="S542" s="343"/>
      <c r="T542" s="343"/>
      <c r="U542" s="538"/>
      <c r="V542" s="343"/>
      <c r="W542" s="343"/>
      <c r="X542" s="538"/>
      <c r="Y542" s="343"/>
      <c r="Z542" s="343"/>
      <c r="AA542" s="538"/>
      <c r="AB542" s="343"/>
      <c r="AC542" s="343"/>
      <c r="AE542" s="343"/>
      <c r="AF542" s="538"/>
      <c r="AG542" s="343"/>
      <c r="AH542" s="343"/>
      <c r="AI542" s="538"/>
      <c r="AJ542" s="343"/>
      <c r="AK542" s="343"/>
      <c r="AL542" s="538"/>
      <c r="AM542" s="343"/>
      <c r="AN542" s="343"/>
      <c r="AO542" s="538"/>
      <c r="AP542" s="343"/>
      <c r="AQ542" s="343"/>
      <c r="AS542" s="343"/>
      <c r="AT542" s="538"/>
      <c r="AU542" s="343"/>
      <c r="AV542" s="343"/>
      <c r="AW542" s="538"/>
      <c r="AX542" s="343"/>
      <c r="AY542" s="343"/>
      <c r="AZ542" s="538"/>
      <c r="BA542" s="343"/>
      <c r="BB542" s="343"/>
      <c r="BC542" s="538"/>
      <c r="BD542" s="343"/>
      <c r="BE542" s="343"/>
      <c r="BG542" s="644"/>
      <c r="BH542" s="515"/>
      <c r="BI542" s="515"/>
      <c r="BJ542" s="644"/>
      <c r="BK542" s="515"/>
      <c r="BL542" s="515"/>
      <c r="BM542" s="644"/>
      <c r="BN542" s="515"/>
      <c r="BO542" s="515"/>
      <c r="BP542" s="644"/>
      <c r="BQ542" s="515"/>
      <c r="BR542" s="515"/>
    </row>
    <row r="543" spans="4:70" x14ac:dyDescent="0.25">
      <c r="D543" s="538"/>
      <c r="G543" s="538"/>
      <c r="J543" s="538"/>
      <c r="M543" s="538"/>
      <c r="R543" s="538"/>
      <c r="S543" s="343"/>
      <c r="T543" s="343"/>
      <c r="U543" s="538"/>
      <c r="V543" s="343"/>
      <c r="W543" s="343"/>
      <c r="X543" s="538"/>
      <c r="Y543" s="343"/>
      <c r="Z543" s="343"/>
      <c r="AA543" s="538"/>
      <c r="AB543" s="343"/>
      <c r="AC543" s="343"/>
      <c r="AE543" s="343"/>
      <c r="AF543" s="538"/>
      <c r="AG543" s="343"/>
      <c r="AH543" s="343"/>
      <c r="AI543" s="538"/>
      <c r="AJ543" s="343"/>
      <c r="AK543" s="343"/>
      <c r="AL543" s="538"/>
      <c r="AM543" s="343"/>
      <c r="AN543" s="343"/>
      <c r="AO543" s="538"/>
      <c r="AP543" s="343"/>
      <c r="AQ543" s="343"/>
      <c r="AS543" s="343"/>
      <c r="AT543" s="538"/>
      <c r="AU543" s="343"/>
      <c r="AV543" s="343"/>
      <c r="AW543" s="538"/>
      <c r="AX543" s="343"/>
      <c r="AY543" s="343"/>
      <c r="AZ543" s="538"/>
      <c r="BA543" s="343"/>
      <c r="BB543" s="343"/>
      <c r="BC543" s="538"/>
      <c r="BD543" s="343"/>
      <c r="BE543" s="343"/>
      <c r="BG543" s="644"/>
      <c r="BH543" s="515"/>
      <c r="BI543" s="515"/>
      <c r="BJ543" s="644"/>
      <c r="BK543" s="515"/>
      <c r="BL543" s="515"/>
      <c r="BM543" s="644"/>
      <c r="BN543" s="515"/>
      <c r="BO543" s="515"/>
      <c r="BP543" s="644"/>
      <c r="BQ543" s="515"/>
      <c r="BR543" s="515"/>
    </row>
    <row r="544" spans="4:70" x14ac:dyDescent="0.25">
      <c r="D544" s="538"/>
      <c r="G544" s="538"/>
      <c r="J544" s="538"/>
      <c r="M544" s="538"/>
      <c r="R544" s="538"/>
      <c r="S544" s="343"/>
      <c r="T544" s="343"/>
      <c r="U544" s="538"/>
      <c r="V544" s="343"/>
      <c r="W544" s="343"/>
      <c r="X544" s="538"/>
      <c r="Y544" s="343"/>
      <c r="Z544" s="343"/>
      <c r="AA544" s="538"/>
      <c r="AB544" s="343"/>
      <c r="AC544" s="343"/>
      <c r="AE544" s="343"/>
      <c r="AF544" s="538"/>
      <c r="AG544" s="343"/>
      <c r="AH544" s="343"/>
      <c r="AI544" s="538"/>
      <c r="AJ544" s="343"/>
      <c r="AK544" s="343"/>
      <c r="AL544" s="538"/>
      <c r="AM544" s="343"/>
      <c r="AN544" s="343"/>
      <c r="AO544" s="538"/>
      <c r="AP544" s="343"/>
      <c r="AQ544" s="343"/>
      <c r="AS544" s="343"/>
      <c r="AT544" s="538"/>
      <c r="AU544" s="343"/>
      <c r="AV544" s="343"/>
      <c r="AW544" s="538"/>
      <c r="AX544" s="343"/>
      <c r="AY544" s="343"/>
      <c r="AZ544" s="538"/>
      <c r="BA544" s="343"/>
      <c r="BB544" s="343"/>
      <c r="BC544" s="538"/>
      <c r="BD544" s="343"/>
      <c r="BE544" s="343"/>
      <c r="BG544" s="644"/>
      <c r="BH544" s="515"/>
      <c r="BI544" s="515"/>
      <c r="BJ544" s="644"/>
      <c r="BK544" s="515"/>
      <c r="BL544" s="515"/>
      <c r="BM544" s="644"/>
      <c r="BN544" s="515"/>
      <c r="BO544" s="515"/>
      <c r="BP544" s="644"/>
      <c r="BQ544" s="515"/>
      <c r="BR544" s="515"/>
    </row>
    <row r="545" spans="4:70" x14ac:dyDescent="0.25">
      <c r="D545" s="538"/>
      <c r="G545" s="538"/>
      <c r="J545" s="538"/>
      <c r="M545" s="538"/>
      <c r="R545" s="538"/>
      <c r="S545" s="343"/>
      <c r="T545" s="343"/>
      <c r="U545" s="538"/>
      <c r="V545" s="343"/>
      <c r="W545" s="343"/>
      <c r="X545" s="538"/>
      <c r="Y545" s="343"/>
      <c r="Z545" s="343"/>
      <c r="AA545" s="538"/>
      <c r="AB545" s="343"/>
      <c r="AC545" s="343"/>
      <c r="AE545" s="343"/>
      <c r="AF545" s="538"/>
      <c r="AG545" s="343"/>
      <c r="AH545" s="343"/>
      <c r="AI545" s="538"/>
      <c r="AJ545" s="343"/>
      <c r="AK545" s="343"/>
      <c r="AL545" s="538"/>
      <c r="AM545" s="343"/>
      <c r="AN545" s="343"/>
      <c r="AO545" s="538"/>
      <c r="AP545" s="343"/>
      <c r="AQ545" s="343"/>
      <c r="AS545" s="343"/>
      <c r="AT545" s="538"/>
      <c r="AU545" s="343"/>
      <c r="AV545" s="343"/>
      <c r="AW545" s="538"/>
      <c r="AX545" s="343"/>
      <c r="AY545" s="343"/>
      <c r="AZ545" s="538"/>
      <c r="BA545" s="343"/>
      <c r="BB545" s="343"/>
      <c r="BC545" s="538"/>
      <c r="BD545" s="343"/>
      <c r="BE545" s="343"/>
      <c r="BG545" s="644"/>
      <c r="BH545" s="515"/>
      <c r="BI545" s="515"/>
      <c r="BJ545" s="644"/>
      <c r="BK545" s="515"/>
      <c r="BL545" s="515"/>
      <c r="BM545" s="644"/>
      <c r="BN545" s="515"/>
      <c r="BO545" s="515"/>
      <c r="BP545" s="644"/>
      <c r="BQ545" s="515"/>
      <c r="BR545" s="515"/>
    </row>
    <row r="546" spans="4:70" x14ac:dyDescent="0.25">
      <c r="D546" s="538"/>
      <c r="G546" s="538"/>
      <c r="J546" s="538"/>
      <c r="M546" s="538"/>
      <c r="R546" s="538"/>
      <c r="S546" s="343"/>
      <c r="T546" s="343"/>
      <c r="U546" s="538"/>
      <c r="V546" s="343"/>
      <c r="W546" s="343"/>
      <c r="X546" s="538"/>
      <c r="Y546" s="343"/>
      <c r="Z546" s="343"/>
      <c r="AA546" s="538"/>
      <c r="AB546" s="343"/>
      <c r="AC546" s="343"/>
      <c r="AE546" s="343"/>
      <c r="AF546" s="538"/>
      <c r="AG546" s="343"/>
      <c r="AH546" s="343"/>
      <c r="AI546" s="538"/>
      <c r="AJ546" s="343"/>
      <c r="AK546" s="343"/>
      <c r="AL546" s="538"/>
      <c r="AM546" s="343"/>
      <c r="AN546" s="343"/>
      <c r="AO546" s="538"/>
      <c r="AP546" s="343"/>
      <c r="AQ546" s="343"/>
      <c r="AS546" s="343"/>
      <c r="AT546" s="538"/>
      <c r="AU546" s="343"/>
      <c r="AV546" s="343"/>
      <c r="AW546" s="538"/>
      <c r="AX546" s="343"/>
      <c r="AY546" s="343"/>
      <c r="AZ546" s="538"/>
      <c r="BA546" s="343"/>
      <c r="BB546" s="343"/>
      <c r="BC546" s="538"/>
      <c r="BD546" s="343"/>
      <c r="BE546" s="343"/>
      <c r="BG546" s="644"/>
      <c r="BH546" s="515"/>
      <c r="BI546" s="515"/>
      <c r="BJ546" s="644"/>
      <c r="BK546" s="515"/>
      <c r="BL546" s="515"/>
      <c r="BM546" s="644"/>
      <c r="BN546" s="515"/>
      <c r="BO546" s="515"/>
      <c r="BP546" s="644"/>
      <c r="BQ546" s="515"/>
      <c r="BR546" s="515"/>
    </row>
    <row r="547" spans="4:70" x14ac:dyDescent="0.25">
      <c r="D547" s="538"/>
      <c r="G547" s="538"/>
      <c r="J547" s="538"/>
      <c r="M547" s="538"/>
      <c r="R547" s="538"/>
      <c r="S547" s="343"/>
      <c r="T547" s="343"/>
      <c r="U547" s="538"/>
      <c r="V547" s="343"/>
      <c r="W547" s="343"/>
      <c r="X547" s="538"/>
      <c r="Y547" s="343"/>
      <c r="Z547" s="343"/>
      <c r="AA547" s="538"/>
      <c r="AB547" s="343"/>
      <c r="AC547" s="343"/>
      <c r="AE547" s="343"/>
      <c r="AF547" s="538"/>
      <c r="AG547" s="343"/>
      <c r="AH547" s="343"/>
      <c r="AI547" s="538"/>
      <c r="AJ547" s="343"/>
      <c r="AK547" s="343"/>
      <c r="AL547" s="538"/>
      <c r="AM547" s="343"/>
      <c r="AN547" s="343"/>
      <c r="AO547" s="538"/>
      <c r="AP547" s="343"/>
      <c r="AQ547" s="343"/>
      <c r="AS547" s="343"/>
      <c r="AT547" s="538"/>
      <c r="AU547" s="343"/>
      <c r="AV547" s="343"/>
      <c r="AW547" s="538"/>
      <c r="AX547" s="343"/>
      <c r="AY547" s="343"/>
      <c r="AZ547" s="538"/>
      <c r="BA547" s="343"/>
      <c r="BB547" s="343"/>
      <c r="BC547" s="538"/>
      <c r="BD547" s="343"/>
      <c r="BE547" s="343"/>
      <c r="BG547" s="644"/>
      <c r="BH547" s="515"/>
      <c r="BI547" s="515"/>
      <c r="BJ547" s="644"/>
      <c r="BK547" s="515"/>
      <c r="BL547" s="515"/>
      <c r="BM547" s="644"/>
      <c r="BN547" s="515"/>
      <c r="BO547" s="515"/>
      <c r="BP547" s="644"/>
      <c r="BQ547" s="515"/>
      <c r="BR547" s="515"/>
    </row>
    <row r="548" spans="4:70" x14ac:dyDescent="0.25">
      <c r="D548" s="538"/>
      <c r="G548" s="538"/>
      <c r="J548" s="538"/>
      <c r="M548" s="538"/>
      <c r="R548" s="538"/>
      <c r="S548" s="343"/>
      <c r="T548" s="343"/>
      <c r="U548" s="538"/>
      <c r="V548" s="343"/>
      <c r="W548" s="343"/>
      <c r="X548" s="538"/>
      <c r="Y548" s="343"/>
      <c r="Z548" s="343"/>
      <c r="AA548" s="538"/>
      <c r="AB548" s="343"/>
      <c r="AC548" s="343"/>
      <c r="AE548" s="343"/>
      <c r="AF548" s="538"/>
      <c r="AG548" s="343"/>
      <c r="AH548" s="343"/>
      <c r="AI548" s="538"/>
      <c r="AJ548" s="343"/>
      <c r="AK548" s="343"/>
      <c r="AL548" s="538"/>
      <c r="AM548" s="343"/>
      <c r="AN548" s="343"/>
      <c r="AO548" s="538"/>
      <c r="AP548" s="343"/>
      <c r="AQ548" s="343"/>
      <c r="AS548" s="343"/>
      <c r="AT548" s="538"/>
      <c r="AU548" s="343"/>
      <c r="AV548" s="343"/>
      <c r="AW548" s="538"/>
      <c r="AX548" s="343"/>
      <c r="AY548" s="343"/>
      <c r="AZ548" s="538"/>
      <c r="BA548" s="343"/>
      <c r="BB548" s="343"/>
      <c r="BC548" s="538"/>
      <c r="BD548" s="343"/>
      <c r="BE548" s="343"/>
      <c r="BG548" s="644"/>
      <c r="BH548" s="515"/>
      <c r="BI548" s="515"/>
      <c r="BJ548" s="644"/>
      <c r="BK548" s="515"/>
      <c r="BL548" s="515"/>
      <c r="BM548" s="644"/>
      <c r="BN548" s="515"/>
      <c r="BO548" s="515"/>
      <c r="BP548" s="644"/>
      <c r="BQ548" s="515"/>
      <c r="BR548" s="515"/>
    </row>
    <row r="549" spans="4:70" x14ac:dyDescent="0.25">
      <c r="D549" s="538"/>
      <c r="G549" s="538"/>
      <c r="J549" s="538"/>
      <c r="M549" s="538"/>
      <c r="R549" s="538"/>
      <c r="S549" s="343"/>
      <c r="T549" s="343"/>
      <c r="U549" s="538"/>
      <c r="V549" s="343"/>
      <c r="W549" s="343"/>
      <c r="X549" s="538"/>
      <c r="Y549" s="343"/>
      <c r="Z549" s="343"/>
      <c r="AA549" s="538"/>
      <c r="AB549" s="343"/>
      <c r="AC549" s="343"/>
      <c r="AE549" s="343"/>
      <c r="AF549" s="538"/>
      <c r="AG549" s="343"/>
      <c r="AH549" s="343"/>
      <c r="AI549" s="538"/>
      <c r="AJ549" s="343"/>
      <c r="AK549" s="343"/>
      <c r="AL549" s="538"/>
      <c r="AM549" s="343"/>
      <c r="AN549" s="343"/>
      <c r="AO549" s="538"/>
      <c r="AP549" s="343"/>
      <c r="AQ549" s="343"/>
      <c r="AS549" s="343"/>
      <c r="AT549" s="538"/>
      <c r="AU549" s="343"/>
      <c r="AV549" s="343"/>
      <c r="AW549" s="538"/>
      <c r="AX549" s="343"/>
      <c r="AY549" s="343"/>
      <c r="AZ549" s="538"/>
      <c r="BA549" s="343"/>
      <c r="BB549" s="343"/>
      <c r="BC549" s="538"/>
      <c r="BD549" s="343"/>
      <c r="BE549" s="343"/>
      <c r="BG549" s="644"/>
      <c r="BH549" s="515"/>
      <c r="BI549" s="515"/>
      <c r="BJ549" s="644"/>
      <c r="BK549" s="515"/>
      <c r="BL549" s="515"/>
      <c r="BM549" s="644"/>
      <c r="BN549" s="515"/>
      <c r="BO549" s="515"/>
      <c r="BP549" s="644"/>
      <c r="BQ549" s="515"/>
      <c r="BR549" s="515"/>
    </row>
    <row r="550" spans="4:70" x14ac:dyDescent="0.25">
      <c r="D550" s="538"/>
      <c r="G550" s="538"/>
      <c r="J550" s="538"/>
      <c r="M550" s="538"/>
      <c r="R550" s="538"/>
      <c r="S550" s="343"/>
      <c r="T550" s="343"/>
      <c r="U550" s="538"/>
      <c r="V550" s="343"/>
      <c r="W550" s="343"/>
      <c r="X550" s="538"/>
      <c r="Y550" s="343"/>
      <c r="Z550" s="343"/>
      <c r="AA550" s="538"/>
      <c r="AB550" s="343"/>
      <c r="AC550" s="343"/>
      <c r="AE550" s="343"/>
      <c r="AF550" s="538"/>
      <c r="AG550" s="343"/>
      <c r="AH550" s="343"/>
      <c r="AI550" s="538"/>
      <c r="AJ550" s="343"/>
      <c r="AK550" s="343"/>
      <c r="AL550" s="538"/>
      <c r="AM550" s="343"/>
      <c r="AN550" s="343"/>
      <c r="AO550" s="538"/>
      <c r="AP550" s="343"/>
      <c r="AQ550" s="343"/>
      <c r="AS550" s="343"/>
      <c r="AT550" s="538"/>
      <c r="AU550" s="343"/>
      <c r="AV550" s="343"/>
      <c r="AW550" s="538"/>
      <c r="AX550" s="343"/>
      <c r="AY550" s="343"/>
      <c r="AZ550" s="538"/>
      <c r="BA550" s="343"/>
      <c r="BB550" s="343"/>
      <c r="BC550" s="538"/>
      <c r="BD550" s="343"/>
      <c r="BE550" s="343"/>
      <c r="BG550" s="644"/>
      <c r="BH550" s="515"/>
      <c r="BI550" s="515"/>
      <c r="BJ550" s="644"/>
      <c r="BK550" s="515"/>
      <c r="BL550" s="515"/>
      <c r="BM550" s="644"/>
      <c r="BN550" s="515"/>
      <c r="BO550" s="515"/>
      <c r="BP550" s="644"/>
      <c r="BQ550" s="515"/>
      <c r="BR550" s="515"/>
    </row>
    <row r="551" spans="4:70" x14ac:dyDescent="0.25">
      <c r="D551" s="538"/>
      <c r="G551" s="538"/>
      <c r="J551" s="538"/>
      <c r="M551" s="538"/>
      <c r="R551" s="538"/>
      <c r="S551" s="343"/>
      <c r="T551" s="343"/>
      <c r="U551" s="538"/>
      <c r="V551" s="343"/>
      <c r="W551" s="343"/>
      <c r="X551" s="538"/>
      <c r="Y551" s="343"/>
      <c r="Z551" s="343"/>
      <c r="AA551" s="538"/>
      <c r="AB551" s="343"/>
      <c r="AC551" s="343"/>
      <c r="AE551" s="343"/>
      <c r="AF551" s="538"/>
      <c r="AG551" s="343"/>
      <c r="AH551" s="343"/>
      <c r="AI551" s="538"/>
      <c r="AJ551" s="343"/>
      <c r="AK551" s="343"/>
      <c r="AL551" s="538"/>
      <c r="AM551" s="343"/>
      <c r="AN551" s="343"/>
      <c r="AO551" s="538"/>
      <c r="AP551" s="343"/>
      <c r="AQ551" s="343"/>
      <c r="AS551" s="343"/>
      <c r="AT551" s="538"/>
      <c r="AU551" s="343"/>
      <c r="AV551" s="343"/>
      <c r="AW551" s="538"/>
      <c r="AX551" s="343"/>
      <c r="AY551" s="343"/>
      <c r="AZ551" s="538"/>
      <c r="BA551" s="343"/>
      <c r="BB551" s="343"/>
      <c r="BC551" s="538"/>
      <c r="BD551" s="343"/>
      <c r="BE551" s="343"/>
      <c r="BG551" s="644"/>
      <c r="BH551" s="515"/>
      <c r="BI551" s="515"/>
      <c r="BJ551" s="644"/>
      <c r="BK551" s="515"/>
      <c r="BL551" s="515"/>
      <c r="BM551" s="644"/>
      <c r="BN551" s="515"/>
      <c r="BO551" s="515"/>
      <c r="BP551" s="644"/>
      <c r="BQ551" s="515"/>
      <c r="BR551" s="515"/>
    </row>
    <row r="552" spans="4:70" x14ac:dyDescent="0.25">
      <c r="D552" s="538"/>
      <c r="G552" s="538"/>
      <c r="J552" s="538"/>
      <c r="M552" s="538"/>
      <c r="R552" s="538"/>
      <c r="S552" s="343"/>
      <c r="T552" s="343"/>
      <c r="U552" s="538"/>
      <c r="V552" s="343"/>
      <c r="W552" s="343"/>
      <c r="X552" s="538"/>
      <c r="Y552" s="343"/>
      <c r="Z552" s="343"/>
      <c r="AA552" s="538"/>
      <c r="AB552" s="343"/>
      <c r="AC552" s="343"/>
      <c r="AE552" s="343"/>
      <c r="AF552" s="538"/>
      <c r="AG552" s="343"/>
      <c r="AH552" s="343"/>
      <c r="AI552" s="538"/>
      <c r="AJ552" s="343"/>
      <c r="AK552" s="343"/>
      <c r="AL552" s="538"/>
      <c r="AM552" s="343"/>
      <c r="AN552" s="343"/>
      <c r="AO552" s="538"/>
      <c r="AP552" s="343"/>
      <c r="AQ552" s="343"/>
      <c r="AS552" s="343"/>
      <c r="AT552" s="538"/>
      <c r="AU552" s="343"/>
      <c r="AV552" s="343"/>
      <c r="AW552" s="538"/>
      <c r="AX552" s="343"/>
      <c r="AY552" s="343"/>
      <c r="AZ552" s="538"/>
      <c r="BA552" s="343"/>
      <c r="BB552" s="343"/>
      <c r="BC552" s="538"/>
      <c r="BD552" s="343"/>
      <c r="BE552" s="343"/>
      <c r="BG552" s="644"/>
      <c r="BH552" s="515"/>
      <c r="BI552" s="515"/>
      <c r="BJ552" s="644"/>
      <c r="BK552" s="515"/>
      <c r="BL552" s="515"/>
      <c r="BM552" s="644"/>
      <c r="BN552" s="515"/>
      <c r="BO552" s="515"/>
      <c r="BP552" s="644"/>
      <c r="BQ552" s="515"/>
      <c r="BR552" s="515"/>
    </row>
    <row r="553" spans="4:70" x14ac:dyDescent="0.25">
      <c r="D553" s="538"/>
      <c r="G553" s="538"/>
      <c r="J553" s="538"/>
      <c r="M553" s="538"/>
      <c r="R553" s="538"/>
      <c r="S553" s="343"/>
      <c r="T553" s="343"/>
      <c r="U553" s="538"/>
      <c r="V553" s="343"/>
      <c r="W553" s="343"/>
      <c r="X553" s="538"/>
      <c r="Y553" s="343"/>
      <c r="Z553" s="343"/>
      <c r="AA553" s="538"/>
      <c r="AB553" s="343"/>
      <c r="AC553" s="343"/>
      <c r="AE553" s="343"/>
      <c r="AF553" s="538"/>
      <c r="AG553" s="343"/>
      <c r="AH553" s="343"/>
      <c r="AI553" s="538"/>
      <c r="AJ553" s="343"/>
      <c r="AK553" s="343"/>
      <c r="AL553" s="538"/>
      <c r="AM553" s="343"/>
      <c r="AN553" s="343"/>
      <c r="AO553" s="538"/>
      <c r="AP553" s="343"/>
      <c r="AQ553" s="343"/>
      <c r="AS553" s="343"/>
      <c r="AT553" s="538"/>
      <c r="AU553" s="343"/>
      <c r="AV553" s="343"/>
      <c r="AW553" s="538"/>
      <c r="AX553" s="343"/>
      <c r="AY553" s="343"/>
      <c r="AZ553" s="538"/>
      <c r="BA553" s="343"/>
      <c r="BB553" s="343"/>
      <c r="BC553" s="538"/>
      <c r="BD553" s="343"/>
      <c r="BE553" s="343"/>
      <c r="BG553" s="644"/>
      <c r="BH553" s="515"/>
      <c r="BI553" s="515"/>
      <c r="BJ553" s="644"/>
      <c r="BK553" s="515"/>
      <c r="BL553" s="515"/>
      <c r="BM553" s="644"/>
      <c r="BN553" s="515"/>
      <c r="BO553" s="515"/>
      <c r="BP553" s="644"/>
      <c r="BQ553" s="515"/>
      <c r="BR553" s="515"/>
    </row>
    <row r="554" spans="4:70" x14ac:dyDescent="0.25">
      <c r="D554" s="538"/>
      <c r="G554" s="538"/>
      <c r="J554" s="538"/>
      <c r="M554" s="538"/>
      <c r="R554" s="538"/>
      <c r="S554" s="343"/>
      <c r="T554" s="343"/>
      <c r="U554" s="538"/>
      <c r="V554" s="343"/>
      <c r="W554" s="343"/>
      <c r="X554" s="538"/>
      <c r="Y554" s="343"/>
      <c r="Z554" s="343"/>
      <c r="AA554" s="538"/>
      <c r="AB554" s="343"/>
      <c r="AC554" s="343"/>
      <c r="AE554" s="343"/>
      <c r="AF554" s="538"/>
      <c r="AG554" s="343"/>
      <c r="AH554" s="343"/>
      <c r="AI554" s="538"/>
      <c r="AJ554" s="343"/>
      <c r="AK554" s="343"/>
      <c r="AL554" s="538"/>
      <c r="AM554" s="343"/>
      <c r="AN554" s="343"/>
      <c r="AO554" s="538"/>
      <c r="AP554" s="343"/>
      <c r="AQ554" s="343"/>
      <c r="AS554" s="343"/>
      <c r="AT554" s="538"/>
      <c r="AU554" s="343"/>
      <c r="AV554" s="343"/>
      <c r="AW554" s="538"/>
      <c r="AX554" s="343"/>
      <c r="AY554" s="343"/>
      <c r="AZ554" s="538"/>
      <c r="BA554" s="343"/>
      <c r="BB554" s="343"/>
      <c r="BC554" s="538"/>
      <c r="BD554" s="343"/>
      <c r="BE554" s="343"/>
      <c r="BG554" s="644"/>
      <c r="BH554" s="515"/>
      <c r="BI554" s="515"/>
      <c r="BJ554" s="644"/>
      <c r="BK554" s="515"/>
      <c r="BL554" s="515"/>
      <c r="BM554" s="644"/>
      <c r="BN554" s="515"/>
      <c r="BO554" s="515"/>
      <c r="BP554" s="644"/>
      <c r="BQ554" s="515"/>
      <c r="BR554" s="515"/>
    </row>
    <row r="555" spans="4:70" x14ac:dyDescent="0.25">
      <c r="D555" s="538"/>
      <c r="G555" s="538"/>
      <c r="J555" s="538"/>
      <c r="M555" s="538"/>
      <c r="R555" s="538"/>
      <c r="S555" s="343"/>
      <c r="T555" s="343"/>
      <c r="U555" s="538"/>
      <c r="V555" s="343"/>
      <c r="W555" s="343"/>
      <c r="X555" s="538"/>
      <c r="Y555" s="343"/>
      <c r="Z555" s="343"/>
      <c r="AA555" s="538"/>
      <c r="AB555" s="343"/>
      <c r="AC555" s="343"/>
      <c r="AE555" s="343"/>
      <c r="AF555" s="538"/>
      <c r="AG555" s="343"/>
      <c r="AH555" s="343"/>
      <c r="AI555" s="538"/>
      <c r="AJ555" s="343"/>
      <c r="AK555" s="343"/>
      <c r="AL555" s="538"/>
      <c r="AM555" s="343"/>
      <c r="AN555" s="343"/>
      <c r="AO555" s="538"/>
      <c r="AP555" s="343"/>
      <c r="AQ555" s="343"/>
      <c r="AS555" s="343"/>
      <c r="AT555" s="538"/>
      <c r="AU555" s="343"/>
      <c r="AV555" s="343"/>
      <c r="AW555" s="538"/>
      <c r="AX555" s="343"/>
      <c r="AY555" s="343"/>
      <c r="AZ555" s="538"/>
      <c r="BA555" s="343"/>
      <c r="BB555" s="343"/>
      <c r="BC555" s="538"/>
      <c r="BD555" s="343"/>
      <c r="BE555" s="343"/>
      <c r="BG555" s="644"/>
      <c r="BH555" s="515"/>
      <c r="BI555" s="515"/>
      <c r="BJ555" s="644"/>
      <c r="BK555" s="515"/>
      <c r="BL555" s="515"/>
      <c r="BM555" s="644"/>
      <c r="BN555" s="515"/>
      <c r="BO555" s="515"/>
      <c r="BP555" s="644"/>
      <c r="BQ555" s="515"/>
      <c r="BR555" s="515"/>
    </row>
    <row r="556" spans="4:70" x14ac:dyDescent="0.25">
      <c r="D556" s="538"/>
      <c r="G556" s="538"/>
      <c r="J556" s="538"/>
      <c r="M556" s="538"/>
      <c r="R556" s="538"/>
      <c r="S556" s="343"/>
      <c r="T556" s="343"/>
      <c r="U556" s="538"/>
      <c r="V556" s="343"/>
      <c r="W556" s="343"/>
      <c r="X556" s="538"/>
      <c r="Y556" s="343"/>
      <c r="Z556" s="343"/>
      <c r="AA556" s="538"/>
      <c r="AB556" s="343"/>
      <c r="AC556" s="343"/>
      <c r="AE556" s="343"/>
      <c r="AF556" s="538"/>
      <c r="AG556" s="343"/>
      <c r="AH556" s="343"/>
      <c r="AI556" s="538"/>
      <c r="AJ556" s="343"/>
      <c r="AK556" s="343"/>
      <c r="AL556" s="538"/>
      <c r="AM556" s="343"/>
      <c r="AN556" s="343"/>
      <c r="AO556" s="538"/>
      <c r="AP556" s="343"/>
      <c r="AQ556" s="343"/>
      <c r="AS556" s="343"/>
      <c r="AT556" s="538"/>
      <c r="AU556" s="343"/>
      <c r="AV556" s="343"/>
      <c r="AW556" s="538"/>
      <c r="AX556" s="343"/>
      <c r="AY556" s="343"/>
      <c r="AZ556" s="538"/>
      <c r="BA556" s="343"/>
      <c r="BB556" s="343"/>
      <c r="BC556" s="538"/>
      <c r="BD556" s="343"/>
      <c r="BE556" s="343"/>
      <c r="BG556" s="644"/>
      <c r="BH556" s="515"/>
      <c r="BI556" s="515"/>
      <c r="BJ556" s="644"/>
      <c r="BK556" s="515"/>
      <c r="BL556" s="515"/>
      <c r="BM556" s="644"/>
      <c r="BN556" s="515"/>
      <c r="BO556" s="515"/>
      <c r="BP556" s="644"/>
      <c r="BQ556" s="515"/>
      <c r="BR556" s="515"/>
    </row>
    <row r="557" spans="4:70" x14ac:dyDescent="0.25">
      <c r="D557" s="538"/>
      <c r="G557" s="538"/>
      <c r="J557" s="538"/>
      <c r="M557" s="538"/>
      <c r="R557" s="538"/>
      <c r="S557" s="343"/>
      <c r="T557" s="343"/>
      <c r="U557" s="538"/>
      <c r="V557" s="343"/>
      <c r="W557" s="343"/>
      <c r="X557" s="538"/>
      <c r="Y557" s="343"/>
      <c r="Z557" s="343"/>
      <c r="AA557" s="538"/>
      <c r="AB557" s="343"/>
      <c r="AC557" s="343"/>
      <c r="AE557" s="343"/>
      <c r="AF557" s="538"/>
      <c r="AG557" s="343"/>
      <c r="AH557" s="343"/>
      <c r="AI557" s="538"/>
      <c r="AJ557" s="343"/>
      <c r="AK557" s="343"/>
      <c r="AL557" s="538"/>
      <c r="AM557" s="343"/>
      <c r="AN557" s="343"/>
      <c r="AO557" s="538"/>
      <c r="AP557" s="343"/>
      <c r="AQ557" s="343"/>
      <c r="AS557" s="343"/>
      <c r="AT557" s="538"/>
      <c r="AU557" s="343"/>
      <c r="AV557" s="343"/>
      <c r="AW557" s="538"/>
      <c r="AX557" s="343"/>
      <c r="AY557" s="343"/>
      <c r="AZ557" s="538"/>
      <c r="BA557" s="343"/>
      <c r="BB557" s="343"/>
      <c r="BC557" s="538"/>
      <c r="BD557" s="343"/>
      <c r="BE557" s="343"/>
      <c r="BG557" s="644"/>
      <c r="BH557" s="515"/>
      <c r="BI557" s="515"/>
      <c r="BJ557" s="644"/>
      <c r="BK557" s="515"/>
      <c r="BL557" s="515"/>
      <c r="BM557" s="644"/>
      <c r="BN557" s="515"/>
      <c r="BO557" s="515"/>
      <c r="BP557" s="644"/>
      <c r="BQ557" s="515"/>
      <c r="BR557" s="515"/>
    </row>
    <row r="558" spans="4:70" x14ac:dyDescent="0.25">
      <c r="D558" s="538"/>
      <c r="G558" s="538"/>
      <c r="J558" s="538"/>
      <c r="M558" s="538"/>
      <c r="R558" s="538"/>
      <c r="S558" s="343"/>
      <c r="T558" s="343"/>
      <c r="U558" s="538"/>
      <c r="V558" s="343"/>
      <c r="W558" s="343"/>
      <c r="X558" s="538"/>
      <c r="Y558" s="343"/>
      <c r="Z558" s="343"/>
      <c r="AA558" s="538"/>
      <c r="AB558" s="343"/>
      <c r="AC558" s="343"/>
      <c r="AE558" s="343"/>
      <c r="AF558" s="538"/>
      <c r="AG558" s="343"/>
      <c r="AH558" s="343"/>
      <c r="AI558" s="538"/>
      <c r="AJ558" s="343"/>
      <c r="AK558" s="343"/>
      <c r="AL558" s="538"/>
      <c r="AM558" s="343"/>
      <c r="AN558" s="343"/>
      <c r="AO558" s="538"/>
      <c r="AP558" s="343"/>
      <c r="AQ558" s="343"/>
      <c r="AS558" s="343"/>
      <c r="AT558" s="538"/>
      <c r="AU558" s="343"/>
      <c r="AV558" s="343"/>
      <c r="AW558" s="538"/>
      <c r="AX558" s="343"/>
      <c r="AY558" s="343"/>
      <c r="AZ558" s="538"/>
      <c r="BA558" s="343"/>
      <c r="BB558" s="343"/>
      <c r="BC558" s="538"/>
      <c r="BD558" s="343"/>
      <c r="BE558" s="343"/>
      <c r="BG558" s="644"/>
      <c r="BH558" s="515"/>
      <c r="BI558" s="515"/>
      <c r="BJ558" s="644"/>
      <c r="BK558" s="515"/>
      <c r="BL558" s="515"/>
      <c r="BM558" s="644"/>
      <c r="BN558" s="515"/>
      <c r="BO558" s="515"/>
      <c r="BP558" s="644"/>
      <c r="BQ558" s="515"/>
      <c r="BR558" s="515"/>
    </row>
    <row r="559" spans="4:70" x14ac:dyDescent="0.25">
      <c r="D559" s="538"/>
      <c r="G559" s="538"/>
      <c r="J559" s="538"/>
      <c r="M559" s="538"/>
      <c r="R559" s="538"/>
      <c r="S559" s="343"/>
      <c r="T559" s="343"/>
      <c r="U559" s="538"/>
      <c r="V559" s="343"/>
      <c r="W559" s="343"/>
      <c r="X559" s="538"/>
      <c r="Y559" s="343"/>
      <c r="Z559" s="343"/>
      <c r="AA559" s="538"/>
      <c r="AB559" s="343"/>
      <c r="AC559" s="343"/>
      <c r="AE559" s="343"/>
      <c r="AF559" s="538"/>
      <c r="AG559" s="343"/>
      <c r="AH559" s="343"/>
      <c r="AI559" s="538"/>
      <c r="AJ559" s="343"/>
      <c r="AK559" s="343"/>
      <c r="AL559" s="538"/>
      <c r="AM559" s="343"/>
      <c r="AN559" s="343"/>
      <c r="AO559" s="538"/>
      <c r="AP559" s="343"/>
      <c r="AQ559" s="343"/>
      <c r="AS559" s="343"/>
      <c r="AT559" s="538"/>
      <c r="AU559" s="343"/>
      <c r="AV559" s="343"/>
      <c r="AW559" s="538"/>
      <c r="AX559" s="343"/>
      <c r="AY559" s="343"/>
      <c r="AZ559" s="538"/>
      <c r="BA559" s="343"/>
      <c r="BB559" s="343"/>
      <c r="BC559" s="538"/>
      <c r="BD559" s="343"/>
      <c r="BE559" s="343"/>
      <c r="BG559" s="644"/>
      <c r="BH559" s="515"/>
      <c r="BI559" s="515"/>
      <c r="BJ559" s="644"/>
      <c r="BK559" s="515"/>
      <c r="BL559" s="515"/>
      <c r="BM559" s="644"/>
      <c r="BN559" s="515"/>
      <c r="BO559" s="515"/>
      <c r="BP559" s="644"/>
      <c r="BQ559" s="515"/>
      <c r="BR559" s="515"/>
    </row>
    <row r="560" spans="4:70" x14ac:dyDescent="0.25">
      <c r="D560" s="538"/>
      <c r="G560" s="538"/>
      <c r="J560" s="538"/>
      <c r="M560" s="538"/>
      <c r="R560" s="538"/>
      <c r="S560" s="343"/>
      <c r="T560" s="343"/>
      <c r="U560" s="538"/>
      <c r="V560" s="343"/>
      <c r="W560" s="343"/>
      <c r="X560" s="538"/>
      <c r="Y560" s="343"/>
      <c r="Z560" s="343"/>
      <c r="AA560" s="538"/>
      <c r="AB560" s="343"/>
      <c r="AC560" s="343"/>
      <c r="AE560" s="343"/>
      <c r="AF560" s="538"/>
      <c r="AG560" s="343"/>
      <c r="AH560" s="343"/>
      <c r="AI560" s="538"/>
      <c r="AJ560" s="343"/>
      <c r="AK560" s="343"/>
      <c r="AL560" s="538"/>
      <c r="AM560" s="343"/>
      <c r="AN560" s="343"/>
      <c r="AO560" s="538"/>
      <c r="AP560" s="343"/>
      <c r="AQ560" s="343"/>
      <c r="AS560" s="343"/>
      <c r="AT560" s="538"/>
      <c r="AU560" s="343"/>
      <c r="AV560" s="343"/>
      <c r="AW560" s="538"/>
      <c r="AX560" s="343"/>
      <c r="AY560" s="343"/>
      <c r="AZ560" s="538"/>
      <c r="BA560" s="343"/>
      <c r="BB560" s="343"/>
      <c r="BC560" s="538"/>
      <c r="BD560" s="343"/>
      <c r="BE560" s="343"/>
      <c r="BG560" s="644"/>
      <c r="BH560" s="515"/>
      <c r="BI560" s="515"/>
      <c r="BJ560" s="644"/>
      <c r="BK560" s="515"/>
      <c r="BL560" s="515"/>
      <c r="BM560" s="644"/>
      <c r="BN560" s="515"/>
      <c r="BO560" s="515"/>
      <c r="BP560" s="644"/>
      <c r="BQ560" s="515"/>
      <c r="BR560" s="515"/>
    </row>
    <row r="561" spans="4:70" x14ac:dyDescent="0.25">
      <c r="D561" s="538"/>
      <c r="G561" s="538"/>
      <c r="J561" s="538"/>
      <c r="M561" s="538"/>
      <c r="R561" s="538"/>
      <c r="S561" s="343"/>
      <c r="T561" s="343"/>
      <c r="U561" s="538"/>
      <c r="V561" s="343"/>
      <c r="W561" s="343"/>
      <c r="X561" s="538"/>
      <c r="Y561" s="343"/>
      <c r="Z561" s="343"/>
      <c r="AA561" s="538"/>
      <c r="AB561" s="343"/>
      <c r="AC561" s="343"/>
      <c r="AE561" s="343"/>
      <c r="AF561" s="538"/>
      <c r="AG561" s="343"/>
      <c r="AH561" s="343"/>
      <c r="AI561" s="538"/>
      <c r="AJ561" s="343"/>
      <c r="AK561" s="343"/>
      <c r="AL561" s="538"/>
      <c r="AM561" s="343"/>
      <c r="AN561" s="343"/>
      <c r="AO561" s="538"/>
      <c r="AP561" s="343"/>
      <c r="AQ561" s="343"/>
      <c r="AS561" s="343"/>
      <c r="AT561" s="538"/>
      <c r="AU561" s="343"/>
      <c r="AV561" s="343"/>
      <c r="AW561" s="538"/>
      <c r="AX561" s="343"/>
      <c r="AY561" s="343"/>
      <c r="AZ561" s="538"/>
      <c r="BA561" s="343"/>
      <c r="BB561" s="343"/>
      <c r="BC561" s="538"/>
      <c r="BD561" s="343"/>
      <c r="BE561" s="343"/>
      <c r="BG561" s="644"/>
      <c r="BH561" s="515"/>
      <c r="BI561" s="515"/>
      <c r="BJ561" s="644"/>
      <c r="BK561" s="515"/>
      <c r="BL561" s="515"/>
      <c r="BM561" s="644"/>
      <c r="BN561" s="515"/>
      <c r="BO561" s="515"/>
      <c r="BP561" s="644"/>
      <c r="BQ561" s="515"/>
      <c r="BR561" s="515"/>
    </row>
    <row r="562" spans="4:70" x14ac:dyDescent="0.25">
      <c r="D562" s="538"/>
      <c r="G562" s="538"/>
      <c r="J562" s="538"/>
      <c r="M562" s="538"/>
      <c r="R562" s="538"/>
      <c r="S562" s="343"/>
      <c r="T562" s="343"/>
      <c r="U562" s="538"/>
      <c r="V562" s="343"/>
      <c r="W562" s="343"/>
      <c r="X562" s="538"/>
      <c r="Y562" s="343"/>
      <c r="Z562" s="343"/>
      <c r="AA562" s="538"/>
      <c r="AB562" s="343"/>
      <c r="AC562" s="343"/>
      <c r="AE562" s="343"/>
      <c r="AF562" s="538"/>
      <c r="AG562" s="343"/>
      <c r="AH562" s="343"/>
      <c r="AI562" s="538"/>
      <c r="AJ562" s="343"/>
      <c r="AK562" s="343"/>
      <c r="AL562" s="538"/>
      <c r="AM562" s="343"/>
      <c r="AN562" s="343"/>
      <c r="AO562" s="538"/>
      <c r="AP562" s="343"/>
      <c r="AQ562" s="343"/>
      <c r="AS562" s="343"/>
      <c r="AT562" s="538"/>
      <c r="AU562" s="343"/>
      <c r="AV562" s="343"/>
      <c r="AW562" s="538"/>
      <c r="AX562" s="343"/>
      <c r="AY562" s="343"/>
      <c r="AZ562" s="538"/>
      <c r="BA562" s="343"/>
      <c r="BB562" s="343"/>
      <c r="BC562" s="538"/>
      <c r="BD562" s="343"/>
      <c r="BE562" s="343"/>
      <c r="BG562" s="644"/>
      <c r="BH562" s="515"/>
      <c r="BI562" s="515"/>
      <c r="BJ562" s="644"/>
      <c r="BK562" s="515"/>
      <c r="BL562" s="515"/>
      <c r="BM562" s="644"/>
      <c r="BN562" s="515"/>
      <c r="BO562" s="515"/>
      <c r="BP562" s="644"/>
      <c r="BQ562" s="515"/>
      <c r="BR562" s="515"/>
    </row>
    <row r="563" spans="4:70" x14ac:dyDescent="0.25">
      <c r="D563" s="538"/>
      <c r="G563" s="538"/>
      <c r="J563" s="538"/>
      <c r="M563" s="538"/>
      <c r="R563" s="538"/>
      <c r="S563" s="343"/>
      <c r="T563" s="343"/>
      <c r="U563" s="538"/>
      <c r="V563" s="343"/>
      <c r="W563" s="343"/>
      <c r="X563" s="538"/>
      <c r="Y563" s="343"/>
      <c r="Z563" s="343"/>
      <c r="AA563" s="538"/>
      <c r="AB563" s="343"/>
      <c r="AC563" s="343"/>
      <c r="AE563" s="343"/>
      <c r="AF563" s="538"/>
      <c r="AG563" s="343"/>
      <c r="AH563" s="343"/>
      <c r="AI563" s="538"/>
      <c r="AJ563" s="343"/>
      <c r="AK563" s="343"/>
      <c r="AL563" s="538"/>
      <c r="AM563" s="343"/>
      <c r="AN563" s="343"/>
      <c r="AO563" s="538"/>
      <c r="AP563" s="343"/>
      <c r="AQ563" s="343"/>
      <c r="AS563" s="343"/>
      <c r="AT563" s="538"/>
      <c r="AU563" s="343"/>
      <c r="AV563" s="343"/>
      <c r="AW563" s="538"/>
      <c r="AX563" s="343"/>
      <c r="AY563" s="343"/>
      <c r="AZ563" s="538"/>
      <c r="BA563" s="343"/>
      <c r="BB563" s="343"/>
      <c r="BC563" s="538"/>
      <c r="BD563" s="343"/>
      <c r="BE563" s="343"/>
      <c r="BG563" s="644"/>
      <c r="BH563" s="515"/>
      <c r="BI563" s="515"/>
      <c r="BJ563" s="644"/>
      <c r="BK563" s="515"/>
      <c r="BL563" s="515"/>
      <c r="BM563" s="644"/>
      <c r="BN563" s="515"/>
      <c r="BO563" s="515"/>
      <c r="BP563" s="644"/>
      <c r="BQ563" s="515"/>
      <c r="BR563" s="515"/>
    </row>
    <row r="564" spans="4:70" x14ac:dyDescent="0.25">
      <c r="D564" s="538"/>
      <c r="G564" s="538"/>
      <c r="J564" s="538"/>
      <c r="M564" s="538"/>
      <c r="R564" s="538"/>
      <c r="S564" s="343"/>
      <c r="T564" s="343"/>
      <c r="U564" s="538"/>
      <c r="V564" s="343"/>
      <c r="W564" s="343"/>
      <c r="X564" s="538"/>
      <c r="Y564" s="343"/>
      <c r="Z564" s="343"/>
      <c r="AA564" s="538"/>
      <c r="AB564" s="343"/>
      <c r="AC564" s="343"/>
      <c r="AE564" s="343"/>
      <c r="AF564" s="538"/>
      <c r="AG564" s="343"/>
      <c r="AH564" s="343"/>
      <c r="AI564" s="538"/>
      <c r="AJ564" s="343"/>
      <c r="AK564" s="343"/>
      <c r="AL564" s="538"/>
      <c r="AM564" s="343"/>
      <c r="AN564" s="343"/>
      <c r="AO564" s="538"/>
      <c r="AP564" s="343"/>
      <c r="AQ564" s="343"/>
      <c r="AS564" s="343"/>
      <c r="AT564" s="538"/>
      <c r="AU564" s="343"/>
      <c r="AV564" s="343"/>
      <c r="AW564" s="538"/>
      <c r="AX564" s="343"/>
      <c r="AY564" s="343"/>
      <c r="AZ564" s="538"/>
      <c r="BA564" s="343"/>
      <c r="BB564" s="343"/>
      <c r="BC564" s="538"/>
      <c r="BD564" s="343"/>
      <c r="BE564" s="343"/>
      <c r="BG564" s="644"/>
      <c r="BH564" s="515"/>
      <c r="BI564" s="515"/>
      <c r="BJ564" s="644"/>
      <c r="BK564" s="515"/>
      <c r="BL564" s="515"/>
      <c r="BM564" s="644"/>
      <c r="BN564" s="515"/>
      <c r="BO564" s="515"/>
      <c r="BP564" s="644"/>
      <c r="BQ564" s="515"/>
      <c r="BR564" s="515"/>
    </row>
    <row r="565" spans="4:70" x14ac:dyDescent="0.25">
      <c r="D565" s="538"/>
      <c r="G565" s="538"/>
      <c r="J565" s="538"/>
      <c r="M565" s="538"/>
      <c r="R565" s="538"/>
      <c r="S565" s="343"/>
      <c r="T565" s="343"/>
      <c r="U565" s="538"/>
      <c r="V565" s="343"/>
      <c r="W565" s="343"/>
      <c r="X565" s="538"/>
      <c r="Y565" s="343"/>
      <c r="Z565" s="343"/>
      <c r="AA565" s="538"/>
      <c r="AB565" s="343"/>
      <c r="AC565" s="343"/>
      <c r="AE565" s="343"/>
      <c r="AF565" s="538"/>
      <c r="AG565" s="343"/>
      <c r="AH565" s="343"/>
      <c r="AI565" s="538"/>
      <c r="AJ565" s="343"/>
      <c r="AK565" s="343"/>
      <c r="AL565" s="538"/>
      <c r="AM565" s="343"/>
      <c r="AN565" s="343"/>
      <c r="AO565" s="538"/>
      <c r="AP565" s="343"/>
      <c r="AQ565" s="343"/>
      <c r="AS565" s="343"/>
      <c r="AT565" s="538"/>
      <c r="AU565" s="343"/>
      <c r="AV565" s="343"/>
      <c r="AW565" s="538"/>
      <c r="AX565" s="343"/>
      <c r="AY565" s="343"/>
      <c r="AZ565" s="538"/>
      <c r="BA565" s="343"/>
      <c r="BB565" s="343"/>
      <c r="BC565" s="538"/>
      <c r="BD565" s="343"/>
      <c r="BE565" s="343"/>
      <c r="BG565" s="644"/>
      <c r="BH565" s="515"/>
      <c r="BI565" s="515"/>
      <c r="BJ565" s="644"/>
      <c r="BK565" s="515"/>
      <c r="BL565" s="515"/>
      <c r="BM565" s="644"/>
      <c r="BN565" s="515"/>
      <c r="BO565" s="515"/>
      <c r="BP565" s="644"/>
      <c r="BQ565" s="515"/>
      <c r="BR565" s="515"/>
    </row>
    <row r="566" spans="4:70" x14ac:dyDescent="0.25">
      <c r="D566" s="538"/>
      <c r="G566" s="538"/>
      <c r="J566" s="538"/>
      <c r="M566" s="538"/>
      <c r="R566" s="538"/>
      <c r="S566" s="343"/>
      <c r="T566" s="343"/>
      <c r="U566" s="538"/>
      <c r="V566" s="343"/>
      <c r="W566" s="343"/>
      <c r="X566" s="538"/>
      <c r="Y566" s="343"/>
      <c r="Z566" s="343"/>
      <c r="AA566" s="538"/>
      <c r="AB566" s="343"/>
      <c r="AC566" s="343"/>
      <c r="AE566" s="343"/>
      <c r="AF566" s="538"/>
      <c r="AG566" s="343"/>
      <c r="AH566" s="343"/>
      <c r="AI566" s="538"/>
      <c r="AJ566" s="343"/>
      <c r="AK566" s="343"/>
      <c r="AL566" s="538"/>
      <c r="AM566" s="343"/>
      <c r="AN566" s="343"/>
      <c r="AO566" s="538"/>
      <c r="AP566" s="343"/>
      <c r="AQ566" s="343"/>
      <c r="AS566" s="343"/>
      <c r="AT566" s="538"/>
      <c r="AU566" s="343"/>
      <c r="AV566" s="343"/>
      <c r="AW566" s="538"/>
      <c r="AX566" s="343"/>
      <c r="AY566" s="343"/>
      <c r="AZ566" s="538"/>
      <c r="BA566" s="343"/>
      <c r="BB566" s="343"/>
      <c r="BC566" s="538"/>
      <c r="BD566" s="343"/>
      <c r="BE566" s="343"/>
      <c r="BG566" s="644"/>
      <c r="BH566" s="515"/>
      <c r="BI566" s="515"/>
      <c r="BJ566" s="644"/>
      <c r="BK566" s="515"/>
      <c r="BL566" s="515"/>
      <c r="BM566" s="644"/>
      <c r="BN566" s="515"/>
      <c r="BO566" s="515"/>
      <c r="BP566" s="644"/>
      <c r="BQ566" s="515"/>
      <c r="BR566" s="515"/>
    </row>
    <row r="567" spans="4:70" x14ac:dyDescent="0.25">
      <c r="D567" s="538"/>
      <c r="G567" s="538"/>
      <c r="J567" s="538"/>
      <c r="M567" s="538"/>
      <c r="R567" s="538"/>
      <c r="S567" s="343"/>
      <c r="T567" s="343"/>
      <c r="U567" s="538"/>
      <c r="V567" s="343"/>
      <c r="W567" s="343"/>
      <c r="X567" s="538"/>
      <c r="Y567" s="343"/>
      <c r="Z567" s="343"/>
      <c r="AA567" s="538"/>
      <c r="AB567" s="343"/>
      <c r="AC567" s="343"/>
      <c r="AE567" s="343"/>
      <c r="AF567" s="538"/>
      <c r="AG567" s="343"/>
      <c r="AH567" s="343"/>
      <c r="AI567" s="538"/>
      <c r="AJ567" s="343"/>
      <c r="AK567" s="343"/>
      <c r="AL567" s="538"/>
      <c r="AM567" s="343"/>
      <c r="AN567" s="343"/>
      <c r="AO567" s="538"/>
      <c r="AP567" s="343"/>
      <c r="AQ567" s="343"/>
      <c r="AS567" s="343"/>
      <c r="AT567" s="538"/>
      <c r="AU567" s="343"/>
      <c r="AV567" s="343"/>
      <c r="AW567" s="538"/>
      <c r="AX567" s="343"/>
      <c r="AY567" s="343"/>
      <c r="AZ567" s="538"/>
      <c r="BA567" s="343"/>
      <c r="BB567" s="343"/>
      <c r="BC567" s="538"/>
      <c r="BD567" s="343"/>
      <c r="BE567" s="343"/>
      <c r="BG567" s="644"/>
      <c r="BH567" s="515"/>
      <c r="BI567" s="515"/>
      <c r="BJ567" s="644"/>
      <c r="BK567" s="515"/>
      <c r="BL567" s="515"/>
      <c r="BM567" s="644"/>
      <c r="BN567" s="515"/>
      <c r="BO567" s="515"/>
      <c r="BP567" s="644"/>
      <c r="BQ567" s="515"/>
      <c r="BR567" s="515"/>
    </row>
    <row r="568" spans="4:70" x14ac:dyDescent="0.25">
      <c r="D568" s="538"/>
      <c r="G568" s="538"/>
      <c r="J568" s="538"/>
      <c r="M568" s="538"/>
      <c r="R568" s="538"/>
      <c r="S568" s="343"/>
      <c r="T568" s="343"/>
      <c r="U568" s="538"/>
      <c r="V568" s="343"/>
      <c r="W568" s="343"/>
      <c r="X568" s="538"/>
      <c r="Y568" s="343"/>
      <c r="Z568" s="343"/>
      <c r="AA568" s="538"/>
      <c r="AB568" s="343"/>
      <c r="AC568" s="343"/>
      <c r="AE568" s="343"/>
      <c r="AF568" s="538"/>
      <c r="AG568" s="343"/>
      <c r="AH568" s="343"/>
      <c r="AI568" s="538"/>
      <c r="AJ568" s="343"/>
      <c r="AK568" s="343"/>
      <c r="AL568" s="538"/>
      <c r="AM568" s="343"/>
      <c r="AN568" s="343"/>
      <c r="AO568" s="538"/>
      <c r="AP568" s="343"/>
      <c r="AQ568" s="343"/>
      <c r="AS568" s="343"/>
      <c r="AT568" s="538"/>
      <c r="AU568" s="343"/>
      <c r="AV568" s="343"/>
      <c r="AW568" s="538"/>
      <c r="AX568" s="343"/>
      <c r="AY568" s="343"/>
      <c r="AZ568" s="538"/>
      <c r="BA568" s="343"/>
      <c r="BB568" s="343"/>
      <c r="BC568" s="538"/>
      <c r="BD568" s="343"/>
      <c r="BE568" s="343"/>
      <c r="BG568" s="644"/>
      <c r="BH568" s="515"/>
      <c r="BI568" s="515"/>
      <c r="BJ568" s="644"/>
      <c r="BK568" s="515"/>
      <c r="BL568" s="515"/>
      <c r="BM568" s="644"/>
      <c r="BN568" s="515"/>
      <c r="BO568" s="515"/>
      <c r="BP568" s="644"/>
      <c r="BQ568" s="515"/>
      <c r="BR568" s="515"/>
    </row>
    <row r="569" spans="4:70" x14ac:dyDescent="0.25">
      <c r="D569" s="538"/>
      <c r="G569" s="538"/>
      <c r="J569" s="538"/>
      <c r="M569" s="538"/>
      <c r="R569" s="538"/>
      <c r="S569" s="343"/>
      <c r="T569" s="343"/>
      <c r="U569" s="538"/>
      <c r="V569" s="343"/>
      <c r="W569" s="343"/>
      <c r="X569" s="538"/>
      <c r="Y569" s="343"/>
      <c r="Z569" s="343"/>
      <c r="AA569" s="538"/>
      <c r="AB569" s="343"/>
      <c r="AC569" s="343"/>
      <c r="AE569" s="343"/>
      <c r="AF569" s="538"/>
      <c r="AG569" s="343"/>
      <c r="AH569" s="343"/>
      <c r="AI569" s="538"/>
      <c r="AJ569" s="343"/>
      <c r="AK569" s="343"/>
      <c r="AL569" s="538"/>
      <c r="AM569" s="343"/>
      <c r="AN569" s="343"/>
      <c r="AO569" s="538"/>
      <c r="AP569" s="343"/>
      <c r="AQ569" s="343"/>
      <c r="AS569" s="343"/>
      <c r="AT569" s="538"/>
      <c r="AU569" s="343"/>
      <c r="AV569" s="343"/>
      <c r="AW569" s="538"/>
      <c r="AX569" s="343"/>
      <c r="AY569" s="343"/>
      <c r="AZ569" s="538"/>
      <c r="BA569" s="343"/>
      <c r="BB569" s="343"/>
      <c r="BC569" s="538"/>
      <c r="BD569" s="343"/>
      <c r="BE569" s="343"/>
      <c r="BG569" s="644"/>
      <c r="BH569" s="515"/>
      <c r="BI569" s="515"/>
      <c r="BJ569" s="644"/>
      <c r="BK569" s="515"/>
      <c r="BL569" s="515"/>
      <c r="BM569" s="644"/>
      <c r="BN569" s="515"/>
      <c r="BO569" s="515"/>
      <c r="BP569" s="644"/>
      <c r="BQ569" s="515"/>
      <c r="BR569" s="515"/>
    </row>
    <row r="570" spans="4:70" x14ac:dyDescent="0.25">
      <c r="D570" s="538"/>
      <c r="G570" s="538"/>
      <c r="J570" s="538"/>
      <c r="M570" s="538"/>
      <c r="R570" s="538"/>
      <c r="S570" s="343"/>
      <c r="T570" s="343"/>
      <c r="U570" s="538"/>
      <c r="V570" s="343"/>
      <c r="W570" s="343"/>
      <c r="X570" s="538"/>
      <c r="Y570" s="343"/>
      <c r="Z570" s="343"/>
      <c r="AA570" s="538"/>
      <c r="AB570" s="343"/>
      <c r="AC570" s="343"/>
      <c r="AE570" s="343"/>
      <c r="AF570" s="538"/>
      <c r="AG570" s="343"/>
      <c r="AH570" s="343"/>
      <c r="AI570" s="538"/>
      <c r="AJ570" s="343"/>
      <c r="AK570" s="343"/>
      <c r="AL570" s="538"/>
      <c r="AM570" s="343"/>
      <c r="AN570" s="343"/>
      <c r="AO570" s="538"/>
      <c r="AP570" s="343"/>
      <c r="AQ570" s="343"/>
      <c r="AS570" s="343"/>
      <c r="AT570" s="538"/>
      <c r="AU570" s="343"/>
      <c r="AV570" s="343"/>
      <c r="AW570" s="538"/>
      <c r="AX570" s="343"/>
      <c r="AY570" s="343"/>
      <c r="AZ570" s="538"/>
      <c r="BA570" s="343"/>
      <c r="BB570" s="343"/>
      <c r="BC570" s="538"/>
      <c r="BD570" s="343"/>
      <c r="BE570" s="343"/>
      <c r="BG570" s="644"/>
      <c r="BH570" s="515"/>
      <c r="BI570" s="515"/>
      <c r="BJ570" s="644"/>
      <c r="BK570" s="515"/>
      <c r="BL570" s="515"/>
      <c r="BM570" s="644"/>
      <c r="BN570" s="515"/>
      <c r="BO570" s="515"/>
      <c r="BP570" s="644"/>
      <c r="BQ570" s="515"/>
      <c r="BR570" s="515"/>
    </row>
    <row r="571" spans="4:70" x14ac:dyDescent="0.25">
      <c r="D571" s="538"/>
      <c r="G571" s="538"/>
      <c r="J571" s="538"/>
      <c r="M571" s="538"/>
      <c r="R571" s="538"/>
      <c r="S571" s="343"/>
      <c r="T571" s="343"/>
      <c r="U571" s="538"/>
      <c r="V571" s="343"/>
      <c r="W571" s="343"/>
      <c r="X571" s="538"/>
      <c r="Y571" s="343"/>
      <c r="Z571" s="343"/>
      <c r="AA571" s="538"/>
      <c r="AB571" s="343"/>
      <c r="AC571" s="343"/>
      <c r="AE571" s="343"/>
      <c r="AF571" s="538"/>
      <c r="AG571" s="343"/>
      <c r="AH571" s="343"/>
      <c r="AI571" s="538"/>
      <c r="AJ571" s="343"/>
      <c r="AK571" s="343"/>
      <c r="AL571" s="538"/>
      <c r="AM571" s="343"/>
      <c r="AN571" s="343"/>
      <c r="AO571" s="538"/>
      <c r="AP571" s="343"/>
      <c r="AQ571" s="343"/>
      <c r="AS571" s="343"/>
      <c r="AT571" s="538"/>
      <c r="AU571" s="343"/>
      <c r="AV571" s="343"/>
      <c r="AW571" s="538"/>
      <c r="AX571" s="343"/>
      <c r="AY571" s="343"/>
      <c r="AZ571" s="538"/>
      <c r="BA571" s="343"/>
      <c r="BB571" s="343"/>
      <c r="BC571" s="538"/>
      <c r="BD571" s="343"/>
      <c r="BE571" s="343"/>
      <c r="BG571" s="644"/>
      <c r="BH571" s="515"/>
      <c r="BI571" s="515"/>
      <c r="BJ571" s="644"/>
      <c r="BK571" s="515"/>
      <c r="BL571" s="515"/>
      <c r="BM571" s="644"/>
      <c r="BN571" s="515"/>
      <c r="BO571" s="515"/>
      <c r="BP571" s="644"/>
      <c r="BQ571" s="515"/>
      <c r="BR571" s="515"/>
    </row>
    <row r="572" spans="4:70" x14ac:dyDescent="0.25">
      <c r="D572" s="538"/>
      <c r="G572" s="538"/>
      <c r="J572" s="538"/>
      <c r="M572" s="538"/>
      <c r="R572" s="538"/>
      <c r="S572" s="343"/>
      <c r="T572" s="343"/>
      <c r="U572" s="538"/>
      <c r="V572" s="343"/>
      <c r="W572" s="343"/>
      <c r="X572" s="538"/>
      <c r="Y572" s="343"/>
      <c r="Z572" s="343"/>
      <c r="AA572" s="538"/>
      <c r="AB572" s="343"/>
      <c r="AC572" s="343"/>
      <c r="AE572" s="343"/>
      <c r="AF572" s="538"/>
      <c r="AG572" s="343"/>
      <c r="AH572" s="343"/>
      <c r="AI572" s="538"/>
      <c r="AJ572" s="343"/>
      <c r="AK572" s="343"/>
      <c r="AL572" s="538"/>
      <c r="AM572" s="343"/>
      <c r="AN572" s="343"/>
      <c r="AO572" s="538"/>
      <c r="AP572" s="343"/>
      <c r="AQ572" s="343"/>
      <c r="AS572" s="343"/>
      <c r="AT572" s="538"/>
      <c r="AU572" s="343"/>
      <c r="AV572" s="343"/>
      <c r="AW572" s="538"/>
      <c r="AX572" s="343"/>
      <c r="AY572" s="343"/>
      <c r="AZ572" s="538"/>
      <c r="BA572" s="343"/>
      <c r="BB572" s="343"/>
      <c r="BC572" s="538"/>
      <c r="BD572" s="343"/>
      <c r="BE572" s="343"/>
      <c r="BG572" s="644"/>
      <c r="BH572" s="515"/>
      <c r="BI572" s="515"/>
      <c r="BJ572" s="644"/>
      <c r="BK572" s="515"/>
      <c r="BL572" s="515"/>
      <c r="BM572" s="644"/>
      <c r="BN572" s="515"/>
      <c r="BO572" s="515"/>
      <c r="BP572" s="644"/>
      <c r="BQ572" s="515"/>
      <c r="BR572" s="515"/>
    </row>
    <row r="573" spans="4:70" x14ac:dyDescent="0.25">
      <c r="D573" s="538"/>
      <c r="G573" s="538"/>
      <c r="J573" s="538"/>
      <c r="M573" s="538"/>
      <c r="R573" s="538"/>
      <c r="S573" s="343"/>
      <c r="T573" s="343"/>
      <c r="U573" s="538"/>
      <c r="V573" s="343"/>
      <c r="W573" s="343"/>
      <c r="X573" s="538"/>
      <c r="Y573" s="343"/>
      <c r="Z573" s="343"/>
      <c r="AA573" s="538"/>
      <c r="AB573" s="343"/>
      <c r="AC573" s="343"/>
      <c r="AE573" s="343"/>
      <c r="AF573" s="538"/>
      <c r="AG573" s="343"/>
      <c r="AH573" s="343"/>
      <c r="AI573" s="538"/>
      <c r="AJ573" s="343"/>
      <c r="AK573" s="343"/>
      <c r="AL573" s="538"/>
      <c r="AM573" s="343"/>
      <c r="AN573" s="343"/>
      <c r="AO573" s="538"/>
      <c r="AP573" s="343"/>
      <c r="AQ573" s="343"/>
      <c r="AS573" s="343"/>
      <c r="AT573" s="538"/>
      <c r="AU573" s="343"/>
      <c r="AV573" s="343"/>
      <c r="AW573" s="538"/>
      <c r="AX573" s="343"/>
      <c r="AY573" s="343"/>
      <c r="AZ573" s="538"/>
      <c r="BA573" s="343"/>
      <c r="BB573" s="343"/>
      <c r="BC573" s="538"/>
      <c r="BD573" s="343"/>
      <c r="BE573" s="343"/>
      <c r="BG573" s="644"/>
      <c r="BH573" s="515"/>
      <c r="BI573" s="515"/>
      <c r="BJ573" s="644"/>
      <c r="BK573" s="515"/>
      <c r="BL573" s="515"/>
      <c r="BM573" s="644"/>
      <c r="BN573" s="515"/>
      <c r="BO573" s="515"/>
      <c r="BP573" s="644"/>
      <c r="BQ573" s="515"/>
      <c r="BR573" s="515"/>
    </row>
    <row r="574" spans="4:70" x14ac:dyDescent="0.25">
      <c r="D574" s="538"/>
      <c r="G574" s="538"/>
      <c r="J574" s="538"/>
      <c r="M574" s="538"/>
      <c r="R574" s="538"/>
      <c r="S574" s="343"/>
      <c r="T574" s="343"/>
      <c r="U574" s="538"/>
      <c r="V574" s="343"/>
      <c r="W574" s="343"/>
      <c r="X574" s="538"/>
      <c r="Y574" s="343"/>
      <c r="Z574" s="343"/>
      <c r="AA574" s="538"/>
      <c r="AB574" s="343"/>
      <c r="AC574" s="343"/>
      <c r="AE574" s="343"/>
      <c r="AF574" s="538"/>
      <c r="AG574" s="343"/>
      <c r="AH574" s="343"/>
      <c r="AI574" s="538"/>
      <c r="AJ574" s="343"/>
      <c r="AK574" s="343"/>
      <c r="AL574" s="538"/>
      <c r="AM574" s="343"/>
      <c r="AN574" s="343"/>
      <c r="AO574" s="538"/>
      <c r="AP574" s="343"/>
      <c r="AQ574" s="343"/>
      <c r="AS574" s="343"/>
      <c r="AT574" s="538"/>
      <c r="AU574" s="343"/>
      <c r="AV574" s="343"/>
      <c r="AW574" s="538"/>
      <c r="AX574" s="343"/>
      <c r="AY574" s="343"/>
      <c r="AZ574" s="538"/>
      <c r="BA574" s="343"/>
      <c r="BB574" s="343"/>
      <c r="BC574" s="538"/>
      <c r="BD574" s="343"/>
      <c r="BE574" s="343"/>
      <c r="BG574" s="644"/>
      <c r="BH574" s="515"/>
      <c r="BI574" s="515"/>
      <c r="BJ574" s="644"/>
      <c r="BK574" s="515"/>
      <c r="BL574" s="515"/>
      <c r="BM574" s="644"/>
      <c r="BN574" s="515"/>
      <c r="BO574" s="515"/>
      <c r="BP574" s="644"/>
      <c r="BQ574" s="515"/>
      <c r="BR574" s="515"/>
    </row>
    <row r="575" spans="4:70" x14ac:dyDescent="0.25">
      <c r="D575" s="538"/>
      <c r="G575" s="538"/>
      <c r="J575" s="538"/>
      <c r="M575" s="538"/>
      <c r="R575" s="538"/>
      <c r="S575" s="343"/>
      <c r="T575" s="343"/>
      <c r="U575" s="538"/>
      <c r="V575" s="343"/>
      <c r="W575" s="343"/>
      <c r="X575" s="538"/>
      <c r="Y575" s="343"/>
      <c r="Z575" s="343"/>
      <c r="AA575" s="538"/>
      <c r="AB575" s="343"/>
      <c r="AC575" s="343"/>
      <c r="AE575" s="343"/>
      <c r="AF575" s="538"/>
      <c r="AG575" s="343"/>
      <c r="AH575" s="343"/>
      <c r="AI575" s="538"/>
      <c r="AJ575" s="343"/>
      <c r="AK575" s="343"/>
      <c r="AL575" s="538"/>
      <c r="AM575" s="343"/>
      <c r="AN575" s="343"/>
      <c r="AO575" s="538"/>
      <c r="AP575" s="343"/>
      <c r="AQ575" s="343"/>
      <c r="AS575" s="343"/>
      <c r="AT575" s="538"/>
      <c r="AU575" s="343"/>
      <c r="AV575" s="343"/>
      <c r="AW575" s="538"/>
      <c r="AX575" s="343"/>
      <c r="AY575" s="343"/>
      <c r="AZ575" s="538"/>
      <c r="BA575" s="343"/>
      <c r="BB575" s="343"/>
      <c r="BC575" s="538"/>
      <c r="BD575" s="343"/>
      <c r="BE575" s="343"/>
      <c r="BG575" s="644"/>
      <c r="BH575" s="515"/>
      <c r="BI575" s="515"/>
      <c r="BJ575" s="644"/>
      <c r="BK575" s="515"/>
      <c r="BL575" s="515"/>
      <c r="BM575" s="644"/>
      <c r="BN575" s="515"/>
      <c r="BO575" s="515"/>
      <c r="BP575" s="644"/>
      <c r="BQ575" s="515"/>
      <c r="BR575" s="515"/>
    </row>
    <row r="576" spans="4:70" x14ac:dyDescent="0.25">
      <c r="D576" s="538"/>
      <c r="G576" s="538"/>
      <c r="J576" s="538"/>
      <c r="M576" s="538"/>
      <c r="R576" s="538"/>
      <c r="S576" s="343"/>
      <c r="T576" s="343"/>
      <c r="U576" s="538"/>
      <c r="V576" s="343"/>
      <c r="W576" s="343"/>
      <c r="X576" s="538"/>
      <c r="Y576" s="343"/>
      <c r="Z576" s="343"/>
      <c r="AA576" s="538"/>
      <c r="AB576" s="343"/>
      <c r="AC576" s="343"/>
      <c r="AE576" s="343"/>
      <c r="AF576" s="538"/>
      <c r="AG576" s="343"/>
      <c r="AH576" s="343"/>
      <c r="AI576" s="538"/>
      <c r="AJ576" s="343"/>
      <c r="AK576" s="343"/>
      <c r="AL576" s="538"/>
      <c r="AM576" s="343"/>
      <c r="AN576" s="343"/>
      <c r="AO576" s="538"/>
      <c r="AP576" s="343"/>
      <c r="AQ576" s="343"/>
      <c r="AS576" s="343"/>
      <c r="AT576" s="538"/>
      <c r="AU576" s="343"/>
      <c r="AV576" s="343"/>
      <c r="AW576" s="538"/>
      <c r="AX576" s="343"/>
      <c r="AY576" s="343"/>
      <c r="AZ576" s="538"/>
      <c r="BA576" s="343"/>
      <c r="BB576" s="343"/>
      <c r="BC576" s="538"/>
      <c r="BD576" s="343"/>
      <c r="BE576" s="343"/>
      <c r="BG576" s="644"/>
      <c r="BH576" s="515"/>
      <c r="BI576" s="515"/>
      <c r="BJ576" s="644"/>
      <c r="BK576" s="515"/>
      <c r="BL576" s="515"/>
      <c r="BM576" s="644"/>
      <c r="BN576" s="515"/>
      <c r="BO576" s="515"/>
      <c r="BP576" s="644"/>
      <c r="BQ576" s="515"/>
      <c r="BR576" s="515"/>
    </row>
    <row r="577" spans="4:70" x14ac:dyDescent="0.25">
      <c r="D577" s="538"/>
      <c r="G577" s="538"/>
      <c r="J577" s="538"/>
      <c r="M577" s="538"/>
      <c r="R577" s="538"/>
      <c r="S577" s="343"/>
      <c r="T577" s="343"/>
      <c r="U577" s="538"/>
      <c r="V577" s="343"/>
      <c r="W577" s="343"/>
      <c r="X577" s="538"/>
      <c r="Y577" s="343"/>
      <c r="Z577" s="343"/>
      <c r="AA577" s="538"/>
      <c r="AB577" s="343"/>
      <c r="AC577" s="343"/>
      <c r="AE577" s="343"/>
      <c r="AF577" s="538"/>
      <c r="AG577" s="343"/>
      <c r="AH577" s="343"/>
      <c r="AI577" s="538"/>
      <c r="AJ577" s="343"/>
      <c r="AK577" s="343"/>
      <c r="AL577" s="538"/>
      <c r="AM577" s="343"/>
      <c r="AN577" s="343"/>
      <c r="AO577" s="538"/>
      <c r="AP577" s="343"/>
      <c r="AQ577" s="343"/>
      <c r="AS577" s="343"/>
      <c r="AT577" s="538"/>
      <c r="AU577" s="343"/>
      <c r="AV577" s="343"/>
      <c r="AW577" s="538"/>
      <c r="AX577" s="343"/>
      <c r="AY577" s="343"/>
      <c r="AZ577" s="538"/>
      <c r="BA577" s="343"/>
      <c r="BB577" s="343"/>
      <c r="BC577" s="538"/>
      <c r="BD577" s="343"/>
      <c r="BE577" s="343"/>
      <c r="BG577" s="644"/>
      <c r="BH577" s="515"/>
      <c r="BI577" s="515"/>
      <c r="BJ577" s="644"/>
      <c r="BK577" s="515"/>
      <c r="BL577" s="515"/>
      <c r="BM577" s="644"/>
      <c r="BN577" s="515"/>
      <c r="BO577" s="515"/>
      <c r="BP577" s="644"/>
      <c r="BQ577" s="515"/>
      <c r="BR577" s="515"/>
    </row>
    <row r="578" spans="4:70" x14ac:dyDescent="0.25">
      <c r="D578" s="538"/>
      <c r="G578" s="538"/>
      <c r="J578" s="538"/>
      <c r="M578" s="538"/>
      <c r="R578" s="538"/>
      <c r="S578" s="343"/>
      <c r="T578" s="343"/>
      <c r="U578" s="538"/>
      <c r="V578" s="343"/>
      <c r="W578" s="343"/>
      <c r="X578" s="538"/>
      <c r="Y578" s="343"/>
      <c r="Z578" s="343"/>
      <c r="AA578" s="538"/>
      <c r="AB578" s="343"/>
      <c r="AC578" s="343"/>
      <c r="AE578" s="343"/>
      <c r="AF578" s="538"/>
      <c r="AG578" s="343"/>
      <c r="AH578" s="343"/>
      <c r="AI578" s="538"/>
      <c r="AJ578" s="343"/>
      <c r="AK578" s="343"/>
      <c r="AL578" s="538"/>
      <c r="AM578" s="343"/>
      <c r="AN578" s="343"/>
      <c r="AO578" s="538"/>
      <c r="AP578" s="343"/>
      <c r="AQ578" s="343"/>
      <c r="AS578" s="343"/>
      <c r="AT578" s="538"/>
      <c r="AU578" s="343"/>
      <c r="AV578" s="343"/>
      <c r="AW578" s="538"/>
      <c r="AX578" s="343"/>
      <c r="AY578" s="343"/>
      <c r="AZ578" s="538"/>
      <c r="BA578" s="343"/>
      <c r="BB578" s="343"/>
      <c r="BC578" s="538"/>
      <c r="BD578" s="343"/>
      <c r="BE578" s="343"/>
      <c r="BG578" s="644"/>
      <c r="BH578" s="515"/>
      <c r="BI578" s="515"/>
      <c r="BJ578" s="644"/>
      <c r="BK578" s="515"/>
      <c r="BL578" s="515"/>
      <c r="BM578" s="644"/>
      <c r="BN578" s="515"/>
      <c r="BO578" s="515"/>
      <c r="BP578" s="644"/>
      <c r="BQ578" s="515"/>
      <c r="BR578" s="515"/>
    </row>
    <row r="579" spans="4:70" x14ac:dyDescent="0.25">
      <c r="D579" s="538"/>
      <c r="G579" s="538"/>
      <c r="J579" s="538"/>
      <c r="M579" s="538"/>
      <c r="R579" s="538"/>
      <c r="S579" s="343"/>
      <c r="T579" s="343"/>
      <c r="U579" s="538"/>
      <c r="V579" s="343"/>
      <c r="W579" s="343"/>
      <c r="X579" s="538"/>
      <c r="Y579" s="343"/>
      <c r="Z579" s="343"/>
      <c r="AA579" s="538"/>
      <c r="AB579" s="343"/>
      <c r="AC579" s="343"/>
      <c r="AE579" s="343"/>
      <c r="AF579" s="538"/>
      <c r="AG579" s="343"/>
      <c r="AH579" s="343"/>
      <c r="AI579" s="538"/>
      <c r="AJ579" s="343"/>
      <c r="AK579" s="343"/>
      <c r="AL579" s="538"/>
      <c r="AM579" s="343"/>
      <c r="AN579" s="343"/>
      <c r="AO579" s="538"/>
      <c r="AP579" s="343"/>
      <c r="AQ579" s="343"/>
      <c r="AS579" s="343"/>
      <c r="AT579" s="538"/>
      <c r="AU579" s="343"/>
      <c r="AV579" s="343"/>
      <c r="AW579" s="538"/>
      <c r="AX579" s="343"/>
      <c r="AY579" s="343"/>
      <c r="AZ579" s="538"/>
      <c r="BA579" s="343"/>
      <c r="BB579" s="343"/>
      <c r="BC579" s="538"/>
      <c r="BD579" s="343"/>
      <c r="BE579" s="343"/>
      <c r="BG579" s="644"/>
      <c r="BH579" s="515"/>
      <c r="BI579" s="515"/>
      <c r="BJ579" s="644"/>
      <c r="BK579" s="515"/>
      <c r="BL579" s="515"/>
      <c r="BM579" s="644"/>
      <c r="BN579" s="515"/>
      <c r="BO579" s="515"/>
      <c r="BP579" s="644"/>
      <c r="BQ579" s="515"/>
      <c r="BR579" s="515"/>
    </row>
    <row r="580" spans="4:70" x14ac:dyDescent="0.25">
      <c r="D580" s="538"/>
      <c r="G580" s="538"/>
      <c r="J580" s="538"/>
      <c r="M580" s="538"/>
      <c r="R580" s="538"/>
      <c r="S580" s="343"/>
      <c r="T580" s="343"/>
      <c r="U580" s="538"/>
      <c r="V580" s="343"/>
      <c r="W580" s="343"/>
      <c r="X580" s="538"/>
      <c r="Y580" s="343"/>
      <c r="Z580" s="343"/>
      <c r="AA580" s="538"/>
      <c r="AB580" s="343"/>
      <c r="AC580" s="343"/>
      <c r="AE580" s="343"/>
      <c r="AF580" s="538"/>
      <c r="AG580" s="343"/>
      <c r="AH580" s="343"/>
      <c r="AI580" s="538"/>
      <c r="AJ580" s="343"/>
      <c r="AK580" s="343"/>
      <c r="AL580" s="538"/>
      <c r="AM580" s="343"/>
      <c r="AN580" s="343"/>
      <c r="AO580" s="538"/>
      <c r="AP580" s="343"/>
      <c r="AQ580" s="343"/>
      <c r="AS580" s="343"/>
      <c r="AT580" s="538"/>
      <c r="AU580" s="343"/>
      <c r="AV580" s="343"/>
      <c r="AW580" s="538"/>
      <c r="AX580" s="343"/>
      <c r="AY580" s="343"/>
      <c r="AZ580" s="538"/>
      <c r="BA580" s="343"/>
      <c r="BB580" s="343"/>
      <c r="BC580" s="538"/>
      <c r="BD580" s="343"/>
      <c r="BE580" s="343"/>
      <c r="BG580" s="644"/>
      <c r="BH580" s="515"/>
      <c r="BI580" s="515"/>
      <c r="BJ580" s="644"/>
      <c r="BK580" s="515"/>
      <c r="BL580" s="515"/>
      <c r="BM580" s="644"/>
      <c r="BN580" s="515"/>
      <c r="BO580" s="515"/>
      <c r="BP580" s="644"/>
      <c r="BQ580" s="515"/>
      <c r="BR580" s="515"/>
    </row>
    <row r="581" spans="4:70" x14ac:dyDescent="0.25">
      <c r="D581" s="538"/>
      <c r="G581" s="538"/>
      <c r="J581" s="538"/>
      <c r="M581" s="538"/>
      <c r="R581" s="538"/>
      <c r="S581" s="343"/>
      <c r="T581" s="343"/>
      <c r="U581" s="538"/>
      <c r="V581" s="343"/>
      <c r="W581" s="343"/>
      <c r="X581" s="538"/>
      <c r="Y581" s="343"/>
      <c r="Z581" s="343"/>
      <c r="AA581" s="538"/>
      <c r="AB581" s="343"/>
      <c r="AC581" s="343"/>
      <c r="AE581" s="343"/>
      <c r="AF581" s="538"/>
      <c r="AG581" s="343"/>
      <c r="AH581" s="343"/>
      <c r="AI581" s="538"/>
      <c r="AJ581" s="343"/>
      <c r="AK581" s="343"/>
      <c r="AL581" s="538"/>
      <c r="AM581" s="343"/>
      <c r="AN581" s="343"/>
      <c r="AO581" s="538"/>
      <c r="AP581" s="343"/>
      <c r="AQ581" s="343"/>
      <c r="AS581" s="343"/>
      <c r="AT581" s="538"/>
      <c r="AU581" s="343"/>
      <c r="AV581" s="343"/>
      <c r="AW581" s="538"/>
      <c r="AX581" s="343"/>
      <c r="AY581" s="343"/>
      <c r="AZ581" s="538"/>
      <c r="BA581" s="343"/>
      <c r="BB581" s="343"/>
      <c r="BC581" s="538"/>
      <c r="BD581" s="343"/>
      <c r="BE581" s="343"/>
      <c r="BG581" s="644"/>
      <c r="BH581" s="515"/>
      <c r="BI581" s="515"/>
      <c r="BJ581" s="644"/>
      <c r="BK581" s="515"/>
      <c r="BL581" s="515"/>
      <c r="BM581" s="644"/>
      <c r="BN581" s="515"/>
      <c r="BO581" s="515"/>
      <c r="BP581" s="644"/>
      <c r="BQ581" s="515"/>
      <c r="BR581" s="515"/>
    </row>
    <row r="582" spans="4:70" x14ac:dyDescent="0.25">
      <c r="D582" s="538"/>
      <c r="G582" s="538"/>
      <c r="J582" s="538"/>
      <c r="M582" s="538"/>
      <c r="R582" s="538"/>
      <c r="S582" s="343"/>
      <c r="T582" s="343"/>
      <c r="U582" s="538"/>
      <c r="V582" s="343"/>
      <c r="W582" s="343"/>
      <c r="X582" s="538"/>
      <c r="Y582" s="343"/>
      <c r="Z582" s="343"/>
      <c r="AA582" s="538"/>
      <c r="AB582" s="343"/>
      <c r="AC582" s="343"/>
      <c r="AE582" s="343"/>
      <c r="AF582" s="538"/>
      <c r="AG582" s="343"/>
      <c r="AH582" s="343"/>
      <c r="AI582" s="538"/>
      <c r="AJ582" s="343"/>
      <c r="AK582" s="343"/>
      <c r="AL582" s="538"/>
      <c r="AM582" s="343"/>
      <c r="AN582" s="343"/>
      <c r="AO582" s="538"/>
      <c r="AP582" s="343"/>
      <c r="AQ582" s="343"/>
      <c r="AS582" s="343"/>
      <c r="AT582" s="538"/>
      <c r="AU582" s="343"/>
      <c r="AV582" s="343"/>
      <c r="AW582" s="538"/>
      <c r="AX582" s="343"/>
      <c r="AY582" s="343"/>
      <c r="AZ582" s="538"/>
      <c r="BA582" s="343"/>
      <c r="BB582" s="343"/>
      <c r="BC582" s="538"/>
      <c r="BD582" s="343"/>
      <c r="BE582" s="343"/>
      <c r="BG582" s="644"/>
      <c r="BH582" s="515"/>
      <c r="BI582" s="515"/>
      <c r="BJ582" s="644"/>
      <c r="BK582" s="515"/>
      <c r="BL582" s="515"/>
      <c r="BM582" s="644"/>
      <c r="BN582" s="515"/>
      <c r="BO582" s="515"/>
      <c r="BP582" s="644"/>
      <c r="BQ582" s="515"/>
      <c r="BR582" s="515"/>
    </row>
    <row r="583" spans="4:70" x14ac:dyDescent="0.25">
      <c r="D583" s="538"/>
      <c r="G583" s="538"/>
      <c r="J583" s="538"/>
      <c r="M583" s="538"/>
      <c r="R583" s="538"/>
      <c r="S583" s="343"/>
      <c r="T583" s="343"/>
      <c r="U583" s="538"/>
      <c r="V583" s="343"/>
      <c r="W583" s="343"/>
      <c r="X583" s="538"/>
      <c r="Y583" s="343"/>
      <c r="Z583" s="343"/>
      <c r="AA583" s="538"/>
      <c r="AB583" s="343"/>
      <c r="AC583" s="343"/>
      <c r="AE583" s="343"/>
      <c r="AF583" s="538"/>
      <c r="AG583" s="343"/>
      <c r="AH583" s="343"/>
      <c r="AI583" s="538"/>
      <c r="AJ583" s="343"/>
      <c r="AK583" s="343"/>
      <c r="AL583" s="538"/>
      <c r="AM583" s="343"/>
      <c r="AN583" s="343"/>
      <c r="AO583" s="538"/>
      <c r="AP583" s="343"/>
      <c r="AQ583" s="343"/>
      <c r="AS583" s="343"/>
      <c r="AT583" s="538"/>
      <c r="AU583" s="343"/>
      <c r="AV583" s="343"/>
      <c r="AW583" s="538"/>
      <c r="AX583" s="343"/>
      <c r="AY583" s="343"/>
      <c r="AZ583" s="538"/>
      <c r="BA583" s="343"/>
      <c r="BB583" s="343"/>
      <c r="BC583" s="538"/>
      <c r="BD583" s="343"/>
      <c r="BE583" s="343"/>
      <c r="BG583" s="644"/>
      <c r="BH583" s="515"/>
      <c r="BI583" s="515"/>
      <c r="BJ583" s="644"/>
      <c r="BK583" s="515"/>
      <c r="BL583" s="515"/>
      <c r="BM583" s="644"/>
      <c r="BN583" s="515"/>
      <c r="BO583" s="515"/>
      <c r="BP583" s="644"/>
      <c r="BQ583" s="515"/>
      <c r="BR583" s="515"/>
    </row>
    <row r="584" spans="4:70" x14ac:dyDescent="0.25">
      <c r="D584" s="538"/>
      <c r="G584" s="538"/>
      <c r="J584" s="538"/>
      <c r="M584" s="538"/>
      <c r="R584" s="538"/>
      <c r="S584" s="343"/>
      <c r="T584" s="343"/>
      <c r="U584" s="538"/>
      <c r="V584" s="343"/>
      <c r="W584" s="343"/>
      <c r="X584" s="538"/>
      <c r="Y584" s="343"/>
      <c r="Z584" s="343"/>
      <c r="AA584" s="538"/>
      <c r="AB584" s="343"/>
      <c r="AC584" s="343"/>
      <c r="AE584" s="343"/>
      <c r="AF584" s="538"/>
      <c r="AG584" s="343"/>
      <c r="AH584" s="343"/>
      <c r="AI584" s="538"/>
      <c r="AJ584" s="343"/>
      <c r="AK584" s="343"/>
      <c r="AL584" s="538"/>
      <c r="AM584" s="343"/>
      <c r="AN584" s="343"/>
      <c r="AO584" s="538"/>
      <c r="AP584" s="343"/>
      <c r="AQ584" s="343"/>
      <c r="AS584" s="343"/>
      <c r="AT584" s="538"/>
      <c r="AU584" s="343"/>
      <c r="AV584" s="343"/>
      <c r="AW584" s="538"/>
      <c r="AX584" s="343"/>
      <c r="AY584" s="343"/>
      <c r="AZ584" s="538"/>
      <c r="BA584" s="343"/>
      <c r="BB584" s="343"/>
      <c r="BC584" s="538"/>
      <c r="BD584" s="343"/>
      <c r="BE584" s="343"/>
      <c r="BG584" s="644"/>
      <c r="BH584" s="515"/>
      <c r="BI584" s="515"/>
      <c r="BJ584" s="644"/>
      <c r="BK584" s="515"/>
      <c r="BL584" s="515"/>
      <c r="BM584" s="644"/>
      <c r="BN584" s="515"/>
      <c r="BO584" s="515"/>
      <c r="BP584" s="644"/>
      <c r="BQ584" s="515"/>
      <c r="BR584" s="515"/>
    </row>
    <row r="585" spans="4:70" x14ac:dyDescent="0.25">
      <c r="D585" s="538"/>
      <c r="G585" s="538"/>
      <c r="J585" s="538"/>
      <c r="M585" s="538"/>
      <c r="R585" s="538"/>
      <c r="S585" s="343"/>
      <c r="T585" s="343"/>
      <c r="U585" s="538"/>
      <c r="V585" s="343"/>
      <c r="W585" s="343"/>
      <c r="X585" s="538"/>
      <c r="Y585" s="343"/>
      <c r="Z585" s="343"/>
      <c r="AA585" s="538"/>
      <c r="AB585" s="343"/>
      <c r="AC585" s="343"/>
      <c r="AE585" s="343"/>
      <c r="AF585" s="538"/>
      <c r="AG585" s="343"/>
      <c r="AH585" s="343"/>
      <c r="AI585" s="538"/>
      <c r="AJ585" s="343"/>
      <c r="AK585" s="343"/>
      <c r="AL585" s="538"/>
      <c r="AM585" s="343"/>
      <c r="AN585" s="343"/>
      <c r="AO585" s="538"/>
      <c r="AP585" s="343"/>
      <c r="AQ585" s="343"/>
      <c r="AS585" s="343"/>
      <c r="AT585" s="538"/>
      <c r="AU585" s="343"/>
      <c r="AV585" s="343"/>
      <c r="AW585" s="538"/>
      <c r="AX585" s="343"/>
      <c r="AY585" s="343"/>
      <c r="AZ585" s="538"/>
      <c r="BA585" s="343"/>
      <c r="BB585" s="343"/>
      <c r="BC585" s="538"/>
      <c r="BD585" s="343"/>
      <c r="BE585" s="343"/>
      <c r="BG585" s="644"/>
      <c r="BH585" s="515"/>
      <c r="BI585" s="515"/>
      <c r="BJ585" s="644"/>
      <c r="BK585" s="515"/>
      <c r="BL585" s="515"/>
      <c r="BM585" s="644"/>
      <c r="BN585" s="515"/>
      <c r="BO585" s="515"/>
      <c r="BP585" s="644"/>
      <c r="BQ585" s="515"/>
      <c r="BR585" s="515"/>
    </row>
    <row r="586" spans="4:70" x14ac:dyDescent="0.25">
      <c r="D586" s="538"/>
      <c r="G586" s="538"/>
      <c r="J586" s="538"/>
      <c r="M586" s="538"/>
      <c r="R586" s="538"/>
      <c r="S586" s="343"/>
      <c r="T586" s="343"/>
      <c r="U586" s="538"/>
      <c r="V586" s="343"/>
      <c r="W586" s="343"/>
      <c r="X586" s="538"/>
      <c r="Y586" s="343"/>
      <c r="Z586" s="343"/>
      <c r="AA586" s="538"/>
      <c r="AB586" s="343"/>
      <c r="AC586" s="343"/>
      <c r="AE586" s="343"/>
      <c r="AF586" s="538"/>
      <c r="AG586" s="343"/>
      <c r="AH586" s="343"/>
      <c r="AI586" s="538"/>
      <c r="AJ586" s="343"/>
      <c r="AK586" s="343"/>
      <c r="AL586" s="538"/>
      <c r="AM586" s="343"/>
      <c r="AN586" s="343"/>
      <c r="AO586" s="538"/>
      <c r="AP586" s="343"/>
      <c r="AQ586" s="343"/>
      <c r="AS586" s="343"/>
      <c r="AT586" s="538"/>
      <c r="AU586" s="343"/>
      <c r="AV586" s="343"/>
      <c r="AW586" s="538"/>
      <c r="AX586" s="343"/>
      <c r="AY586" s="343"/>
      <c r="AZ586" s="538"/>
      <c r="BA586" s="343"/>
      <c r="BB586" s="343"/>
      <c r="BC586" s="538"/>
      <c r="BD586" s="343"/>
      <c r="BE586" s="343"/>
      <c r="BG586" s="644"/>
      <c r="BH586" s="515"/>
      <c r="BI586" s="515"/>
      <c r="BJ586" s="644"/>
      <c r="BK586" s="515"/>
      <c r="BL586" s="515"/>
      <c r="BM586" s="644"/>
      <c r="BN586" s="515"/>
      <c r="BO586" s="515"/>
      <c r="BP586" s="644"/>
      <c r="BQ586" s="515"/>
      <c r="BR586" s="515"/>
    </row>
    <row r="587" spans="4:70" x14ac:dyDescent="0.25">
      <c r="D587" s="538"/>
      <c r="G587" s="538"/>
      <c r="J587" s="538"/>
      <c r="M587" s="538"/>
      <c r="R587" s="538"/>
      <c r="S587" s="343"/>
      <c r="T587" s="343"/>
      <c r="U587" s="538"/>
      <c r="V587" s="343"/>
      <c r="W587" s="343"/>
      <c r="X587" s="538"/>
      <c r="Y587" s="343"/>
      <c r="Z587" s="343"/>
      <c r="AA587" s="538"/>
      <c r="AB587" s="343"/>
      <c r="AC587" s="343"/>
      <c r="AE587" s="343"/>
      <c r="AF587" s="538"/>
      <c r="AG587" s="343"/>
      <c r="AH587" s="343"/>
      <c r="AI587" s="538"/>
      <c r="AJ587" s="343"/>
      <c r="AK587" s="343"/>
      <c r="AL587" s="538"/>
      <c r="AM587" s="343"/>
      <c r="AN587" s="343"/>
      <c r="AO587" s="538"/>
      <c r="AP587" s="343"/>
      <c r="AQ587" s="343"/>
      <c r="AS587" s="343"/>
      <c r="AT587" s="538"/>
      <c r="AU587" s="343"/>
      <c r="AV587" s="343"/>
      <c r="AW587" s="538"/>
      <c r="AX587" s="343"/>
      <c r="AY587" s="343"/>
      <c r="AZ587" s="538"/>
      <c r="BA587" s="343"/>
      <c r="BB587" s="343"/>
      <c r="BC587" s="538"/>
      <c r="BD587" s="343"/>
      <c r="BE587" s="343"/>
      <c r="BG587" s="644"/>
      <c r="BH587" s="515"/>
      <c r="BI587" s="515"/>
      <c r="BJ587" s="644"/>
      <c r="BK587" s="515"/>
      <c r="BL587" s="515"/>
      <c r="BM587" s="644"/>
      <c r="BN587" s="515"/>
      <c r="BO587" s="515"/>
      <c r="BP587" s="644"/>
      <c r="BQ587" s="515"/>
      <c r="BR587" s="515"/>
    </row>
    <row r="588" spans="4:70" x14ac:dyDescent="0.25">
      <c r="D588" s="538"/>
      <c r="G588" s="538"/>
      <c r="J588" s="538"/>
      <c r="M588" s="538"/>
      <c r="R588" s="538"/>
      <c r="S588" s="343"/>
      <c r="T588" s="343"/>
      <c r="U588" s="538"/>
      <c r="V588" s="343"/>
      <c r="W588" s="343"/>
      <c r="X588" s="538"/>
      <c r="Y588" s="343"/>
      <c r="Z588" s="343"/>
      <c r="AA588" s="538"/>
      <c r="AB588" s="343"/>
      <c r="AC588" s="343"/>
      <c r="AE588" s="343"/>
      <c r="AF588" s="538"/>
      <c r="AG588" s="343"/>
      <c r="AH588" s="343"/>
      <c r="AI588" s="538"/>
      <c r="AJ588" s="343"/>
      <c r="AK588" s="343"/>
      <c r="AL588" s="538"/>
      <c r="AM588" s="343"/>
      <c r="AN588" s="343"/>
      <c r="AO588" s="538"/>
      <c r="AP588" s="343"/>
      <c r="AQ588" s="343"/>
      <c r="AS588" s="343"/>
      <c r="AT588" s="538"/>
      <c r="AU588" s="343"/>
      <c r="AV588" s="343"/>
      <c r="AW588" s="538"/>
      <c r="AX588" s="343"/>
      <c r="AY588" s="343"/>
      <c r="AZ588" s="538"/>
      <c r="BA588" s="343"/>
      <c r="BB588" s="343"/>
      <c r="BC588" s="538"/>
      <c r="BD588" s="343"/>
      <c r="BE588" s="343"/>
      <c r="BG588" s="644"/>
      <c r="BH588" s="515"/>
      <c r="BI588" s="515"/>
      <c r="BJ588" s="644"/>
      <c r="BK588" s="515"/>
      <c r="BL588" s="515"/>
      <c r="BM588" s="644"/>
      <c r="BN588" s="515"/>
      <c r="BO588" s="515"/>
      <c r="BP588" s="644"/>
      <c r="BQ588" s="515"/>
      <c r="BR588" s="515"/>
    </row>
    <row r="589" spans="4:70" x14ac:dyDescent="0.25">
      <c r="D589" s="538"/>
      <c r="G589" s="538"/>
      <c r="J589" s="538"/>
      <c r="M589" s="538"/>
      <c r="R589" s="538"/>
      <c r="S589" s="343"/>
      <c r="T589" s="343"/>
      <c r="U589" s="538"/>
      <c r="V589" s="343"/>
      <c r="W589" s="343"/>
      <c r="X589" s="538"/>
      <c r="Y589" s="343"/>
      <c r="Z589" s="343"/>
      <c r="AA589" s="538"/>
      <c r="AB589" s="343"/>
      <c r="AC589" s="343"/>
      <c r="AE589" s="343"/>
      <c r="AF589" s="538"/>
      <c r="AG589" s="343"/>
      <c r="AH589" s="343"/>
      <c r="AI589" s="538"/>
      <c r="AJ589" s="343"/>
      <c r="AK589" s="343"/>
      <c r="AL589" s="538"/>
      <c r="AM589" s="343"/>
      <c r="AN589" s="343"/>
      <c r="AO589" s="538"/>
      <c r="AP589" s="343"/>
      <c r="AQ589" s="343"/>
      <c r="AS589" s="343"/>
      <c r="AT589" s="538"/>
      <c r="AU589" s="343"/>
      <c r="AV589" s="343"/>
      <c r="AW589" s="538"/>
      <c r="AX589" s="343"/>
      <c r="AY589" s="343"/>
      <c r="AZ589" s="538"/>
      <c r="BA589" s="343"/>
      <c r="BB589" s="343"/>
      <c r="BC589" s="538"/>
      <c r="BD589" s="343"/>
      <c r="BE589" s="343"/>
      <c r="BG589" s="644"/>
      <c r="BH589" s="515"/>
      <c r="BI589" s="515"/>
      <c r="BJ589" s="644"/>
      <c r="BK589" s="515"/>
      <c r="BL589" s="515"/>
      <c r="BM589" s="644"/>
      <c r="BN589" s="515"/>
      <c r="BO589" s="515"/>
      <c r="BP589" s="644"/>
      <c r="BQ589" s="515"/>
      <c r="BR589" s="515"/>
    </row>
    <row r="590" spans="4:70" x14ac:dyDescent="0.25">
      <c r="D590" s="538"/>
      <c r="G590" s="538"/>
      <c r="J590" s="538"/>
      <c r="M590" s="538"/>
      <c r="R590" s="538"/>
      <c r="S590" s="343"/>
      <c r="T590" s="343"/>
      <c r="U590" s="538"/>
      <c r="V590" s="343"/>
      <c r="W590" s="343"/>
      <c r="X590" s="538"/>
      <c r="Y590" s="343"/>
      <c r="Z590" s="343"/>
      <c r="AA590" s="538"/>
      <c r="AB590" s="343"/>
      <c r="AC590" s="343"/>
      <c r="AE590" s="343"/>
      <c r="AF590" s="538"/>
      <c r="AG590" s="343"/>
      <c r="AH590" s="343"/>
      <c r="AI590" s="538"/>
      <c r="AJ590" s="343"/>
      <c r="AK590" s="343"/>
      <c r="AL590" s="538"/>
      <c r="AM590" s="343"/>
      <c r="AN590" s="343"/>
      <c r="AO590" s="538"/>
      <c r="AP590" s="343"/>
      <c r="AQ590" s="343"/>
      <c r="AS590" s="343"/>
      <c r="AT590" s="538"/>
      <c r="AU590" s="343"/>
      <c r="AV590" s="343"/>
      <c r="AW590" s="538"/>
      <c r="AX590" s="343"/>
      <c r="AY590" s="343"/>
      <c r="AZ590" s="538"/>
      <c r="BA590" s="343"/>
      <c r="BB590" s="343"/>
      <c r="BC590" s="538"/>
      <c r="BD590" s="343"/>
      <c r="BE590" s="343"/>
      <c r="BG590" s="644"/>
      <c r="BH590" s="515"/>
      <c r="BI590" s="515"/>
      <c r="BJ590" s="644"/>
      <c r="BK590" s="515"/>
      <c r="BL590" s="515"/>
      <c r="BM590" s="644"/>
      <c r="BN590" s="515"/>
      <c r="BO590" s="515"/>
      <c r="BP590" s="644"/>
      <c r="BQ590" s="515"/>
      <c r="BR590" s="515"/>
    </row>
    <row r="591" spans="4:70" x14ac:dyDescent="0.25">
      <c r="D591" s="538"/>
      <c r="G591" s="538"/>
      <c r="J591" s="538"/>
      <c r="M591" s="538"/>
      <c r="R591" s="538"/>
      <c r="S591" s="343"/>
      <c r="T591" s="343"/>
      <c r="U591" s="538"/>
      <c r="V591" s="343"/>
      <c r="W591" s="343"/>
      <c r="X591" s="538"/>
      <c r="Y591" s="343"/>
      <c r="Z591" s="343"/>
      <c r="AA591" s="538"/>
      <c r="AB591" s="343"/>
      <c r="AC591" s="343"/>
      <c r="AE591" s="343"/>
      <c r="AF591" s="538"/>
      <c r="AG591" s="343"/>
      <c r="AH591" s="343"/>
      <c r="AI591" s="538"/>
      <c r="AJ591" s="343"/>
      <c r="AK591" s="343"/>
      <c r="AL591" s="538"/>
      <c r="AM591" s="343"/>
      <c r="AN591" s="343"/>
      <c r="AO591" s="538"/>
      <c r="AP591" s="343"/>
      <c r="AQ591" s="343"/>
      <c r="AS591" s="343"/>
      <c r="AT591" s="538"/>
      <c r="AU591" s="343"/>
      <c r="AV591" s="343"/>
      <c r="AW591" s="538"/>
      <c r="AX591" s="343"/>
      <c r="AY591" s="343"/>
      <c r="AZ591" s="538"/>
      <c r="BA591" s="343"/>
      <c r="BB591" s="343"/>
      <c r="BC591" s="538"/>
      <c r="BD591" s="343"/>
      <c r="BE591" s="343"/>
      <c r="BG591" s="644"/>
      <c r="BH591" s="515"/>
      <c r="BI591" s="515"/>
      <c r="BJ591" s="644"/>
      <c r="BK591" s="515"/>
      <c r="BL591" s="515"/>
      <c r="BM591" s="644"/>
      <c r="BN591" s="515"/>
      <c r="BO591" s="515"/>
      <c r="BP591" s="644"/>
      <c r="BQ591" s="515"/>
      <c r="BR591" s="515"/>
    </row>
    <row r="592" spans="4:70" x14ac:dyDescent="0.25">
      <c r="D592" s="538"/>
      <c r="G592" s="538"/>
      <c r="J592" s="538"/>
      <c r="M592" s="538"/>
      <c r="R592" s="538"/>
      <c r="S592" s="343"/>
      <c r="T592" s="343"/>
      <c r="U592" s="538"/>
      <c r="V592" s="343"/>
      <c r="W592" s="343"/>
      <c r="X592" s="538"/>
      <c r="Y592" s="343"/>
      <c r="Z592" s="343"/>
      <c r="AA592" s="538"/>
      <c r="AB592" s="343"/>
      <c r="AC592" s="343"/>
      <c r="AE592" s="343"/>
      <c r="AF592" s="538"/>
      <c r="AG592" s="343"/>
      <c r="AH592" s="343"/>
      <c r="AI592" s="538"/>
      <c r="AJ592" s="343"/>
      <c r="AK592" s="343"/>
      <c r="AL592" s="538"/>
      <c r="AM592" s="343"/>
      <c r="AN592" s="343"/>
      <c r="AO592" s="538"/>
      <c r="AP592" s="343"/>
      <c r="AQ592" s="343"/>
      <c r="AS592" s="343"/>
      <c r="AT592" s="538"/>
      <c r="AU592" s="343"/>
      <c r="AV592" s="343"/>
      <c r="AW592" s="538"/>
      <c r="AX592" s="343"/>
      <c r="AY592" s="343"/>
      <c r="AZ592" s="538"/>
      <c r="BA592" s="343"/>
      <c r="BB592" s="343"/>
      <c r="BC592" s="538"/>
      <c r="BD592" s="343"/>
      <c r="BE592" s="343"/>
      <c r="BG592" s="644"/>
      <c r="BH592" s="515"/>
      <c r="BI592" s="515"/>
      <c r="BJ592" s="644"/>
      <c r="BK592" s="515"/>
      <c r="BL592" s="515"/>
      <c r="BM592" s="644"/>
      <c r="BN592" s="515"/>
      <c r="BO592" s="515"/>
      <c r="BP592" s="644"/>
      <c r="BQ592" s="515"/>
      <c r="BR592" s="515"/>
    </row>
    <row r="593" spans="4:70" x14ac:dyDescent="0.25">
      <c r="D593" s="538"/>
      <c r="G593" s="538"/>
      <c r="J593" s="538"/>
      <c r="M593" s="538"/>
      <c r="R593" s="538"/>
      <c r="S593" s="343"/>
      <c r="T593" s="343"/>
      <c r="U593" s="538"/>
      <c r="V593" s="343"/>
      <c r="W593" s="343"/>
      <c r="X593" s="538"/>
      <c r="Y593" s="343"/>
      <c r="Z593" s="343"/>
      <c r="AA593" s="538"/>
      <c r="AB593" s="343"/>
      <c r="AC593" s="343"/>
      <c r="AE593" s="343"/>
      <c r="AF593" s="538"/>
      <c r="AG593" s="343"/>
      <c r="AH593" s="343"/>
      <c r="AI593" s="538"/>
      <c r="AJ593" s="343"/>
      <c r="AK593" s="343"/>
      <c r="AL593" s="538"/>
      <c r="AM593" s="343"/>
      <c r="AN593" s="343"/>
      <c r="AO593" s="538"/>
      <c r="AP593" s="343"/>
      <c r="AQ593" s="343"/>
      <c r="AS593" s="343"/>
      <c r="AT593" s="538"/>
      <c r="AU593" s="343"/>
      <c r="AV593" s="343"/>
      <c r="AW593" s="538"/>
      <c r="AX593" s="343"/>
      <c r="AY593" s="343"/>
      <c r="AZ593" s="538"/>
      <c r="BA593" s="343"/>
      <c r="BB593" s="343"/>
      <c r="BC593" s="538"/>
      <c r="BD593" s="343"/>
      <c r="BE593" s="343"/>
      <c r="BG593" s="644"/>
      <c r="BH593" s="515"/>
      <c r="BI593" s="515"/>
      <c r="BJ593" s="644"/>
      <c r="BK593" s="515"/>
      <c r="BL593" s="515"/>
      <c r="BM593" s="644"/>
      <c r="BN593" s="515"/>
      <c r="BO593" s="515"/>
      <c r="BP593" s="644"/>
      <c r="BQ593" s="515"/>
      <c r="BR593" s="515"/>
    </row>
    <row r="594" spans="4:70" x14ac:dyDescent="0.25">
      <c r="D594" s="538"/>
      <c r="G594" s="538"/>
      <c r="J594" s="538"/>
      <c r="M594" s="538"/>
      <c r="R594" s="538"/>
      <c r="S594" s="343"/>
      <c r="T594" s="343"/>
      <c r="U594" s="538"/>
      <c r="V594" s="343"/>
      <c r="W594" s="343"/>
      <c r="X594" s="538"/>
      <c r="Y594" s="343"/>
      <c r="Z594" s="343"/>
      <c r="AA594" s="538"/>
      <c r="AB594" s="343"/>
      <c r="AC594" s="343"/>
      <c r="AE594" s="343"/>
      <c r="AF594" s="538"/>
      <c r="AG594" s="343"/>
      <c r="AH594" s="343"/>
      <c r="AI594" s="538"/>
      <c r="AJ594" s="343"/>
      <c r="AK594" s="343"/>
      <c r="AL594" s="538"/>
      <c r="AM594" s="343"/>
      <c r="AN594" s="343"/>
      <c r="AO594" s="538"/>
      <c r="AP594" s="343"/>
      <c r="AQ594" s="343"/>
      <c r="AS594" s="343"/>
      <c r="AT594" s="538"/>
      <c r="AU594" s="343"/>
      <c r="AV594" s="343"/>
      <c r="AW594" s="538"/>
      <c r="AX594" s="343"/>
      <c r="AY594" s="343"/>
      <c r="AZ594" s="538"/>
      <c r="BA594" s="343"/>
      <c r="BB594" s="343"/>
      <c r="BC594" s="538"/>
      <c r="BD594" s="343"/>
      <c r="BE594" s="343"/>
      <c r="BG594" s="644"/>
      <c r="BH594" s="515"/>
      <c r="BI594" s="515"/>
      <c r="BJ594" s="644"/>
      <c r="BK594" s="515"/>
      <c r="BL594" s="515"/>
      <c r="BM594" s="644"/>
      <c r="BN594" s="515"/>
      <c r="BO594" s="515"/>
      <c r="BP594" s="644"/>
      <c r="BQ594" s="515"/>
      <c r="BR594" s="515"/>
    </row>
    <row r="595" spans="4:70" x14ac:dyDescent="0.25">
      <c r="D595" s="538"/>
      <c r="G595" s="538"/>
      <c r="J595" s="538"/>
      <c r="M595" s="538"/>
      <c r="R595" s="538"/>
      <c r="S595" s="343"/>
      <c r="T595" s="343"/>
      <c r="U595" s="538"/>
      <c r="V595" s="343"/>
      <c r="W595" s="343"/>
      <c r="X595" s="538"/>
      <c r="Y595" s="343"/>
      <c r="Z595" s="343"/>
      <c r="AA595" s="538"/>
      <c r="AB595" s="343"/>
      <c r="AC595" s="343"/>
      <c r="AE595" s="343"/>
      <c r="AF595" s="538"/>
      <c r="AG595" s="343"/>
      <c r="AH595" s="343"/>
      <c r="AI595" s="538"/>
      <c r="AJ595" s="343"/>
      <c r="AK595" s="343"/>
      <c r="AL595" s="538"/>
      <c r="AM595" s="343"/>
      <c r="AN595" s="343"/>
      <c r="AO595" s="538"/>
      <c r="AP595" s="343"/>
      <c r="AQ595" s="343"/>
      <c r="AS595" s="343"/>
      <c r="AT595" s="538"/>
      <c r="AU595" s="343"/>
      <c r="AV595" s="343"/>
      <c r="AW595" s="538"/>
      <c r="AX595" s="343"/>
      <c r="AY595" s="343"/>
      <c r="AZ595" s="538"/>
      <c r="BA595" s="343"/>
      <c r="BB595" s="343"/>
      <c r="BC595" s="538"/>
      <c r="BD595" s="343"/>
      <c r="BE595" s="343"/>
      <c r="BG595" s="644"/>
      <c r="BH595" s="515"/>
      <c r="BI595" s="515"/>
      <c r="BJ595" s="644"/>
      <c r="BK595" s="515"/>
      <c r="BL595" s="515"/>
      <c r="BM595" s="644"/>
      <c r="BN595" s="515"/>
      <c r="BO595" s="515"/>
      <c r="BP595" s="644"/>
      <c r="BQ595" s="515"/>
      <c r="BR595" s="515"/>
    </row>
    <row r="596" spans="4:70" x14ac:dyDescent="0.25">
      <c r="D596" s="538"/>
      <c r="G596" s="538"/>
      <c r="J596" s="538"/>
      <c r="M596" s="538"/>
      <c r="R596" s="538"/>
      <c r="S596" s="343"/>
      <c r="T596" s="343"/>
      <c r="U596" s="538"/>
      <c r="V596" s="343"/>
      <c r="W596" s="343"/>
      <c r="X596" s="538"/>
      <c r="Y596" s="343"/>
      <c r="Z596" s="343"/>
      <c r="AA596" s="538"/>
      <c r="AB596" s="343"/>
      <c r="AC596" s="343"/>
      <c r="AE596" s="343"/>
      <c r="AF596" s="538"/>
      <c r="AG596" s="343"/>
      <c r="AH596" s="343"/>
      <c r="AI596" s="538"/>
      <c r="AJ596" s="343"/>
      <c r="AK596" s="343"/>
      <c r="AL596" s="538"/>
      <c r="AM596" s="343"/>
      <c r="AN596" s="343"/>
      <c r="AO596" s="538"/>
      <c r="AP596" s="343"/>
      <c r="AQ596" s="343"/>
      <c r="AS596" s="343"/>
      <c r="AT596" s="538"/>
      <c r="AU596" s="343"/>
      <c r="AV596" s="343"/>
      <c r="AW596" s="538"/>
      <c r="AX596" s="343"/>
      <c r="AY596" s="343"/>
      <c r="AZ596" s="538"/>
      <c r="BA596" s="343"/>
      <c r="BB596" s="343"/>
      <c r="BC596" s="538"/>
      <c r="BD596" s="343"/>
      <c r="BE596" s="343"/>
      <c r="BG596" s="644"/>
      <c r="BH596" s="515"/>
      <c r="BI596" s="515"/>
      <c r="BJ596" s="644"/>
      <c r="BK596" s="515"/>
      <c r="BL596" s="515"/>
      <c r="BM596" s="644"/>
      <c r="BN596" s="515"/>
      <c r="BO596" s="515"/>
      <c r="BP596" s="644"/>
      <c r="BQ596" s="515"/>
      <c r="BR596" s="515"/>
    </row>
    <row r="597" spans="4:70" x14ac:dyDescent="0.25">
      <c r="D597" s="538"/>
      <c r="G597" s="538"/>
      <c r="J597" s="538"/>
      <c r="M597" s="538"/>
      <c r="R597" s="538"/>
      <c r="S597" s="343"/>
      <c r="T597" s="343"/>
      <c r="U597" s="538"/>
      <c r="V597" s="343"/>
      <c r="W597" s="343"/>
      <c r="X597" s="538"/>
      <c r="Y597" s="343"/>
      <c r="Z597" s="343"/>
      <c r="AA597" s="538"/>
      <c r="AB597" s="343"/>
      <c r="AC597" s="343"/>
      <c r="AE597" s="343"/>
      <c r="AF597" s="538"/>
      <c r="AG597" s="343"/>
      <c r="AH597" s="343"/>
      <c r="AI597" s="538"/>
      <c r="AJ597" s="343"/>
      <c r="AK597" s="343"/>
      <c r="AL597" s="538"/>
      <c r="AM597" s="343"/>
      <c r="AN597" s="343"/>
      <c r="AO597" s="538"/>
      <c r="AP597" s="343"/>
      <c r="AQ597" s="343"/>
      <c r="AS597" s="343"/>
      <c r="AT597" s="538"/>
      <c r="AU597" s="343"/>
      <c r="AV597" s="343"/>
      <c r="AW597" s="538"/>
      <c r="AX597" s="343"/>
      <c r="AY597" s="343"/>
      <c r="AZ597" s="538"/>
      <c r="BA597" s="343"/>
      <c r="BB597" s="343"/>
      <c r="BC597" s="538"/>
      <c r="BD597" s="343"/>
      <c r="BE597" s="343"/>
      <c r="BG597" s="644"/>
      <c r="BH597" s="515"/>
      <c r="BI597" s="515"/>
      <c r="BJ597" s="644"/>
      <c r="BK597" s="515"/>
      <c r="BL597" s="515"/>
      <c r="BM597" s="644"/>
      <c r="BN597" s="515"/>
      <c r="BO597" s="515"/>
      <c r="BP597" s="644"/>
      <c r="BQ597" s="515"/>
      <c r="BR597" s="515"/>
    </row>
    <row r="598" spans="4:70" x14ac:dyDescent="0.25">
      <c r="D598" s="538"/>
      <c r="G598" s="538"/>
      <c r="J598" s="538"/>
      <c r="M598" s="538"/>
      <c r="R598" s="538"/>
      <c r="S598" s="343"/>
      <c r="T598" s="343"/>
      <c r="U598" s="538"/>
      <c r="V598" s="343"/>
      <c r="W598" s="343"/>
      <c r="X598" s="538"/>
      <c r="Y598" s="343"/>
      <c r="Z598" s="343"/>
      <c r="AA598" s="538"/>
      <c r="AB598" s="343"/>
      <c r="AC598" s="343"/>
      <c r="AE598" s="343"/>
      <c r="AF598" s="538"/>
      <c r="AG598" s="343"/>
      <c r="AH598" s="343"/>
      <c r="AI598" s="538"/>
      <c r="AJ598" s="343"/>
      <c r="AK598" s="343"/>
      <c r="AL598" s="538"/>
      <c r="AM598" s="343"/>
      <c r="AN598" s="343"/>
      <c r="AO598" s="538"/>
      <c r="AP598" s="343"/>
      <c r="AQ598" s="343"/>
      <c r="AS598" s="343"/>
      <c r="AT598" s="538"/>
      <c r="AU598" s="343"/>
      <c r="AV598" s="343"/>
      <c r="AW598" s="538"/>
      <c r="AX598" s="343"/>
      <c r="AY598" s="343"/>
      <c r="AZ598" s="538"/>
      <c r="BA598" s="343"/>
      <c r="BB598" s="343"/>
      <c r="BC598" s="538"/>
      <c r="BD598" s="343"/>
      <c r="BE598" s="343"/>
      <c r="BG598" s="644"/>
      <c r="BH598" s="515"/>
      <c r="BI598" s="515"/>
      <c r="BJ598" s="644"/>
      <c r="BK598" s="515"/>
      <c r="BL598" s="515"/>
      <c r="BM598" s="644"/>
      <c r="BN598" s="515"/>
      <c r="BO598" s="515"/>
      <c r="BP598" s="644"/>
      <c r="BQ598" s="515"/>
      <c r="BR598" s="515"/>
    </row>
    <row r="599" spans="4:70" x14ac:dyDescent="0.25">
      <c r="D599" s="538"/>
      <c r="G599" s="538"/>
      <c r="J599" s="538"/>
      <c r="M599" s="538"/>
      <c r="R599" s="538"/>
      <c r="S599" s="343"/>
      <c r="T599" s="343"/>
      <c r="U599" s="538"/>
      <c r="V599" s="343"/>
      <c r="W599" s="343"/>
      <c r="X599" s="538"/>
      <c r="Y599" s="343"/>
      <c r="Z599" s="343"/>
      <c r="AA599" s="538"/>
      <c r="AB599" s="343"/>
      <c r="AC599" s="343"/>
      <c r="AE599" s="343"/>
      <c r="AF599" s="538"/>
      <c r="AG599" s="343"/>
      <c r="AH599" s="343"/>
      <c r="AI599" s="538"/>
      <c r="AJ599" s="343"/>
      <c r="AK599" s="343"/>
      <c r="AL599" s="538"/>
      <c r="AM599" s="343"/>
      <c r="AN599" s="343"/>
      <c r="AO599" s="538"/>
      <c r="AP599" s="343"/>
      <c r="AQ599" s="343"/>
      <c r="AS599" s="343"/>
      <c r="AT599" s="538"/>
      <c r="AU599" s="343"/>
      <c r="AV599" s="343"/>
      <c r="AW599" s="538"/>
      <c r="AX599" s="343"/>
      <c r="AY599" s="343"/>
      <c r="AZ599" s="538"/>
      <c r="BA599" s="343"/>
      <c r="BB599" s="343"/>
      <c r="BC599" s="538"/>
      <c r="BD599" s="343"/>
      <c r="BE599" s="343"/>
      <c r="BG599" s="644"/>
      <c r="BH599" s="515"/>
      <c r="BI599" s="515"/>
      <c r="BJ599" s="644"/>
      <c r="BK599" s="515"/>
      <c r="BL599" s="515"/>
      <c r="BM599" s="644"/>
      <c r="BN599" s="515"/>
      <c r="BO599" s="515"/>
      <c r="BP599" s="644"/>
      <c r="BQ599" s="515"/>
      <c r="BR599" s="515"/>
    </row>
    <row r="600" spans="4:70" x14ac:dyDescent="0.25">
      <c r="D600" s="538"/>
      <c r="G600" s="538"/>
      <c r="J600" s="538"/>
      <c r="M600" s="538"/>
      <c r="R600" s="538"/>
      <c r="S600" s="343"/>
      <c r="T600" s="343"/>
      <c r="U600" s="538"/>
      <c r="V600" s="343"/>
      <c r="W600" s="343"/>
      <c r="X600" s="538"/>
      <c r="Y600" s="343"/>
      <c r="Z600" s="343"/>
      <c r="AA600" s="538"/>
      <c r="AB600" s="343"/>
      <c r="AC600" s="343"/>
      <c r="AE600" s="343"/>
      <c r="AF600" s="538"/>
      <c r="AG600" s="343"/>
      <c r="AH600" s="343"/>
      <c r="AI600" s="538"/>
      <c r="AJ600" s="343"/>
      <c r="AK600" s="343"/>
      <c r="AL600" s="538"/>
      <c r="AM600" s="343"/>
      <c r="AN600" s="343"/>
      <c r="AO600" s="538"/>
      <c r="AP600" s="343"/>
      <c r="AQ600" s="343"/>
      <c r="AS600" s="343"/>
      <c r="AT600" s="538"/>
      <c r="AU600" s="343"/>
      <c r="AV600" s="343"/>
      <c r="AW600" s="538"/>
      <c r="AX600" s="343"/>
      <c r="AY600" s="343"/>
      <c r="AZ600" s="538"/>
      <c r="BA600" s="343"/>
      <c r="BB600" s="343"/>
      <c r="BC600" s="538"/>
      <c r="BD600" s="343"/>
      <c r="BE600" s="343"/>
      <c r="BG600" s="644"/>
      <c r="BH600" s="515"/>
      <c r="BI600" s="515"/>
      <c r="BJ600" s="644"/>
      <c r="BK600" s="515"/>
      <c r="BL600" s="515"/>
      <c r="BM600" s="644"/>
      <c r="BN600" s="515"/>
      <c r="BO600" s="515"/>
      <c r="BP600" s="644"/>
      <c r="BQ600" s="515"/>
      <c r="BR600" s="515"/>
    </row>
    <row r="601" spans="4:70" x14ac:dyDescent="0.25">
      <c r="D601" s="538"/>
      <c r="G601" s="538"/>
      <c r="J601" s="538"/>
      <c r="M601" s="538"/>
      <c r="R601" s="538"/>
      <c r="S601" s="343"/>
      <c r="T601" s="343"/>
      <c r="U601" s="538"/>
      <c r="V601" s="343"/>
      <c r="W601" s="343"/>
      <c r="X601" s="538"/>
      <c r="Y601" s="343"/>
      <c r="Z601" s="343"/>
      <c r="AA601" s="538"/>
      <c r="AB601" s="343"/>
      <c r="AC601" s="343"/>
      <c r="AE601" s="343"/>
      <c r="AF601" s="538"/>
      <c r="AG601" s="343"/>
      <c r="AH601" s="343"/>
      <c r="AI601" s="538"/>
      <c r="AJ601" s="343"/>
      <c r="AK601" s="343"/>
      <c r="AL601" s="538"/>
      <c r="AM601" s="343"/>
      <c r="AN601" s="343"/>
      <c r="AO601" s="538"/>
      <c r="AP601" s="343"/>
      <c r="AQ601" s="343"/>
      <c r="AS601" s="343"/>
      <c r="AT601" s="538"/>
      <c r="AU601" s="343"/>
      <c r="AV601" s="343"/>
      <c r="AW601" s="538"/>
      <c r="AX601" s="343"/>
      <c r="AY601" s="343"/>
      <c r="AZ601" s="538"/>
      <c r="BA601" s="343"/>
      <c r="BB601" s="343"/>
      <c r="BC601" s="538"/>
      <c r="BD601" s="343"/>
      <c r="BE601" s="343"/>
      <c r="BG601" s="644"/>
      <c r="BH601" s="515"/>
      <c r="BI601" s="515"/>
      <c r="BJ601" s="644"/>
      <c r="BK601" s="515"/>
      <c r="BL601" s="515"/>
      <c r="BM601" s="644"/>
      <c r="BN601" s="515"/>
      <c r="BO601" s="515"/>
      <c r="BP601" s="644"/>
      <c r="BQ601" s="515"/>
      <c r="BR601" s="515"/>
    </row>
    <row r="602" spans="4:70" x14ac:dyDescent="0.25">
      <c r="D602" s="538"/>
      <c r="G602" s="538"/>
      <c r="J602" s="538"/>
      <c r="M602" s="538"/>
      <c r="R602" s="538"/>
      <c r="S602" s="343"/>
      <c r="T602" s="343"/>
      <c r="U602" s="538"/>
      <c r="V602" s="343"/>
      <c r="W602" s="343"/>
      <c r="X602" s="538"/>
      <c r="Y602" s="343"/>
      <c r="Z602" s="343"/>
      <c r="AA602" s="538"/>
      <c r="AB602" s="343"/>
      <c r="AC602" s="343"/>
      <c r="AE602" s="343"/>
      <c r="AF602" s="538"/>
      <c r="AG602" s="343"/>
      <c r="AH602" s="343"/>
      <c r="AI602" s="538"/>
      <c r="AJ602" s="343"/>
      <c r="AK602" s="343"/>
      <c r="AL602" s="538"/>
      <c r="AM602" s="343"/>
      <c r="AN602" s="343"/>
      <c r="AO602" s="538"/>
      <c r="AP602" s="343"/>
      <c r="AQ602" s="343"/>
      <c r="AS602" s="343"/>
      <c r="AT602" s="538"/>
      <c r="AU602" s="343"/>
      <c r="AV602" s="343"/>
      <c r="AW602" s="538"/>
      <c r="AX602" s="343"/>
      <c r="AY602" s="343"/>
      <c r="AZ602" s="538"/>
      <c r="BA602" s="343"/>
      <c r="BB602" s="343"/>
      <c r="BC602" s="538"/>
      <c r="BD602" s="343"/>
      <c r="BE602" s="343"/>
      <c r="BG602" s="644"/>
      <c r="BH602" s="515"/>
      <c r="BI602" s="515"/>
      <c r="BJ602" s="644"/>
      <c r="BK602" s="515"/>
      <c r="BL602" s="515"/>
      <c r="BM602" s="644"/>
      <c r="BN602" s="515"/>
      <c r="BO602" s="515"/>
      <c r="BP602" s="644"/>
      <c r="BQ602" s="515"/>
      <c r="BR602" s="515"/>
    </row>
    <row r="603" spans="4:70" x14ac:dyDescent="0.25">
      <c r="D603" s="538"/>
      <c r="G603" s="538"/>
      <c r="J603" s="538"/>
      <c r="M603" s="538"/>
      <c r="R603" s="538"/>
      <c r="S603" s="343"/>
      <c r="T603" s="343"/>
      <c r="U603" s="538"/>
      <c r="V603" s="343"/>
      <c r="W603" s="343"/>
      <c r="X603" s="538"/>
      <c r="Y603" s="343"/>
      <c r="Z603" s="343"/>
      <c r="AA603" s="538"/>
      <c r="AB603" s="343"/>
      <c r="AC603" s="343"/>
      <c r="AE603" s="343"/>
      <c r="AF603" s="538"/>
      <c r="AG603" s="343"/>
      <c r="AH603" s="343"/>
      <c r="AI603" s="538"/>
      <c r="AJ603" s="343"/>
      <c r="AK603" s="343"/>
      <c r="AL603" s="538"/>
      <c r="AM603" s="343"/>
      <c r="AN603" s="343"/>
      <c r="AO603" s="538"/>
      <c r="AP603" s="343"/>
      <c r="AQ603" s="343"/>
      <c r="AS603" s="343"/>
      <c r="AT603" s="538"/>
      <c r="AU603" s="343"/>
      <c r="AV603" s="343"/>
      <c r="AW603" s="538"/>
      <c r="AX603" s="343"/>
      <c r="AY603" s="343"/>
      <c r="AZ603" s="538"/>
      <c r="BA603" s="343"/>
      <c r="BB603" s="343"/>
      <c r="BC603" s="538"/>
      <c r="BD603" s="343"/>
      <c r="BE603" s="343"/>
      <c r="BG603" s="644"/>
      <c r="BH603" s="515"/>
      <c r="BI603" s="515"/>
      <c r="BJ603" s="644"/>
      <c r="BK603" s="515"/>
      <c r="BL603" s="515"/>
      <c r="BM603" s="644"/>
      <c r="BN603" s="515"/>
      <c r="BO603" s="515"/>
      <c r="BP603" s="644"/>
      <c r="BQ603" s="515"/>
      <c r="BR603" s="515"/>
    </row>
    <row r="604" spans="4:70" x14ac:dyDescent="0.25">
      <c r="D604" s="538"/>
      <c r="G604" s="538"/>
      <c r="J604" s="538"/>
      <c r="M604" s="538"/>
      <c r="R604" s="538"/>
      <c r="S604" s="343"/>
      <c r="T604" s="343"/>
      <c r="U604" s="538"/>
      <c r="V604" s="343"/>
      <c r="W604" s="343"/>
      <c r="X604" s="538"/>
      <c r="Y604" s="343"/>
      <c r="Z604" s="343"/>
      <c r="AA604" s="538"/>
      <c r="AB604" s="343"/>
      <c r="AC604" s="343"/>
      <c r="AE604" s="343"/>
      <c r="AF604" s="538"/>
      <c r="AG604" s="343"/>
      <c r="AH604" s="343"/>
      <c r="AI604" s="538"/>
      <c r="AJ604" s="343"/>
      <c r="AK604" s="343"/>
      <c r="AL604" s="538"/>
      <c r="AM604" s="343"/>
      <c r="AN604" s="343"/>
      <c r="AO604" s="538"/>
      <c r="AP604" s="343"/>
      <c r="AQ604" s="343"/>
      <c r="AS604" s="343"/>
      <c r="AT604" s="538"/>
      <c r="AU604" s="343"/>
      <c r="AV604" s="343"/>
      <c r="AW604" s="538"/>
      <c r="AX604" s="343"/>
      <c r="AY604" s="343"/>
      <c r="AZ604" s="538"/>
      <c r="BA604" s="343"/>
      <c r="BB604" s="343"/>
      <c r="BC604" s="538"/>
      <c r="BD604" s="343"/>
      <c r="BE604" s="343"/>
      <c r="BG604" s="644"/>
      <c r="BH604" s="515"/>
      <c r="BI604" s="515"/>
      <c r="BJ604" s="644"/>
      <c r="BK604" s="515"/>
      <c r="BL604" s="515"/>
      <c r="BM604" s="644"/>
      <c r="BN604" s="515"/>
      <c r="BO604" s="515"/>
      <c r="BP604" s="644"/>
      <c r="BQ604" s="515"/>
      <c r="BR604" s="515"/>
    </row>
    <row r="605" spans="4:70" x14ac:dyDescent="0.25">
      <c r="D605" s="538"/>
      <c r="G605" s="538"/>
      <c r="J605" s="538"/>
      <c r="M605" s="538"/>
      <c r="R605" s="538"/>
      <c r="S605" s="343"/>
      <c r="T605" s="343"/>
      <c r="U605" s="538"/>
      <c r="V605" s="343"/>
      <c r="W605" s="343"/>
      <c r="X605" s="538"/>
      <c r="Y605" s="343"/>
      <c r="Z605" s="343"/>
      <c r="AA605" s="538"/>
      <c r="AB605" s="343"/>
      <c r="AC605" s="343"/>
      <c r="AE605" s="343"/>
      <c r="AF605" s="538"/>
      <c r="AG605" s="343"/>
      <c r="AH605" s="343"/>
      <c r="AI605" s="538"/>
      <c r="AJ605" s="343"/>
      <c r="AK605" s="343"/>
      <c r="AL605" s="538"/>
      <c r="AM605" s="343"/>
      <c r="AN605" s="343"/>
      <c r="AO605" s="538"/>
      <c r="AP605" s="343"/>
      <c r="AQ605" s="343"/>
      <c r="AS605" s="343"/>
      <c r="AT605" s="538"/>
      <c r="AU605" s="343"/>
      <c r="AV605" s="343"/>
      <c r="AW605" s="538"/>
      <c r="AX605" s="343"/>
      <c r="AY605" s="343"/>
      <c r="AZ605" s="538"/>
      <c r="BA605" s="343"/>
      <c r="BB605" s="343"/>
      <c r="BC605" s="538"/>
      <c r="BD605" s="343"/>
      <c r="BE605" s="343"/>
      <c r="BG605" s="644"/>
      <c r="BH605" s="515"/>
      <c r="BI605" s="515"/>
      <c r="BJ605" s="644"/>
      <c r="BK605" s="515"/>
      <c r="BL605" s="515"/>
      <c r="BM605" s="644"/>
      <c r="BN605" s="515"/>
      <c r="BO605" s="515"/>
      <c r="BP605" s="644"/>
      <c r="BQ605" s="515"/>
      <c r="BR605" s="515"/>
    </row>
    <row r="606" spans="4:70" x14ac:dyDescent="0.25">
      <c r="D606" s="538"/>
      <c r="G606" s="538"/>
      <c r="J606" s="538"/>
      <c r="M606" s="538"/>
      <c r="R606" s="538"/>
      <c r="S606" s="343"/>
      <c r="T606" s="343"/>
      <c r="U606" s="538"/>
      <c r="V606" s="343"/>
      <c r="W606" s="343"/>
      <c r="X606" s="538"/>
      <c r="Y606" s="343"/>
      <c r="Z606" s="343"/>
      <c r="AA606" s="538"/>
      <c r="AB606" s="343"/>
      <c r="AC606" s="343"/>
      <c r="AE606" s="343"/>
      <c r="AF606" s="538"/>
      <c r="AG606" s="343"/>
      <c r="AH606" s="343"/>
      <c r="AI606" s="538"/>
      <c r="AJ606" s="343"/>
      <c r="AK606" s="343"/>
      <c r="AL606" s="538"/>
      <c r="AM606" s="343"/>
      <c r="AN606" s="343"/>
      <c r="AO606" s="538"/>
      <c r="AP606" s="343"/>
      <c r="AQ606" s="343"/>
      <c r="AS606" s="343"/>
      <c r="AT606" s="538"/>
      <c r="AU606" s="343"/>
      <c r="AV606" s="343"/>
      <c r="AW606" s="538"/>
      <c r="AX606" s="343"/>
      <c r="AY606" s="343"/>
      <c r="AZ606" s="538"/>
      <c r="BA606" s="343"/>
      <c r="BB606" s="343"/>
      <c r="BC606" s="538"/>
      <c r="BD606" s="343"/>
      <c r="BE606" s="343"/>
      <c r="BG606" s="644"/>
      <c r="BH606" s="515"/>
      <c r="BI606" s="515"/>
      <c r="BJ606" s="644"/>
      <c r="BK606" s="515"/>
      <c r="BL606" s="515"/>
      <c r="BM606" s="644"/>
      <c r="BN606" s="515"/>
      <c r="BO606" s="515"/>
      <c r="BP606" s="644"/>
      <c r="BQ606" s="515"/>
      <c r="BR606" s="515"/>
    </row>
    <row r="607" spans="4:70" x14ac:dyDescent="0.25">
      <c r="D607" s="538"/>
      <c r="G607" s="538"/>
      <c r="J607" s="538"/>
      <c r="M607" s="538"/>
      <c r="R607" s="538"/>
      <c r="S607" s="343"/>
      <c r="T607" s="343"/>
      <c r="U607" s="538"/>
      <c r="V607" s="343"/>
      <c r="W607" s="343"/>
      <c r="X607" s="538"/>
      <c r="Y607" s="343"/>
      <c r="Z607" s="343"/>
      <c r="AA607" s="538"/>
      <c r="AB607" s="343"/>
      <c r="AC607" s="343"/>
      <c r="AE607" s="343"/>
      <c r="AF607" s="538"/>
      <c r="AG607" s="343"/>
      <c r="AH607" s="343"/>
      <c r="AI607" s="538"/>
      <c r="AJ607" s="343"/>
      <c r="AK607" s="343"/>
      <c r="AL607" s="538"/>
      <c r="AM607" s="343"/>
      <c r="AN607" s="343"/>
      <c r="AO607" s="538"/>
      <c r="AP607" s="343"/>
      <c r="AQ607" s="343"/>
      <c r="AS607" s="343"/>
      <c r="AT607" s="538"/>
      <c r="AU607" s="343"/>
      <c r="AV607" s="343"/>
      <c r="AW607" s="538"/>
      <c r="AX607" s="343"/>
      <c r="AY607" s="343"/>
      <c r="AZ607" s="538"/>
      <c r="BA607" s="343"/>
      <c r="BB607" s="343"/>
      <c r="BC607" s="538"/>
      <c r="BD607" s="343"/>
      <c r="BE607" s="343"/>
      <c r="BG607" s="644"/>
      <c r="BH607" s="515"/>
      <c r="BI607" s="515"/>
      <c r="BJ607" s="644"/>
      <c r="BK607" s="515"/>
      <c r="BL607" s="515"/>
      <c r="BM607" s="644"/>
      <c r="BN607" s="515"/>
      <c r="BO607" s="515"/>
      <c r="BP607" s="644"/>
      <c r="BQ607" s="515"/>
      <c r="BR607" s="515"/>
    </row>
    <row r="608" spans="4:70" x14ac:dyDescent="0.25">
      <c r="D608" s="538"/>
      <c r="G608" s="538"/>
      <c r="J608" s="538"/>
      <c r="M608" s="538"/>
      <c r="R608" s="538"/>
      <c r="S608" s="343"/>
      <c r="T608" s="343"/>
      <c r="U608" s="538"/>
      <c r="V608" s="343"/>
      <c r="W608" s="343"/>
      <c r="X608" s="538"/>
      <c r="Y608" s="343"/>
      <c r="Z608" s="343"/>
      <c r="AA608" s="538"/>
      <c r="AB608" s="343"/>
      <c r="AC608" s="343"/>
      <c r="AE608" s="343"/>
      <c r="AF608" s="538"/>
      <c r="AG608" s="343"/>
      <c r="AH608" s="343"/>
      <c r="AI608" s="538"/>
      <c r="AJ608" s="343"/>
      <c r="AK608" s="343"/>
      <c r="AL608" s="538"/>
      <c r="AM608" s="343"/>
      <c r="AN608" s="343"/>
      <c r="AO608" s="538"/>
      <c r="AP608" s="343"/>
      <c r="AQ608" s="343"/>
      <c r="AS608" s="343"/>
      <c r="AT608" s="538"/>
      <c r="AU608" s="343"/>
      <c r="AV608" s="343"/>
      <c r="AW608" s="538"/>
      <c r="AX608" s="343"/>
      <c r="AY608" s="343"/>
      <c r="AZ608" s="538"/>
      <c r="BA608" s="343"/>
      <c r="BB608" s="343"/>
      <c r="BC608" s="538"/>
      <c r="BD608" s="343"/>
      <c r="BE608" s="343"/>
      <c r="BG608" s="644"/>
      <c r="BH608" s="515"/>
      <c r="BI608" s="515"/>
      <c r="BJ608" s="644"/>
      <c r="BK608" s="515"/>
      <c r="BL608" s="515"/>
      <c r="BM608" s="644"/>
      <c r="BN608" s="515"/>
      <c r="BO608" s="515"/>
      <c r="BP608" s="644"/>
      <c r="BQ608" s="515"/>
      <c r="BR608" s="515"/>
    </row>
    <row r="609" spans="4:70" x14ac:dyDescent="0.25">
      <c r="D609" s="538"/>
      <c r="G609" s="538"/>
      <c r="J609" s="538"/>
      <c r="M609" s="538"/>
      <c r="R609" s="538"/>
      <c r="S609" s="343"/>
      <c r="T609" s="343"/>
      <c r="U609" s="538"/>
      <c r="V609" s="343"/>
      <c r="W609" s="343"/>
      <c r="X609" s="538"/>
      <c r="Y609" s="343"/>
      <c r="Z609" s="343"/>
      <c r="AA609" s="538"/>
      <c r="AB609" s="343"/>
      <c r="AC609" s="343"/>
      <c r="AE609" s="343"/>
      <c r="AF609" s="538"/>
      <c r="AG609" s="343"/>
      <c r="AH609" s="343"/>
      <c r="AI609" s="538"/>
      <c r="AJ609" s="343"/>
      <c r="AK609" s="343"/>
      <c r="AL609" s="538"/>
      <c r="AM609" s="343"/>
      <c r="AN609" s="343"/>
      <c r="AO609" s="538"/>
      <c r="AP609" s="343"/>
      <c r="AQ609" s="343"/>
      <c r="AS609" s="343"/>
      <c r="AT609" s="538"/>
      <c r="AU609" s="343"/>
      <c r="AV609" s="343"/>
      <c r="AW609" s="538"/>
      <c r="AX609" s="343"/>
      <c r="AY609" s="343"/>
      <c r="AZ609" s="538"/>
      <c r="BA609" s="343"/>
      <c r="BB609" s="343"/>
      <c r="BC609" s="538"/>
      <c r="BD609" s="343"/>
      <c r="BE609" s="343"/>
      <c r="BG609" s="644"/>
      <c r="BH609" s="515"/>
      <c r="BI609" s="515"/>
      <c r="BJ609" s="644"/>
      <c r="BK609" s="515"/>
      <c r="BL609" s="515"/>
      <c r="BM609" s="644"/>
      <c r="BN609" s="515"/>
      <c r="BO609" s="515"/>
      <c r="BP609" s="644"/>
      <c r="BQ609" s="515"/>
      <c r="BR609" s="515"/>
    </row>
    <row r="610" spans="4:70" x14ac:dyDescent="0.25">
      <c r="D610" s="538"/>
      <c r="G610" s="538"/>
      <c r="J610" s="538"/>
      <c r="M610" s="538"/>
      <c r="R610" s="538"/>
      <c r="S610" s="343"/>
      <c r="T610" s="343"/>
      <c r="U610" s="538"/>
      <c r="V610" s="343"/>
      <c r="W610" s="343"/>
      <c r="X610" s="538"/>
      <c r="Y610" s="343"/>
      <c r="Z610" s="343"/>
      <c r="AA610" s="538"/>
      <c r="AB610" s="343"/>
      <c r="AC610" s="343"/>
      <c r="AE610" s="343"/>
      <c r="AF610" s="538"/>
      <c r="AG610" s="343"/>
      <c r="AH610" s="343"/>
      <c r="AI610" s="538"/>
      <c r="AJ610" s="343"/>
      <c r="AK610" s="343"/>
      <c r="AL610" s="538"/>
      <c r="AM610" s="343"/>
      <c r="AN610" s="343"/>
      <c r="AO610" s="538"/>
      <c r="AP610" s="343"/>
      <c r="AQ610" s="343"/>
      <c r="AS610" s="343"/>
      <c r="AT610" s="538"/>
      <c r="AU610" s="343"/>
      <c r="AV610" s="343"/>
      <c r="AW610" s="538"/>
      <c r="AX610" s="343"/>
      <c r="AY610" s="343"/>
      <c r="AZ610" s="538"/>
      <c r="BA610" s="343"/>
      <c r="BB610" s="343"/>
      <c r="BC610" s="538"/>
      <c r="BD610" s="343"/>
      <c r="BE610" s="343"/>
      <c r="BG610" s="644"/>
      <c r="BH610" s="515"/>
      <c r="BI610" s="515"/>
      <c r="BJ610" s="644"/>
      <c r="BK610" s="515"/>
      <c r="BL610" s="515"/>
      <c r="BM610" s="644"/>
      <c r="BN610" s="515"/>
      <c r="BO610" s="515"/>
      <c r="BP610" s="644"/>
      <c r="BQ610" s="515"/>
      <c r="BR610" s="515"/>
    </row>
    <row r="611" spans="4:70" x14ac:dyDescent="0.25">
      <c r="D611" s="538"/>
      <c r="G611" s="538"/>
      <c r="J611" s="538"/>
      <c r="M611" s="538"/>
      <c r="R611" s="538"/>
      <c r="S611" s="343"/>
      <c r="T611" s="343"/>
      <c r="U611" s="538"/>
      <c r="V611" s="343"/>
      <c r="W611" s="343"/>
      <c r="X611" s="538"/>
      <c r="Y611" s="343"/>
      <c r="Z611" s="343"/>
      <c r="AA611" s="538"/>
      <c r="AB611" s="343"/>
      <c r="AC611" s="343"/>
      <c r="AE611" s="343"/>
      <c r="AF611" s="538"/>
      <c r="AG611" s="343"/>
      <c r="AH611" s="343"/>
      <c r="AI611" s="538"/>
      <c r="AJ611" s="343"/>
      <c r="AK611" s="343"/>
      <c r="AL611" s="538"/>
      <c r="AM611" s="343"/>
      <c r="AN611" s="343"/>
      <c r="AO611" s="538"/>
      <c r="AP611" s="343"/>
      <c r="AQ611" s="343"/>
      <c r="AS611" s="343"/>
      <c r="AT611" s="538"/>
      <c r="AU611" s="343"/>
      <c r="AV611" s="343"/>
      <c r="AW611" s="538"/>
      <c r="AX611" s="343"/>
      <c r="AY611" s="343"/>
      <c r="AZ611" s="538"/>
      <c r="BA611" s="343"/>
      <c r="BB611" s="343"/>
      <c r="BC611" s="538"/>
      <c r="BD611" s="343"/>
      <c r="BE611" s="343"/>
      <c r="BG611" s="644"/>
      <c r="BH611" s="515"/>
      <c r="BI611" s="515"/>
      <c r="BJ611" s="644"/>
      <c r="BK611" s="515"/>
      <c r="BL611" s="515"/>
      <c r="BM611" s="644"/>
      <c r="BN611" s="515"/>
      <c r="BO611" s="515"/>
      <c r="BP611" s="644"/>
      <c r="BQ611" s="515"/>
      <c r="BR611" s="515"/>
    </row>
    <row r="612" spans="4:70" x14ac:dyDescent="0.25">
      <c r="D612" s="538"/>
      <c r="G612" s="538"/>
      <c r="J612" s="538"/>
      <c r="M612" s="538"/>
      <c r="R612" s="538"/>
      <c r="S612" s="343"/>
      <c r="T612" s="343"/>
      <c r="U612" s="538"/>
      <c r="V612" s="343"/>
      <c r="W612" s="343"/>
      <c r="X612" s="538"/>
      <c r="Y612" s="343"/>
      <c r="Z612" s="343"/>
      <c r="AA612" s="538"/>
      <c r="AB612" s="343"/>
      <c r="AC612" s="343"/>
      <c r="AE612" s="343"/>
      <c r="AF612" s="538"/>
      <c r="AG612" s="343"/>
      <c r="AH612" s="343"/>
      <c r="AI612" s="538"/>
      <c r="AJ612" s="343"/>
      <c r="AK612" s="343"/>
      <c r="AL612" s="538"/>
      <c r="AM612" s="343"/>
      <c r="AN612" s="343"/>
      <c r="AO612" s="538"/>
      <c r="AP612" s="343"/>
      <c r="AQ612" s="343"/>
      <c r="AS612" s="343"/>
      <c r="AT612" s="538"/>
      <c r="AU612" s="343"/>
      <c r="AV612" s="343"/>
      <c r="AW612" s="538"/>
      <c r="AX612" s="343"/>
      <c r="AY612" s="343"/>
      <c r="AZ612" s="538"/>
      <c r="BA612" s="343"/>
      <c r="BB612" s="343"/>
      <c r="BC612" s="538"/>
      <c r="BD612" s="343"/>
      <c r="BE612" s="343"/>
      <c r="BG612" s="644"/>
      <c r="BH612" s="515"/>
      <c r="BI612" s="515"/>
      <c r="BJ612" s="644"/>
      <c r="BK612" s="515"/>
      <c r="BL612" s="515"/>
      <c r="BM612" s="644"/>
      <c r="BN612" s="515"/>
      <c r="BO612" s="515"/>
      <c r="BP612" s="644"/>
      <c r="BQ612" s="515"/>
      <c r="BR612" s="515"/>
    </row>
    <row r="613" spans="4:70" x14ac:dyDescent="0.25">
      <c r="D613" s="538"/>
      <c r="G613" s="538"/>
      <c r="J613" s="538"/>
      <c r="M613" s="538"/>
      <c r="R613" s="538"/>
      <c r="S613" s="343"/>
      <c r="T613" s="343"/>
      <c r="U613" s="538"/>
      <c r="V613" s="343"/>
      <c r="W613" s="343"/>
      <c r="X613" s="538"/>
      <c r="Y613" s="343"/>
      <c r="Z613" s="343"/>
      <c r="AA613" s="538"/>
      <c r="AB613" s="343"/>
      <c r="AC613" s="343"/>
      <c r="AE613" s="343"/>
      <c r="AF613" s="538"/>
      <c r="AG613" s="343"/>
      <c r="AH613" s="343"/>
      <c r="AI613" s="538"/>
      <c r="AJ613" s="343"/>
      <c r="AK613" s="343"/>
      <c r="AL613" s="538"/>
      <c r="AM613" s="343"/>
      <c r="AN613" s="343"/>
      <c r="AO613" s="538"/>
      <c r="AP613" s="343"/>
      <c r="AQ613" s="343"/>
      <c r="AS613" s="343"/>
      <c r="AT613" s="538"/>
      <c r="AU613" s="343"/>
      <c r="AV613" s="343"/>
      <c r="AW613" s="538"/>
      <c r="AX613" s="343"/>
      <c r="AY613" s="343"/>
      <c r="AZ613" s="538"/>
      <c r="BA613" s="343"/>
      <c r="BB613" s="343"/>
      <c r="BC613" s="538"/>
      <c r="BD613" s="343"/>
      <c r="BE613" s="343"/>
      <c r="BG613" s="644"/>
      <c r="BH613" s="515"/>
      <c r="BI613" s="515"/>
      <c r="BJ613" s="644"/>
      <c r="BK613" s="515"/>
      <c r="BL613" s="515"/>
      <c r="BM613" s="644"/>
      <c r="BN613" s="515"/>
      <c r="BO613" s="515"/>
      <c r="BP613" s="644"/>
      <c r="BQ613" s="515"/>
      <c r="BR613" s="515"/>
    </row>
    <row r="614" spans="4:70" x14ac:dyDescent="0.25">
      <c r="D614" s="538"/>
      <c r="G614" s="538"/>
      <c r="J614" s="538"/>
      <c r="M614" s="538"/>
      <c r="R614" s="538"/>
      <c r="S614" s="343"/>
      <c r="T614" s="343"/>
      <c r="U614" s="538"/>
      <c r="V614" s="343"/>
      <c r="W614" s="343"/>
      <c r="X614" s="538"/>
      <c r="Y614" s="343"/>
      <c r="Z614" s="343"/>
      <c r="AA614" s="538"/>
      <c r="AB614" s="343"/>
      <c r="AC614" s="343"/>
      <c r="AE614" s="343"/>
      <c r="AF614" s="538"/>
      <c r="AG614" s="343"/>
      <c r="AH614" s="343"/>
      <c r="AI614" s="538"/>
      <c r="AJ614" s="343"/>
      <c r="AK614" s="343"/>
      <c r="AL614" s="538"/>
      <c r="AM614" s="343"/>
      <c r="AN614" s="343"/>
      <c r="AO614" s="538"/>
      <c r="AP614" s="343"/>
      <c r="AQ614" s="343"/>
      <c r="AS614" s="343"/>
      <c r="AT614" s="538"/>
      <c r="AU614" s="343"/>
      <c r="AV614" s="343"/>
      <c r="AW614" s="538"/>
      <c r="AX614" s="343"/>
      <c r="AY614" s="343"/>
      <c r="AZ614" s="538"/>
      <c r="BA614" s="343"/>
      <c r="BB614" s="343"/>
      <c r="BC614" s="538"/>
      <c r="BD614" s="343"/>
      <c r="BE614" s="343"/>
      <c r="BG614" s="644"/>
      <c r="BH614" s="515"/>
      <c r="BI614" s="515"/>
      <c r="BJ614" s="644"/>
      <c r="BK614" s="515"/>
      <c r="BL614" s="515"/>
      <c r="BM614" s="644"/>
      <c r="BN614" s="515"/>
      <c r="BO614" s="515"/>
      <c r="BP614" s="644"/>
      <c r="BQ614" s="515"/>
      <c r="BR614" s="515"/>
    </row>
    <row r="615" spans="4:70" x14ac:dyDescent="0.25">
      <c r="D615" s="538"/>
      <c r="G615" s="538"/>
      <c r="J615" s="538"/>
      <c r="M615" s="538"/>
      <c r="R615" s="538"/>
      <c r="S615" s="343"/>
      <c r="T615" s="343"/>
      <c r="U615" s="538"/>
      <c r="V615" s="343"/>
      <c r="W615" s="343"/>
      <c r="X615" s="538"/>
      <c r="Y615" s="343"/>
      <c r="Z615" s="343"/>
      <c r="AA615" s="538"/>
      <c r="AB615" s="343"/>
      <c r="AC615" s="343"/>
      <c r="AE615" s="343"/>
      <c r="AF615" s="538"/>
      <c r="AG615" s="343"/>
      <c r="AH615" s="343"/>
      <c r="AI615" s="538"/>
      <c r="AJ615" s="343"/>
      <c r="AK615" s="343"/>
      <c r="AL615" s="538"/>
      <c r="AM615" s="343"/>
      <c r="AN615" s="343"/>
      <c r="AO615" s="538"/>
      <c r="AP615" s="343"/>
      <c r="AQ615" s="343"/>
      <c r="AS615" s="343"/>
      <c r="AT615" s="538"/>
      <c r="AU615" s="343"/>
      <c r="AV615" s="343"/>
      <c r="AW615" s="538"/>
      <c r="AX615" s="343"/>
      <c r="AY615" s="343"/>
      <c r="AZ615" s="538"/>
      <c r="BA615" s="343"/>
      <c r="BB615" s="343"/>
      <c r="BC615" s="538"/>
      <c r="BD615" s="343"/>
      <c r="BE615" s="343"/>
      <c r="BG615" s="644"/>
      <c r="BH615" s="515"/>
      <c r="BI615" s="515"/>
      <c r="BJ615" s="644"/>
      <c r="BK615" s="515"/>
      <c r="BL615" s="515"/>
      <c r="BM615" s="644"/>
      <c r="BN615" s="515"/>
      <c r="BO615" s="515"/>
      <c r="BP615" s="644"/>
      <c r="BQ615" s="515"/>
      <c r="BR615" s="515"/>
    </row>
    <row r="616" spans="4:70" x14ac:dyDescent="0.25">
      <c r="D616" s="538"/>
      <c r="G616" s="538"/>
      <c r="J616" s="538"/>
      <c r="M616" s="538"/>
      <c r="R616" s="538"/>
      <c r="S616" s="343"/>
      <c r="T616" s="343"/>
      <c r="U616" s="538"/>
      <c r="V616" s="343"/>
      <c r="W616" s="343"/>
      <c r="X616" s="538"/>
      <c r="Y616" s="343"/>
      <c r="Z616" s="343"/>
      <c r="AA616" s="538"/>
      <c r="AB616" s="343"/>
      <c r="AC616" s="343"/>
      <c r="AE616" s="343"/>
      <c r="AF616" s="538"/>
      <c r="AG616" s="343"/>
      <c r="AH616" s="343"/>
      <c r="AI616" s="538"/>
      <c r="AJ616" s="343"/>
      <c r="AK616" s="343"/>
      <c r="AL616" s="538"/>
      <c r="AM616" s="343"/>
      <c r="AN616" s="343"/>
      <c r="AO616" s="538"/>
      <c r="AP616" s="343"/>
      <c r="AQ616" s="343"/>
      <c r="AS616" s="343"/>
      <c r="AT616" s="538"/>
      <c r="AU616" s="343"/>
      <c r="AV616" s="343"/>
      <c r="AW616" s="538"/>
      <c r="AX616" s="343"/>
      <c r="AY616" s="343"/>
      <c r="AZ616" s="538"/>
      <c r="BA616" s="343"/>
      <c r="BB616" s="343"/>
      <c r="BC616" s="538"/>
      <c r="BD616" s="343"/>
      <c r="BE616" s="343"/>
      <c r="BG616" s="644"/>
      <c r="BH616" s="515"/>
      <c r="BI616" s="515"/>
      <c r="BJ616" s="644"/>
      <c r="BK616" s="515"/>
      <c r="BL616" s="515"/>
      <c r="BM616" s="644"/>
      <c r="BN616" s="515"/>
      <c r="BO616" s="515"/>
      <c r="BP616" s="644"/>
      <c r="BQ616" s="515"/>
      <c r="BR616" s="515"/>
    </row>
    <row r="617" spans="4:70" x14ac:dyDescent="0.25">
      <c r="D617" s="538"/>
      <c r="G617" s="538"/>
      <c r="J617" s="538"/>
      <c r="M617" s="538"/>
      <c r="R617" s="538"/>
      <c r="S617" s="343"/>
      <c r="T617" s="343"/>
      <c r="U617" s="538"/>
      <c r="V617" s="343"/>
      <c r="W617" s="343"/>
      <c r="X617" s="538"/>
      <c r="Y617" s="343"/>
      <c r="Z617" s="343"/>
      <c r="AA617" s="538"/>
      <c r="AB617" s="343"/>
      <c r="AC617" s="343"/>
      <c r="AE617" s="343"/>
      <c r="AF617" s="538"/>
      <c r="AG617" s="343"/>
      <c r="AH617" s="343"/>
      <c r="AI617" s="538"/>
      <c r="AJ617" s="343"/>
      <c r="AK617" s="343"/>
      <c r="AL617" s="538"/>
      <c r="AM617" s="343"/>
      <c r="AN617" s="343"/>
      <c r="AO617" s="538"/>
      <c r="AP617" s="343"/>
      <c r="AQ617" s="343"/>
      <c r="AS617" s="343"/>
      <c r="AT617" s="538"/>
      <c r="AU617" s="343"/>
      <c r="AV617" s="343"/>
      <c r="AW617" s="538"/>
      <c r="AX617" s="343"/>
      <c r="AY617" s="343"/>
      <c r="AZ617" s="538"/>
      <c r="BA617" s="343"/>
      <c r="BB617" s="343"/>
      <c r="BC617" s="538"/>
      <c r="BD617" s="343"/>
      <c r="BE617" s="343"/>
      <c r="BG617" s="644"/>
      <c r="BH617" s="515"/>
      <c r="BI617" s="515"/>
      <c r="BJ617" s="644"/>
      <c r="BK617" s="515"/>
      <c r="BL617" s="515"/>
      <c r="BM617" s="644"/>
      <c r="BN617" s="515"/>
      <c r="BO617" s="515"/>
      <c r="BP617" s="644"/>
      <c r="BQ617" s="515"/>
      <c r="BR617" s="515"/>
    </row>
    <row r="618" spans="4:70" x14ac:dyDescent="0.25">
      <c r="D618" s="538"/>
      <c r="G618" s="538"/>
      <c r="J618" s="538"/>
      <c r="M618" s="538"/>
      <c r="R618" s="538"/>
      <c r="S618" s="343"/>
      <c r="T618" s="343"/>
      <c r="U618" s="538"/>
      <c r="V618" s="343"/>
      <c r="W618" s="343"/>
      <c r="X618" s="538"/>
      <c r="Y618" s="343"/>
      <c r="Z618" s="343"/>
      <c r="AA618" s="538"/>
      <c r="AB618" s="343"/>
      <c r="AC618" s="343"/>
      <c r="AE618" s="343"/>
      <c r="AF618" s="538"/>
      <c r="AG618" s="343"/>
      <c r="AH618" s="343"/>
      <c r="AI618" s="538"/>
      <c r="AJ618" s="343"/>
      <c r="AK618" s="343"/>
      <c r="AL618" s="538"/>
      <c r="AM618" s="343"/>
      <c r="AN618" s="343"/>
      <c r="AO618" s="538"/>
      <c r="AP618" s="343"/>
      <c r="AQ618" s="343"/>
      <c r="AS618" s="343"/>
      <c r="AT618" s="538"/>
      <c r="AU618" s="343"/>
      <c r="AV618" s="343"/>
      <c r="AW618" s="538"/>
      <c r="AX618" s="343"/>
      <c r="AY618" s="343"/>
      <c r="AZ618" s="538"/>
      <c r="BA618" s="343"/>
      <c r="BB618" s="343"/>
      <c r="BC618" s="538"/>
      <c r="BD618" s="343"/>
      <c r="BE618" s="343"/>
      <c r="BG618" s="644"/>
      <c r="BH618" s="515"/>
      <c r="BI618" s="515"/>
      <c r="BJ618" s="644"/>
      <c r="BK618" s="515"/>
      <c r="BL618" s="515"/>
      <c r="BM618" s="644"/>
      <c r="BN618" s="515"/>
      <c r="BO618" s="515"/>
      <c r="BP618" s="644"/>
      <c r="BQ618" s="515"/>
      <c r="BR618" s="515"/>
    </row>
    <row r="619" spans="4:70" x14ac:dyDescent="0.25">
      <c r="D619" s="538"/>
      <c r="G619" s="538"/>
      <c r="J619" s="538"/>
      <c r="M619" s="538"/>
      <c r="R619" s="538"/>
      <c r="S619" s="343"/>
      <c r="T619" s="343"/>
      <c r="U619" s="538"/>
      <c r="V619" s="343"/>
      <c r="W619" s="343"/>
      <c r="X619" s="538"/>
      <c r="Y619" s="343"/>
      <c r="Z619" s="343"/>
      <c r="AA619" s="538"/>
      <c r="AB619" s="343"/>
      <c r="AC619" s="343"/>
      <c r="AE619" s="343"/>
      <c r="AF619" s="538"/>
      <c r="AG619" s="343"/>
      <c r="AH619" s="343"/>
      <c r="AI619" s="538"/>
      <c r="AJ619" s="343"/>
      <c r="AK619" s="343"/>
      <c r="AL619" s="538"/>
      <c r="AM619" s="343"/>
      <c r="AN619" s="343"/>
      <c r="AO619" s="538"/>
      <c r="AP619" s="343"/>
      <c r="AQ619" s="343"/>
      <c r="AS619" s="343"/>
      <c r="AT619" s="538"/>
      <c r="AU619" s="343"/>
      <c r="AV619" s="343"/>
      <c r="AW619" s="538"/>
      <c r="AX619" s="343"/>
      <c r="AY619" s="343"/>
      <c r="AZ619" s="538"/>
      <c r="BA619" s="343"/>
      <c r="BB619" s="343"/>
      <c r="BC619" s="538"/>
      <c r="BD619" s="343"/>
      <c r="BE619" s="343"/>
      <c r="BG619" s="644"/>
      <c r="BH619" s="515"/>
      <c r="BI619" s="515"/>
      <c r="BJ619" s="644"/>
      <c r="BK619" s="515"/>
      <c r="BL619" s="515"/>
      <c r="BM619" s="644"/>
      <c r="BN619" s="515"/>
      <c r="BO619" s="515"/>
      <c r="BP619" s="644"/>
      <c r="BQ619" s="515"/>
      <c r="BR619" s="515"/>
    </row>
    <row r="620" spans="4:70" x14ac:dyDescent="0.25">
      <c r="D620" s="538"/>
      <c r="G620" s="538"/>
      <c r="J620" s="538"/>
      <c r="M620" s="538"/>
      <c r="R620" s="538"/>
      <c r="S620" s="343"/>
      <c r="T620" s="343"/>
      <c r="U620" s="538"/>
      <c r="V620" s="343"/>
      <c r="W620" s="343"/>
      <c r="X620" s="538"/>
      <c r="Y620" s="343"/>
      <c r="Z620" s="343"/>
      <c r="AA620" s="538"/>
      <c r="AB620" s="343"/>
      <c r="AC620" s="343"/>
      <c r="AE620" s="343"/>
      <c r="AF620" s="538"/>
      <c r="AG620" s="343"/>
      <c r="AH620" s="343"/>
      <c r="AI620" s="538"/>
      <c r="AJ620" s="343"/>
      <c r="AK620" s="343"/>
      <c r="AL620" s="538"/>
      <c r="AM620" s="343"/>
      <c r="AN620" s="343"/>
      <c r="AO620" s="538"/>
      <c r="AP620" s="343"/>
      <c r="AQ620" s="343"/>
      <c r="AS620" s="343"/>
      <c r="AT620" s="538"/>
      <c r="AU620" s="343"/>
      <c r="AV620" s="343"/>
      <c r="AW620" s="538"/>
      <c r="AX620" s="343"/>
      <c r="AY620" s="343"/>
      <c r="AZ620" s="538"/>
      <c r="BA620" s="343"/>
      <c r="BB620" s="343"/>
      <c r="BC620" s="538"/>
      <c r="BD620" s="343"/>
      <c r="BE620" s="343"/>
      <c r="BG620" s="644"/>
      <c r="BH620" s="515"/>
      <c r="BI620" s="515"/>
      <c r="BJ620" s="644"/>
      <c r="BK620" s="515"/>
      <c r="BL620" s="515"/>
      <c r="BM620" s="644"/>
      <c r="BN620" s="515"/>
      <c r="BO620" s="515"/>
      <c r="BP620" s="644"/>
      <c r="BQ620" s="515"/>
      <c r="BR620" s="515"/>
    </row>
    <row r="621" spans="4:70" x14ac:dyDescent="0.25">
      <c r="D621" s="538"/>
      <c r="G621" s="538"/>
      <c r="J621" s="538"/>
      <c r="M621" s="538"/>
      <c r="R621" s="538"/>
      <c r="S621" s="343"/>
      <c r="T621" s="343"/>
      <c r="U621" s="538"/>
      <c r="V621" s="343"/>
      <c r="W621" s="343"/>
      <c r="X621" s="538"/>
      <c r="Y621" s="343"/>
      <c r="Z621" s="343"/>
      <c r="AA621" s="538"/>
      <c r="AB621" s="343"/>
      <c r="AC621" s="343"/>
      <c r="AE621" s="343"/>
      <c r="AF621" s="538"/>
      <c r="AG621" s="343"/>
      <c r="AH621" s="343"/>
      <c r="AI621" s="538"/>
      <c r="AJ621" s="343"/>
      <c r="AK621" s="343"/>
      <c r="AL621" s="538"/>
      <c r="AM621" s="343"/>
      <c r="AN621" s="343"/>
      <c r="AO621" s="538"/>
      <c r="AP621" s="343"/>
      <c r="AQ621" s="343"/>
      <c r="AS621" s="343"/>
      <c r="AT621" s="538"/>
      <c r="AU621" s="343"/>
      <c r="AV621" s="343"/>
      <c r="AW621" s="538"/>
      <c r="AX621" s="343"/>
      <c r="AY621" s="343"/>
      <c r="AZ621" s="538"/>
      <c r="BA621" s="343"/>
      <c r="BB621" s="343"/>
      <c r="BC621" s="538"/>
      <c r="BD621" s="343"/>
      <c r="BE621" s="343"/>
      <c r="BG621" s="644"/>
      <c r="BH621" s="515"/>
      <c r="BI621" s="515"/>
      <c r="BJ621" s="644"/>
      <c r="BK621" s="515"/>
      <c r="BL621" s="515"/>
      <c r="BM621" s="644"/>
      <c r="BN621" s="515"/>
      <c r="BO621" s="515"/>
      <c r="BP621" s="644"/>
      <c r="BQ621" s="515"/>
      <c r="BR621" s="515"/>
    </row>
    <row r="622" spans="4:70" x14ac:dyDescent="0.25">
      <c r="D622" s="538"/>
      <c r="G622" s="538"/>
      <c r="J622" s="538"/>
      <c r="M622" s="538"/>
      <c r="R622" s="538"/>
      <c r="S622" s="343"/>
      <c r="T622" s="343"/>
      <c r="U622" s="538"/>
      <c r="V622" s="343"/>
      <c r="W622" s="343"/>
      <c r="X622" s="538"/>
      <c r="Y622" s="343"/>
      <c r="Z622" s="343"/>
      <c r="AA622" s="538"/>
      <c r="AB622" s="343"/>
      <c r="AC622" s="343"/>
      <c r="AE622" s="343"/>
      <c r="AF622" s="538"/>
      <c r="AG622" s="343"/>
      <c r="AH622" s="343"/>
      <c r="AI622" s="538"/>
      <c r="AJ622" s="343"/>
      <c r="AK622" s="343"/>
      <c r="AL622" s="538"/>
      <c r="AM622" s="343"/>
      <c r="AN622" s="343"/>
      <c r="AO622" s="538"/>
      <c r="AP622" s="343"/>
      <c r="AQ622" s="343"/>
      <c r="AS622" s="343"/>
      <c r="AT622" s="538"/>
      <c r="AU622" s="343"/>
      <c r="AV622" s="343"/>
      <c r="AW622" s="538"/>
      <c r="AX622" s="343"/>
      <c r="AY622" s="343"/>
      <c r="AZ622" s="538"/>
      <c r="BA622" s="343"/>
      <c r="BB622" s="343"/>
      <c r="BC622" s="538"/>
      <c r="BD622" s="343"/>
      <c r="BE622" s="343"/>
      <c r="BG622" s="644"/>
      <c r="BH622" s="515"/>
      <c r="BI622" s="515"/>
      <c r="BJ622" s="644"/>
      <c r="BK622" s="515"/>
      <c r="BL622" s="515"/>
      <c r="BM622" s="644"/>
      <c r="BN622" s="515"/>
      <c r="BO622" s="515"/>
      <c r="BP622" s="644"/>
      <c r="BQ622" s="515"/>
      <c r="BR622" s="515"/>
    </row>
    <row r="623" spans="4:70" x14ac:dyDescent="0.25">
      <c r="D623" s="538"/>
      <c r="G623" s="538"/>
      <c r="J623" s="538"/>
      <c r="M623" s="538"/>
      <c r="R623" s="538"/>
      <c r="S623" s="343"/>
      <c r="T623" s="343"/>
      <c r="U623" s="538"/>
      <c r="V623" s="343"/>
      <c r="W623" s="343"/>
      <c r="X623" s="538"/>
      <c r="Y623" s="343"/>
      <c r="Z623" s="343"/>
      <c r="AA623" s="538"/>
      <c r="AB623" s="343"/>
      <c r="AC623" s="343"/>
      <c r="AE623" s="343"/>
      <c r="AF623" s="538"/>
      <c r="AG623" s="343"/>
      <c r="AH623" s="343"/>
      <c r="AI623" s="538"/>
      <c r="AJ623" s="343"/>
      <c r="AK623" s="343"/>
      <c r="AL623" s="538"/>
      <c r="AM623" s="343"/>
      <c r="AN623" s="343"/>
      <c r="AO623" s="538"/>
      <c r="AP623" s="343"/>
      <c r="AQ623" s="343"/>
      <c r="AS623" s="343"/>
      <c r="AT623" s="538"/>
      <c r="AU623" s="343"/>
      <c r="AV623" s="343"/>
      <c r="AW623" s="538"/>
      <c r="AX623" s="343"/>
      <c r="AY623" s="343"/>
      <c r="AZ623" s="538"/>
      <c r="BA623" s="343"/>
      <c r="BB623" s="343"/>
      <c r="BC623" s="538"/>
      <c r="BD623" s="343"/>
      <c r="BE623" s="343"/>
      <c r="BG623" s="644"/>
      <c r="BH623" s="515"/>
      <c r="BI623" s="515"/>
      <c r="BJ623" s="644"/>
      <c r="BK623" s="515"/>
      <c r="BL623" s="515"/>
      <c r="BM623" s="644"/>
      <c r="BN623" s="515"/>
      <c r="BO623" s="515"/>
      <c r="BP623" s="644"/>
      <c r="BQ623" s="515"/>
      <c r="BR623" s="515"/>
    </row>
    <row r="624" spans="4:70" x14ac:dyDescent="0.25">
      <c r="D624" s="538"/>
      <c r="G624" s="538"/>
      <c r="J624" s="538"/>
      <c r="M624" s="538"/>
      <c r="R624" s="538"/>
      <c r="S624" s="343"/>
      <c r="T624" s="343"/>
      <c r="U624" s="538"/>
      <c r="V624" s="343"/>
      <c r="W624" s="343"/>
      <c r="X624" s="538"/>
      <c r="Y624" s="343"/>
      <c r="Z624" s="343"/>
      <c r="AA624" s="538"/>
      <c r="AB624" s="343"/>
      <c r="AC624" s="343"/>
      <c r="AE624" s="343"/>
      <c r="AF624" s="538"/>
      <c r="AG624" s="343"/>
      <c r="AH624" s="343"/>
      <c r="AI624" s="538"/>
      <c r="AJ624" s="343"/>
      <c r="AK624" s="343"/>
      <c r="AL624" s="538"/>
      <c r="AM624" s="343"/>
      <c r="AN624" s="343"/>
      <c r="AO624" s="538"/>
      <c r="AP624" s="343"/>
      <c r="AQ624" s="343"/>
      <c r="AS624" s="343"/>
      <c r="AT624" s="538"/>
      <c r="AU624" s="343"/>
      <c r="AV624" s="343"/>
      <c r="AW624" s="538"/>
      <c r="AX624" s="343"/>
      <c r="AY624" s="343"/>
      <c r="AZ624" s="538"/>
      <c r="BA624" s="343"/>
      <c r="BB624" s="343"/>
      <c r="BC624" s="538"/>
      <c r="BD624" s="343"/>
      <c r="BE624" s="343"/>
      <c r="BG624" s="644"/>
      <c r="BH624" s="515"/>
      <c r="BI624" s="515"/>
      <c r="BJ624" s="644"/>
      <c r="BK624" s="515"/>
      <c r="BL624" s="515"/>
      <c r="BM624" s="644"/>
      <c r="BN624" s="515"/>
      <c r="BO624" s="515"/>
      <c r="BP624" s="644"/>
      <c r="BQ624" s="515"/>
      <c r="BR624" s="515"/>
    </row>
    <row r="625" spans="4:70" x14ac:dyDescent="0.25">
      <c r="D625" s="538"/>
      <c r="G625" s="538"/>
      <c r="J625" s="538"/>
      <c r="M625" s="538"/>
      <c r="R625" s="538"/>
      <c r="S625" s="343"/>
      <c r="T625" s="343"/>
      <c r="U625" s="538"/>
      <c r="V625" s="343"/>
      <c r="W625" s="343"/>
      <c r="X625" s="538"/>
      <c r="Y625" s="343"/>
      <c r="Z625" s="343"/>
      <c r="AA625" s="538"/>
      <c r="AB625" s="343"/>
      <c r="AC625" s="343"/>
      <c r="AE625" s="343"/>
      <c r="AF625" s="538"/>
      <c r="AG625" s="343"/>
      <c r="AH625" s="343"/>
      <c r="AI625" s="538"/>
      <c r="AJ625" s="343"/>
      <c r="AK625" s="343"/>
      <c r="AL625" s="538"/>
      <c r="AM625" s="343"/>
      <c r="AN625" s="343"/>
      <c r="AO625" s="538"/>
      <c r="AP625" s="343"/>
      <c r="AQ625" s="343"/>
      <c r="AS625" s="343"/>
      <c r="AT625" s="538"/>
      <c r="AU625" s="343"/>
      <c r="AV625" s="343"/>
      <c r="AW625" s="538"/>
      <c r="AX625" s="343"/>
      <c r="AY625" s="343"/>
      <c r="AZ625" s="538"/>
      <c r="BA625" s="343"/>
      <c r="BB625" s="343"/>
      <c r="BC625" s="538"/>
      <c r="BD625" s="343"/>
      <c r="BE625" s="343"/>
      <c r="BG625" s="644"/>
      <c r="BH625" s="515"/>
      <c r="BI625" s="515"/>
      <c r="BJ625" s="644"/>
      <c r="BK625" s="515"/>
      <c r="BL625" s="515"/>
      <c r="BM625" s="644"/>
      <c r="BN625" s="515"/>
      <c r="BO625" s="515"/>
      <c r="BP625" s="644"/>
      <c r="BQ625" s="515"/>
      <c r="BR625" s="515"/>
    </row>
    <row r="626" spans="4:70" x14ac:dyDescent="0.25">
      <c r="D626" s="538"/>
      <c r="G626" s="538"/>
      <c r="J626" s="538"/>
      <c r="M626" s="538"/>
      <c r="R626" s="538"/>
      <c r="S626" s="343"/>
      <c r="T626" s="343"/>
      <c r="U626" s="538"/>
      <c r="V626" s="343"/>
      <c r="W626" s="343"/>
      <c r="X626" s="538"/>
      <c r="Y626" s="343"/>
      <c r="Z626" s="343"/>
      <c r="AA626" s="538"/>
      <c r="AB626" s="343"/>
      <c r="AC626" s="343"/>
      <c r="AE626" s="343"/>
      <c r="AF626" s="538"/>
      <c r="AG626" s="343"/>
      <c r="AH626" s="343"/>
      <c r="AI626" s="538"/>
      <c r="AJ626" s="343"/>
      <c r="AK626" s="343"/>
      <c r="AL626" s="538"/>
      <c r="AM626" s="343"/>
      <c r="AN626" s="343"/>
      <c r="AO626" s="538"/>
      <c r="AP626" s="343"/>
      <c r="AQ626" s="343"/>
      <c r="AS626" s="343"/>
      <c r="AT626" s="538"/>
      <c r="AU626" s="343"/>
      <c r="AV626" s="343"/>
      <c r="AW626" s="538"/>
      <c r="AX626" s="343"/>
      <c r="AY626" s="343"/>
      <c r="AZ626" s="538"/>
      <c r="BA626" s="343"/>
      <c r="BB626" s="343"/>
      <c r="BC626" s="538"/>
      <c r="BD626" s="343"/>
      <c r="BE626" s="343"/>
      <c r="BG626" s="644"/>
      <c r="BH626" s="515"/>
      <c r="BI626" s="515"/>
      <c r="BJ626" s="644"/>
      <c r="BK626" s="515"/>
      <c r="BL626" s="515"/>
      <c r="BM626" s="644"/>
      <c r="BN626" s="515"/>
      <c r="BO626" s="515"/>
      <c r="BP626" s="644"/>
      <c r="BQ626" s="515"/>
      <c r="BR626" s="515"/>
    </row>
    <row r="627" spans="4:70" x14ac:dyDescent="0.25">
      <c r="D627" s="538"/>
      <c r="G627" s="538"/>
      <c r="J627" s="538"/>
      <c r="M627" s="538"/>
      <c r="R627" s="538"/>
      <c r="S627" s="343"/>
      <c r="T627" s="343"/>
      <c r="U627" s="538"/>
      <c r="V627" s="343"/>
      <c r="W627" s="343"/>
      <c r="X627" s="538"/>
      <c r="Y627" s="343"/>
      <c r="Z627" s="343"/>
      <c r="AA627" s="538"/>
      <c r="AB627" s="343"/>
      <c r="AC627" s="343"/>
      <c r="AE627" s="343"/>
      <c r="AF627" s="538"/>
      <c r="AG627" s="343"/>
      <c r="AH627" s="343"/>
      <c r="AI627" s="538"/>
      <c r="AJ627" s="343"/>
      <c r="AK627" s="343"/>
      <c r="AL627" s="538"/>
      <c r="AM627" s="343"/>
      <c r="AN627" s="343"/>
      <c r="AO627" s="538"/>
      <c r="AP627" s="343"/>
      <c r="AQ627" s="343"/>
      <c r="AS627" s="343"/>
      <c r="AT627" s="538"/>
      <c r="AU627" s="343"/>
      <c r="AV627" s="343"/>
      <c r="AW627" s="538"/>
      <c r="AX627" s="343"/>
      <c r="AY627" s="343"/>
      <c r="AZ627" s="538"/>
      <c r="BA627" s="343"/>
      <c r="BB627" s="343"/>
      <c r="BC627" s="538"/>
      <c r="BD627" s="343"/>
      <c r="BE627" s="343"/>
      <c r="BG627" s="644"/>
      <c r="BH627" s="515"/>
      <c r="BI627" s="515"/>
      <c r="BJ627" s="644"/>
      <c r="BK627" s="515"/>
      <c r="BL627" s="515"/>
      <c r="BM627" s="644"/>
      <c r="BN627" s="515"/>
      <c r="BO627" s="515"/>
      <c r="BP627" s="644"/>
      <c r="BQ627" s="515"/>
      <c r="BR627" s="515"/>
    </row>
    <row r="628" spans="4:70" x14ac:dyDescent="0.25">
      <c r="D628" s="538"/>
      <c r="G628" s="538"/>
      <c r="J628" s="538"/>
      <c r="M628" s="538"/>
      <c r="R628" s="538"/>
      <c r="S628" s="343"/>
      <c r="T628" s="343"/>
      <c r="U628" s="538"/>
      <c r="V628" s="343"/>
      <c r="W628" s="343"/>
      <c r="X628" s="538"/>
      <c r="Y628" s="343"/>
      <c r="Z628" s="343"/>
      <c r="AA628" s="538"/>
      <c r="AB628" s="343"/>
      <c r="AC628" s="343"/>
      <c r="AE628" s="343"/>
      <c r="AF628" s="538"/>
      <c r="AG628" s="343"/>
      <c r="AH628" s="343"/>
      <c r="AI628" s="538"/>
      <c r="AJ628" s="343"/>
      <c r="AK628" s="343"/>
      <c r="AL628" s="538"/>
      <c r="AM628" s="343"/>
      <c r="AN628" s="343"/>
      <c r="AO628" s="538"/>
      <c r="AP628" s="343"/>
      <c r="AQ628" s="343"/>
      <c r="AS628" s="343"/>
      <c r="AT628" s="538"/>
      <c r="AU628" s="343"/>
      <c r="AV628" s="343"/>
      <c r="AW628" s="538"/>
      <c r="AX628" s="343"/>
      <c r="AY628" s="343"/>
      <c r="AZ628" s="538"/>
      <c r="BA628" s="343"/>
      <c r="BB628" s="343"/>
      <c r="BC628" s="538"/>
      <c r="BD628" s="343"/>
      <c r="BE628" s="343"/>
      <c r="BG628" s="644"/>
      <c r="BH628" s="515"/>
      <c r="BI628" s="515"/>
      <c r="BJ628" s="644"/>
      <c r="BK628" s="515"/>
      <c r="BL628" s="515"/>
      <c r="BM628" s="644"/>
      <c r="BN628" s="515"/>
      <c r="BO628" s="515"/>
      <c r="BP628" s="644"/>
      <c r="BQ628" s="515"/>
      <c r="BR628" s="515"/>
    </row>
    <row r="629" spans="4:70" x14ac:dyDescent="0.25">
      <c r="D629" s="538"/>
      <c r="G629" s="538"/>
      <c r="J629" s="538"/>
      <c r="M629" s="538"/>
      <c r="R629" s="538"/>
      <c r="S629" s="343"/>
      <c r="T629" s="343"/>
      <c r="U629" s="538"/>
      <c r="V629" s="343"/>
      <c r="W629" s="343"/>
      <c r="X629" s="538"/>
      <c r="Y629" s="343"/>
      <c r="Z629" s="343"/>
      <c r="AA629" s="538"/>
      <c r="AB629" s="343"/>
      <c r="AC629" s="343"/>
      <c r="AE629" s="343"/>
      <c r="AF629" s="538"/>
      <c r="AG629" s="343"/>
      <c r="AH629" s="343"/>
      <c r="AI629" s="538"/>
      <c r="AJ629" s="343"/>
      <c r="AK629" s="343"/>
      <c r="AL629" s="538"/>
      <c r="AM629" s="343"/>
      <c r="AN629" s="343"/>
      <c r="AO629" s="538"/>
      <c r="AP629" s="343"/>
      <c r="AQ629" s="343"/>
      <c r="AS629" s="343"/>
      <c r="AT629" s="538"/>
      <c r="AU629" s="343"/>
      <c r="AV629" s="343"/>
      <c r="AW629" s="538"/>
      <c r="AX629" s="343"/>
      <c r="AY629" s="343"/>
      <c r="AZ629" s="538"/>
      <c r="BA629" s="343"/>
      <c r="BB629" s="343"/>
      <c r="BC629" s="538"/>
      <c r="BD629" s="343"/>
      <c r="BE629" s="343"/>
      <c r="BG629" s="644"/>
      <c r="BH629" s="515"/>
      <c r="BI629" s="515"/>
      <c r="BJ629" s="644"/>
      <c r="BK629" s="515"/>
      <c r="BL629" s="515"/>
      <c r="BM629" s="644"/>
      <c r="BN629" s="515"/>
      <c r="BO629" s="515"/>
      <c r="BP629" s="644"/>
      <c r="BQ629" s="515"/>
      <c r="BR629" s="515"/>
    </row>
    <row r="630" spans="4:70" x14ac:dyDescent="0.25">
      <c r="D630" s="538"/>
      <c r="G630" s="538"/>
      <c r="J630" s="538"/>
      <c r="M630" s="538"/>
      <c r="R630" s="538"/>
      <c r="S630" s="343"/>
      <c r="T630" s="343"/>
      <c r="U630" s="538"/>
      <c r="V630" s="343"/>
      <c r="W630" s="343"/>
      <c r="X630" s="538"/>
      <c r="Y630" s="343"/>
      <c r="Z630" s="343"/>
      <c r="AA630" s="538"/>
      <c r="AB630" s="343"/>
      <c r="AC630" s="343"/>
      <c r="AE630" s="343"/>
      <c r="AF630" s="538"/>
      <c r="AG630" s="343"/>
      <c r="AH630" s="343"/>
      <c r="AI630" s="538"/>
      <c r="AJ630" s="343"/>
      <c r="AK630" s="343"/>
      <c r="AL630" s="538"/>
      <c r="AM630" s="343"/>
      <c r="AN630" s="343"/>
      <c r="AO630" s="538"/>
      <c r="AP630" s="343"/>
      <c r="AQ630" s="343"/>
      <c r="AS630" s="343"/>
      <c r="AT630" s="538"/>
      <c r="AU630" s="343"/>
      <c r="AV630" s="343"/>
      <c r="AW630" s="538"/>
      <c r="AX630" s="343"/>
      <c r="AY630" s="343"/>
      <c r="AZ630" s="538"/>
      <c r="BA630" s="343"/>
      <c r="BB630" s="343"/>
      <c r="BC630" s="538"/>
      <c r="BD630" s="343"/>
      <c r="BE630" s="343"/>
      <c r="BG630" s="644"/>
      <c r="BH630" s="515"/>
      <c r="BI630" s="515"/>
      <c r="BJ630" s="644"/>
      <c r="BK630" s="515"/>
      <c r="BL630" s="515"/>
      <c r="BM630" s="644"/>
      <c r="BN630" s="515"/>
      <c r="BO630" s="515"/>
      <c r="BP630" s="644"/>
      <c r="BQ630" s="515"/>
      <c r="BR630" s="515"/>
    </row>
    <row r="631" spans="4:70" x14ac:dyDescent="0.25">
      <c r="D631" s="538"/>
      <c r="G631" s="538"/>
      <c r="J631" s="538"/>
      <c r="M631" s="538"/>
      <c r="R631" s="538"/>
      <c r="S631" s="343"/>
      <c r="T631" s="343"/>
      <c r="U631" s="538"/>
      <c r="V631" s="343"/>
      <c r="W631" s="343"/>
      <c r="X631" s="538"/>
      <c r="Y631" s="343"/>
      <c r="Z631" s="343"/>
      <c r="AA631" s="538"/>
      <c r="AB631" s="343"/>
      <c r="AC631" s="343"/>
      <c r="AE631" s="343"/>
      <c r="AF631" s="538"/>
      <c r="AG631" s="343"/>
      <c r="AH631" s="343"/>
      <c r="AI631" s="538"/>
      <c r="AJ631" s="343"/>
      <c r="AK631" s="343"/>
      <c r="AL631" s="538"/>
      <c r="AM631" s="343"/>
      <c r="AN631" s="343"/>
      <c r="AO631" s="538"/>
      <c r="AP631" s="343"/>
      <c r="AQ631" s="343"/>
      <c r="AS631" s="343"/>
      <c r="AT631" s="538"/>
      <c r="AU631" s="343"/>
      <c r="AV631" s="343"/>
      <c r="AW631" s="538"/>
      <c r="AX631" s="343"/>
      <c r="AY631" s="343"/>
      <c r="AZ631" s="538"/>
      <c r="BA631" s="343"/>
      <c r="BB631" s="343"/>
      <c r="BC631" s="538"/>
      <c r="BD631" s="343"/>
      <c r="BE631" s="343"/>
      <c r="BG631" s="644"/>
      <c r="BH631" s="515"/>
      <c r="BI631" s="515"/>
      <c r="BJ631" s="644"/>
      <c r="BK631" s="515"/>
      <c r="BL631" s="515"/>
      <c r="BM631" s="644"/>
      <c r="BN631" s="515"/>
      <c r="BO631" s="515"/>
      <c r="BP631" s="644"/>
      <c r="BQ631" s="515"/>
      <c r="BR631" s="515"/>
    </row>
    <row r="632" spans="4:70" x14ac:dyDescent="0.25">
      <c r="D632" s="538"/>
      <c r="G632" s="538"/>
      <c r="J632" s="538"/>
      <c r="M632" s="538"/>
      <c r="R632" s="538"/>
      <c r="S632" s="343"/>
      <c r="T632" s="343"/>
      <c r="U632" s="538"/>
      <c r="V632" s="343"/>
      <c r="W632" s="343"/>
      <c r="X632" s="538"/>
      <c r="Y632" s="343"/>
      <c r="Z632" s="343"/>
      <c r="AA632" s="538"/>
      <c r="AB632" s="343"/>
      <c r="AC632" s="343"/>
      <c r="AE632" s="343"/>
      <c r="AF632" s="538"/>
      <c r="AG632" s="343"/>
      <c r="AH632" s="343"/>
      <c r="AI632" s="538"/>
      <c r="AJ632" s="343"/>
      <c r="AK632" s="343"/>
      <c r="AL632" s="538"/>
      <c r="AM632" s="343"/>
      <c r="AN632" s="343"/>
      <c r="AO632" s="538"/>
      <c r="AP632" s="343"/>
      <c r="AQ632" s="343"/>
      <c r="AS632" s="343"/>
      <c r="AT632" s="538"/>
      <c r="AU632" s="343"/>
      <c r="AV632" s="343"/>
      <c r="AW632" s="538"/>
      <c r="AX632" s="343"/>
      <c r="AY632" s="343"/>
      <c r="AZ632" s="538"/>
      <c r="BA632" s="343"/>
      <c r="BB632" s="343"/>
      <c r="BC632" s="538"/>
      <c r="BD632" s="343"/>
      <c r="BE632" s="343"/>
      <c r="BG632" s="644"/>
      <c r="BH632" s="515"/>
      <c r="BI632" s="515"/>
      <c r="BJ632" s="644"/>
      <c r="BK632" s="515"/>
      <c r="BL632" s="515"/>
      <c r="BM632" s="644"/>
      <c r="BN632" s="515"/>
      <c r="BO632" s="515"/>
      <c r="BP632" s="644"/>
      <c r="BQ632" s="515"/>
      <c r="BR632" s="515"/>
    </row>
    <row r="633" spans="4:70" x14ac:dyDescent="0.25">
      <c r="D633" s="538"/>
      <c r="G633" s="538"/>
      <c r="J633" s="538"/>
      <c r="M633" s="538"/>
      <c r="R633" s="538"/>
      <c r="S633" s="343"/>
      <c r="T633" s="343"/>
      <c r="U633" s="538"/>
      <c r="V633" s="343"/>
      <c r="W633" s="343"/>
      <c r="X633" s="538"/>
      <c r="Y633" s="343"/>
      <c r="Z633" s="343"/>
      <c r="AA633" s="538"/>
      <c r="AB633" s="343"/>
      <c r="AC633" s="343"/>
      <c r="AE633" s="343"/>
      <c r="AF633" s="538"/>
      <c r="AG633" s="343"/>
      <c r="AH633" s="343"/>
      <c r="AI633" s="538"/>
      <c r="AJ633" s="343"/>
      <c r="AK633" s="343"/>
      <c r="AL633" s="538"/>
      <c r="AM633" s="343"/>
      <c r="AN633" s="343"/>
      <c r="AO633" s="538"/>
      <c r="AP633" s="343"/>
      <c r="AQ633" s="343"/>
      <c r="AS633" s="343"/>
      <c r="AT633" s="538"/>
      <c r="AU633" s="343"/>
      <c r="AV633" s="343"/>
      <c r="AW633" s="538"/>
      <c r="AX633" s="343"/>
      <c r="AY633" s="343"/>
      <c r="AZ633" s="538"/>
      <c r="BA633" s="343"/>
      <c r="BB633" s="343"/>
      <c r="BC633" s="538"/>
      <c r="BD633" s="343"/>
      <c r="BE633" s="343"/>
      <c r="BG633" s="644"/>
      <c r="BH633" s="515"/>
      <c r="BI633" s="515"/>
      <c r="BJ633" s="644"/>
      <c r="BK633" s="515"/>
      <c r="BL633" s="515"/>
      <c r="BM633" s="644"/>
      <c r="BN633" s="515"/>
      <c r="BO633" s="515"/>
      <c r="BP633" s="644"/>
      <c r="BQ633" s="515"/>
      <c r="BR633" s="515"/>
    </row>
    <row r="634" spans="4:70" x14ac:dyDescent="0.25">
      <c r="D634" s="538"/>
      <c r="G634" s="538"/>
      <c r="J634" s="538"/>
      <c r="M634" s="538"/>
      <c r="R634" s="538"/>
      <c r="S634" s="343"/>
      <c r="T634" s="343"/>
      <c r="U634" s="538"/>
      <c r="V634" s="343"/>
      <c r="W634" s="343"/>
      <c r="X634" s="538"/>
      <c r="Y634" s="343"/>
      <c r="Z634" s="343"/>
      <c r="AA634" s="538"/>
      <c r="AB634" s="343"/>
      <c r="AC634" s="343"/>
      <c r="AE634" s="343"/>
      <c r="AF634" s="538"/>
      <c r="AG634" s="343"/>
      <c r="AH634" s="343"/>
      <c r="AI634" s="538"/>
      <c r="AJ634" s="343"/>
      <c r="AK634" s="343"/>
      <c r="AL634" s="538"/>
      <c r="AM634" s="343"/>
      <c r="AN634" s="343"/>
      <c r="AO634" s="538"/>
      <c r="AP634" s="343"/>
      <c r="AQ634" s="343"/>
      <c r="AS634" s="343"/>
      <c r="AT634" s="538"/>
      <c r="AU634" s="343"/>
      <c r="AV634" s="343"/>
      <c r="AW634" s="538"/>
      <c r="AX634" s="343"/>
      <c r="AY634" s="343"/>
      <c r="AZ634" s="538"/>
      <c r="BA634" s="343"/>
      <c r="BB634" s="343"/>
      <c r="BC634" s="538"/>
      <c r="BD634" s="343"/>
      <c r="BE634" s="343"/>
      <c r="BG634" s="644"/>
      <c r="BH634" s="515"/>
      <c r="BI634" s="515"/>
      <c r="BJ634" s="644"/>
      <c r="BK634" s="515"/>
      <c r="BL634" s="515"/>
      <c r="BM634" s="644"/>
      <c r="BN634" s="515"/>
      <c r="BO634" s="515"/>
      <c r="BP634" s="644"/>
      <c r="BQ634" s="515"/>
      <c r="BR634" s="515"/>
    </row>
    <row r="635" spans="4:70" x14ac:dyDescent="0.25">
      <c r="D635" s="538"/>
      <c r="G635" s="538"/>
      <c r="J635" s="538"/>
      <c r="M635" s="538"/>
      <c r="R635" s="538"/>
      <c r="S635" s="343"/>
      <c r="T635" s="343"/>
      <c r="U635" s="538"/>
      <c r="V635" s="343"/>
      <c r="W635" s="343"/>
      <c r="X635" s="538"/>
      <c r="Y635" s="343"/>
      <c r="Z635" s="343"/>
      <c r="AA635" s="538"/>
      <c r="AB635" s="343"/>
      <c r="AC635" s="343"/>
      <c r="AE635" s="343"/>
      <c r="AF635" s="538"/>
      <c r="AG635" s="343"/>
      <c r="AH635" s="343"/>
      <c r="AI635" s="538"/>
      <c r="AJ635" s="343"/>
      <c r="AK635" s="343"/>
      <c r="AL635" s="538"/>
      <c r="AM635" s="343"/>
      <c r="AN635" s="343"/>
      <c r="AO635" s="538"/>
      <c r="AP635" s="343"/>
      <c r="AQ635" s="343"/>
      <c r="AS635" s="343"/>
      <c r="AT635" s="538"/>
      <c r="AU635" s="343"/>
      <c r="AV635" s="343"/>
      <c r="AW635" s="538"/>
      <c r="AX635" s="343"/>
      <c r="AY635" s="343"/>
      <c r="AZ635" s="538"/>
      <c r="BA635" s="343"/>
      <c r="BB635" s="343"/>
      <c r="BC635" s="538"/>
      <c r="BD635" s="343"/>
      <c r="BE635" s="343"/>
      <c r="BG635" s="644"/>
      <c r="BH635" s="515"/>
      <c r="BI635" s="515"/>
      <c r="BJ635" s="644"/>
      <c r="BK635" s="515"/>
      <c r="BL635" s="515"/>
      <c r="BM635" s="644"/>
      <c r="BN635" s="515"/>
      <c r="BO635" s="515"/>
      <c r="BP635" s="644"/>
      <c r="BQ635" s="515"/>
      <c r="BR635" s="515"/>
    </row>
    <row r="636" spans="4:70" x14ac:dyDescent="0.25">
      <c r="D636" s="538"/>
      <c r="G636" s="538"/>
      <c r="J636" s="538"/>
      <c r="M636" s="538"/>
      <c r="R636" s="538"/>
      <c r="S636" s="343"/>
      <c r="T636" s="343"/>
      <c r="U636" s="538"/>
      <c r="V636" s="343"/>
      <c r="W636" s="343"/>
      <c r="X636" s="538"/>
      <c r="Y636" s="343"/>
      <c r="Z636" s="343"/>
      <c r="AA636" s="538"/>
      <c r="AB636" s="343"/>
      <c r="AC636" s="343"/>
      <c r="AE636" s="343"/>
      <c r="AF636" s="538"/>
      <c r="AG636" s="343"/>
      <c r="AH636" s="343"/>
      <c r="AI636" s="538"/>
      <c r="AJ636" s="343"/>
      <c r="AK636" s="343"/>
      <c r="AL636" s="538"/>
      <c r="AM636" s="343"/>
      <c r="AN636" s="343"/>
      <c r="AO636" s="538"/>
      <c r="AP636" s="343"/>
      <c r="AQ636" s="343"/>
      <c r="AS636" s="343"/>
      <c r="AT636" s="538"/>
      <c r="AU636" s="343"/>
      <c r="AV636" s="343"/>
      <c r="AW636" s="538"/>
      <c r="AX636" s="343"/>
      <c r="AY636" s="343"/>
      <c r="AZ636" s="538"/>
      <c r="BA636" s="343"/>
      <c r="BB636" s="343"/>
      <c r="BC636" s="538"/>
      <c r="BD636" s="343"/>
      <c r="BE636" s="343"/>
      <c r="BG636" s="644"/>
      <c r="BH636" s="515"/>
      <c r="BI636" s="515"/>
      <c r="BJ636" s="644"/>
      <c r="BK636" s="515"/>
      <c r="BL636" s="515"/>
      <c r="BM636" s="644"/>
      <c r="BN636" s="515"/>
      <c r="BO636" s="515"/>
      <c r="BP636" s="644"/>
      <c r="BQ636" s="515"/>
      <c r="BR636" s="515"/>
    </row>
    <row r="637" spans="4:70" x14ac:dyDescent="0.25">
      <c r="D637" s="538"/>
      <c r="G637" s="538"/>
      <c r="J637" s="538"/>
      <c r="M637" s="538"/>
      <c r="R637" s="538"/>
      <c r="S637" s="343"/>
      <c r="T637" s="343"/>
      <c r="U637" s="538"/>
      <c r="V637" s="343"/>
      <c r="W637" s="343"/>
      <c r="X637" s="538"/>
      <c r="Y637" s="343"/>
      <c r="Z637" s="343"/>
      <c r="AA637" s="538"/>
      <c r="AB637" s="343"/>
      <c r="AC637" s="343"/>
      <c r="AE637" s="343"/>
      <c r="AF637" s="538"/>
      <c r="AG637" s="343"/>
      <c r="AH637" s="343"/>
      <c r="AI637" s="538"/>
      <c r="AJ637" s="343"/>
      <c r="AK637" s="343"/>
      <c r="AL637" s="538"/>
      <c r="AM637" s="343"/>
      <c r="AN637" s="343"/>
      <c r="AO637" s="538"/>
      <c r="AP637" s="343"/>
      <c r="AQ637" s="343"/>
      <c r="AS637" s="343"/>
      <c r="AT637" s="538"/>
      <c r="AU637" s="343"/>
      <c r="AV637" s="343"/>
      <c r="AW637" s="538"/>
      <c r="AX637" s="343"/>
      <c r="AY637" s="343"/>
      <c r="AZ637" s="538"/>
      <c r="BA637" s="343"/>
      <c r="BB637" s="343"/>
      <c r="BC637" s="538"/>
      <c r="BD637" s="343"/>
      <c r="BE637" s="343"/>
      <c r="BG637" s="644"/>
      <c r="BH637" s="515"/>
      <c r="BI637" s="515"/>
      <c r="BJ637" s="644"/>
      <c r="BK637" s="515"/>
      <c r="BL637" s="515"/>
      <c r="BM637" s="644"/>
      <c r="BN637" s="515"/>
      <c r="BO637" s="515"/>
      <c r="BP637" s="644"/>
      <c r="BQ637" s="515"/>
      <c r="BR637" s="515"/>
    </row>
    <row r="638" spans="4:70" x14ac:dyDescent="0.25">
      <c r="D638" s="538"/>
      <c r="G638" s="538"/>
      <c r="J638" s="538"/>
      <c r="M638" s="538"/>
      <c r="R638" s="538"/>
      <c r="S638" s="343"/>
      <c r="T638" s="343"/>
      <c r="U638" s="538"/>
      <c r="V638" s="343"/>
      <c r="W638" s="343"/>
      <c r="X638" s="538"/>
      <c r="Y638" s="343"/>
      <c r="Z638" s="343"/>
      <c r="AA638" s="538"/>
      <c r="AB638" s="343"/>
      <c r="AC638" s="343"/>
      <c r="AE638" s="343"/>
      <c r="AF638" s="538"/>
      <c r="AG638" s="343"/>
      <c r="AH638" s="343"/>
      <c r="AI638" s="538"/>
      <c r="AJ638" s="343"/>
      <c r="AK638" s="343"/>
      <c r="AL638" s="538"/>
      <c r="AM638" s="343"/>
      <c r="AN638" s="343"/>
      <c r="AO638" s="538"/>
      <c r="AP638" s="343"/>
      <c r="AQ638" s="343"/>
      <c r="AS638" s="343"/>
      <c r="AT638" s="538"/>
      <c r="AU638" s="343"/>
      <c r="AV638" s="343"/>
      <c r="AW638" s="538"/>
      <c r="AX638" s="343"/>
      <c r="AY638" s="343"/>
      <c r="AZ638" s="538"/>
      <c r="BA638" s="343"/>
      <c r="BB638" s="343"/>
      <c r="BC638" s="538"/>
      <c r="BD638" s="343"/>
      <c r="BE638" s="343"/>
      <c r="BG638" s="644"/>
      <c r="BH638" s="515"/>
      <c r="BI638" s="515"/>
      <c r="BJ638" s="644"/>
      <c r="BK638" s="515"/>
      <c r="BL638" s="515"/>
      <c r="BM638" s="644"/>
      <c r="BN638" s="515"/>
      <c r="BO638" s="515"/>
      <c r="BP638" s="644"/>
      <c r="BQ638" s="515"/>
      <c r="BR638" s="515"/>
    </row>
    <row r="639" spans="4:70" x14ac:dyDescent="0.25">
      <c r="D639" s="538"/>
      <c r="G639" s="538"/>
      <c r="J639" s="538"/>
      <c r="M639" s="538"/>
      <c r="R639" s="538"/>
      <c r="S639" s="343"/>
      <c r="T639" s="343"/>
      <c r="U639" s="538"/>
      <c r="V639" s="343"/>
      <c r="W639" s="343"/>
      <c r="X639" s="538"/>
      <c r="Y639" s="343"/>
      <c r="Z639" s="343"/>
      <c r="AA639" s="538"/>
      <c r="AB639" s="343"/>
      <c r="AC639" s="343"/>
      <c r="AE639" s="343"/>
      <c r="AF639" s="538"/>
      <c r="AG639" s="343"/>
      <c r="AH639" s="343"/>
      <c r="AI639" s="538"/>
      <c r="AJ639" s="343"/>
      <c r="AK639" s="343"/>
      <c r="AL639" s="538"/>
      <c r="AM639" s="343"/>
      <c r="AN639" s="343"/>
      <c r="AO639" s="538"/>
      <c r="AP639" s="343"/>
      <c r="AQ639" s="343"/>
      <c r="AS639" s="343"/>
      <c r="AT639" s="538"/>
      <c r="AU639" s="343"/>
      <c r="AV639" s="343"/>
      <c r="AW639" s="538"/>
      <c r="AX639" s="343"/>
      <c r="AY639" s="343"/>
      <c r="AZ639" s="538"/>
      <c r="BA639" s="343"/>
      <c r="BB639" s="343"/>
      <c r="BC639" s="538"/>
      <c r="BD639" s="343"/>
      <c r="BE639" s="343"/>
      <c r="BG639" s="644"/>
      <c r="BH639" s="515"/>
      <c r="BI639" s="515"/>
      <c r="BJ639" s="644"/>
      <c r="BK639" s="515"/>
      <c r="BL639" s="515"/>
      <c r="BM639" s="644"/>
      <c r="BN639" s="515"/>
      <c r="BO639" s="515"/>
      <c r="BP639" s="644"/>
      <c r="BQ639" s="515"/>
      <c r="BR639" s="515"/>
    </row>
    <row r="640" spans="4:70" x14ac:dyDescent="0.25">
      <c r="D640" s="538"/>
      <c r="G640" s="538"/>
      <c r="J640" s="538"/>
      <c r="M640" s="538"/>
      <c r="R640" s="538"/>
      <c r="S640" s="343"/>
      <c r="T640" s="343"/>
      <c r="U640" s="538"/>
      <c r="V640" s="343"/>
      <c r="W640" s="343"/>
      <c r="X640" s="538"/>
      <c r="Y640" s="343"/>
      <c r="Z640" s="343"/>
      <c r="AA640" s="538"/>
      <c r="AB640" s="343"/>
      <c r="AC640" s="343"/>
      <c r="AE640" s="343"/>
      <c r="AF640" s="538"/>
      <c r="AG640" s="343"/>
      <c r="AH640" s="343"/>
      <c r="AI640" s="538"/>
      <c r="AJ640" s="343"/>
      <c r="AK640" s="343"/>
      <c r="AL640" s="538"/>
      <c r="AM640" s="343"/>
      <c r="AN640" s="343"/>
      <c r="AO640" s="538"/>
      <c r="AP640" s="343"/>
      <c r="AQ640" s="343"/>
      <c r="AS640" s="343"/>
      <c r="AT640" s="538"/>
      <c r="AU640" s="343"/>
      <c r="AV640" s="343"/>
      <c r="AW640" s="538"/>
      <c r="AX640" s="343"/>
      <c r="AY640" s="343"/>
      <c r="AZ640" s="538"/>
      <c r="BA640" s="343"/>
      <c r="BB640" s="343"/>
      <c r="BC640" s="538"/>
      <c r="BD640" s="343"/>
      <c r="BE640" s="343"/>
      <c r="BG640" s="644"/>
      <c r="BH640" s="515"/>
      <c r="BI640" s="515"/>
      <c r="BJ640" s="644"/>
      <c r="BK640" s="515"/>
      <c r="BL640" s="515"/>
      <c r="BM640" s="644"/>
      <c r="BN640" s="515"/>
      <c r="BO640" s="515"/>
      <c r="BP640" s="644"/>
      <c r="BQ640" s="515"/>
      <c r="BR640" s="515"/>
    </row>
    <row r="641" spans="4:70" x14ac:dyDescent="0.25">
      <c r="D641" s="538"/>
      <c r="G641" s="538"/>
      <c r="J641" s="538"/>
      <c r="M641" s="538"/>
      <c r="R641" s="538"/>
      <c r="S641" s="343"/>
      <c r="T641" s="343"/>
      <c r="U641" s="538"/>
      <c r="V641" s="343"/>
      <c r="W641" s="343"/>
      <c r="X641" s="538"/>
      <c r="Y641" s="343"/>
      <c r="Z641" s="343"/>
      <c r="AA641" s="538"/>
      <c r="AB641" s="343"/>
      <c r="AC641" s="343"/>
      <c r="AE641" s="343"/>
      <c r="AF641" s="538"/>
      <c r="AG641" s="343"/>
      <c r="AH641" s="343"/>
      <c r="AI641" s="538"/>
      <c r="AJ641" s="343"/>
      <c r="AK641" s="343"/>
      <c r="AL641" s="538"/>
      <c r="AM641" s="343"/>
      <c r="AN641" s="343"/>
      <c r="AO641" s="538"/>
      <c r="AP641" s="343"/>
      <c r="AQ641" s="343"/>
      <c r="AS641" s="343"/>
      <c r="AT641" s="538"/>
      <c r="AU641" s="343"/>
      <c r="AV641" s="343"/>
      <c r="AW641" s="538"/>
      <c r="AX641" s="343"/>
      <c r="AY641" s="343"/>
      <c r="AZ641" s="538"/>
      <c r="BA641" s="343"/>
      <c r="BB641" s="343"/>
      <c r="BC641" s="538"/>
      <c r="BD641" s="343"/>
      <c r="BE641" s="343"/>
      <c r="BG641" s="644"/>
      <c r="BH641" s="515"/>
      <c r="BI641" s="515"/>
      <c r="BJ641" s="644"/>
      <c r="BK641" s="515"/>
      <c r="BL641" s="515"/>
      <c r="BM641" s="644"/>
      <c r="BN641" s="515"/>
      <c r="BO641" s="515"/>
      <c r="BP641" s="644"/>
      <c r="BQ641" s="515"/>
      <c r="BR641" s="515"/>
    </row>
    <row r="642" spans="4:70" x14ac:dyDescent="0.25">
      <c r="D642" s="538"/>
      <c r="G642" s="538"/>
      <c r="J642" s="538"/>
      <c r="M642" s="538"/>
      <c r="R642" s="538"/>
      <c r="S642" s="343"/>
      <c r="T642" s="343"/>
      <c r="U642" s="538"/>
      <c r="V642" s="343"/>
      <c r="W642" s="343"/>
      <c r="X642" s="538"/>
      <c r="Y642" s="343"/>
      <c r="Z642" s="343"/>
      <c r="AA642" s="538"/>
      <c r="AB642" s="343"/>
      <c r="AC642" s="343"/>
      <c r="AE642" s="343"/>
      <c r="AF642" s="538"/>
      <c r="AG642" s="343"/>
      <c r="AH642" s="343"/>
      <c r="AI642" s="538"/>
      <c r="AJ642" s="343"/>
      <c r="AK642" s="343"/>
      <c r="AL642" s="538"/>
      <c r="AM642" s="343"/>
      <c r="AN642" s="343"/>
      <c r="AO642" s="538"/>
      <c r="AP642" s="343"/>
      <c r="AQ642" s="343"/>
      <c r="AS642" s="343"/>
      <c r="AT642" s="538"/>
      <c r="AU642" s="343"/>
      <c r="AV642" s="343"/>
      <c r="AW642" s="538"/>
      <c r="AX642" s="343"/>
      <c r="AY642" s="343"/>
      <c r="AZ642" s="538"/>
      <c r="BA642" s="343"/>
      <c r="BB642" s="343"/>
      <c r="BC642" s="538"/>
      <c r="BD642" s="343"/>
      <c r="BE642" s="343"/>
      <c r="BG642" s="644"/>
      <c r="BH642" s="515"/>
      <c r="BI642" s="515"/>
      <c r="BJ642" s="644"/>
      <c r="BK642" s="515"/>
      <c r="BL642" s="515"/>
      <c r="BM642" s="644"/>
      <c r="BN642" s="515"/>
      <c r="BO642" s="515"/>
      <c r="BP642" s="644"/>
      <c r="BQ642" s="515"/>
      <c r="BR642" s="515"/>
    </row>
    <row r="643" spans="4:70" x14ac:dyDescent="0.25">
      <c r="D643" s="538"/>
      <c r="G643" s="538"/>
      <c r="J643" s="538"/>
      <c r="M643" s="538"/>
      <c r="R643" s="538"/>
      <c r="S643" s="343"/>
      <c r="T643" s="343"/>
      <c r="U643" s="538"/>
      <c r="V643" s="343"/>
      <c r="W643" s="343"/>
      <c r="X643" s="538"/>
      <c r="Y643" s="343"/>
      <c r="Z643" s="343"/>
      <c r="AA643" s="538"/>
      <c r="AB643" s="343"/>
      <c r="AC643" s="343"/>
      <c r="AE643" s="343"/>
      <c r="AF643" s="538"/>
      <c r="AG643" s="343"/>
      <c r="AH643" s="343"/>
      <c r="AI643" s="538"/>
      <c r="AJ643" s="343"/>
      <c r="AK643" s="343"/>
      <c r="AL643" s="538"/>
      <c r="AM643" s="343"/>
      <c r="AN643" s="343"/>
      <c r="AO643" s="538"/>
      <c r="AP643" s="343"/>
      <c r="AQ643" s="343"/>
      <c r="AS643" s="343"/>
      <c r="AT643" s="538"/>
      <c r="AU643" s="343"/>
      <c r="AV643" s="343"/>
      <c r="AW643" s="538"/>
      <c r="AX643" s="343"/>
      <c r="AY643" s="343"/>
      <c r="AZ643" s="538"/>
      <c r="BA643" s="343"/>
      <c r="BB643" s="343"/>
      <c r="BC643" s="538"/>
      <c r="BD643" s="343"/>
      <c r="BE643" s="343"/>
      <c r="BG643" s="644"/>
      <c r="BH643" s="515"/>
      <c r="BI643" s="515"/>
      <c r="BJ643" s="644"/>
      <c r="BK643" s="515"/>
      <c r="BL643" s="515"/>
      <c r="BM643" s="644"/>
      <c r="BN643" s="515"/>
      <c r="BO643" s="515"/>
      <c r="BP643" s="644"/>
      <c r="BQ643" s="515"/>
      <c r="BR643" s="515"/>
    </row>
    <row r="644" spans="4:70" x14ac:dyDescent="0.25">
      <c r="D644" s="538"/>
      <c r="G644" s="538"/>
      <c r="J644" s="538"/>
      <c r="M644" s="538"/>
      <c r="R644" s="538"/>
      <c r="S644" s="343"/>
      <c r="T644" s="343"/>
      <c r="U644" s="538"/>
      <c r="V644" s="343"/>
      <c r="W644" s="343"/>
      <c r="X644" s="538"/>
      <c r="Y644" s="343"/>
      <c r="Z644" s="343"/>
      <c r="AA644" s="538"/>
      <c r="AB644" s="343"/>
      <c r="AC644" s="343"/>
      <c r="AE644" s="343"/>
      <c r="AF644" s="538"/>
      <c r="AG644" s="343"/>
      <c r="AH644" s="343"/>
      <c r="AI644" s="538"/>
      <c r="AJ644" s="343"/>
      <c r="AK644" s="343"/>
      <c r="AL644" s="538"/>
      <c r="AM644" s="343"/>
      <c r="AN644" s="343"/>
      <c r="AO644" s="538"/>
      <c r="AP644" s="343"/>
      <c r="AQ644" s="343"/>
      <c r="AS644" s="343"/>
      <c r="AT644" s="538"/>
      <c r="AU644" s="343"/>
      <c r="AV644" s="343"/>
      <c r="AW644" s="538"/>
      <c r="AX644" s="343"/>
      <c r="AY644" s="343"/>
      <c r="AZ644" s="538"/>
      <c r="BA644" s="343"/>
      <c r="BB644" s="343"/>
      <c r="BC644" s="538"/>
      <c r="BD644" s="343"/>
      <c r="BE644" s="343"/>
      <c r="BG644" s="644"/>
      <c r="BH644" s="515"/>
      <c r="BI644" s="515"/>
      <c r="BJ644" s="644"/>
      <c r="BK644" s="515"/>
      <c r="BL644" s="515"/>
      <c r="BM644" s="644"/>
      <c r="BN644" s="515"/>
      <c r="BO644" s="515"/>
      <c r="BP644" s="644"/>
      <c r="BQ644" s="515"/>
      <c r="BR644" s="515"/>
    </row>
    <row r="645" spans="4:70" x14ac:dyDescent="0.25">
      <c r="D645" s="538"/>
      <c r="G645" s="538"/>
      <c r="J645" s="538"/>
      <c r="M645" s="538"/>
      <c r="R645" s="538"/>
      <c r="S645" s="343"/>
      <c r="T645" s="343"/>
      <c r="U645" s="538"/>
      <c r="V645" s="343"/>
      <c r="W645" s="343"/>
      <c r="X645" s="538"/>
      <c r="Y645" s="343"/>
      <c r="Z645" s="343"/>
      <c r="AA645" s="538"/>
      <c r="AB645" s="343"/>
      <c r="AC645" s="343"/>
      <c r="AE645" s="343"/>
      <c r="AF645" s="538"/>
      <c r="AG645" s="343"/>
      <c r="AH645" s="343"/>
      <c r="AI645" s="538"/>
      <c r="AJ645" s="343"/>
      <c r="AK645" s="343"/>
      <c r="AL645" s="538"/>
      <c r="AM645" s="343"/>
      <c r="AN645" s="343"/>
      <c r="AO645" s="538"/>
      <c r="AP645" s="343"/>
      <c r="AQ645" s="343"/>
      <c r="AS645" s="343"/>
      <c r="AT645" s="538"/>
      <c r="AU645" s="343"/>
      <c r="AV645" s="343"/>
      <c r="AW645" s="538"/>
      <c r="AX645" s="343"/>
      <c r="AY645" s="343"/>
      <c r="AZ645" s="538"/>
      <c r="BA645" s="343"/>
      <c r="BB645" s="343"/>
      <c r="BC645" s="538"/>
      <c r="BD645" s="343"/>
      <c r="BE645" s="343"/>
      <c r="BG645" s="644"/>
      <c r="BH645" s="515"/>
      <c r="BI645" s="515"/>
      <c r="BJ645" s="644"/>
      <c r="BK645" s="515"/>
      <c r="BL645" s="515"/>
      <c r="BM645" s="644"/>
      <c r="BN645" s="515"/>
      <c r="BO645" s="515"/>
      <c r="BP645" s="644"/>
      <c r="BQ645" s="515"/>
      <c r="BR645" s="515"/>
    </row>
    <row r="646" spans="4:70" x14ac:dyDescent="0.25">
      <c r="D646" s="538"/>
      <c r="G646" s="538"/>
      <c r="J646" s="538"/>
      <c r="M646" s="538"/>
      <c r="R646" s="538"/>
      <c r="S646" s="343"/>
      <c r="T646" s="343"/>
      <c r="U646" s="538"/>
      <c r="V646" s="343"/>
      <c r="W646" s="343"/>
      <c r="X646" s="538"/>
      <c r="Y646" s="343"/>
      <c r="Z646" s="343"/>
      <c r="AA646" s="538"/>
      <c r="AB646" s="343"/>
      <c r="AC646" s="343"/>
      <c r="AE646" s="343"/>
      <c r="AF646" s="538"/>
      <c r="AG646" s="343"/>
      <c r="AH646" s="343"/>
      <c r="AI646" s="538"/>
      <c r="AJ646" s="343"/>
      <c r="AK646" s="343"/>
      <c r="AL646" s="538"/>
      <c r="AM646" s="343"/>
      <c r="AN646" s="343"/>
      <c r="AO646" s="538"/>
      <c r="AP646" s="343"/>
      <c r="AQ646" s="343"/>
      <c r="AS646" s="343"/>
      <c r="AT646" s="538"/>
      <c r="AU646" s="343"/>
      <c r="AV646" s="343"/>
      <c r="AW646" s="538"/>
      <c r="AX646" s="343"/>
      <c r="AY646" s="343"/>
      <c r="AZ646" s="538"/>
      <c r="BA646" s="343"/>
      <c r="BB646" s="343"/>
      <c r="BC646" s="538"/>
      <c r="BD646" s="343"/>
      <c r="BE646" s="343"/>
      <c r="BG646" s="644"/>
      <c r="BH646" s="515"/>
      <c r="BI646" s="515"/>
      <c r="BJ646" s="644"/>
      <c r="BK646" s="515"/>
      <c r="BL646" s="515"/>
      <c r="BM646" s="644"/>
      <c r="BN646" s="515"/>
      <c r="BO646" s="515"/>
      <c r="BP646" s="644"/>
      <c r="BQ646" s="515"/>
      <c r="BR646" s="515"/>
    </row>
    <row r="647" spans="4:70" x14ac:dyDescent="0.25">
      <c r="D647" s="538"/>
      <c r="G647" s="538"/>
      <c r="J647" s="538"/>
      <c r="M647" s="538"/>
      <c r="R647" s="538"/>
      <c r="S647" s="343"/>
      <c r="T647" s="343"/>
      <c r="U647" s="538"/>
      <c r="V647" s="343"/>
      <c r="W647" s="343"/>
      <c r="X647" s="538"/>
      <c r="Y647" s="343"/>
      <c r="Z647" s="343"/>
      <c r="AA647" s="538"/>
      <c r="AB647" s="343"/>
      <c r="AC647" s="343"/>
      <c r="AE647" s="343"/>
      <c r="AF647" s="538"/>
      <c r="AG647" s="343"/>
      <c r="AH647" s="343"/>
      <c r="AI647" s="538"/>
      <c r="AJ647" s="343"/>
      <c r="AK647" s="343"/>
      <c r="AL647" s="538"/>
      <c r="AM647" s="343"/>
      <c r="AN647" s="343"/>
      <c r="AO647" s="538"/>
      <c r="AP647" s="343"/>
      <c r="AQ647" s="343"/>
      <c r="AS647" s="343"/>
      <c r="AT647" s="538"/>
      <c r="AU647" s="343"/>
      <c r="AV647" s="343"/>
      <c r="AW647" s="538"/>
      <c r="AX647" s="343"/>
      <c r="AY647" s="343"/>
      <c r="AZ647" s="538"/>
      <c r="BA647" s="343"/>
      <c r="BB647" s="343"/>
      <c r="BC647" s="538"/>
      <c r="BD647" s="343"/>
      <c r="BE647" s="343"/>
      <c r="BG647" s="644"/>
      <c r="BH647" s="515"/>
      <c r="BI647" s="515"/>
      <c r="BJ647" s="644"/>
      <c r="BK647" s="515"/>
      <c r="BL647" s="515"/>
      <c r="BM647" s="644"/>
      <c r="BN647" s="515"/>
      <c r="BO647" s="515"/>
      <c r="BP647" s="644"/>
      <c r="BQ647" s="515"/>
      <c r="BR647" s="515"/>
    </row>
    <row r="648" spans="4:70" x14ac:dyDescent="0.25">
      <c r="D648" s="538"/>
      <c r="G648" s="538"/>
      <c r="J648" s="538"/>
      <c r="M648" s="538"/>
      <c r="R648" s="538"/>
      <c r="S648" s="343"/>
      <c r="T648" s="343"/>
      <c r="U648" s="538"/>
      <c r="V648" s="343"/>
      <c r="W648" s="343"/>
      <c r="X648" s="538"/>
      <c r="Y648" s="343"/>
      <c r="Z648" s="343"/>
      <c r="AA648" s="538"/>
      <c r="AB648" s="343"/>
      <c r="AC648" s="343"/>
      <c r="AE648" s="343"/>
      <c r="AF648" s="538"/>
      <c r="AG648" s="343"/>
      <c r="AH648" s="343"/>
      <c r="AI648" s="538"/>
      <c r="AJ648" s="343"/>
      <c r="AK648" s="343"/>
      <c r="AL648" s="538"/>
      <c r="AM648" s="343"/>
      <c r="AN648" s="343"/>
      <c r="AO648" s="538"/>
      <c r="AP648" s="343"/>
      <c r="AQ648" s="343"/>
      <c r="AS648" s="343"/>
      <c r="AT648" s="538"/>
      <c r="AU648" s="343"/>
      <c r="AV648" s="343"/>
      <c r="AW648" s="538"/>
      <c r="AX648" s="343"/>
      <c r="AY648" s="343"/>
      <c r="AZ648" s="538"/>
      <c r="BA648" s="343"/>
      <c r="BB648" s="343"/>
      <c r="BC648" s="538"/>
      <c r="BD648" s="343"/>
      <c r="BE648" s="343"/>
      <c r="BG648" s="644"/>
      <c r="BH648" s="515"/>
      <c r="BI648" s="515"/>
      <c r="BJ648" s="644"/>
      <c r="BK648" s="515"/>
      <c r="BL648" s="515"/>
      <c r="BM648" s="644"/>
      <c r="BN648" s="515"/>
      <c r="BO648" s="515"/>
      <c r="BP648" s="644"/>
      <c r="BQ648" s="515"/>
      <c r="BR648" s="515"/>
    </row>
    <row r="649" spans="4:70" x14ac:dyDescent="0.25">
      <c r="D649" s="538"/>
      <c r="G649" s="538"/>
      <c r="J649" s="538"/>
      <c r="M649" s="538"/>
      <c r="R649" s="538"/>
      <c r="S649" s="343"/>
      <c r="T649" s="343"/>
      <c r="U649" s="538"/>
      <c r="V649" s="343"/>
      <c r="W649" s="343"/>
      <c r="X649" s="538"/>
      <c r="Y649" s="343"/>
      <c r="Z649" s="343"/>
      <c r="AA649" s="538"/>
      <c r="AB649" s="343"/>
      <c r="AC649" s="343"/>
      <c r="AE649" s="343"/>
      <c r="AF649" s="538"/>
      <c r="AG649" s="343"/>
      <c r="AH649" s="343"/>
      <c r="AI649" s="538"/>
      <c r="AJ649" s="343"/>
      <c r="AK649" s="343"/>
      <c r="AL649" s="538"/>
      <c r="AM649" s="343"/>
      <c r="AN649" s="343"/>
      <c r="AO649" s="538"/>
      <c r="AP649" s="343"/>
      <c r="AQ649" s="343"/>
      <c r="AS649" s="343"/>
      <c r="AT649" s="538"/>
      <c r="AU649" s="343"/>
      <c r="AV649" s="343"/>
      <c r="AW649" s="538"/>
      <c r="AX649" s="343"/>
      <c r="AY649" s="343"/>
      <c r="AZ649" s="538"/>
      <c r="BA649" s="343"/>
      <c r="BB649" s="343"/>
      <c r="BC649" s="538"/>
      <c r="BD649" s="343"/>
      <c r="BE649" s="343"/>
      <c r="BG649" s="644"/>
      <c r="BH649" s="515"/>
      <c r="BI649" s="515"/>
      <c r="BJ649" s="644"/>
      <c r="BK649" s="515"/>
      <c r="BL649" s="515"/>
      <c r="BM649" s="644"/>
      <c r="BN649" s="515"/>
      <c r="BO649" s="515"/>
      <c r="BP649" s="644"/>
      <c r="BQ649" s="515"/>
      <c r="BR649" s="515"/>
    </row>
    <row r="650" spans="4:70" x14ac:dyDescent="0.25">
      <c r="D650" s="538"/>
      <c r="G650" s="538"/>
      <c r="J650" s="538"/>
      <c r="M650" s="538"/>
      <c r="R650" s="538"/>
      <c r="S650" s="343"/>
      <c r="T650" s="343"/>
      <c r="U650" s="538"/>
      <c r="V650" s="343"/>
      <c r="W650" s="343"/>
      <c r="X650" s="538"/>
      <c r="Y650" s="343"/>
      <c r="Z650" s="343"/>
      <c r="AA650" s="538"/>
      <c r="AB650" s="343"/>
      <c r="AC650" s="343"/>
      <c r="AE650" s="343"/>
      <c r="AF650" s="538"/>
      <c r="AG650" s="343"/>
      <c r="AH650" s="343"/>
      <c r="AI650" s="538"/>
      <c r="AJ650" s="343"/>
      <c r="AK650" s="343"/>
      <c r="AL650" s="538"/>
      <c r="AM650" s="343"/>
      <c r="AN650" s="343"/>
      <c r="AO650" s="538"/>
      <c r="AP650" s="343"/>
      <c r="AQ650" s="343"/>
      <c r="AS650" s="343"/>
      <c r="AT650" s="538"/>
      <c r="AU650" s="343"/>
      <c r="AV650" s="343"/>
      <c r="AW650" s="538"/>
      <c r="AX650" s="343"/>
      <c r="AY650" s="343"/>
      <c r="AZ650" s="538"/>
      <c r="BA650" s="343"/>
      <c r="BB650" s="343"/>
      <c r="BC650" s="538"/>
      <c r="BD650" s="343"/>
      <c r="BE650" s="343"/>
      <c r="BG650" s="644"/>
      <c r="BH650" s="515"/>
      <c r="BI650" s="515"/>
      <c r="BJ650" s="644"/>
      <c r="BK650" s="515"/>
      <c r="BL650" s="515"/>
      <c r="BM650" s="644"/>
      <c r="BN650" s="515"/>
      <c r="BO650" s="515"/>
      <c r="BP650" s="644"/>
      <c r="BQ650" s="515"/>
      <c r="BR650" s="515"/>
    </row>
    <row r="651" spans="4:70" x14ac:dyDescent="0.25">
      <c r="D651" s="538"/>
      <c r="G651" s="538"/>
      <c r="J651" s="538"/>
      <c r="M651" s="538"/>
      <c r="R651" s="538"/>
      <c r="S651" s="343"/>
      <c r="T651" s="343"/>
      <c r="U651" s="538"/>
      <c r="V651" s="343"/>
      <c r="W651" s="343"/>
      <c r="X651" s="538"/>
      <c r="Y651" s="343"/>
      <c r="Z651" s="343"/>
      <c r="AA651" s="538"/>
      <c r="AB651" s="343"/>
      <c r="AC651" s="343"/>
      <c r="AE651" s="343"/>
      <c r="AF651" s="538"/>
      <c r="AG651" s="343"/>
      <c r="AH651" s="343"/>
      <c r="AI651" s="538"/>
      <c r="AJ651" s="343"/>
      <c r="AK651" s="343"/>
      <c r="AL651" s="538"/>
      <c r="AM651" s="343"/>
      <c r="AN651" s="343"/>
      <c r="AO651" s="538"/>
      <c r="AP651" s="343"/>
      <c r="AQ651" s="343"/>
      <c r="AS651" s="343"/>
      <c r="AT651" s="538"/>
      <c r="AU651" s="343"/>
      <c r="AV651" s="343"/>
      <c r="AW651" s="538"/>
      <c r="AX651" s="343"/>
      <c r="AY651" s="343"/>
      <c r="AZ651" s="538"/>
      <c r="BA651" s="343"/>
      <c r="BB651" s="343"/>
      <c r="BC651" s="538"/>
      <c r="BD651" s="343"/>
      <c r="BE651" s="343"/>
      <c r="BG651" s="644"/>
      <c r="BH651" s="515"/>
      <c r="BI651" s="515"/>
      <c r="BJ651" s="644"/>
      <c r="BK651" s="515"/>
      <c r="BL651" s="515"/>
      <c r="BM651" s="644"/>
      <c r="BN651" s="515"/>
      <c r="BO651" s="515"/>
      <c r="BP651" s="644"/>
      <c r="BQ651" s="515"/>
      <c r="BR651" s="515"/>
    </row>
    <row r="652" spans="4:70" x14ac:dyDescent="0.25">
      <c r="D652" s="538"/>
      <c r="G652" s="538"/>
      <c r="J652" s="538"/>
      <c r="M652" s="538"/>
      <c r="R652" s="538"/>
      <c r="S652" s="343"/>
      <c r="T652" s="343"/>
      <c r="U652" s="538"/>
      <c r="V652" s="343"/>
      <c r="W652" s="343"/>
      <c r="X652" s="538"/>
      <c r="Y652" s="343"/>
      <c r="Z652" s="343"/>
      <c r="AA652" s="538"/>
      <c r="AB652" s="343"/>
      <c r="AC652" s="343"/>
      <c r="AE652" s="343"/>
      <c r="AF652" s="538"/>
      <c r="AG652" s="343"/>
      <c r="AH652" s="343"/>
      <c r="AI652" s="538"/>
      <c r="AJ652" s="343"/>
      <c r="AK652" s="343"/>
      <c r="AL652" s="538"/>
      <c r="AM652" s="343"/>
      <c r="AN652" s="343"/>
      <c r="AO652" s="538"/>
      <c r="AP652" s="343"/>
      <c r="AQ652" s="343"/>
      <c r="AS652" s="343"/>
      <c r="AT652" s="538"/>
      <c r="AU652" s="343"/>
      <c r="AV652" s="343"/>
      <c r="AW652" s="538"/>
      <c r="AX652" s="343"/>
      <c r="AY652" s="343"/>
      <c r="AZ652" s="538"/>
      <c r="BA652" s="343"/>
      <c r="BB652" s="343"/>
      <c r="BC652" s="538"/>
      <c r="BD652" s="343"/>
      <c r="BE652" s="343"/>
      <c r="BG652" s="644"/>
      <c r="BH652" s="515"/>
      <c r="BI652" s="515"/>
      <c r="BJ652" s="644"/>
      <c r="BK652" s="515"/>
      <c r="BL652" s="515"/>
      <c r="BM652" s="644"/>
      <c r="BN652" s="515"/>
      <c r="BO652" s="515"/>
      <c r="BP652" s="644"/>
      <c r="BQ652" s="515"/>
      <c r="BR652" s="515"/>
    </row>
    <row r="653" spans="4:70" x14ac:dyDescent="0.25">
      <c r="D653" s="538"/>
      <c r="G653" s="538"/>
      <c r="J653" s="538"/>
      <c r="M653" s="538"/>
      <c r="R653" s="538"/>
      <c r="S653" s="343"/>
      <c r="T653" s="343"/>
      <c r="U653" s="538"/>
      <c r="V653" s="343"/>
      <c r="W653" s="343"/>
      <c r="X653" s="538"/>
      <c r="Y653" s="343"/>
      <c r="Z653" s="343"/>
      <c r="AA653" s="538"/>
      <c r="AB653" s="343"/>
      <c r="AC653" s="343"/>
      <c r="AE653" s="343"/>
      <c r="AF653" s="538"/>
      <c r="AG653" s="343"/>
      <c r="AH653" s="343"/>
      <c r="AI653" s="538"/>
      <c r="AJ653" s="343"/>
      <c r="AK653" s="343"/>
      <c r="AL653" s="538"/>
      <c r="AM653" s="343"/>
      <c r="AN653" s="343"/>
      <c r="AO653" s="538"/>
      <c r="AP653" s="343"/>
      <c r="AQ653" s="343"/>
      <c r="AS653" s="343"/>
      <c r="AT653" s="538"/>
      <c r="AU653" s="343"/>
      <c r="AV653" s="343"/>
      <c r="AW653" s="538"/>
      <c r="AX653" s="343"/>
      <c r="AY653" s="343"/>
      <c r="AZ653" s="538"/>
      <c r="BA653" s="343"/>
      <c r="BB653" s="343"/>
      <c r="BC653" s="538"/>
      <c r="BD653" s="343"/>
      <c r="BE653" s="343"/>
      <c r="BG653" s="644"/>
      <c r="BH653" s="515"/>
      <c r="BI653" s="515"/>
      <c r="BJ653" s="644"/>
      <c r="BK653" s="515"/>
      <c r="BL653" s="515"/>
      <c r="BM653" s="644"/>
      <c r="BN653" s="515"/>
      <c r="BO653" s="515"/>
      <c r="BP653" s="644"/>
      <c r="BQ653" s="515"/>
      <c r="BR653" s="515"/>
    </row>
    <row r="654" spans="4:70" x14ac:dyDescent="0.25">
      <c r="D654" s="538"/>
      <c r="G654" s="538"/>
      <c r="J654" s="538"/>
      <c r="M654" s="538"/>
      <c r="R654" s="538"/>
      <c r="S654" s="343"/>
      <c r="T654" s="343"/>
      <c r="U654" s="538"/>
      <c r="V654" s="343"/>
      <c r="W654" s="343"/>
      <c r="X654" s="538"/>
      <c r="Y654" s="343"/>
      <c r="Z654" s="343"/>
      <c r="AA654" s="538"/>
      <c r="AB654" s="343"/>
      <c r="AC654" s="343"/>
      <c r="AE654" s="343"/>
      <c r="AF654" s="538"/>
      <c r="AG654" s="343"/>
      <c r="AH654" s="343"/>
      <c r="AI654" s="538"/>
      <c r="AJ654" s="343"/>
      <c r="AK654" s="343"/>
      <c r="AL654" s="538"/>
      <c r="AM654" s="343"/>
      <c r="AN654" s="343"/>
      <c r="AO654" s="538"/>
      <c r="AP654" s="343"/>
      <c r="AQ654" s="343"/>
      <c r="AS654" s="343"/>
      <c r="AT654" s="538"/>
      <c r="AU654" s="343"/>
      <c r="AV654" s="343"/>
      <c r="AW654" s="538"/>
      <c r="AX654" s="343"/>
      <c r="AY654" s="343"/>
      <c r="AZ654" s="538"/>
      <c r="BA654" s="343"/>
      <c r="BB654" s="343"/>
      <c r="BC654" s="538"/>
      <c r="BD654" s="343"/>
      <c r="BE654" s="343"/>
      <c r="BG654" s="644"/>
      <c r="BH654" s="515"/>
      <c r="BI654" s="515"/>
      <c r="BJ654" s="644"/>
      <c r="BK654" s="515"/>
      <c r="BL654" s="515"/>
      <c r="BM654" s="644"/>
      <c r="BN654" s="515"/>
      <c r="BO654" s="515"/>
      <c r="BP654" s="644"/>
      <c r="BQ654" s="515"/>
      <c r="BR654" s="515"/>
    </row>
    <row r="655" spans="4:70" x14ac:dyDescent="0.25">
      <c r="D655" s="538"/>
      <c r="G655" s="538"/>
      <c r="J655" s="538"/>
      <c r="M655" s="538"/>
      <c r="R655" s="538"/>
      <c r="S655" s="343"/>
      <c r="T655" s="343"/>
      <c r="U655" s="538"/>
      <c r="V655" s="343"/>
      <c r="W655" s="343"/>
      <c r="X655" s="538"/>
      <c r="Y655" s="343"/>
      <c r="Z655" s="343"/>
      <c r="AA655" s="538"/>
      <c r="AB655" s="343"/>
      <c r="AC655" s="343"/>
      <c r="AE655" s="343"/>
      <c r="AF655" s="538"/>
      <c r="AG655" s="343"/>
      <c r="AH655" s="343"/>
      <c r="AI655" s="538"/>
      <c r="AJ655" s="343"/>
      <c r="AK655" s="343"/>
      <c r="AL655" s="538"/>
      <c r="AM655" s="343"/>
      <c r="AN655" s="343"/>
      <c r="AO655" s="538"/>
      <c r="AP655" s="343"/>
      <c r="AQ655" s="343"/>
      <c r="AS655" s="343"/>
      <c r="AT655" s="538"/>
      <c r="AU655" s="343"/>
      <c r="AV655" s="343"/>
      <c r="AW655" s="538"/>
      <c r="AX655" s="343"/>
      <c r="AY655" s="343"/>
      <c r="AZ655" s="538"/>
      <c r="BA655" s="343"/>
      <c r="BB655" s="343"/>
      <c r="BC655" s="538"/>
      <c r="BD655" s="343"/>
      <c r="BE655" s="343"/>
      <c r="BG655" s="644"/>
      <c r="BH655" s="515"/>
      <c r="BI655" s="515"/>
      <c r="BJ655" s="644"/>
      <c r="BK655" s="515"/>
      <c r="BL655" s="515"/>
      <c r="BM655" s="644"/>
      <c r="BN655" s="515"/>
      <c r="BO655" s="515"/>
      <c r="BP655" s="644"/>
      <c r="BQ655" s="515"/>
      <c r="BR655" s="515"/>
    </row>
    <row r="656" spans="4:70" x14ac:dyDescent="0.25">
      <c r="D656" s="538"/>
      <c r="G656" s="538"/>
      <c r="J656" s="538"/>
      <c r="M656" s="538"/>
      <c r="R656" s="538"/>
      <c r="S656" s="343"/>
      <c r="T656" s="343"/>
      <c r="U656" s="538"/>
      <c r="V656" s="343"/>
      <c r="W656" s="343"/>
      <c r="X656" s="538"/>
      <c r="Y656" s="343"/>
      <c r="Z656" s="343"/>
      <c r="AA656" s="538"/>
      <c r="AB656" s="343"/>
      <c r="AC656" s="343"/>
      <c r="AE656" s="343"/>
      <c r="AF656" s="538"/>
      <c r="AG656" s="343"/>
      <c r="AH656" s="343"/>
      <c r="AI656" s="538"/>
      <c r="AJ656" s="343"/>
      <c r="AK656" s="343"/>
      <c r="AL656" s="538"/>
      <c r="AM656" s="343"/>
      <c r="AN656" s="343"/>
      <c r="AO656" s="538"/>
      <c r="AP656" s="343"/>
      <c r="AQ656" s="343"/>
      <c r="AS656" s="343"/>
      <c r="AT656" s="538"/>
      <c r="AU656" s="343"/>
      <c r="AV656" s="343"/>
      <c r="AW656" s="538"/>
      <c r="AX656" s="343"/>
      <c r="AY656" s="343"/>
      <c r="AZ656" s="538"/>
      <c r="BA656" s="343"/>
      <c r="BB656" s="343"/>
      <c r="BC656" s="538"/>
      <c r="BD656" s="343"/>
      <c r="BE656" s="343"/>
      <c r="BG656" s="644"/>
      <c r="BH656" s="515"/>
      <c r="BI656" s="515"/>
      <c r="BJ656" s="644"/>
      <c r="BK656" s="515"/>
      <c r="BL656" s="515"/>
      <c r="BM656" s="644"/>
      <c r="BN656" s="515"/>
      <c r="BO656" s="515"/>
      <c r="BP656" s="644"/>
      <c r="BQ656" s="515"/>
      <c r="BR656" s="515"/>
    </row>
    <row r="657" spans="4:70" x14ac:dyDescent="0.25">
      <c r="D657" s="538"/>
      <c r="G657" s="538"/>
      <c r="J657" s="538"/>
      <c r="M657" s="538"/>
      <c r="R657" s="538"/>
      <c r="S657" s="343"/>
      <c r="T657" s="343"/>
      <c r="U657" s="538"/>
      <c r="V657" s="343"/>
      <c r="W657" s="343"/>
      <c r="X657" s="538"/>
      <c r="Y657" s="343"/>
      <c r="Z657" s="343"/>
      <c r="AA657" s="538"/>
      <c r="AB657" s="343"/>
      <c r="AC657" s="343"/>
      <c r="AE657" s="343"/>
      <c r="AF657" s="538"/>
      <c r="AG657" s="343"/>
      <c r="AH657" s="343"/>
      <c r="AI657" s="538"/>
      <c r="AJ657" s="343"/>
      <c r="AK657" s="343"/>
      <c r="AL657" s="538"/>
      <c r="AM657" s="343"/>
      <c r="AN657" s="343"/>
      <c r="AO657" s="538"/>
      <c r="AP657" s="343"/>
      <c r="AQ657" s="343"/>
      <c r="AS657" s="343"/>
      <c r="AT657" s="538"/>
      <c r="AU657" s="343"/>
      <c r="AV657" s="343"/>
      <c r="AW657" s="538"/>
      <c r="AX657" s="343"/>
      <c r="AY657" s="343"/>
      <c r="AZ657" s="538"/>
      <c r="BA657" s="343"/>
      <c r="BB657" s="343"/>
      <c r="BC657" s="538"/>
      <c r="BD657" s="343"/>
      <c r="BE657" s="343"/>
      <c r="BG657" s="644"/>
      <c r="BH657" s="515"/>
      <c r="BI657" s="515"/>
      <c r="BJ657" s="644"/>
      <c r="BK657" s="515"/>
      <c r="BL657" s="515"/>
      <c r="BM657" s="644"/>
      <c r="BN657" s="515"/>
      <c r="BO657" s="515"/>
      <c r="BP657" s="644"/>
      <c r="BQ657" s="515"/>
      <c r="BR657" s="515"/>
    </row>
    <row r="658" spans="4:70" x14ac:dyDescent="0.25">
      <c r="D658" s="538"/>
      <c r="G658" s="538"/>
      <c r="J658" s="538"/>
      <c r="M658" s="538"/>
      <c r="R658" s="538"/>
      <c r="S658" s="343"/>
      <c r="T658" s="343"/>
      <c r="U658" s="538"/>
      <c r="V658" s="343"/>
      <c r="W658" s="343"/>
      <c r="X658" s="538"/>
      <c r="Y658" s="343"/>
      <c r="Z658" s="343"/>
      <c r="AA658" s="538"/>
      <c r="AB658" s="343"/>
      <c r="AC658" s="343"/>
      <c r="AE658" s="343"/>
      <c r="AF658" s="538"/>
      <c r="AG658" s="343"/>
      <c r="AH658" s="343"/>
      <c r="AI658" s="538"/>
      <c r="AJ658" s="343"/>
      <c r="AK658" s="343"/>
      <c r="AL658" s="538"/>
      <c r="AM658" s="343"/>
      <c r="AN658" s="343"/>
      <c r="AO658" s="538"/>
      <c r="AP658" s="343"/>
      <c r="AQ658" s="343"/>
      <c r="AS658" s="343"/>
      <c r="AT658" s="538"/>
      <c r="AU658" s="343"/>
      <c r="AV658" s="343"/>
      <c r="AW658" s="538"/>
      <c r="AX658" s="343"/>
      <c r="AY658" s="343"/>
      <c r="AZ658" s="538"/>
      <c r="BA658" s="343"/>
      <c r="BB658" s="343"/>
      <c r="BC658" s="538"/>
      <c r="BD658" s="343"/>
      <c r="BE658" s="343"/>
      <c r="BG658" s="644"/>
      <c r="BH658" s="515"/>
      <c r="BI658" s="515"/>
      <c r="BJ658" s="644"/>
      <c r="BK658" s="515"/>
      <c r="BL658" s="515"/>
      <c r="BM658" s="644"/>
      <c r="BN658" s="515"/>
      <c r="BO658" s="515"/>
      <c r="BP658" s="644"/>
      <c r="BQ658" s="515"/>
      <c r="BR658" s="515"/>
    </row>
    <row r="659" spans="4:70" x14ac:dyDescent="0.25">
      <c r="D659" s="538"/>
      <c r="G659" s="538"/>
      <c r="J659" s="538"/>
      <c r="M659" s="538"/>
      <c r="R659" s="538"/>
      <c r="S659" s="343"/>
      <c r="T659" s="343"/>
      <c r="U659" s="538"/>
      <c r="V659" s="343"/>
      <c r="W659" s="343"/>
      <c r="X659" s="538"/>
      <c r="Y659" s="343"/>
      <c r="Z659" s="343"/>
      <c r="AA659" s="538"/>
      <c r="AB659" s="343"/>
      <c r="AC659" s="343"/>
      <c r="AE659" s="343"/>
      <c r="AF659" s="538"/>
      <c r="AG659" s="343"/>
      <c r="AH659" s="343"/>
      <c r="AI659" s="538"/>
      <c r="AJ659" s="343"/>
      <c r="AK659" s="343"/>
      <c r="AL659" s="538"/>
      <c r="AM659" s="343"/>
      <c r="AN659" s="343"/>
      <c r="AO659" s="538"/>
      <c r="AP659" s="343"/>
      <c r="AQ659" s="343"/>
      <c r="AS659" s="343"/>
      <c r="AT659" s="538"/>
      <c r="AU659" s="343"/>
      <c r="AV659" s="343"/>
      <c r="AW659" s="538"/>
      <c r="AX659" s="343"/>
      <c r="AY659" s="343"/>
      <c r="AZ659" s="538"/>
      <c r="BA659" s="343"/>
      <c r="BB659" s="343"/>
      <c r="BC659" s="538"/>
      <c r="BD659" s="343"/>
      <c r="BE659" s="343"/>
      <c r="BG659" s="644"/>
      <c r="BH659" s="515"/>
      <c r="BI659" s="515"/>
      <c r="BJ659" s="644"/>
      <c r="BK659" s="515"/>
      <c r="BL659" s="515"/>
      <c r="BM659" s="644"/>
      <c r="BN659" s="515"/>
      <c r="BO659" s="515"/>
      <c r="BP659" s="644"/>
      <c r="BQ659" s="515"/>
      <c r="BR659" s="515"/>
    </row>
    <row r="660" spans="4:70" x14ac:dyDescent="0.25">
      <c r="D660" s="538"/>
      <c r="G660" s="538"/>
      <c r="J660" s="538"/>
      <c r="M660" s="538"/>
      <c r="R660" s="538"/>
      <c r="S660" s="343"/>
      <c r="T660" s="343"/>
      <c r="U660" s="538"/>
      <c r="V660" s="343"/>
      <c r="W660" s="343"/>
      <c r="X660" s="538"/>
      <c r="Y660" s="343"/>
      <c r="Z660" s="343"/>
      <c r="AA660" s="538"/>
      <c r="AB660" s="343"/>
      <c r="AC660" s="343"/>
      <c r="AE660" s="343"/>
      <c r="AF660" s="538"/>
      <c r="AG660" s="343"/>
      <c r="AH660" s="343"/>
      <c r="AI660" s="538"/>
      <c r="AJ660" s="343"/>
      <c r="AK660" s="343"/>
      <c r="AL660" s="538"/>
      <c r="AM660" s="343"/>
      <c r="AN660" s="343"/>
      <c r="AO660" s="538"/>
      <c r="AP660" s="343"/>
      <c r="AQ660" s="343"/>
      <c r="AS660" s="343"/>
      <c r="AT660" s="538"/>
      <c r="AU660" s="343"/>
      <c r="AV660" s="343"/>
      <c r="AW660" s="538"/>
      <c r="AX660" s="343"/>
      <c r="AY660" s="343"/>
      <c r="AZ660" s="538"/>
      <c r="BA660" s="343"/>
      <c r="BB660" s="343"/>
      <c r="BC660" s="538"/>
      <c r="BD660" s="343"/>
      <c r="BE660" s="343"/>
      <c r="BG660" s="644"/>
      <c r="BH660" s="515"/>
      <c r="BI660" s="515"/>
      <c r="BJ660" s="644"/>
      <c r="BK660" s="515"/>
      <c r="BL660" s="515"/>
      <c r="BM660" s="644"/>
      <c r="BN660" s="515"/>
      <c r="BO660" s="515"/>
      <c r="BP660" s="644"/>
      <c r="BQ660" s="515"/>
      <c r="BR660" s="515"/>
    </row>
    <row r="661" spans="4:70" x14ac:dyDescent="0.25">
      <c r="D661" s="538"/>
      <c r="G661" s="538"/>
      <c r="J661" s="538"/>
      <c r="M661" s="538"/>
      <c r="R661" s="538"/>
      <c r="S661" s="343"/>
      <c r="T661" s="343"/>
      <c r="U661" s="538"/>
      <c r="V661" s="343"/>
      <c r="W661" s="343"/>
      <c r="X661" s="538"/>
      <c r="Y661" s="343"/>
      <c r="Z661" s="343"/>
      <c r="AA661" s="538"/>
      <c r="AB661" s="343"/>
      <c r="AC661" s="343"/>
      <c r="AE661" s="343"/>
      <c r="AF661" s="538"/>
      <c r="AG661" s="343"/>
      <c r="AH661" s="343"/>
      <c r="AI661" s="538"/>
      <c r="AJ661" s="343"/>
      <c r="AK661" s="343"/>
      <c r="AL661" s="538"/>
      <c r="AM661" s="343"/>
      <c r="AN661" s="343"/>
      <c r="AO661" s="538"/>
      <c r="AP661" s="343"/>
      <c r="AQ661" s="343"/>
      <c r="AS661" s="343"/>
      <c r="AT661" s="538"/>
      <c r="AU661" s="343"/>
      <c r="AV661" s="343"/>
      <c r="AW661" s="538"/>
      <c r="AX661" s="343"/>
      <c r="AY661" s="343"/>
      <c r="AZ661" s="538"/>
      <c r="BA661" s="343"/>
      <c r="BB661" s="343"/>
      <c r="BC661" s="538"/>
      <c r="BD661" s="343"/>
      <c r="BE661" s="343"/>
      <c r="BG661" s="644"/>
      <c r="BH661" s="515"/>
      <c r="BI661" s="515"/>
      <c r="BJ661" s="644"/>
      <c r="BK661" s="515"/>
      <c r="BL661" s="515"/>
      <c r="BM661" s="644"/>
      <c r="BN661" s="515"/>
      <c r="BO661" s="515"/>
      <c r="BP661" s="644"/>
      <c r="BQ661" s="515"/>
      <c r="BR661" s="515"/>
    </row>
    <row r="662" spans="4:70" x14ac:dyDescent="0.25">
      <c r="D662" s="538"/>
      <c r="G662" s="538"/>
      <c r="J662" s="538"/>
      <c r="M662" s="538"/>
      <c r="R662" s="538"/>
      <c r="S662" s="343"/>
      <c r="T662" s="343"/>
      <c r="U662" s="538"/>
      <c r="V662" s="343"/>
      <c r="W662" s="343"/>
      <c r="X662" s="538"/>
      <c r="Y662" s="343"/>
      <c r="Z662" s="343"/>
      <c r="AA662" s="538"/>
      <c r="AB662" s="343"/>
      <c r="AC662" s="343"/>
      <c r="AE662" s="343"/>
      <c r="AF662" s="538"/>
      <c r="AG662" s="343"/>
      <c r="AH662" s="343"/>
      <c r="AI662" s="538"/>
      <c r="AJ662" s="343"/>
      <c r="AK662" s="343"/>
      <c r="AL662" s="538"/>
      <c r="AM662" s="343"/>
      <c r="AN662" s="343"/>
      <c r="AO662" s="538"/>
      <c r="AP662" s="343"/>
      <c r="AQ662" s="343"/>
      <c r="AS662" s="343"/>
      <c r="AT662" s="538"/>
      <c r="AU662" s="343"/>
      <c r="AV662" s="343"/>
      <c r="AW662" s="538"/>
      <c r="AX662" s="343"/>
      <c r="AY662" s="343"/>
      <c r="AZ662" s="538"/>
      <c r="BA662" s="343"/>
      <c r="BB662" s="343"/>
      <c r="BC662" s="538"/>
      <c r="BD662" s="343"/>
      <c r="BE662" s="343"/>
      <c r="BG662" s="644"/>
      <c r="BH662" s="515"/>
      <c r="BI662" s="515"/>
      <c r="BJ662" s="644"/>
      <c r="BK662" s="515"/>
      <c r="BL662" s="515"/>
      <c r="BM662" s="644"/>
      <c r="BN662" s="515"/>
      <c r="BO662" s="515"/>
      <c r="BP662" s="644"/>
      <c r="BQ662" s="515"/>
      <c r="BR662" s="515"/>
    </row>
    <row r="663" spans="4:70" x14ac:dyDescent="0.25">
      <c r="D663" s="538"/>
      <c r="G663" s="538"/>
      <c r="J663" s="538"/>
      <c r="M663" s="538"/>
      <c r="R663" s="538"/>
      <c r="S663" s="343"/>
      <c r="T663" s="343"/>
      <c r="U663" s="538"/>
      <c r="V663" s="343"/>
      <c r="W663" s="343"/>
      <c r="X663" s="538"/>
      <c r="Y663" s="343"/>
      <c r="Z663" s="343"/>
      <c r="AA663" s="538"/>
      <c r="AB663" s="343"/>
      <c r="AC663" s="343"/>
      <c r="AE663" s="343"/>
      <c r="AF663" s="538"/>
      <c r="AG663" s="343"/>
      <c r="AH663" s="343"/>
      <c r="AI663" s="538"/>
      <c r="AJ663" s="343"/>
      <c r="AK663" s="343"/>
      <c r="AL663" s="538"/>
      <c r="AM663" s="343"/>
      <c r="AN663" s="343"/>
      <c r="AO663" s="538"/>
      <c r="AP663" s="343"/>
      <c r="AQ663" s="343"/>
      <c r="AS663" s="343"/>
      <c r="AT663" s="538"/>
      <c r="AU663" s="343"/>
      <c r="AV663" s="343"/>
      <c r="AW663" s="538"/>
      <c r="AX663" s="343"/>
      <c r="AY663" s="343"/>
      <c r="AZ663" s="538"/>
      <c r="BA663" s="343"/>
      <c r="BB663" s="343"/>
      <c r="BC663" s="538"/>
      <c r="BD663" s="343"/>
      <c r="BE663" s="343"/>
      <c r="BG663" s="644"/>
      <c r="BH663" s="515"/>
      <c r="BI663" s="515"/>
      <c r="BJ663" s="644"/>
      <c r="BK663" s="515"/>
      <c r="BL663" s="515"/>
      <c r="BM663" s="644"/>
      <c r="BN663" s="515"/>
      <c r="BO663" s="515"/>
      <c r="BP663" s="644"/>
      <c r="BQ663" s="515"/>
      <c r="BR663" s="515"/>
    </row>
    <row r="664" spans="4:70" x14ac:dyDescent="0.25">
      <c r="D664" s="538"/>
      <c r="G664" s="538"/>
      <c r="J664" s="538"/>
      <c r="M664" s="538"/>
      <c r="R664" s="538"/>
      <c r="S664" s="343"/>
      <c r="T664" s="343"/>
      <c r="U664" s="538"/>
      <c r="V664" s="343"/>
      <c r="W664" s="343"/>
      <c r="X664" s="538"/>
      <c r="Y664" s="343"/>
      <c r="Z664" s="343"/>
      <c r="AA664" s="538"/>
      <c r="AB664" s="343"/>
      <c r="AC664" s="343"/>
      <c r="AE664" s="343"/>
      <c r="AF664" s="538"/>
      <c r="AG664" s="343"/>
      <c r="AH664" s="343"/>
      <c r="AI664" s="538"/>
      <c r="AJ664" s="343"/>
      <c r="AK664" s="343"/>
      <c r="AL664" s="538"/>
      <c r="AM664" s="343"/>
      <c r="AN664" s="343"/>
      <c r="AO664" s="538"/>
      <c r="AP664" s="343"/>
      <c r="AQ664" s="343"/>
      <c r="AS664" s="343"/>
      <c r="AT664" s="538"/>
      <c r="AU664" s="343"/>
      <c r="AV664" s="343"/>
      <c r="AW664" s="538"/>
      <c r="AX664" s="343"/>
      <c r="AY664" s="343"/>
      <c r="AZ664" s="538"/>
      <c r="BA664" s="343"/>
      <c r="BB664" s="343"/>
      <c r="BC664" s="538"/>
      <c r="BD664" s="343"/>
      <c r="BE664" s="343"/>
      <c r="BG664" s="644"/>
      <c r="BH664" s="515"/>
      <c r="BI664" s="515"/>
      <c r="BJ664" s="644"/>
      <c r="BK664" s="515"/>
      <c r="BL664" s="515"/>
      <c r="BM664" s="644"/>
      <c r="BN664" s="515"/>
      <c r="BO664" s="515"/>
      <c r="BP664" s="644"/>
      <c r="BQ664" s="515"/>
      <c r="BR664" s="515"/>
    </row>
    <row r="665" spans="4:70" x14ac:dyDescent="0.25">
      <c r="D665" s="538"/>
      <c r="G665" s="538"/>
      <c r="J665" s="538"/>
      <c r="M665" s="538"/>
      <c r="R665" s="538"/>
      <c r="S665" s="343"/>
      <c r="T665" s="343"/>
      <c r="U665" s="538"/>
      <c r="V665" s="343"/>
      <c r="W665" s="343"/>
      <c r="X665" s="538"/>
      <c r="Y665" s="343"/>
      <c r="Z665" s="343"/>
      <c r="AA665" s="538"/>
      <c r="AB665" s="343"/>
      <c r="AC665" s="343"/>
      <c r="AE665" s="343"/>
      <c r="AF665" s="538"/>
      <c r="AG665" s="343"/>
      <c r="AH665" s="343"/>
      <c r="AI665" s="538"/>
      <c r="AJ665" s="343"/>
      <c r="AK665" s="343"/>
      <c r="AL665" s="538"/>
      <c r="AM665" s="343"/>
      <c r="AN665" s="343"/>
      <c r="AO665" s="538"/>
      <c r="AP665" s="343"/>
      <c r="AQ665" s="343"/>
      <c r="AS665" s="343"/>
      <c r="AT665" s="538"/>
      <c r="AU665" s="343"/>
      <c r="AV665" s="343"/>
      <c r="AW665" s="538"/>
      <c r="AX665" s="343"/>
      <c r="AY665" s="343"/>
      <c r="AZ665" s="538"/>
      <c r="BA665" s="343"/>
      <c r="BB665" s="343"/>
      <c r="BC665" s="538"/>
      <c r="BD665" s="343"/>
      <c r="BE665" s="343"/>
      <c r="BG665" s="644"/>
      <c r="BH665" s="515"/>
      <c r="BI665" s="515"/>
      <c r="BJ665" s="644"/>
      <c r="BK665" s="515"/>
      <c r="BL665" s="515"/>
      <c r="BM665" s="644"/>
      <c r="BN665" s="515"/>
      <c r="BO665" s="515"/>
      <c r="BP665" s="644"/>
      <c r="BQ665" s="515"/>
      <c r="BR665" s="515"/>
    </row>
    <row r="666" spans="4:70" x14ac:dyDescent="0.25">
      <c r="D666" s="538"/>
      <c r="G666" s="538"/>
      <c r="J666" s="538"/>
      <c r="M666" s="538"/>
      <c r="R666" s="538"/>
      <c r="S666" s="343"/>
      <c r="T666" s="343"/>
      <c r="U666" s="538"/>
      <c r="V666" s="343"/>
      <c r="W666" s="343"/>
      <c r="X666" s="538"/>
      <c r="Y666" s="343"/>
      <c r="Z666" s="343"/>
      <c r="AA666" s="538"/>
      <c r="AB666" s="343"/>
      <c r="AC666" s="343"/>
      <c r="AE666" s="343"/>
      <c r="AF666" s="538"/>
      <c r="AG666" s="343"/>
      <c r="AH666" s="343"/>
      <c r="AI666" s="538"/>
      <c r="AJ666" s="343"/>
      <c r="AK666" s="343"/>
      <c r="AL666" s="538"/>
      <c r="AM666" s="343"/>
      <c r="AN666" s="343"/>
      <c r="AO666" s="538"/>
      <c r="AP666" s="343"/>
      <c r="AQ666" s="343"/>
      <c r="AS666" s="343"/>
      <c r="AT666" s="538"/>
      <c r="AU666" s="343"/>
      <c r="AV666" s="343"/>
      <c r="AW666" s="538"/>
      <c r="AX666" s="343"/>
      <c r="AY666" s="343"/>
      <c r="AZ666" s="538"/>
      <c r="BA666" s="343"/>
      <c r="BB666" s="343"/>
      <c r="BC666" s="538"/>
      <c r="BD666" s="343"/>
      <c r="BE666" s="343"/>
      <c r="BG666" s="644"/>
      <c r="BH666" s="515"/>
      <c r="BI666" s="515"/>
      <c r="BJ666" s="644"/>
      <c r="BK666" s="515"/>
      <c r="BL666" s="515"/>
      <c r="BM666" s="644"/>
      <c r="BN666" s="515"/>
      <c r="BO666" s="515"/>
      <c r="BP666" s="644"/>
      <c r="BQ666" s="515"/>
      <c r="BR666" s="515"/>
    </row>
    <row r="667" spans="4:70" x14ac:dyDescent="0.25">
      <c r="D667" s="538"/>
      <c r="G667" s="538"/>
      <c r="J667" s="538"/>
      <c r="M667" s="538"/>
      <c r="R667" s="538"/>
      <c r="S667" s="343"/>
      <c r="T667" s="343"/>
      <c r="U667" s="538"/>
      <c r="V667" s="343"/>
      <c r="W667" s="343"/>
      <c r="X667" s="538"/>
      <c r="Y667" s="343"/>
      <c r="Z667" s="343"/>
      <c r="AA667" s="538"/>
      <c r="AB667" s="343"/>
      <c r="AC667" s="343"/>
      <c r="AE667" s="343"/>
      <c r="AF667" s="538"/>
      <c r="AG667" s="343"/>
      <c r="AH667" s="343"/>
      <c r="AI667" s="538"/>
      <c r="AJ667" s="343"/>
      <c r="AK667" s="343"/>
      <c r="AL667" s="538"/>
      <c r="AM667" s="343"/>
      <c r="AN667" s="343"/>
      <c r="AO667" s="538"/>
      <c r="AP667" s="343"/>
      <c r="AQ667" s="343"/>
      <c r="AS667" s="343"/>
      <c r="AT667" s="538"/>
      <c r="AU667" s="343"/>
      <c r="AV667" s="343"/>
      <c r="AW667" s="538"/>
      <c r="AX667" s="343"/>
      <c r="AY667" s="343"/>
      <c r="AZ667" s="538"/>
      <c r="BA667" s="343"/>
      <c r="BB667" s="343"/>
      <c r="BC667" s="538"/>
      <c r="BD667" s="343"/>
      <c r="BE667" s="343"/>
      <c r="BG667" s="644"/>
      <c r="BH667" s="515"/>
      <c r="BI667" s="515"/>
      <c r="BJ667" s="644"/>
      <c r="BK667" s="515"/>
      <c r="BL667" s="515"/>
      <c r="BM667" s="644"/>
      <c r="BN667" s="515"/>
      <c r="BO667" s="515"/>
      <c r="BP667" s="644"/>
      <c r="BQ667" s="515"/>
      <c r="BR667" s="515"/>
    </row>
    <row r="668" spans="4:70" x14ac:dyDescent="0.25">
      <c r="D668" s="538"/>
      <c r="G668" s="538"/>
      <c r="J668" s="538"/>
      <c r="M668" s="538"/>
      <c r="R668" s="538"/>
      <c r="S668" s="343"/>
      <c r="T668" s="343"/>
      <c r="U668" s="538"/>
      <c r="V668" s="343"/>
      <c r="W668" s="343"/>
      <c r="X668" s="538"/>
      <c r="Y668" s="343"/>
      <c r="Z668" s="343"/>
      <c r="AA668" s="538"/>
      <c r="AB668" s="343"/>
      <c r="AC668" s="343"/>
      <c r="AE668" s="343"/>
      <c r="AF668" s="538"/>
      <c r="AG668" s="343"/>
      <c r="AH668" s="343"/>
      <c r="AI668" s="538"/>
      <c r="AJ668" s="343"/>
      <c r="AK668" s="343"/>
      <c r="AL668" s="538"/>
      <c r="AM668" s="343"/>
      <c r="AN668" s="343"/>
      <c r="AO668" s="538"/>
      <c r="AP668" s="343"/>
      <c r="AQ668" s="343"/>
      <c r="AS668" s="343"/>
      <c r="AT668" s="538"/>
      <c r="AU668" s="343"/>
      <c r="AV668" s="343"/>
      <c r="AW668" s="538"/>
      <c r="AX668" s="343"/>
      <c r="AY668" s="343"/>
      <c r="AZ668" s="538"/>
      <c r="BA668" s="343"/>
      <c r="BB668" s="343"/>
      <c r="BC668" s="538"/>
      <c r="BD668" s="343"/>
      <c r="BE668" s="343"/>
      <c r="BG668" s="644"/>
      <c r="BH668" s="515"/>
      <c r="BI668" s="515"/>
      <c r="BJ668" s="644"/>
      <c r="BK668" s="515"/>
      <c r="BL668" s="515"/>
      <c r="BM668" s="644"/>
      <c r="BN668" s="515"/>
      <c r="BO668" s="515"/>
      <c r="BP668" s="644"/>
      <c r="BQ668" s="515"/>
      <c r="BR668" s="515"/>
    </row>
    <row r="669" spans="4:70" x14ac:dyDescent="0.25">
      <c r="D669" s="538"/>
      <c r="G669" s="538"/>
      <c r="J669" s="538"/>
      <c r="M669" s="538"/>
      <c r="R669" s="538"/>
      <c r="S669" s="343"/>
      <c r="T669" s="343"/>
      <c r="U669" s="538"/>
      <c r="V669" s="343"/>
      <c r="W669" s="343"/>
      <c r="X669" s="538"/>
      <c r="Y669" s="343"/>
      <c r="Z669" s="343"/>
      <c r="AA669" s="538"/>
      <c r="AB669" s="343"/>
      <c r="AC669" s="343"/>
      <c r="AE669" s="343"/>
      <c r="AF669" s="538"/>
      <c r="AG669" s="343"/>
      <c r="AH669" s="343"/>
      <c r="AI669" s="538"/>
      <c r="AJ669" s="343"/>
      <c r="AK669" s="343"/>
      <c r="AL669" s="538"/>
      <c r="AM669" s="343"/>
      <c r="AN669" s="343"/>
      <c r="AO669" s="538"/>
      <c r="AP669" s="343"/>
      <c r="AQ669" s="343"/>
      <c r="AS669" s="343"/>
      <c r="AT669" s="538"/>
      <c r="AU669" s="343"/>
      <c r="AV669" s="343"/>
      <c r="AW669" s="538"/>
      <c r="AX669" s="343"/>
      <c r="AY669" s="343"/>
      <c r="AZ669" s="538"/>
      <c r="BA669" s="343"/>
      <c r="BB669" s="343"/>
      <c r="BC669" s="538"/>
      <c r="BD669" s="343"/>
      <c r="BE669" s="343"/>
      <c r="BG669" s="644"/>
      <c r="BH669" s="515"/>
      <c r="BI669" s="515"/>
      <c r="BJ669" s="644"/>
      <c r="BK669" s="515"/>
      <c r="BL669" s="515"/>
      <c r="BM669" s="644"/>
      <c r="BN669" s="515"/>
      <c r="BO669" s="515"/>
      <c r="BP669" s="644"/>
      <c r="BQ669" s="515"/>
      <c r="BR669" s="515"/>
    </row>
    <row r="670" spans="4:70" x14ac:dyDescent="0.25">
      <c r="D670" s="538"/>
      <c r="G670" s="538"/>
      <c r="J670" s="538"/>
      <c r="M670" s="538"/>
      <c r="R670" s="538"/>
      <c r="S670" s="343"/>
      <c r="T670" s="343"/>
      <c r="U670" s="538"/>
      <c r="V670" s="343"/>
      <c r="W670" s="343"/>
      <c r="X670" s="538"/>
      <c r="Y670" s="343"/>
      <c r="Z670" s="343"/>
      <c r="AA670" s="538"/>
      <c r="AB670" s="343"/>
      <c r="AC670" s="343"/>
      <c r="AE670" s="343"/>
      <c r="AF670" s="538"/>
      <c r="AG670" s="343"/>
      <c r="AH670" s="343"/>
      <c r="AI670" s="538"/>
      <c r="AJ670" s="343"/>
      <c r="AK670" s="343"/>
      <c r="AL670" s="538"/>
      <c r="AM670" s="343"/>
      <c r="AN670" s="343"/>
      <c r="AO670" s="538"/>
      <c r="AP670" s="343"/>
      <c r="AQ670" s="343"/>
      <c r="AS670" s="343"/>
      <c r="AT670" s="538"/>
      <c r="AU670" s="343"/>
      <c r="AV670" s="343"/>
      <c r="AW670" s="538"/>
      <c r="AX670" s="343"/>
      <c r="AY670" s="343"/>
      <c r="AZ670" s="538"/>
      <c r="BA670" s="343"/>
      <c r="BB670" s="343"/>
      <c r="BC670" s="538"/>
      <c r="BD670" s="343"/>
      <c r="BE670" s="343"/>
      <c r="BG670" s="644"/>
      <c r="BH670" s="515"/>
      <c r="BI670" s="515"/>
      <c r="BJ670" s="644"/>
      <c r="BK670" s="515"/>
      <c r="BL670" s="515"/>
      <c r="BM670" s="644"/>
      <c r="BN670" s="515"/>
      <c r="BO670" s="515"/>
      <c r="BP670" s="644"/>
      <c r="BQ670" s="515"/>
      <c r="BR670" s="515"/>
    </row>
    <row r="671" spans="4:70" x14ac:dyDescent="0.25">
      <c r="D671" s="538"/>
      <c r="G671" s="538"/>
      <c r="J671" s="538"/>
      <c r="M671" s="538"/>
      <c r="R671" s="538"/>
      <c r="S671" s="343"/>
      <c r="T671" s="343"/>
      <c r="U671" s="538"/>
      <c r="V671" s="343"/>
      <c r="W671" s="343"/>
      <c r="X671" s="538"/>
      <c r="Y671" s="343"/>
      <c r="Z671" s="343"/>
      <c r="AA671" s="538"/>
      <c r="AB671" s="343"/>
      <c r="AC671" s="343"/>
      <c r="AE671" s="343"/>
      <c r="AF671" s="538"/>
      <c r="AG671" s="343"/>
      <c r="AH671" s="343"/>
      <c r="AI671" s="538"/>
      <c r="AJ671" s="343"/>
      <c r="AK671" s="343"/>
      <c r="AL671" s="538"/>
      <c r="AM671" s="343"/>
      <c r="AN671" s="343"/>
      <c r="AO671" s="538"/>
      <c r="AP671" s="343"/>
      <c r="AQ671" s="343"/>
      <c r="AS671" s="343"/>
      <c r="AT671" s="538"/>
      <c r="AU671" s="343"/>
      <c r="AV671" s="343"/>
      <c r="AW671" s="538"/>
      <c r="AX671" s="343"/>
      <c r="AY671" s="343"/>
      <c r="AZ671" s="538"/>
      <c r="BA671" s="343"/>
      <c r="BB671" s="343"/>
      <c r="BC671" s="538"/>
      <c r="BD671" s="343"/>
      <c r="BE671" s="343"/>
      <c r="BG671" s="644"/>
      <c r="BH671" s="515"/>
      <c r="BI671" s="515"/>
      <c r="BJ671" s="644"/>
      <c r="BK671" s="515"/>
      <c r="BL671" s="515"/>
      <c r="BM671" s="644"/>
      <c r="BN671" s="515"/>
      <c r="BO671" s="515"/>
      <c r="BP671" s="644"/>
      <c r="BQ671" s="515"/>
      <c r="BR671" s="515"/>
    </row>
    <row r="672" spans="4:70" x14ac:dyDescent="0.25">
      <c r="D672" s="538"/>
      <c r="G672" s="538"/>
      <c r="J672" s="538"/>
      <c r="M672" s="538"/>
      <c r="R672" s="538"/>
      <c r="S672" s="343"/>
      <c r="T672" s="343"/>
      <c r="U672" s="538"/>
      <c r="V672" s="343"/>
      <c r="W672" s="343"/>
      <c r="X672" s="538"/>
      <c r="Y672" s="343"/>
      <c r="Z672" s="343"/>
      <c r="AA672" s="538"/>
      <c r="AB672" s="343"/>
      <c r="AC672" s="343"/>
      <c r="AE672" s="343"/>
      <c r="AF672" s="538"/>
      <c r="AG672" s="343"/>
      <c r="AH672" s="343"/>
      <c r="AI672" s="538"/>
      <c r="AJ672" s="343"/>
      <c r="AK672" s="343"/>
      <c r="AL672" s="538"/>
      <c r="AM672" s="343"/>
      <c r="AN672" s="343"/>
      <c r="AO672" s="538"/>
      <c r="AP672" s="343"/>
      <c r="AQ672" s="343"/>
      <c r="AS672" s="343"/>
      <c r="AT672" s="538"/>
      <c r="AU672" s="343"/>
      <c r="AV672" s="343"/>
      <c r="AW672" s="538"/>
      <c r="AX672" s="343"/>
      <c r="AY672" s="343"/>
      <c r="AZ672" s="538"/>
      <c r="BA672" s="343"/>
      <c r="BB672" s="343"/>
      <c r="BC672" s="538"/>
      <c r="BD672" s="343"/>
      <c r="BE672" s="343"/>
      <c r="BG672" s="644"/>
      <c r="BH672" s="515"/>
      <c r="BI672" s="515"/>
      <c r="BJ672" s="644"/>
      <c r="BK672" s="515"/>
      <c r="BL672" s="515"/>
      <c r="BM672" s="644"/>
      <c r="BN672" s="515"/>
      <c r="BO672" s="515"/>
      <c r="BP672" s="644"/>
      <c r="BQ672" s="515"/>
      <c r="BR672" s="515"/>
    </row>
    <row r="673" spans="4:70" x14ac:dyDescent="0.25">
      <c r="D673" s="538"/>
      <c r="G673" s="538"/>
      <c r="J673" s="538"/>
      <c r="M673" s="538"/>
      <c r="R673" s="538"/>
      <c r="S673" s="343"/>
      <c r="T673" s="343"/>
      <c r="U673" s="538"/>
      <c r="V673" s="343"/>
      <c r="W673" s="343"/>
      <c r="X673" s="538"/>
      <c r="Y673" s="343"/>
      <c r="Z673" s="343"/>
      <c r="AA673" s="538"/>
      <c r="AB673" s="343"/>
      <c r="AC673" s="343"/>
      <c r="AE673" s="343"/>
      <c r="AF673" s="538"/>
      <c r="AG673" s="343"/>
      <c r="AH673" s="343"/>
      <c r="AI673" s="538"/>
      <c r="AJ673" s="343"/>
      <c r="AK673" s="343"/>
      <c r="AL673" s="538"/>
      <c r="AM673" s="343"/>
      <c r="AN673" s="343"/>
      <c r="AO673" s="538"/>
      <c r="AP673" s="343"/>
      <c r="AQ673" s="343"/>
      <c r="AS673" s="343"/>
      <c r="AT673" s="538"/>
      <c r="AU673" s="343"/>
      <c r="AV673" s="343"/>
      <c r="AW673" s="538"/>
      <c r="AX673" s="343"/>
      <c r="AY673" s="343"/>
      <c r="AZ673" s="538"/>
      <c r="BA673" s="343"/>
      <c r="BB673" s="343"/>
      <c r="BC673" s="538"/>
      <c r="BD673" s="343"/>
      <c r="BE673" s="343"/>
      <c r="BG673" s="644"/>
      <c r="BH673" s="515"/>
      <c r="BI673" s="515"/>
      <c r="BJ673" s="644"/>
      <c r="BK673" s="515"/>
      <c r="BL673" s="515"/>
      <c r="BM673" s="644"/>
      <c r="BN673" s="515"/>
      <c r="BO673" s="515"/>
      <c r="BP673" s="644"/>
      <c r="BQ673" s="515"/>
      <c r="BR673" s="515"/>
    </row>
    <row r="674" spans="4:70" x14ac:dyDescent="0.25">
      <c r="D674" s="538"/>
      <c r="G674" s="538"/>
      <c r="J674" s="538"/>
      <c r="M674" s="538"/>
      <c r="R674" s="538"/>
      <c r="S674" s="343"/>
      <c r="T674" s="343"/>
      <c r="U674" s="538"/>
      <c r="V674" s="343"/>
      <c r="W674" s="343"/>
      <c r="X674" s="538"/>
      <c r="Y674" s="343"/>
      <c r="Z674" s="343"/>
      <c r="AA674" s="538"/>
      <c r="AB674" s="343"/>
      <c r="AC674" s="343"/>
      <c r="AE674" s="343"/>
      <c r="AF674" s="538"/>
      <c r="AG674" s="343"/>
      <c r="AH674" s="343"/>
      <c r="AI674" s="538"/>
      <c r="AJ674" s="343"/>
      <c r="AK674" s="343"/>
      <c r="AL674" s="538"/>
      <c r="AM674" s="343"/>
      <c r="AN674" s="343"/>
      <c r="AO674" s="538"/>
      <c r="AP674" s="343"/>
      <c r="AQ674" s="343"/>
      <c r="AS674" s="343"/>
      <c r="AT674" s="538"/>
      <c r="AU674" s="343"/>
      <c r="AV674" s="343"/>
      <c r="AW674" s="538"/>
      <c r="AX674" s="343"/>
      <c r="AY674" s="343"/>
      <c r="AZ674" s="538"/>
      <c r="BA674" s="343"/>
      <c r="BB674" s="343"/>
      <c r="BC674" s="538"/>
      <c r="BD674" s="343"/>
      <c r="BE674" s="343"/>
      <c r="BG674" s="644"/>
      <c r="BH674" s="515"/>
      <c r="BI674" s="515"/>
      <c r="BJ674" s="644"/>
      <c r="BK674" s="515"/>
      <c r="BL674" s="515"/>
      <c r="BM674" s="644"/>
      <c r="BN674" s="515"/>
      <c r="BO674" s="515"/>
      <c r="BP674" s="644"/>
      <c r="BQ674" s="515"/>
      <c r="BR674" s="515"/>
    </row>
    <row r="675" spans="4:70" x14ac:dyDescent="0.25">
      <c r="D675" s="538"/>
      <c r="G675" s="538"/>
      <c r="J675" s="538"/>
      <c r="M675" s="538"/>
      <c r="R675" s="538"/>
      <c r="S675" s="343"/>
      <c r="T675" s="343"/>
      <c r="U675" s="538"/>
      <c r="V675" s="343"/>
      <c r="W675" s="343"/>
      <c r="X675" s="538"/>
      <c r="Y675" s="343"/>
      <c r="Z675" s="343"/>
      <c r="AA675" s="538"/>
      <c r="AB675" s="343"/>
      <c r="AC675" s="343"/>
      <c r="AE675" s="343"/>
      <c r="AF675" s="538"/>
      <c r="AG675" s="343"/>
      <c r="AH675" s="343"/>
      <c r="AI675" s="538"/>
      <c r="AJ675" s="343"/>
      <c r="AK675" s="343"/>
      <c r="AL675" s="538"/>
      <c r="AM675" s="343"/>
      <c r="AN675" s="343"/>
      <c r="AO675" s="538"/>
      <c r="AP675" s="343"/>
      <c r="AQ675" s="343"/>
      <c r="AS675" s="343"/>
      <c r="AT675" s="538"/>
      <c r="AU675" s="343"/>
      <c r="AV675" s="343"/>
      <c r="AW675" s="538"/>
      <c r="AX675" s="343"/>
      <c r="AY675" s="343"/>
      <c r="AZ675" s="538"/>
      <c r="BA675" s="343"/>
      <c r="BB675" s="343"/>
      <c r="BC675" s="538"/>
      <c r="BD675" s="343"/>
      <c r="BE675" s="343"/>
      <c r="BG675" s="644"/>
      <c r="BH675" s="515"/>
      <c r="BI675" s="515"/>
      <c r="BJ675" s="644"/>
      <c r="BK675" s="515"/>
      <c r="BL675" s="515"/>
      <c r="BM675" s="644"/>
      <c r="BN675" s="515"/>
      <c r="BO675" s="515"/>
      <c r="BP675" s="644"/>
      <c r="BQ675" s="515"/>
      <c r="BR675" s="515"/>
    </row>
    <row r="676" spans="4:70" x14ac:dyDescent="0.25">
      <c r="D676" s="538"/>
      <c r="G676" s="538"/>
      <c r="J676" s="538"/>
      <c r="M676" s="538"/>
      <c r="R676" s="538"/>
      <c r="S676" s="343"/>
      <c r="T676" s="343"/>
      <c r="U676" s="538"/>
      <c r="V676" s="343"/>
      <c r="W676" s="343"/>
      <c r="X676" s="538"/>
      <c r="Y676" s="343"/>
      <c r="Z676" s="343"/>
      <c r="AA676" s="538"/>
      <c r="AB676" s="343"/>
      <c r="AC676" s="343"/>
      <c r="AE676" s="343"/>
      <c r="AF676" s="538"/>
      <c r="AG676" s="343"/>
      <c r="AH676" s="343"/>
      <c r="AI676" s="538"/>
      <c r="AJ676" s="343"/>
      <c r="AK676" s="343"/>
      <c r="AL676" s="538"/>
      <c r="AM676" s="343"/>
      <c r="AN676" s="343"/>
      <c r="AO676" s="538"/>
      <c r="AP676" s="343"/>
      <c r="AQ676" s="343"/>
      <c r="AS676" s="343"/>
      <c r="AT676" s="538"/>
      <c r="AU676" s="343"/>
      <c r="AV676" s="343"/>
      <c r="AW676" s="538"/>
      <c r="AX676" s="343"/>
      <c r="AY676" s="343"/>
      <c r="AZ676" s="538"/>
      <c r="BA676" s="343"/>
      <c r="BB676" s="343"/>
      <c r="BC676" s="538"/>
      <c r="BD676" s="343"/>
      <c r="BE676" s="343"/>
      <c r="BG676" s="644"/>
      <c r="BH676" s="515"/>
      <c r="BI676" s="515"/>
      <c r="BJ676" s="644"/>
      <c r="BK676" s="515"/>
      <c r="BL676" s="515"/>
      <c r="BM676" s="644"/>
      <c r="BN676" s="515"/>
      <c r="BO676" s="515"/>
      <c r="BP676" s="644"/>
      <c r="BQ676" s="515"/>
      <c r="BR676" s="515"/>
    </row>
    <row r="677" spans="4:70" x14ac:dyDescent="0.25">
      <c r="D677" s="538"/>
      <c r="G677" s="538"/>
      <c r="J677" s="538"/>
      <c r="M677" s="538"/>
      <c r="R677" s="538"/>
      <c r="S677" s="343"/>
      <c r="T677" s="343"/>
      <c r="U677" s="538"/>
      <c r="V677" s="343"/>
      <c r="W677" s="343"/>
      <c r="X677" s="538"/>
      <c r="Y677" s="343"/>
      <c r="Z677" s="343"/>
      <c r="AA677" s="538"/>
      <c r="AB677" s="343"/>
      <c r="AC677" s="343"/>
      <c r="AE677" s="343"/>
      <c r="AF677" s="538"/>
      <c r="AG677" s="343"/>
      <c r="AH677" s="343"/>
      <c r="AI677" s="538"/>
      <c r="AJ677" s="343"/>
      <c r="AK677" s="343"/>
      <c r="AL677" s="538"/>
      <c r="AM677" s="343"/>
      <c r="AN677" s="343"/>
      <c r="AO677" s="538"/>
      <c r="AP677" s="343"/>
      <c r="AQ677" s="343"/>
      <c r="AS677" s="343"/>
      <c r="AT677" s="538"/>
      <c r="AU677" s="343"/>
      <c r="AV677" s="343"/>
      <c r="AW677" s="538"/>
      <c r="AX677" s="343"/>
      <c r="AY677" s="343"/>
      <c r="AZ677" s="538"/>
      <c r="BA677" s="343"/>
      <c r="BB677" s="343"/>
      <c r="BC677" s="538"/>
      <c r="BD677" s="343"/>
      <c r="BE677" s="343"/>
      <c r="BG677" s="644"/>
      <c r="BH677" s="515"/>
      <c r="BI677" s="515"/>
      <c r="BJ677" s="644"/>
      <c r="BK677" s="515"/>
      <c r="BL677" s="515"/>
      <c r="BM677" s="644"/>
      <c r="BN677" s="515"/>
      <c r="BO677" s="515"/>
      <c r="BP677" s="644"/>
      <c r="BQ677" s="515"/>
      <c r="BR677" s="515"/>
    </row>
    <row r="678" spans="4:70" x14ac:dyDescent="0.25">
      <c r="D678" s="538"/>
      <c r="G678" s="538"/>
      <c r="J678" s="538"/>
      <c r="M678" s="538"/>
      <c r="R678" s="538"/>
      <c r="S678" s="343"/>
      <c r="T678" s="343"/>
      <c r="U678" s="538"/>
      <c r="V678" s="343"/>
      <c r="W678" s="343"/>
      <c r="X678" s="538"/>
      <c r="Y678" s="343"/>
      <c r="Z678" s="343"/>
      <c r="AA678" s="538"/>
      <c r="AB678" s="343"/>
      <c r="AC678" s="343"/>
      <c r="AE678" s="343"/>
      <c r="AF678" s="538"/>
      <c r="AG678" s="343"/>
      <c r="AH678" s="343"/>
      <c r="AI678" s="538"/>
      <c r="AJ678" s="343"/>
      <c r="AK678" s="343"/>
      <c r="AL678" s="538"/>
      <c r="AM678" s="343"/>
      <c r="AN678" s="343"/>
      <c r="AO678" s="538"/>
      <c r="AP678" s="343"/>
      <c r="AQ678" s="343"/>
      <c r="AS678" s="343"/>
      <c r="AT678" s="538"/>
      <c r="AU678" s="343"/>
      <c r="AV678" s="343"/>
      <c r="AW678" s="538"/>
      <c r="AX678" s="343"/>
      <c r="AY678" s="343"/>
      <c r="AZ678" s="538"/>
      <c r="BA678" s="343"/>
      <c r="BB678" s="343"/>
      <c r="BC678" s="538"/>
      <c r="BD678" s="343"/>
      <c r="BE678" s="343"/>
      <c r="BG678" s="644"/>
      <c r="BH678" s="515"/>
      <c r="BI678" s="515"/>
      <c r="BJ678" s="644"/>
      <c r="BK678" s="515"/>
      <c r="BL678" s="515"/>
      <c r="BM678" s="644"/>
      <c r="BN678" s="515"/>
      <c r="BO678" s="515"/>
      <c r="BP678" s="644"/>
      <c r="BQ678" s="515"/>
      <c r="BR678" s="515"/>
    </row>
    <row r="679" spans="4:70" x14ac:dyDescent="0.25">
      <c r="D679" s="538"/>
      <c r="G679" s="538"/>
      <c r="J679" s="538"/>
      <c r="M679" s="538"/>
      <c r="R679" s="538"/>
      <c r="S679" s="343"/>
      <c r="T679" s="343"/>
      <c r="U679" s="538"/>
      <c r="V679" s="343"/>
      <c r="W679" s="343"/>
      <c r="X679" s="538"/>
      <c r="Y679" s="343"/>
      <c r="Z679" s="343"/>
      <c r="AA679" s="538"/>
      <c r="AB679" s="343"/>
      <c r="AC679" s="343"/>
      <c r="AE679" s="343"/>
      <c r="AF679" s="538"/>
      <c r="AG679" s="343"/>
      <c r="AH679" s="343"/>
      <c r="AI679" s="538"/>
      <c r="AJ679" s="343"/>
      <c r="AK679" s="343"/>
      <c r="AL679" s="538"/>
      <c r="AM679" s="343"/>
      <c r="AN679" s="343"/>
      <c r="AO679" s="538"/>
      <c r="AP679" s="343"/>
      <c r="AQ679" s="343"/>
      <c r="AS679" s="343"/>
      <c r="AT679" s="538"/>
      <c r="AU679" s="343"/>
      <c r="AV679" s="343"/>
      <c r="AW679" s="538"/>
      <c r="AX679" s="343"/>
      <c r="AY679" s="343"/>
      <c r="AZ679" s="538"/>
      <c r="BA679" s="343"/>
      <c r="BB679" s="343"/>
      <c r="BC679" s="538"/>
      <c r="BD679" s="343"/>
      <c r="BE679" s="343"/>
      <c r="BG679" s="644"/>
      <c r="BH679" s="515"/>
      <c r="BI679" s="515"/>
      <c r="BJ679" s="644"/>
      <c r="BK679" s="515"/>
      <c r="BL679" s="515"/>
      <c r="BM679" s="644"/>
      <c r="BN679" s="515"/>
      <c r="BO679" s="515"/>
      <c r="BP679" s="644"/>
      <c r="BQ679" s="515"/>
      <c r="BR679" s="515"/>
    </row>
    <row r="680" spans="4:70" x14ac:dyDescent="0.25">
      <c r="D680" s="538"/>
      <c r="G680" s="538"/>
      <c r="J680" s="538"/>
      <c r="M680" s="538"/>
      <c r="R680" s="538"/>
      <c r="S680" s="343"/>
      <c r="T680" s="343"/>
      <c r="U680" s="538"/>
      <c r="V680" s="343"/>
      <c r="W680" s="343"/>
      <c r="X680" s="538"/>
      <c r="Y680" s="343"/>
      <c r="Z680" s="343"/>
      <c r="AA680" s="538"/>
      <c r="AB680" s="343"/>
      <c r="AC680" s="343"/>
      <c r="AE680" s="343"/>
      <c r="AF680" s="538"/>
      <c r="AG680" s="343"/>
      <c r="AH680" s="343"/>
      <c r="AI680" s="538"/>
      <c r="AJ680" s="343"/>
      <c r="AK680" s="343"/>
      <c r="AL680" s="538"/>
      <c r="AM680" s="343"/>
      <c r="AN680" s="343"/>
      <c r="AO680" s="538"/>
      <c r="AP680" s="343"/>
      <c r="AQ680" s="343"/>
      <c r="AS680" s="343"/>
      <c r="AT680" s="538"/>
      <c r="AU680" s="343"/>
      <c r="AV680" s="343"/>
      <c r="AW680" s="538"/>
      <c r="AX680" s="343"/>
      <c r="AY680" s="343"/>
      <c r="AZ680" s="538"/>
      <c r="BA680" s="343"/>
      <c r="BB680" s="343"/>
      <c r="BC680" s="538"/>
      <c r="BD680" s="343"/>
      <c r="BE680" s="343"/>
      <c r="BG680" s="644"/>
      <c r="BH680" s="515"/>
      <c r="BI680" s="515"/>
      <c r="BJ680" s="644"/>
      <c r="BK680" s="515"/>
      <c r="BL680" s="515"/>
      <c r="BM680" s="644"/>
      <c r="BN680" s="515"/>
      <c r="BO680" s="515"/>
      <c r="BP680" s="644"/>
      <c r="BQ680" s="515"/>
      <c r="BR680" s="515"/>
    </row>
    <row r="681" spans="4:70" x14ac:dyDescent="0.25">
      <c r="D681" s="538"/>
      <c r="G681" s="538"/>
      <c r="J681" s="538"/>
      <c r="M681" s="538"/>
      <c r="R681" s="538"/>
      <c r="S681" s="343"/>
      <c r="T681" s="343"/>
      <c r="U681" s="538"/>
      <c r="V681" s="343"/>
      <c r="W681" s="343"/>
      <c r="X681" s="538"/>
      <c r="Y681" s="343"/>
      <c r="Z681" s="343"/>
      <c r="AA681" s="538"/>
      <c r="AB681" s="343"/>
      <c r="AC681" s="343"/>
      <c r="AE681" s="343"/>
      <c r="AF681" s="538"/>
      <c r="AG681" s="343"/>
      <c r="AH681" s="343"/>
      <c r="AI681" s="538"/>
      <c r="AJ681" s="343"/>
      <c r="AK681" s="343"/>
      <c r="AL681" s="538"/>
      <c r="AM681" s="343"/>
      <c r="AN681" s="343"/>
      <c r="AO681" s="538"/>
      <c r="AP681" s="343"/>
      <c r="AQ681" s="343"/>
      <c r="AS681" s="343"/>
      <c r="AT681" s="538"/>
      <c r="AU681" s="343"/>
      <c r="AV681" s="343"/>
      <c r="AW681" s="538"/>
      <c r="AX681" s="343"/>
      <c r="AY681" s="343"/>
      <c r="AZ681" s="538"/>
      <c r="BA681" s="343"/>
      <c r="BB681" s="343"/>
      <c r="BC681" s="538"/>
      <c r="BD681" s="343"/>
      <c r="BE681" s="343"/>
      <c r="BG681" s="644"/>
      <c r="BH681" s="515"/>
      <c r="BI681" s="515"/>
      <c r="BJ681" s="644"/>
      <c r="BK681" s="515"/>
      <c r="BL681" s="515"/>
      <c r="BM681" s="644"/>
      <c r="BN681" s="515"/>
      <c r="BO681" s="515"/>
      <c r="BP681" s="644"/>
      <c r="BQ681" s="515"/>
      <c r="BR681" s="515"/>
    </row>
    <row r="682" spans="4:70" x14ac:dyDescent="0.25">
      <c r="D682" s="538"/>
      <c r="G682" s="538"/>
      <c r="J682" s="538"/>
      <c r="M682" s="538"/>
      <c r="R682" s="538"/>
      <c r="S682" s="343"/>
      <c r="T682" s="343"/>
      <c r="U682" s="538"/>
      <c r="V682" s="343"/>
      <c r="W682" s="343"/>
      <c r="X682" s="538"/>
      <c r="Y682" s="343"/>
      <c r="Z682" s="343"/>
      <c r="AA682" s="538"/>
      <c r="AB682" s="343"/>
      <c r="AC682" s="343"/>
      <c r="AE682" s="343"/>
      <c r="AF682" s="538"/>
      <c r="AG682" s="343"/>
      <c r="AH682" s="343"/>
      <c r="AI682" s="538"/>
      <c r="AJ682" s="343"/>
      <c r="AK682" s="343"/>
      <c r="AL682" s="538"/>
      <c r="AM682" s="343"/>
      <c r="AN682" s="343"/>
      <c r="AO682" s="538"/>
      <c r="AP682" s="343"/>
      <c r="AQ682" s="343"/>
      <c r="AS682" s="343"/>
      <c r="AT682" s="538"/>
      <c r="AU682" s="343"/>
      <c r="AV682" s="343"/>
      <c r="AW682" s="538"/>
      <c r="AX682" s="343"/>
      <c r="AY682" s="343"/>
      <c r="AZ682" s="538"/>
      <c r="BA682" s="343"/>
      <c r="BB682" s="343"/>
      <c r="BC682" s="538"/>
      <c r="BD682" s="343"/>
      <c r="BE682" s="343"/>
      <c r="BG682" s="644"/>
      <c r="BH682" s="515"/>
      <c r="BI682" s="515"/>
      <c r="BJ682" s="644"/>
      <c r="BK682" s="515"/>
      <c r="BL682" s="515"/>
      <c r="BM682" s="644"/>
      <c r="BN682" s="515"/>
      <c r="BO682" s="515"/>
      <c r="BP682" s="644"/>
      <c r="BQ682" s="515"/>
      <c r="BR682" s="515"/>
    </row>
    <row r="683" spans="4:70" x14ac:dyDescent="0.25">
      <c r="D683" s="538"/>
      <c r="G683" s="538"/>
      <c r="J683" s="538"/>
      <c r="M683" s="538"/>
      <c r="R683" s="538"/>
      <c r="S683" s="343"/>
      <c r="T683" s="343"/>
      <c r="U683" s="538"/>
      <c r="V683" s="343"/>
      <c r="W683" s="343"/>
      <c r="X683" s="538"/>
      <c r="Y683" s="343"/>
      <c r="Z683" s="343"/>
      <c r="AA683" s="538"/>
      <c r="AB683" s="343"/>
      <c r="AC683" s="343"/>
      <c r="AE683" s="343"/>
      <c r="AF683" s="538"/>
      <c r="AG683" s="343"/>
      <c r="AH683" s="343"/>
      <c r="AI683" s="538"/>
      <c r="AJ683" s="343"/>
      <c r="AK683" s="343"/>
      <c r="AL683" s="538"/>
      <c r="AM683" s="343"/>
      <c r="AN683" s="343"/>
      <c r="AO683" s="538"/>
      <c r="AP683" s="343"/>
      <c r="AQ683" s="343"/>
      <c r="AS683" s="343"/>
      <c r="AT683" s="538"/>
      <c r="AU683" s="343"/>
      <c r="AV683" s="343"/>
      <c r="AW683" s="538"/>
      <c r="AX683" s="343"/>
      <c r="AY683" s="343"/>
      <c r="AZ683" s="538"/>
      <c r="BA683" s="343"/>
      <c r="BB683" s="343"/>
      <c r="BC683" s="538"/>
      <c r="BD683" s="343"/>
      <c r="BE683" s="343"/>
      <c r="BG683" s="644"/>
      <c r="BH683" s="515"/>
      <c r="BI683" s="515"/>
      <c r="BJ683" s="644"/>
      <c r="BK683" s="515"/>
      <c r="BL683" s="515"/>
      <c r="BM683" s="644"/>
      <c r="BN683" s="515"/>
      <c r="BO683" s="515"/>
      <c r="BP683" s="644"/>
      <c r="BQ683" s="515"/>
      <c r="BR683" s="515"/>
    </row>
    <row r="684" spans="4:70" x14ac:dyDescent="0.25">
      <c r="D684" s="538"/>
      <c r="G684" s="538"/>
      <c r="J684" s="538"/>
      <c r="M684" s="538"/>
      <c r="R684" s="538"/>
      <c r="S684" s="343"/>
      <c r="T684" s="343"/>
      <c r="U684" s="538"/>
      <c r="V684" s="343"/>
      <c r="W684" s="343"/>
      <c r="X684" s="538"/>
      <c r="Y684" s="343"/>
      <c r="Z684" s="343"/>
      <c r="AA684" s="538"/>
      <c r="AB684" s="343"/>
      <c r="AC684" s="343"/>
      <c r="AE684" s="343"/>
      <c r="AF684" s="538"/>
      <c r="AG684" s="343"/>
      <c r="AH684" s="343"/>
      <c r="AI684" s="538"/>
      <c r="AJ684" s="343"/>
      <c r="AK684" s="343"/>
      <c r="AL684" s="538"/>
      <c r="AM684" s="343"/>
      <c r="AN684" s="343"/>
      <c r="AO684" s="538"/>
      <c r="AP684" s="343"/>
      <c r="AQ684" s="343"/>
      <c r="AS684" s="343"/>
      <c r="AT684" s="538"/>
      <c r="AU684" s="343"/>
      <c r="AV684" s="343"/>
      <c r="AW684" s="538"/>
      <c r="AX684" s="343"/>
      <c r="AY684" s="343"/>
      <c r="AZ684" s="538"/>
      <c r="BA684" s="343"/>
      <c r="BB684" s="343"/>
      <c r="BC684" s="538"/>
      <c r="BD684" s="343"/>
      <c r="BE684" s="343"/>
      <c r="BG684" s="644"/>
      <c r="BH684" s="515"/>
      <c r="BI684" s="515"/>
      <c r="BJ684" s="644"/>
      <c r="BK684" s="515"/>
      <c r="BL684" s="515"/>
      <c r="BM684" s="644"/>
      <c r="BN684" s="515"/>
      <c r="BO684" s="515"/>
      <c r="BP684" s="644"/>
      <c r="BQ684" s="515"/>
      <c r="BR684" s="515"/>
    </row>
    <row r="685" spans="4:70" x14ac:dyDescent="0.25">
      <c r="D685" s="538"/>
      <c r="G685" s="538"/>
      <c r="J685" s="538"/>
      <c r="M685" s="538"/>
      <c r="R685" s="538"/>
      <c r="S685" s="343"/>
      <c r="T685" s="343"/>
      <c r="U685" s="538"/>
      <c r="V685" s="343"/>
      <c r="W685" s="343"/>
      <c r="X685" s="538"/>
      <c r="Y685" s="343"/>
      <c r="Z685" s="343"/>
      <c r="AA685" s="538"/>
      <c r="AB685" s="343"/>
      <c r="AC685" s="343"/>
      <c r="AE685" s="343"/>
      <c r="AF685" s="538"/>
      <c r="AG685" s="343"/>
      <c r="AH685" s="343"/>
      <c r="AI685" s="538"/>
      <c r="AJ685" s="343"/>
      <c r="AK685" s="343"/>
      <c r="AL685" s="538"/>
      <c r="AM685" s="343"/>
      <c r="AN685" s="343"/>
      <c r="AO685" s="538"/>
      <c r="AP685" s="343"/>
      <c r="AQ685" s="343"/>
      <c r="AS685" s="343"/>
      <c r="AT685" s="538"/>
      <c r="AU685" s="343"/>
      <c r="AV685" s="343"/>
      <c r="AW685" s="538"/>
      <c r="AX685" s="343"/>
      <c r="AY685" s="343"/>
      <c r="AZ685" s="538"/>
      <c r="BA685" s="343"/>
      <c r="BB685" s="343"/>
      <c r="BC685" s="538"/>
      <c r="BD685" s="343"/>
      <c r="BE685" s="343"/>
      <c r="BG685" s="644"/>
      <c r="BH685" s="515"/>
      <c r="BI685" s="515"/>
      <c r="BJ685" s="644"/>
      <c r="BK685" s="515"/>
      <c r="BL685" s="515"/>
      <c r="BM685" s="644"/>
      <c r="BN685" s="515"/>
      <c r="BO685" s="515"/>
      <c r="BP685" s="644"/>
      <c r="BQ685" s="515"/>
      <c r="BR685" s="515"/>
    </row>
    <row r="686" spans="4:70" x14ac:dyDescent="0.25">
      <c r="D686" s="538"/>
      <c r="G686" s="538"/>
      <c r="J686" s="538"/>
      <c r="M686" s="538"/>
      <c r="R686" s="538"/>
      <c r="S686" s="343"/>
      <c r="T686" s="343"/>
      <c r="U686" s="538"/>
      <c r="V686" s="343"/>
      <c r="W686" s="343"/>
      <c r="X686" s="538"/>
      <c r="Y686" s="343"/>
      <c r="Z686" s="343"/>
      <c r="AA686" s="538"/>
      <c r="AB686" s="343"/>
      <c r="AC686" s="343"/>
      <c r="AE686" s="343"/>
      <c r="AF686" s="538"/>
      <c r="AG686" s="343"/>
      <c r="AH686" s="343"/>
      <c r="AI686" s="538"/>
      <c r="AJ686" s="343"/>
      <c r="AK686" s="343"/>
      <c r="AL686" s="538"/>
      <c r="AM686" s="343"/>
      <c r="AN686" s="343"/>
      <c r="AO686" s="538"/>
      <c r="AP686" s="343"/>
      <c r="AQ686" s="343"/>
      <c r="AS686" s="343"/>
      <c r="AT686" s="538"/>
      <c r="AU686" s="343"/>
      <c r="AV686" s="343"/>
      <c r="AW686" s="538"/>
      <c r="AX686" s="343"/>
      <c r="AY686" s="343"/>
      <c r="AZ686" s="538"/>
      <c r="BA686" s="343"/>
      <c r="BB686" s="343"/>
      <c r="BC686" s="538"/>
      <c r="BD686" s="343"/>
      <c r="BE686" s="343"/>
      <c r="BG686" s="644"/>
      <c r="BH686" s="515"/>
      <c r="BI686" s="515"/>
      <c r="BJ686" s="644"/>
      <c r="BK686" s="515"/>
      <c r="BL686" s="515"/>
      <c r="BM686" s="644"/>
      <c r="BN686" s="515"/>
      <c r="BO686" s="515"/>
      <c r="BP686" s="644"/>
      <c r="BQ686" s="515"/>
      <c r="BR686" s="515"/>
    </row>
    <row r="687" spans="4:70" x14ac:dyDescent="0.25">
      <c r="D687" s="538"/>
      <c r="G687" s="538"/>
      <c r="J687" s="538"/>
      <c r="M687" s="538"/>
      <c r="R687" s="538"/>
      <c r="S687" s="343"/>
      <c r="T687" s="343"/>
      <c r="U687" s="538"/>
      <c r="V687" s="343"/>
      <c r="W687" s="343"/>
      <c r="X687" s="538"/>
      <c r="Y687" s="343"/>
      <c r="Z687" s="343"/>
      <c r="AA687" s="538"/>
      <c r="AB687" s="343"/>
      <c r="AC687" s="343"/>
      <c r="AE687" s="343"/>
      <c r="AF687" s="538"/>
      <c r="AG687" s="343"/>
      <c r="AH687" s="343"/>
      <c r="AI687" s="538"/>
      <c r="AJ687" s="343"/>
      <c r="AK687" s="343"/>
      <c r="AL687" s="538"/>
      <c r="AM687" s="343"/>
      <c r="AN687" s="343"/>
      <c r="AO687" s="538"/>
      <c r="AP687" s="343"/>
      <c r="AQ687" s="343"/>
      <c r="AS687" s="343"/>
      <c r="AT687" s="538"/>
      <c r="AU687" s="343"/>
      <c r="AV687" s="343"/>
      <c r="AW687" s="538"/>
      <c r="AX687" s="343"/>
      <c r="AY687" s="343"/>
      <c r="AZ687" s="538"/>
      <c r="BA687" s="343"/>
      <c r="BB687" s="343"/>
      <c r="BC687" s="538"/>
      <c r="BD687" s="343"/>
      <c r="BE687" s="343"/>
      <c r="BG687" s="644"/>
      <c r="BH687" s="515"/>
      <c r="BI687" s="515"/>
      <c r="BJ687" s="644"/>
      <c r="BK687" s="515"/>
      <c r="BL687" s="515"/>
      <c r="BM687" s="644"/>
      <c r="BN687" s="515"/>
      <c r="BO687" s="515"/>
      <c r="BP687" s="644"/>
      <c r="BQ687" s="515"/>
      <c r="BR687" s="515"/>
    </row>
    <row r="688" spans="4:70" x14ac:dyDescent="0.25">
      <c r="D688" s="538"/>
      <c r="G688" s="538"/>
      <c r="J688" s="538"/>
      <c r="M688" s="538"/>
      <c r="R688" s="538"/>
      <c r="S688" s="343"/>
      <c r="T688" s="343"/>
      <c r="U688" s="538"/>
      <c r="V688" s="343"/>
      <c r="W688" s="343"/>
      <c r="X688" s="538"/>
      <c r="Y688" s="343"/>
      <c r="Z688" s="343"/>
      <c r="AA688" s="538"/>
      <c r="AB688" s="343"/>
      <c r="AC688" s="343"/>
      <c r="AE688" s="343"/>
      <c r="AF688" s="538"/>
      <c r="AG688" s="343"/>
      <c r="AH688" s="343"/>
      <c r="AI688" s="538"/>
      <c r="AJ688" s="343"/>
      <c r="AK688" s="343"/>
      <c r="AL688" s="538"/>
      <c r="AM688" s="343"/>
      <c r="AN688" s="343"/>
      <c r="AO688" s="538"/>
      <c r="AP688" s="343"/>
      <c r="AQ688" s="343"/>
      <c r="AS688" s="343"/>
      <c r="AT688" s="538"/>
      <c r="AU688" s="343"/>
      <c r="AV688" s="343"/>
      <c r="AW688" s="538"/>
      <c r="AX688" s="343"/>
      <c r="AY688" s="343"/>
      <c r="AZ688" s="538"/>
      <c r="BA688" s="343"/>
      <c r="BB688" s="343"/>
      <c r="BC688" s="538"/>
      <c r="BD688" s="343"/>
      <c r="BE688" s="343"/>
      <c r="BG688" s="644"/>
      <c r="BH688" s="515"/>
      <c r="BI688" s="515"/>
      <c r="BJ688" s="644"/>
      <c r="BK688" s="515"/>
      <c r="BL688" s="515"/>
      <c r="BM688" s="644"/>
      <c r="BN688" s="515"/>
      <c r="BO688" s="515"/>
      <c r="BP688" s="644"/>
      <c r="BQ688" s="515"/>
      <c r="BR688" s="515"/>
    </row>
    <row r="689" spans="4:70" x14ac:dyDescent="0.25">
      <c r="D689" s="538"/>
      <c r="G689" s="538"/>
      <c r="J689" s="538"/>
      <c r="M689" s="538"/>
      <c r="R689" s="538"/>
      <c r="S689" s="343"/>
      <c r="T689" s="343"/>
      <c r="U689" s="538"/>
      <c r="V689" s="343"/>
      <c r="W689" s="343"/>
      <c r="X689" s="538"/>
      <c r="Y689" s="343"/>
      <c r="Z689" s="343"/>
      <c r="AA689" s="538"/>
      <c r="AB689" s="343"/>
      <c r="AC689" s="343"/>
      <c r="AE689" s="343"/>
      <c r="AF689" s="538"/>
      <c r="AG689" s="343"/>
      <c r="AH689" s="343"/>
      <c r="AI689" s="538"/>
      <c r="AJ689" s="343"/>
      <c r="AK689" s="343"/>
      <c r="AL689" s="538"/>
      <c r="AM689" s="343"/>
      <c r="AN689" s="343"/>
      <c r="AO689" s="538"/>
      <c r="AP689" s="343"/>
      <c r="AQ689" s="343"/>
      <c r="AS689" s="343"/>
      <c r="AT689" s="538"/>
      <c r="AU689" s="343"/>
      <c r="AV689" s="343"/>
      <c r="AW689" s="538"/>
      <c r="AX689" s="343"/>
      <c r="AY689" s="343"/>
      <c r="AZ689" s="538"/>
      <c r="BA689" s="343"/>
      <c r="BB689" s="343"/>
      <c r="BC689" s="538"/>
      <c r="BD689" s="343"/>
      <c r="BE689" s="343"/>
      <c r="BG689" s="644"/>
      <c r="BH689" s="515"/>
      <c r="BI689" s="515"/>
      <c r="BJ689" s="644"/>
      <c r="BK689" s="515"/>
      <c r="BL689" s="515"/>
      <c r="BM689" s="644"/>
      <c r="BN689" s="515"/>
      <c r="BO689" s="515"/>
      <c r="BP689" s="644"/>
      <c r="BQ689" s="515"/>
      <c r="BR689" s="515"/>
    </row>
    <row r="690" spans="4:70" x14ac:dyDescent="0.25">
      <c r="D690" s="538"/>
      <c r="G690" s="538"/>
      <c r="J690" s="538"/>
      <c r="M690" s="538"/>
      <c r="R690" s="538"/>
      <c r="S690" s="343"/>
      <c r="T690" s="343"/>
      <c r="U690" s="538"/>
      <c r="V690" s="343"/>
      <c r="W690" s="343"/>
      <c r="X690" s="538"/>
      <c r="Y690" s="343"/>
      <c r="Z690" s="343"/>
      <c r="AA690" s="538"/>
      <c r="AB690" s="343"/>
      <c r="AC690" s="343"/>
      <c r="AE690" s="343"/>
      <c r="AF690" s="538"/>
      <c r="AG690" s="343"/>
      <c r="AH690" s="343"/>
      <c r="AI690" s="538"/>
      <c r="AJ690" s="343"/>
      <c r="AK690" s="343"/>
      <c r="AL690" s="538"/>
      <c r="AM690" s="343"/>
      <c r="AN690" s="343"/>
      <c r="AO690" s="538"/>
      <c r="AP690" s="343"/>
      <c r="AQ690" s="343"/>
      <c r="AS690" s="343"/>
      <c r="AT690" s="538"/>
      <c r="AU690" s="343"/>
      <c r="AV690" s="343"/>
      <c r="AW690" s="538"/>
      <c r="AX690" s="343"/>
      <c r="AY690" s="343"/>
      <c r="AZ690" s="538"/>
      <c r="BA690" s="343"/>
      <c r="BB690" s="343"/>
      <c r="BC690" s="538"/>
      <c r="BD690" s="343"/>
      <c r="BE690" s="343"/>
      <c r="BG690" s="644"/>
      <c r="BH690" s="515"/>
      <c r="BI690" s="515"/>
      <c r="BJ690" s="644"/>
      <c r="BK690" s="515"/>
      <c r="BL690" s="515"/>
      <c r="BM690" s="644"/>
      <c r="BN690" s="515"/>
      <c r="BO690" s="515"/>
      <c r="BP690" s="644"/>
      <c r="BQ690" s="515"/>
      <c r="BR690" s="515"/>
    </row>
    <row r="691" spans="4:70" x14ac:dyDescent="0.25">
      <c r="D691" s="538"/>
      <c r="G691" s="538"/>
      <c r="J691" s="538"/>
      <c r="M691" s="538"/>
      <c r="R691" s="538"/>
      <c r="S691" s="343"/>
      <c r="T691" s="343"/>
      <c r="U691" s="538"/>
      <c r="V691" s="343"/>
      <c r="W691" s="343"/>
      <c r="X691" s="538"/>
      <c r="Y691" s="343"/>
      <c r="Z691" s="343"/>
      <c r="AA691" s="538"/>
      <c r="AB691" s="343"/>
      <c r="AC691" s="343"/>
      <c r="AE691" s="343"/>
      <c r="AF691" s="538"/>
      <c r="AG691" s="343"/>
      <c r="AH691" s="343"/>
      <c r="AI691" s="538"/>
      <c r="AJ691" s="343"/>
      <c r="AK691" s="343"/>
      <c r="AL691" s="538"/>
      <c r="AM691" s="343"/>
      <c r="AN691" s="343"/>
      <c r="AO691" s="538"/>
      <c r="AP691" s="343"/>
      <c r="AQ691" s="343"/>
      <c r="AS691" s="343"/>
      <c r="AT691" s="538"/>
      <c r="AU691" s="343"/>
      <c r="AV691" s="343"/>
      <c r="AW691" s="538"/>
      <c r="AX691" s="343"/>
      <c r="AY691" s="343"/>
      <c r="AZ691" s="538"/>
      <c r="BA691" s="343"/>
      <c r="BB691" s="343"/>
      <c r="BC691" s="538"/>
      <c r="BD691" s="343"/>
      <c r="BE691" s="343"/>
      <c r="BG691" s="644"/>
      <c r="BH691" s="515"/>
      <c r="BI691" s="515"/>
      <c r="BJ691" s="644"/>
      <c r="BK691" s="515"/>
      <c r="BL691" s="515"/>
      <c r="BM691" s="644"/>
      <c r="BN691" s="515"/>
      <c r="BO691" s="515"/>
      <c r="BP691" s="644"/>
      <c r="BQ691" s="515"/>
      <c r="BR691" s="515"/>
    </row>
    <row r="692" spans="4:70" x14ac:dyDescent="0.25">
      <c r="D692" s="538"/>
      <c r="G692" s="538"/>
      <c r="J692" s="538"/>
      <c r="M692" s="538"/>
      <c r="R692" s="538"/>
      <c r="S692" s="343"/>
      <c r="T692" s="343"/>
      <c r="U692" s="538"/>
      <c r="V692" s="343"/>
      <c r="W692" s="343"/>
      <c r="X692" s="538"/>
      <c r="Y692" s="343"/>
      <c r="Z692" s="343"/>
      <c r="AA692" s="538"/>
      <c r="AB692" s="343"/>
      <c r="AC692" s="343"/>
      <c r="AE692" s="343"/>
      <c r="AF692" s="538"/>
      <c r="AG692" s="343"/>
      <c r="AH692" s="343"/>
      <c r="AI692" s="538"/>
      <c r="AJ692" s="343"/>
      <c r="AK692" s="343"/>
      <c r="AL692" s="538"/>
      <c r="AM692" s="343"/>
      <c r="AN692" s="343"/>
      <c r="AO692" s="538"/>
      <c r="AP692" s="343"/>
      <c r="AQ692" s="343"/>
      <c r="AS692" s="343"/>
      <c r="AT692" s="538"/>
      <c r="AU692" s="343"/>
      <c r="AV692" s="343"/>
      <c r="AW692" s="538"/>
      <c r="AX692" s="343"/>
      <c r="AY692" s="343"/>
      <c r="AZ692" s="538"/>
      <c r="BA692" s="343"/>
      <c r="BB692" s="343"/>
      <c r="BC692" s="538"/>
      <c r="BD692" s="343"/>
      <c r="BE692" s="343"/>
      <c r="BG692" s="644"/>
      <c r="BH692" s="515"/>
      <c r="BI692" s="515"/>
      <c r="BJ692" s="644"/>
      <c r="BK692" s="515"/>
      <c r="BL692" s="515"/>
      <c r="BM692" s="644"/>
      <c r="BN692" s="515"/>
      <c r="BO692" s="515"/>
      <c r="BP692" s="644"/>
      <c r="BQ692" s="515"/>
      <c r="BR692" s="515"/>
    </row>
    <row r="693" spans="4:70" x14ac:dyDescent="0.25">
      <c r="D693" s="538"/>
      <c r="G693" s="538"/>
      <c r="J693" s="538"/>
      <c r="M693" s="538"/>
      <c r="R693" s="538"/>
      <c r="S693" s="343"/>
      <c r="T693" s="343"/>
      <c r="U693" s="538"/>
      <c r="V693" s="343"/>
      <c r="W693" s="343"/>
      <c r="X693" s="538"/>
      <c r="Y693" s="343"/>
      <c r="Z693" s="343"/>
      <c r="AA693" s="538"/>
      <c r="AB693" s="343"/>
      <c r="AC693" s="343"/>
      <c r="AE693" s="343"/>
      <c r="AF693" s="538"/>
      <c r="AG693" s="343"/>
      <c r="AH693" s="343"/>
      <c r="AI693" s="538"/>
      <c r="AJ693" s="343"/>
      <c r="AK693" s="343"/>
      <c r="AL693" s="538"/>
      <c r="AM693" s="343"/>
      <c r="AN693" s="343"/>
      <c r="AO693" s="538"/>
      <c r="AP693" s="343"/>
      <c r="AQ693" s="343"/>
      <c r="AS693" s="343"/>
      <c r="AT693" s="538"/>
      <c r="AU693" s="343"/>
      <c r="AV693" s="343"/>
      <c r="AW693" s="538"/>
      <c r="AX693" s="343"/>
      <c r="AY693" s="343"/>
      <c r="AZ693" s="538"/>
      <c r="BA693" s="343"/>
      <c r="BB693" s="343"/>
      <c r="BC693" s="538"/>
      <c r="BD693" s="343"/>
      <c r="BE693" s="343"/>
      <c r="BG693" s="644"/>
      <c r="BH693" s="515"/>
      <c r="BI693" s="515"/>
      <c r="BJ693" s="644"/>
      <c r="BK693" s="515"/>
      <c r="BL693" s="515"/>
      <c r="BM693" s="644"/>
      <c r="BN693" s="515"/>
      <c r="BO693" s="515"/>
      <c r="BP693" s="644"/>
      <c r="BQ693" s="515"/>
      <c r="BR693" s="515"/>
    </row>
    <row r="694" spans="4:70" x14ac:dyDescent="0.25">
      <c r="D694" s="538"/>
      <c r="G694" s="538"/>
      <c r="J694" s="538"/>
      <c r="M694" s="538"/>
      <c r="R694" s="538"/>
      <c r="S694" s="343"/>
      <c r="T694" s="343"/>
      <c r="U694" s="538"/>
      <c r="V694" s="343"/>
      <c r="W694" s="343"/>
      <c r="X694" s="538"/>
      <c r="Y694" s="343"/>
      <c r="Z694" s="343"/>
      <c r="AA694" s="538"/>
      <c r="AB694" s="343"/>
      <c r="AC694" s="343"/>
      <c r="AE694" s="343"/>
      <c r="AF694" s="538"/>
      <c r="AG694" s="343"/>
      <c r="AH694" s="343"/>
      <c r="AI694" s="538"/>
      <c r="AJ694" s="343"/>
      <c r="AK694" s="343"/>
      <c r="AL694" s="538"/>
      <c r="AM694" s="343"/>
      <c r="AN694" s="343"/>
      <c r="AO694" s="538"/>
      <c r="AP694" s="343"/>
      <c r="AQ694" s="343"/>
      <c r="AS694" s="343"/>
      <c r="AT694" s="538"/>
      <c r="AU694" s="343"/>
      <c r="AV694" s="343"/>
      <c r="AW694" s="538"/>
      <c r="AX694" s="343"/>
      <c r="AY694" s="343"/>
      <c r="AZ694" s="538"/>
      <c r="BA694" s="343"/>
      <c r="BB694" s="343"/>
      <c r="BC694" s="538"/>
      <c r="BD694" s="343"/>
      <c r="BE694" s="343"/>
      <c r="BG694" s="644"/>
      <c r="BH694" s="515"/>
      <c r="BI694" s="515"/>
      <c r="BJ694" s="644"/>
      <c r="BK694" s="515"/>
      <c r="BL694" s="515"/>
      <c r="BM694" s="644"/>
      <c r="BN694" s="515"/>
      <c r="BO694" s="515"/>
      <c r="BP694" s="644"/>
      <c r="BQ694" s="515"/>
      <c r="BR694" s="515"/>
    </row>
    <row r="695" spans="4:70" x14ac:dyDescent="0.25">
      <c r="D695" s="538"/>
      <c r="G695" s="538"/>
      <c r="J695" s="538"/>
      <c r="M695" s="538"/>
      <c r="R695" s="538"/>
      <c r="S695" s="343"/>
      <c r="T695" s="343"/>
      <c r="U695" s="538"/>
      <c r="V695" s="343"/>
      <c r="W695" s="343"/>
      <c r="X695" s="538"/>
      <c r="Y695" s="343"/>
      <c r="Z695" s="343"/>
      <c r="AA695" s="538"/>
      <c r="AB695" s="343"/>
      <c r="AC695" s="343"/>
      <c r="AE695" s="343"/>
      <c r="AF695" s="538"/>
      <c r="AG695" s="343"/>
      <c r="AH695" s="343"/>
      <c r="AI695" s="538"/>
      <c r="AJ695" s="343"/>
      <c r="AK695" s="343"/>
      <c r="AL695" s="538"/>
      <c r="AM695" s="343"/>
      <c r="AN695" s="343"/>
      <c r="AO695" s="538"/>
      <c r="AP695" s="343"/>
      <c r="AQ695" s="343"/>
      <c r="AS695" s="343"/>
      <c r="AT695" s="538"/>
      <c r="AU695" s="343"/>
      <c r="AV695" s="343"/>
      <c r="AW695" s="538"/>
      <c r="AX695" s="343"/>
      <c r="AY695" s="343"/>
      <c r="AZ695" s="538"/>
      <c r="BA695" s="343"/>
      <c r="BB695" s="343"/>
      <c r="BC695" s="538"/>
      <c r="BD695" s="343"/>
      <c r="BE695" s="343"/>
      <c r="BG695" s="644"/>
      <c r="BH695" s="515"/>
      <c r="BI695" s="515"/>
      <c r="BJ695" s="644"/>
      <c r="BK695" s="515"/>
      <c r="BL695" s="515"/>
      <c r="BM695" s="644"/>
      <c r="BN695" s="515"/>
      <c r="BO695" s="515"/>
      <c r="BP695" s="644"/>
      <c r="BQ695" s="515"/>
      <c r="BR695" s="515"/>
    </row>
    <row r="696" spans="4:70" x14ac:dyDescent="0.25">
      <c r="D696" s="538"/>
      <c r="G696" s="538"/>
      <c r="J696" s="538"/>
      <c r="M696" s="538"/>
      <c r="R696" s="538"/>
      <c r="S696" s="343"/>
      <c r="T696" s="343"/>
      <c r="U696" s="538"/>
      <c r="V696" s="343"/>
      <c r="W696" s="343"/>
      <c r="X696" s="538"/>
      <c r="Y696" s="343"/>
      <c r="Z696" s="343"/>
      <c r="AA696" s="538"/>
      <c r="AB696" s="343"/>
      <c r="AC696" s="343"/>
      <c r="AE696" s="343"/>
      <c r="AF696" s="538"/>
      <c r="AG696" s="343"/>
      <c r="AH696" s="343"/>
      <c r="AI696" s="538"/>
      <c r="AJ696" s="343"/>
      <c r="AK696" s="343"/>
      <c r="AL696" s="538"/>
      <c r="AM696" s="343"/>
      <c r="AN696" s="343"/>
      <c r="AO696" s="538"/>
      <c r="AP696" s="343"/>
      <c r="AQ696" s="343"/>
      <c r="AS696" s="343"/>
      <c r="AT696" s="538"/>
      <c r="AU696" s="343"/>
      <c r="AV696" s="343"/>
      <c r="AW696" s="538"/>
      <c r="AX696" s="343"/>
      <c r="AY696" s="343"/>
      <c r="AZ696" s="538"/>
      <c r="BA696" s="343"/>
      <c r="BB696" s="343"/>
      <c r="BC696" s="538"/>
      <c r="BD696" s="343"/>
      <c r="BE696" s="343"/>
      <c r="BG696" s="644"/>
      <c r="BH696" s="515"/>
      <c r="BI696" s="515"/>
      <c r="BJ696" s="644"/>
      <c r="BK696" s="515"/>
      <c r="BL696" s="515"/>
      <c r="BM696" s="644"/>
      <c r="BN696" s="515"/>
      <c r="BO696" s="515"/>
      <c r="BP696" s="644"/>
      <c r="BQ696" s="515"/>
      <c r="BR696" s="515"/>
    </row>
    <row r="697" spans="4:70" x14ac:dyDescent="0.25">
      <c r="D697" s="538"/>
      <c r="G697" s="538"/>
      <c r="J697" s="538"/>
      <c r="M697" s="538"/>
      <c r="R697" s="538"/>
      <c r="S697" s="343"/>
      <c r="T697" s="343"/>
      <c r="U697" s="538"/>
      <c r="V697" s="343"/>
      <c r="W697" s="343"/>
      <c r="X697" s="538"/>
      <c r="Y697" s="343"/>
      <c r="Z697" s="343"/>
      <c r="AA697" s="538"/>
      <c r="AB697" s="343"/>
      <c r="AC697" s="343"/>
      <c r="AE697" s="343"/>
      <c r="AF697" s="538"/>
      <c r="AG697" s="343"/>
      <c r="AH697" s="343"/>
      <c r="AI697" s="538"/>
      <c r="AJ697" s="343"/>
      <c r="AK697" s="343"/>
      <c r="AL697" s="538"/>
      <c r="AM697" s="343"/>
      <c r="AN697" s="343"/>
      <c r="AO697" s="538"/>
      <c r="AP697" s="343"/>
      <c r="AQ697" s="343"/>
      <c r="AS697" s="343"/>
      <c r="AT697" s="538"/>
      <c r="AU697" s="343"/>
      <c r="AV697" s="343"/>
      <c r="AW697" s="538"/>
      <c r="AX697" s="343"/>
      <c r="AY697" s="343"/>
      <c r="AZ697" s="538"/>
      <c r="BA697" s="343"/>
      <c r="BB697" s="343"/>
      <c r="BC697" s="538"/>
      <c r="BD697" s="343"/>
      <c r="BE697" s="343"/>
      <c r="BG697" s="644"/>
      <c r="BH697" s="515"/>
      <c r="BI697" s="515"/>
      <c r="BJ697" s="644"/>
      <c r="BK697" s="515"/>
      <c r="BL697" s="515"/>
      <c r="BM697" s="644"/>
      <c r="BN697" s="515"/>
      <c r="BO697" s="515"/>
      <c r="BP697" s="644"/>
      <c r="BQ697" s="515"/>
      <c r="BR697" s="515"/>
    </row>
    <row r="698" spans="4:70" x14ac:dyDescent="0.25">
      <c r="D698" s="538"/>
      <c r="G698" s="538"/>
      <c r="J698" s="538"/>
      <c r="M698" s="538"/>
      <c r="R698" s="538"/>
      <c r="S698" s="343"/>
      <c r="T698" s="343"/>
      <c r="U698" s="538"/>
      <c r="V698" s="343"/>
      <c r="W698" s="343"/>
      <c r="X698" s="538"/>
      <c r="Y698" s="343"/>
      <c r="Z698" s="343"/>
      <c r="AA698" s="538"/>
      <c r="AB698" s="343"/>
      <c r="AC698" s="343"/>
      <c r="AE698" s="343"/>
      <c r="AF698" s="538"/>
      <c r="AG698" s="343"/>
      <c r="AH698" s="343"/>
      <c r="AI698" s="538"/>
      <c r="AJ698" s="343"/>
      <c r="AK698" s="343"/>
      <c r="AL698" s="538"/>
      <c r="AM698" s="343"/>
      <c r="AN698" s="343"/>
      <c r="AO698" s="538"/>
      <c r="AP698" s="343"/>
      <c r="AQ698" s="343"/>
      <c r="AS698" s="343"/>
      <c r="AT698" s="538"/>
      <c r="AU698" s="343"/>
      <c r="AV698" s="343"/>
      <c r="AW698" s="538"/>
      <c r="AX698" s="343"/>
      <c r="AY698" s="343"/>
      <c r="AZ698" s="538"/>
      <c r="BA698" s="343"/>
      <c r="BB698" s="343"/>
      <c r="BC698" s="538"/>
      <c r="BD698" s="343"/>
      <c r="BE698" s="343"/>
      <c r="BG698" s="644"/>
      <c r="BH698" s="515"/>
      <c r="BI698" s="515"/>
      <c r="BJ698" s="644"/>
      <c r="BK698" s="515"/>
      <c r="BL698" s="515"/>
      <c r="BM698" s="644"/>
      <c r="BN698" s="515"/>
      <c r="BO698" s="515"/>
      <c r="BP698" s="644"/>
      <c r="BQ698" s="515"/>
      <c r="BR698" s="515"/>
    </row>
    <row r="699" spans="4:70" x14ac:dyDescent="0.25">
      <c r="D699" s="538"/>
      <c r="G699" s="538"/>
      <c r="J699" s="538"/>
      <c r="M699" s="538"/>
      <c r="R699" s="538"/>
      <c r="S699" s="343"/>
      <c r="T699" s="343"/>
      <c r="U699" s="538"/>
      <c r="V699" s="343"/>
      <c r="W699" s="343"/>
      <c r="X699" s="538"/>
      <c r="Y699" s="343"/>
      <c r="Z699" s="343"/>
      <c r="AA699" s="538"/>
      <c r="AB699" s="343"/>
      <c r="AC699" s="343"/>
      <c r="AE699" s="343"/>
      <c r="AF699" s="538"/>
      <c r="AG699" s="343"/>
      <c r="AH699" s="343"/>
      <c r="AI699" s="538"/>
      <c r="AJ699" s="343"/>
      <c r="AK699" s="343"/>
      <c r="AL699" s="538"/>
      <c r="AM699" s="343"/>
      <c r="AN699" s="343"/>
      <c r="AO699" s="538"/>
      <c r="AP699" s="343"/>
      <c r="AQ699" s="343"/>
      <c r="AS699" s="343"/>
      <c r="AT699" s="538"/>
      <c r="AU699" s="343"/>
      <c r="AV699" s="343"/>
      <c r="AW699" s="538"/>
      <c r="AX699" s="343"/>
      <c r="AY699" s="343"/>
      <c r="AZ699" s="538"/>
      <c r="BA699" s="343"/>
      <c r="BB699" s="343"/>
      <c r="BC699" s="538"/>
      <c r="BD699" s="343"/>
      <c r="BE699" s="343"/>
      <c r="BG699" s="644"/>
      <c r="BH699" s="515"/>
      <c r="BI699" s="515"/>
      <c r="BJ699" s="644"/>
      <c r="BK699" s="515"/>
      <c r="BL699" s="515"/>
      <c r="BM699" s="644"/>
      <c r="BN699" s="515"/>
      <c r="BO699" s="515"/>
      <c r="BP699" s="644"/>
      <c r="BQ699" s="515"/>
      <c r="BR699" s="515"/>
    </row>
    <row r="700" spans="4:70" x14ac:dyDescent="0.25">
      <c r="D700" s="538"/>
      <c r="G700" s="538"/>
      <c r="J700" s="538"/>
      <c r="M700" s="538"/>
      <c r="R700" s="538"/>
      <c r="S700" s="343"/>
      <c r="T700" s="343"/>
      <c r="U700" s="538"/>
      <c r="V700" s="343"/>
      <c r="W700" s="343"/>
      <c r="X700" s="538"/>
      <c r="Y700" s="343"/>
      <c r="Z700" s="343"/>
      <c r="AA700" s="538"/>
      <c r="AB700" s="343"/>
      <c r="AC700" s="343"/>
      <c r="AE700" s="343"/>
      <c r="AF700" s="538"/>
      <c r="AG700" s="343"/>
      <c r="AH700" s="343"/>
      <c r="AI700" s="538"/>
      <c r="AJ700" s="343"/>
      <c r="AK700" s="343"/>
      <c r="AL700" s="538"/>
      <c r="AM700" s="343"/>
      <c r="AN700" s="343"/>
      <c r="AO700" s="538"/>
      <c r="AP700" s="343"/>
      <c r="AQ700" s="343"/>
      <c r="AS700" s="343"/>
      <c r="AT700" s="538"/>
      <c r="AU700" s="343"/>
      <c r="AV700" s="343"/>
      <c r="AW700" s="538"/>
      <c r="AX700" s="343"/>
      <c r="AY700" s="343"/>
      <c r="AZ700" s="538"/>
      <c r="BA700" s="343"/>
      <c r="BB700" s="343"/>
      <c r="BC700" s="538"/>
      <c r="BD700" s="343"/>
      <c r="BE700" s="343"/>
      <c r="BG700" s="644"/>
      <c r="BH700" s="515"/>
      <c r="BI700" s="515"/>
      <c r="BJ700" s="644"/>
      <c r="BK700" s="515"/>
      <c r="BL700" s="515"/>
      <c r="BM700" s="644"/>
      <c r="BN700" s="515"/>
      <c r="BO700" s="515"/>
      <c r="BP700" s="644"/>
      <c r="BQ700" s="515"/>
      <c r="BR700" s="515"/>
    </row>
    <row r="701" spans="4:70" x14ac:dyDescent="0.25">
      <c r="D701" s="538"/>
      <c r="G701" s="538"/>
      <c r="J701" s="538"/>
      <c r="M701" s="538"/>
      <c r="R701" s="538"/>
      <c r="S701" s="343"/>
      <c r="T701" s="343"/>
      <c r="U701" s="538"/>
      <c r="V701" s="343"/>
      <c r="W701" s="343"/>
      <c r="X701" s="538"/>
      <c r="Y701" s="343"/>
      <c r="Z701" s="343"/>
      <c r="AA701" s="538"/>
      <c r="AB701" s="343"/>
      <c r="AC701" s="343"/>
      <c r="AE701" s="343"/>
      <c r="AF701" s="538"/>
      <c r="AG701" s="343"/>
      <c r="AH701" s="343"/>
      <c r="AI701" s="538"/>
      <c r="AJ701" s="343"/>
      <c r="AK701" s="343"/>
      <c r="AL701" s="538"/>
      <c r="AM701" s="343"/>
      <c r="AN701" s="343"/>
      <c r="AO701" s="538"/>
      <c r="AP701" s="343"/>
      <c r="AQ701" s="343"/>
      <c r="AS701" s="343"/>
      <c r="AT701" s="538"/>
      <c r="AU701" s="343"/>
      <c r="AV701" s="343"/>
      <c r="AW701" s="538"/>
      <c r="AX701" s="343"/>
      <c r="AY701" s="343"/>
      <c r="AZ701" s="538"/>
      <c r="BA701" s="343"/>
      <c r="BB701" s="343"/>
      <c r="BC701" s="538"/>
      <c r="BD701" s="343"/>
      <c r="BE701" s="343"/>
      <c r="BG701" s="644"/>
      <c r="BH701" s="515"/>
      <c r="BI701" s="515"/>
      <c r="BJ701" s="644"/>
      <c r="BK701" s="515"/>
      <c r="BL701" s="515"/>
      <c r="BM701" s="644"/>
      <c r="BN701" s="515"/>
      <c r="BO701" s="515"/>
      <c r="BP701" s="644"/>
      <c r="BQ701" s="515"/>
      <c r="BR701" s="515"/>
    </row>
    <row r="702" spans="4:70" x14ac:dyDescent="0.25">
      <c r="D702" s="538"/>
      <c r="G702" s="538"/>
      <c r="J702" s="538"/>
      <c r="M702" s="538"/>
      <c r="R702" s="538"/>
      <c r="S702" s="343"/>
      <c r="T702" s="343"/>
      <c r="U702" s="538"/>
      <c r="V702" s="343"/>
      <c r="W702" s="343"/>
      <c r="X702" s="538"/>
      <c r="Y702" s="343"/>
      <c r="Z702" s="343"/>
      <c r="AA702" s="538"/>
      <c r="AB702" s="343"/>
      <c r="AC702" s="343"/>
      <c r="AE702" s="343"/>
      <c r="AF702" s="538"/>
      <c r="AG702" s="343"/>
      <c r="AH702" s="343"/>
      <c r="AI702" s="538"/>
      <c r="AJ702" s="343"/>
      <c r="AK702" s="343"/>
      <c r="AL702" s="538"/>
      <c r="AM702" s="343"/>
      <c r="AN702" s="343"/>
      <c r="AO702" s="538"/>
      <c r="AP702" s="343"/>
      <c r="AQ702" s="343"/>
      <c r="AS702" s="343"/>
      <c r="AT702" s="538"/>
      <c r="AU702" s="343"/>
      <c r="AV702" s="343"/>
      <c r="AW702" s="538"/>
      <c r="AX702" s="343"/>
      <c r="AY702" s="343"/>
      <c r="AZ702" s="538"/>
      <c r="BA702" s="343"/>
      <c r="BB702" s="343"/>
      <c r="BC702" s="538"/>
      <c r="BD702" s="343"/>
      <c r="BE702" s="343"/>
      <c r="BG702" s="644"/>
      <c r="BH702" s="515"/>
      <c r="BI702" s="515"/>
      <c r="BJ702" s="644"/>
      <c r="BK702" s="515"/>
      <c r="BL702" s="515"/>
      <c r="BM702" s="644"/>
      <c r="BN702" s="515"/>
      <c r="BO702" s="515"/>
      <c r="BP702" s="644"/>
      <c r="BQ702" s="515"/>
      <c r="BR702" s="515"/>
    </row>
    <row r="703" spans="4:70" x14ac:dyDescent="0.25">
      <c r="D703" s="538"/>
      <c r="G703" s="538"/>
      <c r="J703" s="538"/>
      <c r="M703" s="538"/>
      <c r="R703" s="538"/>
      <c r="S703" s="343"/>
      <c r="T703" s="343"/>
      <c r="U703" s="538"/>
      <c r="V703" s="343"/>
      <c r="W703" s="343"/>
      <c r="X703" s="538"/>
      <c r="Y703" s="343"/>
      <c r="Z703" s="343"/>
      <c r="AA703" s="538"/>
      <c r="AB703" s="343"/>
      <c r="AC703" s="343"/>
      <c r="AE703" s="343"/>
      <c r="AF703" s="538"/>
      <c r="AG703" s="343"/>
      <c r="AH703" s="343"/>
      <c r="AI703" s="538"/>
      <c r="AJ703" s="343"/>
      <c r="AK703" s="343"/>
      <c r="AL703" s="538"/>
      <c r="AM703" s="343"/>
      <c r="AN703" s="343"/>
      <c r="AO703" s="538"/>
      <c r="AP703" s="343"/>
      <c r="AQ703" s="343"/>
      <c r="AS703" s="343"/>
      <c r="AT703" s="538"/>
      <c r="AU703" s="343"/>
      <c r="AV703" s="343"/>
      <c r="AW703" s="538"/>
      <c r="AX703" s="343"/>
      <c r="AY703" s="343"/>
      <c r="AZ703" s="538"/>
      <c r="BA703" s="343"/>
      <c r="BB703" s="343"/>
      <c r="BC703" s="538"/>
      <c r="BD703" s="343"/>
      <c r="BE703" s="343"/>
      <c r="BG703" s="644"/>
      <c r="BH703" s="515"/>
      <c r="BI703" s="515"/>
      <c r="BJ703" s="644"/>
      <c r="BK703" s="515"/>
      <c r="BL703" s="515"/>
      <c r="BM703" s="644"/>
      <c r="BN703" s="515"/>
      <c r="BO703" s="515"/>
      <c r="BP703" s="644"/>
      <c r="BQ703" s="515"/>
      <c r="BR703" s="515"/>
    </row>
    <row r="704" spans="4:70" x14ac:dyDescent="0.25">
      <c r="D704" s="538"/>
      <c r="G704" s="538"/>
      <c r="J704" s="538"/>
      <c r="M704" s="538"/>
      <c r="R704" s="538"/>
      <c r="S704" s="343"/>
      <c r="T704" s="343"/>
      <c r="U704" s="538"/>
      <c r="V704" s="343"/>
      <c r="W704" s="343"/>
      <c r="X704" s="538"/>
      <c r="Y704" s="343"/>
      <c r="Z704" s="343"/>
      <c r="AA704" s="538"/>
      <c r="AB704" s="343"/>
      <c r="AC704" s="343"/>
      <c r="AE704" s="343"/>
      <c r="AF704" s="538"/>
      <c r="AG704" s="343"/>
      <c r="AH704" s="343"/>
      <c r="AI704" s="538"/>
      <c r="AJ704" s="343"/>
      <c r="AK704" s="343"/>
      <c r="AL704" s="538"/>
      <c r="AM704" s="343"/>
      <c r="AN704" s="343"/>
      <c r="AO704" s="538"/>
      <c r="AP704" s="343"/>
      <c r="AQ704" s="343"/>
      <c r="AS704" s="343"/>
      <c r="AT704" s="538"/>
      <c r="AU704" s="343"/>
      <c r="AV704" s="343"/>
      <c r="AW704" s="538"/>
      <c r="AX704" s="343"/>
      <c r="AY704" s="343"/>
      <c r="AZ704" s="538"/>
      <c r="BA704" s="343"/>
      <c r="BB704" s="343"/>
      <c r="BC704" s="538"/>
      <c r="BD704" s="343"/>
      <c r="BE704" s="343"/>
      <c r="BG704" s="644"/>
      <c r="BH704" s="515"/>
      <c r="BI704" s="515"/>
      <c r="BJ704" s="644"/>
      <c r="BK704" s="515"/>
      <c r="BL704" s="515"/>
      <c r="BM704" s="644"/>
      <c r="BN704" s="515"/>
      <c r="BO704" s="515"/>
      <c r="BP704" s="644"/>
      <c r="BQ704" s="515"/>
      <c r="BR704" s="515"/>
    </row>
    <row r="705" spans="4:70" x14ac:dyDescent="0.25">
      <c r="D705" s="538"/>
      <c r="G705" s="538"/>
      <c r="J705" s="538"/>
      <c r="M705" s="538"/>
      <c r="R705" s="538"/>
      <c r="S705" s="343"/>
      <c r="T705" s="343"/>
      <c r="U705" s="538"/>
      <c r="V705" s="343"/>
      <c r="W705" s="343"/>
      <c r="X705" s="538"/>
      <c r="Y705" s="343"/>
      <c r="Z705" s="343"/>
      <c r="AA705" s="538"/>
      <c r="AB705" s="343"/>
      <c r="AC705" s="343"/>
      <c r="AE705" s="343"/>
      <c r="AF705" s="538"/>
      <c r="AG705" s="343"/>
      <c r="AH705" s="343"/>
      <c r="AI705" s="538"/>
      <c r="AJ705" s="343"/>
      <c r="AK705" s="343"/>
      <c r="AL705" s="538"/>
      <c r="AM705" s="343"/>
      <c r="AN705" s="343"/>
      <c r="AO705" s="538"/>
      <c r="AP705" s="343"/>
      <c r="AQ705" s="343"/>
      <c r="AS705" s="343"/>
      <c r="AT705" s="538"/>
      <c r="AU705" s="343"/>
      <c r="AV705" s="343"/>
      <c r="AW705" s="538"/>
      <c r="AX705" s="343"/>
      <c r="AY705" s="343"/>
      <c r="AZ705" s="538"/>
      <c r="BA705" s="343"/>
      <c r="BB705" s="343"/>
      <c r="BC705" s="538"/>
      <c r="BD705" s="343"/>
      <c r="BE705" s="343"/>
      <c r="BG705" s="644"/>
      <c r="BH705" s="515"/>
      <c r="BI705" s="515"/>
      <c r="BJ705" s="644"/>
      <c r="BK705" s="515"/>
      <c r="BL705" s="515"/>
      <c r="BM705" s="644"/>
      <c r="BN705" s="515"/>
      <c r="BO705" s="515"/>
      <c r="BP705" s="644"/>
      <c r="BQ705" s="515"/>
      <c r="BR705" s="515"/>
    </row>
    <row r="706" spans="4:70" x14ac:dyDescent="0.25">
      <c r="D706" s="538"/>
      <c r="G706" s="538"/>
      <c r="J706" s="538"/>
      <c r="M706" s="538"/>
      <c r="R706" s="538"/>
      <c r="S706" s="343"/>
      <c r="T706" s="343"/>
      <c r="U706" s="538"/>
      <c r="V706" s="343"/>
      <c r="W706" s="343"/>
      <c r="X706" s="538"/>
      <c r="Y706" s="343"/>
      <c r="Z706" s="343"/>
      <c r="AA706" s="538"/>
      <c r="AB706" s="343"/>
      <c r="AC706" s="343"/>
      <c r="AE706" s="343"/>
      <c r="AF706" s="538"/>
      <c r="AG706" s="343"/>
      <c r="AH706" s="343"/>
      <c r="AI706" s="538"/>
      <c r="AJ706" s="343"/>
      <c r="AK706" s="343"/>
      <c r="AL706" s="538"/>
      <c r="AM706" s="343"/>
      <c r="AN706" s="343"/>
      <c r="AO706" s="538"/>
      <c r="AP706" s="343"/>
      <c r="AQ706" s="343"/>
      <c r="AS706" s="343"/>
      <c r="AT706" s="538"/>
      <c r="AU706" s="343"/>
      <c r="AV706" s="343"/>
      <c r="AW706" s="538"/>
      <c r="AX706" s="343"/>
      <c r="AY706" s="343"/>
      <c r="AZ706" s="538"/>
      <c r="BA706" s="343"/>
      <c r="BB706" s="343"/>
      <c r="BC706" s="538"/>
      <c r="BD706" s="343"/>
      <c r="BE706" s="343"/>
      <c r="BG706" s="644"/>
      <c r="BH706" s="515"/>
      <c r="BI706" s="515"/>
      <c r="BJ706" s="644"/>
      <c r="BK706" s="515"/>
      <c r="BL706" s="515"/>
      <c r="BM706" s="644"/>
      <c r="BN706" s="515"/>
      <c r="BO706" s="515"/>
      <c r="BP706" s="644"/>
      <c r="BQ706" s="515"/>
      <c r="BR706" s="515"/>
    </row>
    <row r="707" spans="4:70" x14ac:dyDescent="0.25">
      <c r="D707" s="538"/>
      <c r="G707" s="538"/>
      <c r="J707" s="538"/>
      <c r="M707" s="538"/>
      <c r="R707" s="538"/>
      <c r="S707" s="343"/>
      <c r="T707" s="343"/>
      <c r="U707" s="538"/>
      <c r="V707" s="343"/>
      <c r="W707" s="343"/>
      <c r="X707" s="538"/>
      <c r="Y707" s="343"/>
      <c r="Z707" s="343"/>
      <c r="AA707" s="538"/>
      <c r="AB707" s="343"/>
      <c r="AC707" s="343"/>
      <c r="AE707" s="343"/>
      <c r="AF707" s="538"/>
      <c r="AG707" s="343"/>
      <c r="AH707" s="343"/>
      <c r="AI707" s="538"/>
      <c r="AJ707" s="343"/>
      <c r="AK707" s="343"/>
      <c r="AL707" s="538"/>
      <c r="AM707" s="343"/>
      <c r="AN707" s="343"/>
      <c r="AO707" s="538"/>
      <c r="AP707" s="343"/>
      <c r="AQ707" s="343"/>
      <c r="AS707" s="343"/>
      <c r="AT707" s="538"/>
      <c r="AU707" s="343"/>
      <c r="AV707" s="343"/>
      <c r="AW707" s="538"/>
      <c r="AX707" s="343"/>
      <c r="AY707" s="343"/>
      <c r="AZ707" s="538"/>
      <c r="BA707" s="343"/>
      <c r="BB707" s="343"/>
      <c r="BC707" s="538"/>
      <c r="BD707" s="343"/>
      <c r="BE707" s="343"/>
      <c r="BG707" s="644"/>
      <c r="BH707" s="515"/>
      <c r="BI707" s="515"/>
      <c r="BJ707" s="644"/>
      <c r="BK707" s="515"/>
      <c r="BL707" s="515"/>
      <c r="BM707" s="644"/>
      <c r="BN707" s="515"/>
      <c r="BO707" s="515"/>
      <c r="BP707" s="644"/>
      <c r="BQ707" s="515"/>
      <c r="BR707" s="515"/>
    </row>
    <row r="708" spans="4:70" x14ac:dyDescent="0.25">
      <c r="D708" s="538"/>
      <c r="G708" s="538"/>
      <c r="J708" s="538"/>
      <c r="M708" s="538"/>
      <c r="R708" s="538"/>
      <c r="S708" s="343"/>
      <c r="T708" s="343"/>
      <c r="U708" s="538"/>
      <c r="V708" s="343"/>
      <c r="W708" s="343"/>
      <c r="X708" s="538"/>
      <c r="Y708" s="343"/>
      <c r="Z708" s="343"/>
      <c r="AA708" s="538"/>
      <c r="AB708" s="343"/>
      <c r="AC708" s="343"/>
      <c r="AE708" s="343"/>
      <c r="AF708" s="538"/>
      <c r="AG708" s="343"/>
      <c r="AH708" s="343"/>
      <c r="AI708" s="538"/>
      <c r="AJ708" s="343"/>
      <c r="AK708" s="343"/>
      <c r="AL708" s="538"/>
      <c r="AM708" s="343"/>
      <c r="AN708" s="343"/>
      <c r="AO708" s="538"/>
      <c r="AP708" s="343"/>
      <c r="AQ708" s="343"/>
      <c r="AS708" s="343"/>
      <c r="AT708" s="538"/>
      <c r="AU708" s="343"/>
      <c r="AV708" s="343"/>
      <c r="AW708" s="538"/>
      <c r="AX708" s="343"/>
      <c r="AY708" s="343"/>
      <c r="AZ708" s="538"/>
      <c r="BA708" s="343"/>
      <c r="BB708" s="343"/>
      <c r="BC708" s="538"/>
      <c r="BD708" s="343"/>
      <c r="BE708" s="343"/>
      <c r="BG708" s="644"/>
      <c r="BH708" s="515"/>
      <c r="BI708" s="515"/>
      <c r="BJ708" s="644"/>
      <c r="BK708" s="515"/>
      <c r="BL708" s="515"/>
      <c r="BM708" s="644"/>
      <c r="BN708" s="515"/>
      <c r="BO708" s="515"/>
      <c r="BP708" s="644"/>
      <c r="BQ708" s="515"/>
      <c r="BR708" s="515"/>
    </row>
    <row r="709" spans="4:70" x14ac:dyDescent="0.25">
      <c r="D709" s="538"/>
      <c r="G709" s="538"/>
      <c r="J709" s="538"/>
      <c r="M709" s="538"/>
      <c r="R709" s="538"/>
      <c r="S709" s="343"/>
      <c r="T709" s="343"/>
      <c r="U709" s="538"/>
      <c r="V709" s="343"/>
      <c r="W709" s="343"/>
      <c r="X709" s="538"/>
      <c r="Y709" s="343"/>
      <c r="Z709" s="343"/>
      <c r="AA709" s="538"/>
      <c r="AB709" s="343"/>
      <c r="AC709" s="343"/>
      <c r="AE709" s="343"/>
      <c r="AF709" s="538"/>
      <c r="AG709" s="343"/>
      <c r="AH709" s="343"/>
      <c r="AI709" s="538"/>
      <c r="AJ709" s="343"/>
      <c r="AK709" s="343"/>
      <c r="AL709" s="538"/>
      <c r="AM709" s="343"/>
      <c r="AN709" s="343"/>
      <c r="AO709" s="538"/>
      <c r="AP709" s="343"/>
      <c r="AQ709" s="343"/>
      <c r="AS709" s="343"/>
      <c r="AT709" s="538"/>
      <c r="AU709" s="343"/>
      <c r="AV709" s="343"/>
      <c r="AW709" s="538"/>
      <c r="AX709" s="343"/>
      <c r="AY709" s="343"/>
      <c r="AZ709" s="538"/>
      <c r="BA709" s="343"/>
      <c r="BB709" s="343"/>
      <c r="BC709" s="538"/>
      <c r="BD709" s="343"/>
      <c r="BE709" s="343"/>
      <c r="BG709" s="644"/>
      <c r="BH709" s="515"/>
      <c r="BI709" s="515"/>
      <c r="BJ709" s="644"/>
      <c r="BK709" s="515"/>
      <c r="BL709" s="515"/>
      <c r="BM709" s="644"/>
      <c r="BN709" s="515"/>
      <c r="BO709" s="515"/>
      <c r="BP709" s="644"/>
      <c r="BQ709" s="515"/>
      <c r="BR709" s="515"/>
    </row>
    <row r="710" spans="4:70" x14ac:dyDescent="0.25">
      <c r="D710" s="538"/>
      <c r="G710" s="538"/>
      <c r="J710" s="538"/>
      <c r="M710" s="538"/>
      <c r="R710" s="538"/>
      <c r="S710" s="343"/>
      <c r="T710" s="343"/>
      <c r="U710" s="538"/>
      <c r="V710" s="343"/>
      <c r="W710" s="343"/>
      <c r="X710" s="538"/>
      <c r="Y710" s="343"/>
      <c r="Z710" s="343"/>
      <c r="AA710" s="538"/>
      <c r="AB710" s="343"/>
      <c r="AC710" s="343"/>
      <c r="AE710" s="343"/>
      <c r="AF710" s="538"/>
      <c r="AG710" s="343"/>
      <c r="AH710" s="343"/>
      <c r="AI710" s="538"/>
      <c r="AJ710" s="343"/>
      <c r="AK710" s="343"/>
      <c r="AL710" s="538"/>
      <c r="AM710" s="343"/>
      <c r="AN710" s="343"/>
      <c r="AO710" s="538"/>
      <c r="AP710" s="343"/>
      <c r="AQ710" s="343"/>
      <c r="AS710" s="343"/>
      <c r="AT710" s="538"/>
      <c r="AU710" s="343"/>
      <c r="AV710" s="343"/>
      <c r="AW710" s="538"/>
      <c r="AX710" s="343"/>
      <c r="AY710" s="343"/>
      <c r="AZ710" s="538"/>
      <c r="BA710" s="343"/>
      <c r="BB710" s="343"/>
      <c r="BC710" s="538"/>
      <c r="BD710" s="343"/>
      <c r="BE710" s="343"/>
      <c r="BG710" s="644"/>
      <c r="BH710" s="515"/>
      <c r="BI710" s="515"/>
      <c r="BJ710" s="644"/>
      <c r="BK710" s="515"/>
      <c r="BL710" s="515"/>
      <c r="BM710" s="644"/>
      <c r="BN710" s="515"/>
      <c r="BO710" s="515"/>
      <c r="BP710" s="644"/>
      <c r="BQ710" s="515"/>
      <c r="BR710" s="515"/>
    </row>
    <row r="711" spans="4:70" x14ac:dyDescent="0.25">
      <c r="D711" s="538"/>
      <c r="G711" s="538"/>
      <c r="J711" s="538"/>
      <c r="M711" s="538"/>
      <c r="R711" s="538"/>
      <c r="S711" s="343"/>
      <c r="T711" s="343"/>
      <c r="U711" s="538"/>
      <c r="V711" s="343"/>
      <c r="W711" s="343"/>
      <c r="X711" s="538"/>
      <c r="Y711" s="343"/>
      <c r="Z711" s="343"/>
      <c r="AA711" s="538"/>
      <c r="AB711" s="343"/>
      <c r="AC711" s="343"/>
      <c r="AE711" s="343"/>
      <c r="AF711" s="538"/>
      <c r="AG711" s="343"/>
      <c r="AH711" s="343"/>
      <c r="AI711" s="538"/>
      <c r="AJ711" s="343"/>
      <c r="AK711" s="343"/>
      <c r="AL711" s="538"/>
      <c r="AM711" s="343"/>
      <c r="AN711" s="343"/>
      <c r="AO711" s="538"/>
      <c r="AP711" s="343"/>
      <c r="AQ711" s="343"/>
      <c r="AS711" s="343"/>
      <c r="AT711" s="538"/>
      <c r="AU711" s="343"/>
      <c r="AV711" s="343"/>
      <c r="AW711" s="538"/>
      <c r="AX711" s="343"/>
      <c r="AY711" s="343"/>
      <c r="AZ711" s="538"/>
      <c r="BA711" s="343"/>
      <c r="BB711" s="343"/>
      <c r="BC711" s="538"/>
      <c r="BD711" s="343"/>
      <c r="BE711" s="343"/>
      <c r="BG711" s="644"/>
      <c r="BH711" s="515"/>
      <c r="BI711" s="515"/>
      <c r="BJ711" s="644"/>
      <c r="BK711" s="515"/>
      <c r="BL711" s="515"/>
      <c r="BM711" s="644"/>
      <c r="BN711" s="515"/>
      <c r="BO711" s="515"/>
      <c r="BP711" s="644"/>
      <c r="BQ711" s="515"/>
      <c r="BR711" s="515"/>
    </row>
    <row r="712" spans="4:70" x14ac:dyDescent="0.25">
      <c r="D712" s="538"/>
      <c r="G712" s="538"/>
      <c r="J712" s="538"/>
      <c r="M712" s="538"/>
      <c r="R712" s="538"/>
      <c r="S712" s="343"/>
      <c r="T712" s="343"/>
      <c r="U712" s="538"/>
      <c r="V712" s="343"/>
      <c r="W712" s="343"/>
      <c r="X712" s="538"/>
      <c r="Y712" s="343"/>
      <c r="Z712" s="343"/>
      <c r="AA712" s="538"/>
      <c r="AB712" s="343"/>
      <c r="AC712" s="343"/>
      <c r="AE712" s="343"/>
      <c r="AF712" s="538"/>
      <c r="AG712" s="343"/>
      <c r="AH712" s="343"/>
      <c r="AI712" s="538"/>
      <c r="AJ712" s="343"/>
      <c r="AK712" s="343"/>
      <c r="AL712" s="538"/>
      <c r="AM712" s="343"/>
      <c r="AN712" s="343"/>
      <c r="AO712" s="538"/>
      <c r="AP712" s="343"/>
      <c r="AQ712" s="343"/>
      <c r="AS712" s="343"/>
      <c r="AT712" s="538"/>
      <c r="AU712" s="343"/>
      <c r="AV712" s="343"/>
      <c r="AW712" s="538"/>
      <c r="AX712" s="343"/>
      <c r="AY712" s="343"/>
      <c r="AZ712" s="538"/>
      <c r="BA712" s="343"/>
      <c r="BB712" s="343"/>
      <c r="BC712" s="538"/>
      <c r="BD712" s="343"/>
      <c r="BE712" s="343"/>
      <c r="BG712" s="644"/>
      <c r="BH712" s="515"/>
      <c r="BI712" s="515"/>
      <c r="BJ712" s="644"/>
      <c r="BK712" s="515"/>
      <c r="BL712" s="515"/>
      <c r="BM712" s="644"/>
      <c r="BN712" s="515"/>
      <c r="BO712" s="515"/>
      <c r="BP712" s="644"/>
      <c r="BQ712" s="515"/>
      <c r="BR712" s="515"/>
    </row>
    <row r="713" spans="4:70" x14ac:dyDescent="0.25">
      <c r="D713" s="538"/>
      <c r="G713" s="538"/>
      <c r="J713" s="538"/>
      <c r="M713" s="538"/>
      <c r="R713" s="538"/>
      <c r="S713" s="343"/>
      <c r="T713" s="343"/>
      <c r="U713" s="538"/>
      <c r="V713" s="343"/>
      <c r="W713" s="343"/>
      <c r="X713" s="538"/>
      <c r="Y713" s="343"/>
      <c r="Z713" s="343"/>
      <c r="AA713" s="538"/>
      <c r="AB713" s="343"/>
      <c r="AC713" s="343"/>
      <c r="AE713" s="343"/>
      <c r="AF713" s="538"/>
      <c r="AG713" s="343"/>
      <c r="AH713" s="343"/>
      <c r="AI713" s="538"/>
      <c r="AJ713" s="343"/>
      <c r="AK713" s="343"/>
      <c r="AL713" s="538"/>
      <c r="AM713" s="343"/>
      <c r="AN713" s="343"/>
      <c r="AO713" s="538"/>
      <c r="AP713" s="343"/>
      <c r="AQ713" s="343"/>
      <c r="AS713" s="343"/>
      <c r="AT713" s="538"/>
      <c r="AU713" s="343"/>
      <c r="AV713" s="343"/>
      <c r="AW713" s="538"/>
      <c r="AX713" s="343"/>
      <c r="AY713" s="343"/>
      <c r="AZ713" s="538"/>
      <c r="BA713" s="343"/>
      <c r="BB713" s="343"/>
      <c r="BC713" s="538"/>
      <c r="BD713" s="343"/>
      <c r="BE713" s="343"/>
      <c r="BG713" s="644"/>
      <c r="BH713" s="515"/>
      <c r="BI713" s="515"/>
      <c r="BJ713" s="644"/>
      <c r="BK713" s="515"/>
      <c r="BL713" s="515"/>
      <c r="BM713" s="644"/>
      <c r="BN713" s="515"/>
      <c r="BO713" s="515"/>
      <c r="BP713" s="644"/>
      <c r="BQ713" s="515"/>
      <c r="BR713" s="515"/>
    </row>
    <row r="714" spans="4:70" x14ac:dyDescent="0.25">
      <c r="D714" s="538"/>
      <c r="G714" s="538"/>
      <c r="J714" s="538"/>
      <c r="M714" s="538"/>
      <c r="R714" s="538"/>
      <c r="S714" s="343"/>
      <c r="T714" s="343"/>
      <c r="U714" s="538"/>
      <c r="V714" s="343"/>
      <c r="W714" s="343"/>
      <c r="X714" s="538"/>
      <c r="Y714" s="343"/>
      <c r="Z714" s="343"/>
      <c r="AA714" s="538"/>
      <c r="AB714" s="343"/>
      <c r="AC714" s="343"/>
      <c r="AE714" s="343"/>
      <c r="AF714" s="538"/>
      <c r="AG714" s="343"/>
      <c r="AH714" s="343"/>
      <c r="AI714" s="538"/>
      <c r="AJ714" s="343"/>
      <c r="AK714" s="343"/>
      <c r="AL714" s="538"/>
      <c r="AM714" s="343"/>
      <c r="AN714" s="343"/>
      <c r="AO714" s="538"/>
      <c r="AP714" s="343"/>
      <c r="AQ714" s="343"/>
      <c r="AS714" s="343"/>
      <c r="AT714" s="538"/>
      <c r="AU714" s="343"/>
      <c r="AV714" s="343"/>
      <c r="AW714" s="538"/>
      <c r="AX714" s="343"/>
      <c r="AY714" s="343"/>
      <c r="AZ714" s="538"/>
      <c r="BA714" s="343"/>
      <c r="BB714" s="343"/>
      <c r="BC714" s="538"/>
      <c r="BD714" s="343"/>
      <c r="BE714" s="343"/>
      <c r="BG714" s="644"/>
      <c r="BH714" s="515"/>
      <c r="BI714" s="515"/>
      <c r="BJ714" s="644"/>
      <c r="BK714" s="515"/>
      <c r="BL714" s="515"/>
      <c r="BM714" s="644"/>
      <c r="BN714" s="515"/>
      <c r="BO714" s="515"/>
      <c r="BP714" s="644"/>
      <c r="BQ714" s="515"/>
      <c r="BR714" s="515"/>
    </row>
    <row r="715" spans="4:70" x14ac:dyDescent="0.25">
      <c r="D715" s="538"/>
      <c r="G715" s="538"/>
      <c r="J715" s="538"/>
      <c r="M715" s="538"/>
      <c r="R715" s="538"/>
      <c r="S715" s="343"/>
      <c r="T715" s="343"/>
      <c r="U715" s="538"/>
      <c r="V715" s="343"/>
      <c r="W715" s="343"/>
      <c r="X715" s="538"/>
      <c r="Y715" s="343"/>
      <c r="Z715" s="343"/>
      <c r="AA715" s="538"/>
      <c r="AB715" s="343"/>
      <c r="AC715" s="343"/>
      <c r="AE715" s="343"/>
      <c r="AF715" s="538"/>
      <c r="AG715" s="343"/>
      <c r="AH715" s="343"/>
      <c r="AI715" s="538"/>
      <c r="AJ715" s="343"/>
      <c r="AK715" s="343"/>
      <c r="AL715" s="538"/>
      <c r="AM715" s="343"/>
      <c r="AN715" s="343"/>
      <c r="AO715" s="538"/>
      <c r="AP715" s="343"/>
      <c r="AQ715" s="343"/>
      <c r="AS715" s="343"/>
      <c r="AT715" s="538"/>
      <c r="AU715" s="343"/>
      <c r="AV715" s="343"/>
      <c r="AW715" s="538"/>
      <c r="AX715" s="343"/>
      <c r="AY715" s="343"/>
      <c r="AZ715" s="538"/>
      <c r="BA715" s="343"/>
      <c r="BB715" s="343"/>
      <c r="BC715" s="538"/>
      <c r="BD715" s="343"/>
      <c r="BE715" s="343"/>
      <c r="BG715" s="644"/>
      <c r="BH715" s="515"/>
      <c r="BI715" s="515"/>
      <c r="BJ715" s="644"/>
      <c r="BK715" s="515"/>
      <c r="BL715" s="515"/>
      <c r="BM715" s="644"/>
      <c r="BN715" s="515"/>
      <c r="BO715" s="515"/>
      <c r="BP715" s="644"/>
      <c r="BQ715" s="515"/>
      <c r="BR715" s="515"/>
    </row>
    <row r="716" spans="4:70" x14ac:dyDescent="0.25">
      <c r="D716" s="538"/>
      <c r="G716" s="538"/>
      <c r="J716" s="538"/>
      <c r="M716" s="538"/>
      <c r="R716" s="538"/>
      <c r="S716" s="343"/>
      <c r="T716" s="343"/>
      <c r="U716" s="538"/>
      <c r="V716" s="343"/>
      <c r="W716" s="343"/>
      <c r="X716" s="538"/>
      <c r="Y716" s="343"/>
      <c r="Z716" s="343"/>
      <c r="AA716" s="538"/>
      <c r="AB716" s="343"/>
      <c r="AC716" s="343"/>
      <c r="AE716" s="343"/>
      <c r="AF716" s="538"/>
      <c r="AG716" s="343"/>
      <c r="AH716" s="343"/>
      <c r="AI716" s="538"/>
      <c r="AJ716" s="343"/>
      <c r="AK716" s="343"/>
      <c r="AL716" s="538"/>
      <c r="AM716" s="343"/>
      <c r="AN716" s="343"/>
      <c r="AO716" s="538"/>
      <c r="AP716" s="343"/>
      <c r="AQ716" s="343"/>
      <c r="AS716" s="343"/>
      <c r="AT716" s="538"/>
      <c r="AU716" s="343"/>
      <c r="AV716" s="343"/>
      <c r="AW716" s="538"/>
      <c r="AX716" s="343"/>
      <c r="AY716" s="343"/>
      <c r="AZ716" s="538"/>
      <c r="BA716" s="343"/>
      <c r="BB716" s="343"/>
      <c r="BC716" s="538"/>
      <c r="BD716" s="343"/>
      <c r="BE716" s="343"/>
      <c r="BG716" s="644"/>
      <c r="BH716" s="515"/>
      <c r="BI716" s="515"/>
      <c r="BJ716" s="644"/>
      <c r="BK716" s="515"/>
      <c r="BL716" s="515"/>
      <c r="BM716" s="644"/>
      <c r="BN716" s="515"/>
      <c r="BO716" s="515"/>
      <c r="BP716" s="644"/>
      <c r="BQ716" s="515"/>
      <c r="BR716" s="515"/>
    </row>
    <row r="717" spans="4:70" x14ac:dyDescent="0.25">
      <c r="D717" s="538"/>
      <c r="G717" s="538"/>
      <c r="J717" s="538"/>
      <c r="M717" s="538"/>
      <c r="R717" s="538"/>
      <c r="S717" s="343"/>
      <c r="T717" s="343"/>
      <c r="U717" s="538"/>
      <c r="V717" s="343"/>
      <c r="W717" s="343"/>
      <c r="X717" s="538"/>
      <c r="Y717" s="343"/>
      <c r="Z717" s="343"/>
      <c r="AA717" s="538"/>
      <c r="AB717" s="343"/>
      <c r="AC717" s="343"/>
      <c r="AE717" s="343"/>
      <c r="AF717" s="538"/>
      <c r="AG717" s="343"/>
      <c r="AH717" s="343"/>
      <c r="AI717" s="538"/>
      <c r="AJ717" s="343"/>
      <c r="AK717" s="343"/>
      <c r="AL717" s="538"/>
      <c r="AM717" s="343"/>
      <c r="AN717" s="343"/>
      <c r="AO717" s="538"/>
      <c r="AP717" s="343"/>
      <c r="AQ717" s="343"/>
      <c r="AS717" s="343"/>
      <c r="AT717" s="538"/>
      <c r="AU717" s="343"/>
      <c r="AV717" s="343"/>
      <c r="AW717" s="538"/>
      <c r="AX717" s="343"/>
      <c r="AY717" s="343"/>
      <c r="AZ717" s="538"/>
      <c r="BA717" s="343"/>
      <c r="BB717" s="343"/>
      <c r="BC717" s="538"/>
      <c r="BD717" s="343"/>
      <c r="BE717" s="343"/>
      <c r="BG717" s="644"/>
      <c r="BH717" s="515"/>
      <c r="BI717" s="515"/>
      <c r="BJ717" s="644"/>
      <c r="BK717" s="515"/>
      <c r="BL717" s="515"/>
      <c r="BM717" s="644"/>
      <c r="BN717" s="515"/>
      <c r="BO717" s="515"/>
      <c r="BP717" s="644"/>
      <c r="BQ717" s="515"/>
      <c r="BR717" s="515"/>
    </row>
    <row r="718" spans="4:70" x14ac:dyDescent="0.25">
      <c r="D718" s="538"/>
      <c r="G718" s="538"/>
      <c r="J718" s="538"/>
      <c r="M718" s="538"/>
      <c r="R718" s="538"/>
      <c r="S718" s="343"/>
      <c r="T718" s="343"/>
      <c r="U718" s="538"/>
      <c r="V718" s="343"/>
      <c r="W718" s="343"/>
      <c r="X718" s="538"/>
      <c r="Y718" s="343"/>
      <c r="Z718" s="343"/>
      <c r="AA718" s="538"/>
      <c r="AB718" s="343"/>
      <c r="AC718" s="343"/>
      <c r="AE718" s="343"/>
      <c r="AF718" s="538"/>
      <c r="AG718" s="343"/>
      <c r="AH718" s="343"/>
      <c r="AI718" s="538"/>
      <c r="AJ718" s="343"/>
      <c r="AK718" s="343"/>
      <c r="AL718" s="538"/>
      <c r="AM718" s="343"/>
      <c r="AN718" s="343"/>
      <c r="AO718" s="538"/>
      <c r="AP718" s="343"/>
      <c r="AQ718" s="343"/>
      <c r="AS718" s="343"/>
      <c r="AT718" s="538"/>
      <c r="AU718" s="343"/>
      <c r="AV718" s="343"/>
      <c r="AW718" s="538"/>
      <c r="AX718" s="343"/>
      <c r="AY718" s="343"/>
      <c r="AZ718" s="538"/>
      <c r="BA718" s="343"/>
      <c r="BB718" s="343"/>
      <c r="BC718" s="538"/>
      <c r="BD718" s="343"/>
      <c r="BE718" s="343"/>
      <c r="BG718" s="644"/>
      <c r="BH718" s="515"/>
      <c r="BI718" s="515"/>
      <c r="BJ718" s="644"/>
      <c r="BK718" s="515"/>
      <c r="BL718" s="515"/>
      <c r="BM718" s="644"/>
      <c r="BN718" s="515"/>
      <c r="BO718" s="515"/>
      <c r="BP718" s="644"/>
      <c r="BQ718" s="515"/>
      <c r="BR718" s="515"/>
    </row>
    <row r="719" spans="4:70" x14ac:dyDescent="0.25">
      <c r="D719" s="538"/>
      <c r="G719" s="538"/>
      <c r="J719" s="538"/>
      <c r="M719" s="538"/>
      <c r="R719" s="538"/>
      <c r="S719" s="343"/>
      <c r="T719" s="343"/>
      <c r="U719" s="538"/>
      <c r="V719" s="343"/>
      <c r="W719" s="343"/>
      <c r="X719" s="538"/>
      <c r="Y719" s="343"/>
      <c r="Z719" s="343"/>
      <c r="AA719" s="538"/>
      <c r="AB719" s="343"/>
      <c r="AC719" s="343"/>
      <c r="AE719" s="343"/>
      <c r="AF719" s="538"/>
      <c r="AG719" s="343"/>
      <c r="AH719" s="343"/>
      <c r="AI719" s="538"/>
      <c r="AJ719" s="343"/>
      <c r="AK719" s="343"/>
      <c r="AL719" s="538"/>
      <c r="AM719" s="343"/>
      <c r="AN719" s="343"/>
      <c r="AO719" s="538"/>
      <c r="AP719" s="343"/>
      <c r="AQ719" s="343"/>
      <c r="AS719" s="343"/>
      <c r="AT719" s="538"/>
      <c r="AU719" s="343"/>
      <c r="AV719" s="343"/>
      <c r="AW719" s="538"/>
      <c r="AX719" s="343"/>
      <c r="AY719" s="343"/>
      <c r="AZ719" s="538"/>
      <c r="BA719" s="343"/>
      <c r="BB719" s="343"/>
      <c r="BC719" s="538"/>
      <c r="BD719" s="343"/>
      <c r="BE719" s="343"/>
      <c r="BG719" s="644"/>
      <c r="BH719" s="515"/>
      <c r="BI719" s="515"/>
      <c r="BJ719" s="644"/>
      <c r="BK719" s="515"/>
      <c r="BL719" s="515"/>
      <c r="BM719" s="644"/>
      <c r="BN719" s="515"/>
      <c r="BO719" s="515"/>
      <c r="BP719" s="644"/>
      <c r="BQ719" s="515"/>
      <c r="BR719" s="515"/>
    </row>
    <row r="720" spans="4:70" x14ac:dyDescent="0.25">
      <c r="D720" s="538"/>
      <c r="G720" s="538"/>
      <c r="J720" s="538"/>
      <c r="M720" s="538"/>
      <c r="R720" s="538"/>
      <c r="S720" s="343"/>
      <c r="T720" s="343"/>
      <c r="U720" s="538"/>
      <c r="V720" s="343"/>
      <c r="W720" s="343"/>
      <c r="X720" s="538"/>
      <c r="Y720" s="343"/>
      <c r="Z720" s="343"/>
      <c r="AA720" s="538"/>
      <c r="AB720" s="343"/>
      <c r="AC720" s="343"/>
      <c r="AE720" s="343"/>
      <c r="AF720" s="538"/>
      <c r="AG720" s="343"/>
      <c r="AH720" s="343"/>
      <c r="AI720" s="538"/>
      <c r="AJ720" s="343"/>
      <c r="AK720" s="343"/>
      <c r="AL720" s="538"/>
      <c r="AM720" s="343"/>
      <c r="AN720" s="343"/>
      <c r="AO720" s="538"/>
      <c r="AP720" s="343"/>
      <c r="AQ720" s="343"/>
      <c r="AS720" s="343"/>
      <c r="AT720" s="538"/>
      <c r="AU720" s="343"/>
      <c r="AV720" s="343"/>
      <c r="AW720" s="538"/>
      <c r="AX720" s="343"/>
      <c r="AY720" s="343"/>
      <c r="AZ720" s="538"/>
      <c r="BA720" s="343"/>
      <c r="BB720" s="343"/>
      <c r="BC720" s="538"/>
      <c r="BD720" s="343"/>
      <c r="BE720" s="343"/>
      <c r="BG720" s="644"/>
      <c r="BH720" s="515"/>
      <c r="BI720" s="515"/>
      <c r="BJ720" s="644"/>
      <c r="BK720" s="515"/>
      <c r="BL720" s="515"/>
      <c r="BM720" s="644"/>
      <c r="BN720" s="515"/>
      <c r="BO720" s="515"/>
      <c r="BP720" s="644"/>
      <c r="BQ720" s="515"/>
      <c r="BR720" s="515"/>
    </row>
    <row r="721" spans="4:70" x14ac:dyDescent="0.25">
      <c r="D721" s="538"/>
      <c r="G721" s="538"/>
      <c r="J721" s="538"/>
      <c r="M721" s="538"/>
      <c r="R721" s="538"/>
      <c r="S721" s="343"/>
      <c r="T721" s="343"/>
      <c r="U721" s="538"/>
      <c r="V721" s="343"/>
      <c r="W721" s="343"/>
      <c r="X721" s="538"/>
      <c r="Y721" s="343"/>
      <c r="Z721" s="343"/>
      <c r="AA721" s="538"/>
      <c r="AB721" s="343"/>
      <c r="AC721" s="343"/>
      <c r="AE721" s="343"/>
      <c r="AF721" s="538"/>
      <c r="AG721" s="343"/>
      <c r="AH721" s="343"/>
      <c r="AI721" s="538"/>
      <c r="AJ721" s="343"/>
      <c r="AK721" s="343"/>
      <c r="AL721" s="538"/>
      <c r="AM721" s="343"/>
      <c r="AN721" s="343"/>
      <c r="AO721" s="538"/>
      <c r="AP721" s="343"/>
      <c r="AQ721" s="343"/>
      <c r="AS721" s="343"/>
      <c r="AT721" s="538"/>
      <c r="AU721" s="343"/>
      <c r="AV721" s="343"/>
      <c r="AW721" s="538"/>
      <c r="AX721" s="343"/>
      <c r="AY721" s="343"/>
      <c r="AZ721" s="538"/>
      <c r="BA721" s="343"/>
      <c r="BB721" s="343"/>
      <c r="BC721" s="538"/>
      <c r="BD721" s="343"/>
      <c r="BE721" s="343"/>
      <c r="BG721" s="644"/>
      <c r="BH721" s="515"/>
      <c r="BI721" s="515"/>
      <c r="BJ721" s="644"/>
      <c r="BK721" s="515"/>
      <c r="BL721" s="515"/>
      <c r="BM721" s="644"/>
      <c r="BN721" s="515"/>
      <c r="BO721" s="515"/>
      <c r="BP721" s="644"/>
      <c r="BQ721" s="515"/>
      <c r="BR721" s="515"/>
    </row>
    <row r="722" spans="4:70" x14ac:dyDescent="0.25">
      <c r="D722" s="538"/>
      <c r="G722" s="538"/>
      <c r="J722" s="538"/>
      <c r="M722" s="538"/>
      <c r="R722" s="538"/>
      <c r="S722" s="343"/>
      <c r="T722" s="343"/>
      <c r="U722" s="538"/>
      <c r="V722" s="343"/>
      <c r="W722" s="343"/>
      <c r="X722" s="538"/>
      <c r="Y722" s="343"/>
      <c r="Z722" s="343"/>
      <c r="AA722" s="538"/>
      <c r="AB722" s="343"/>
      <c r="AC722" s="343"/>
      <c r="AE722" s="343"/>
      <c r="AF722" s="538"/>
      <c r="AG722" s="343"/>
      <c r="AH722" s="343"/>
      <c r="AI722" s="538"/>
      <c r="AJ722" s="343"/>
      <c r="AK722" s="343"/>
      <c r="AL722" s="538"/>
      <c r="AM722" s="343"/>
      <c r="AN722" s="343"/>
      <c r="AO722" s="538"/>
      <c r="AP722" s="343"/>
      <c r="AQ722" s="343"/>
      <c r="AS722" s="343"/>
      <c r="AT722" s="538"/>
      <c r="AU722" s="343"/>
      <c r="AV722" s="343"/>
      <c r="AW722" s="538"/>
      <c r="AX722" s="343"/>
      <c r="AY722" s="343"/>
      <c r="AZ722" s="538"/>
      <c r="BA722" s="343"/>
      <c r="BB722" s="343"/>
      <c r="BC722" s="538"/>
      <c r="BD722" s="343"/>
      <c r="BE722" s="343"/>
      <c r="BG722" s="644"/>
      <c r="BH722" s="515"/>
      <c r="BI722" s="515"/>
      <c r="BJ722" s="644"/>
      <c r="BK722" s="515"/>
      <c r="BL722" s="515"/>
      <c r="BM722" s="644"/>
      <c r="BN722" s="515"/>
      <c r="BO722" s="515"/>
      <c r="BP722" s="644"/>
      <c r="BQ722" s="515"/>
      <c r="BR722" s="515"/>
    </row>
    <row r="723" spans="4:70" x14ac:dyDescent="0.25">
      <c r="D723" s="538"/>
      <c r="G723" s="538"/>
      <c r="J723" s="538"/>
      <c r="M723" s="538"/>
      <c r="R723" s="538"/>
      <c r="S723" s="343"/>
      <c r="T723" s="343"/>
      <c r="U723" s="538"/>
      <c r="V723" s="343"/>
      <c r="W723" s="343"/>
      <c r="X723" s="538"/>
      <c r="Y723" s="343"/>
      <c r="Z723" s="343"/>
      <c r="AA723" s="538"/>
      <c r="AB723" s="343"/>
      <c r="AC723" s="343"/>
      <c r="AE723" s="343"/>
      <c r="AF723" s="538"/>
      <c r="AG723" s="343"/>
      <c r="AH723" s="343"/>
      <c r="AI723" s="538"/>
      <c r="AJ723" s="343"/>
      <c r="AK723" s="343"/>
      <c r="AL723" s="538"/>
      <c r="AM723" s="343"/>
      <c r="AN723" s="343"/>
      <c r="AO723" s="538"/>
      <c r="AP723" s="343"/>
      <c r="AQ723" s="343"/>
      <c r="AS723" s="343"/>
      <c r="AT723" s="538"/>
      <c r="AU723" s="343"/>
      <c r="AV723" s="343"/>
      <c r="AW723" s="538"/>
      <c r="AX723" s="343"/>
      <c r="AY723" s="343"/>
      <c r="AZ723" s="538"/>
      <c r="BA723" s="343"/>
      <c r="BB723" s="343"/>
      <c r="BC723" s="538"/>
      <c r="BD723" s="343"/>
      <c r="BE723" s="343"/>
      <c r="BG723" s="644"/>
      <c r="BH723" s="515"/>
      <c r="BI723" s="515"/>
      <c r="BJ723" s="644"/>
      <c r="BK723" s="515"/>
      <c r="BL723" s="515"/>
      <c r="BM723" s="644"/>
      <c r="BN723" s="515"/>
      <c r="BO723" s="515"/>
      <c r="BP723" s="644"/>
      <c r="BQ723" s="515"/>
      <c r="BR723" s="515"/>
    </row>
    <row r="724" spans="4:70" x14ac:dyDescent="0.25">
      <c r="D724" s="538"/>
      <c r="G724" s="538"/>
      <c r="J724" s="538"/>
      <c r="M724" s="538"/>
      <c r="R724" s="538"/>
      <c r="S724" s="343"/>
      <c r="T724" s="343"/>
      <c r="U724" s="538"/>
      <c r="V724" s="343"/>
      <c r="W724" s="343"/>
      <c r="X724" s="538"/>
      <c r="Y724" s="343"/>
      <c r="Z724" s="343"/>
      <c r="AA724" s="538"/>
      <c r="AB724" s="343"/>
      <c r="AC724" s="343"/>
      <c r="AE724" s="343"/>
      <c r="AF724" s="538"/>
      <c r="AG724" s="343"/>
      <c r="AH724" s="343"/>
      <c r="AI724" s="538"/>
      <c r="AJ724" s="343"/>
      <c r="AK724" s="343"/>
      <c r="AL724" s="538"/>
      <c r="AM724" s="343"/>
      <c r="AN724" s="343"/>
      <c r="AO724" s="538"/>
      <c r="AP724" s="343"/>
      <c r="AQ724" s="343"/>
      <c r="AS724" s="343"/>
      <c r="AT724" s="538"/>
      <c r="AU724" s="343"/>
      <c r="AV724" s="343"/>
      <c r="AW724" s="538"/>
      <c r="AX724" s="343"/>
      <c r="AY724" s="343"/>
      <c r="AZ724" s="538"/>
      <c r="BA724" s="343"/>
      <c r="BB724" s="343"/>
      <c r="BC724" s="538"/>
      <c r="BD724" s="343"/>
      <c r="BE724" s="343"/>
      <c r="BG724" s="644"/>
      <c r="BH724" s="515"/>
      <c r="BI724" s="515"/>
      <c r="BJ724" s="644"/>
      <c r="BK724" s="515"/>
      <c r="BL724" s="515"/>
      <c r="BM724" s="644"/>
      <c r="BN724" s="515"/>
      <c r="BO724" s="515"/>
      <c r="BP724" s="644"/>
      <c r="BQ724" s="515"/>
      <c r="BR724" s="515"/>
    </row>
    <row r="725" spans="4:70" x14ac:dyDescent="0.25">
      <c r="D725" s="538"/>
      <c r="G725" s="538"/>
      <c r="J725" s="538"/>
      <c r="M725" s="538"/>
      <c r="R725" s="538"/>
      <c r="S725" s="343"/>
      <c r="T725" s="343"/>
      <c r="U725" s="538"/>
      <c r="V725" s="343"/>
      <c r="W725" s="343"/>
      <c r="X725" s="538"/>
      <c r="Y725" s="343"/>
      <c r="Z725" s="343"/>
      <c r="AA725" s="538"/>
      <c r="AB725" s="343"/>
      <c r="AC725" s="343"/>
      <c r="AE725" s="343"/>
      <c r="AF725" s="538"/>
      <c r="AG725" s="343"/>
      <c r="AH725" s="343"/>
      <c r="AI725" s="538"/>
      <c r="AJ725" s="343"/>
      <c r="AK725" s="343"/>
      <c r="AL725" s="538"/>
      <c r="AM725" s="343"/>
      <c r="AN725" s="343"/>
      <c r="AO725" s="538"/>
      <c r="AP725" s="343"/>
      <c r="AQ725" s="343"/>
      <c r="AS725" s="343"/>
      <c r="AT725" s="538"/>
      <c r="AU725" s="343"/>
      <c r="AV725" s="343"/>
      <c r="AW725" s="538"/>
      <c r="AX725" s="343"/>
      <c r="AY725" s="343"/>
      <c r="AZ725" s="538"/>
      <c r="BA725" s="343"/>
      <c r="BB725" s="343"/>
      <c r="BC725" s="538"/>
      <c r="BD725" s="343"/>
      <c r="BE725" s="343"/>
      <c r="BG725" s="644"/>
      <c r="BH725" s="515"/>
      <c r="BI725" s="515"/>
      <c r="BJ725" s="644"/>
      <c r="BK725" s="515"/>
      <c r="BL725" s="515"/>
      <c r="BM725" s="644"/>
      <c r="BN725" s="515"/>
      <c r="BO725" s="515"/>
      <c r="BP725" s="644"/>
      <c r="BQ725" s="515"/>
      <c r="BR725" s="515"/>
    </row>
    <row r="726" spans="4:70" x14ac:dyDescent="0.25">
      <c r="D726" s="538"/>
      <c r="G726" s="538"/>
      <c r="J726" s="538"/>
      <c r="M726" s="538"/>
      <c r="R726" s="538"/>
      <c r="S726" s="343"/>
      <c r="T726" s="343"/>
      <c r="U726" s="538"/>
      <c r="V726" s="343"/>
      <c r="W726" s="343"/>
      <c r="X726" s="538"/>
      <c r="Y726" s="343"/>
      <c r="Z726" s="343"/>
      <c r="AA726" s="538"/>
      <c r="AB726" s="343"/>
      <c r="AC726" s="343"/>
      <c r="AE726" s="343"/>
      <c r="AF726" s="538"/>
      <c r="AG726" s="343"/>
      <c r="AH726" s="343"/>
      <c r="AI726" s="538"/>
      <c r="AJ726" s="343"/>
      <c r="AK726" s="343"/>
      <c r="AL726" s="538"/>
      <c r="AM726" s="343"/>
      <c r="AN726" s="343"/>
      <c r="AO726" s="538"/>
      <c r="AP726" s="343"/>
      <c r="AQ726" s="343"/>
      <c r="AS726" s="343"/>
      <c r="AT726" s="538"/>
      <c r="AU726" s="343"/>
      <c r="AV726" s="343"/>
      <c r="AW726" s="538"/>
      <c r="AX726" s="343"/>
      <c r="AY726" s="343"/>
      <c r="AZ726" s="538"/>
      <c r="BA726" s="343"/>
      <c r="BB726" s="343"/>
      <c r="BC726" s="538"/>
      <c r="BD726" s="343"/>
      <c r="BE726" s="343"/>
      <c r="BG726" s="644"/>
      <c r="BH726" s="515"/>
      <c r="BI726" s="515"/>
      <c r="BJ726" s="644"/>
      <c r="BK726" s="515"/>
      <c r="BL726" s="515"/>
      <c r="BM726" s="644"/>
      <c r="BN726" s="515"/>
      <c r="BO726" s="515"/>
      <c r="BP726" s="644"/>
      <c r="BQ726" s="515"/>
      <c r="BR726" s="515"/>
    </row>
    <row r="727" spans="4:70" x14ac:dyDescent="0.25">
      <c r="D727" s="538"/>
      <c r="G727" s="538"/>
      <c r="J727" s="538"/>
      <c r="M727" s="538"/>
      <c r="R727" s="538"/>
      <c r="S727" s="343"/>
      <c r="T727" s="343"/>
      <c r="U727" s="538"/>
      <c r="V727" s="343"/>
      <c r="W727" s="343"/>
      <c r="X727" s="538"/>
      <c r="Y727" s="343"/>
      <c r="Z727" s="343"/>
      <c r="AA727" s="538"/>
      <c r="AB727" s="343"/>
      <c r="AC727" s="343"/>
      <c r="AE727" s="343"/>
      <c r="AF727" s="538"/>
      <c r="AG727" s="343"/>
      <c r="AH727" s="343"/>
      <c r="AI727" s="538"/>
      <c r="AJ727" s="343"/>
      <c r="AK727" s="343"/>
      <c r="AL727" s="538"/>
      <c r="AM727" s="343"/>
      <c r="AN727" s="343"/>
      <c r="AO727" s="538"/>
      <c r="AP727" s="343"/>
      <c r="AQ727" s="343"/>
      <c r="AS727" s="343"/>
      <c r="AT727" s="538"/>
      <c r="AU727" s="343"/>
      <c r="AV727" s="343"/>
      <c r="AW727" s="538"/>
      <c r="AX727" s="343"/>
      <c r="AY727" s="343"/>
      <c r="AZ727" s="538"/>
      <c r="BA727" s="343"/>
      <c r="BB727" s="343"/>
      <c r="BC727" s="538"/>
      <c r="BD727" s="343"/>
      <c r="BE727" s="343"/>
      <c r="BG727" s="644"/>
      <c r="BH727" s="515"/>
      <c r="BI727" s="515"/>
      <c r="BJ727" s="644"/>
      <c r="BK727" s="515"/>
      <c r="BL727" s="515"/>
      <c r="BM727" s="644"/>
      <c r="BN727" s="515"/>
      <c r="BO727" s="515"/>
      <c r="BP727" s="644"/>
      <c r="BQ727" s="515"/>
      <c r="BR727" s="515"/>
    </row>
    <row r="728" spans="4:70" x14ac:dyDescent="0.25">
      <c r="D728" s="538"/>
      <c r="G728" s="538"/>
      <c r="J728" s="538"/>
      <c r="M728" s="538"/>
      <c r="R728" s="538"/>
      <c r="S728" s="343"/>
      <c r="T728" s="343"/>
      <c r="U728" s="538"/>
      <c r="V728" s="343"/>
      <c r="W728" s="343"/>
      <c r="X728" s="538"/>
      <c r="Y728" s="343"/>
      <c r="Z728" s="343"/>
      <c r="AA728" s="538"/>
      <c r="AB728" s="343"/>
      <c r="AC728" s="343"/>
      <c r="AE728" s="343"/>
      <c r="AF728" s="538"/>
      <c r="AG728" s="343"/>
      <c r="AH728" s="343"/>
      <c r="AI728" s="538"/>
      <c r="AJ728" s="343"/>
      <c r="AK728" s="343"/>
      <c r="AL728" s="538"/>
      <c r="AM728" s="343"/>
      <c r="AN728" s="343"/>
      <c r="AO728" s="538"/>
      <c r="AP728" s="343"/>
      <c r="AQ728" s="343"/>
      <c r="AS728" s="343"/>
      <c r="AT728" s="538"/>
      <c r="AU728" s="343"/>
      <c r="AV728" s="343"/>
      <c r="AW728" s="538"/>
      <c r="AX728" s="343"/>
      <c r="AY728" s="343"/>
      <c r="AZ728" s="538"/>
      <c r="BA728" s="343"/>
      <c r="BB728" s="343"/>
      <c r="BC728" s="538"/>
      <c r="BD728" s="343"/>
      <c r="BE728" s="343"/>
      <c r="BG728" s="644"/>
      <c r="BH728" s="515"/>
      <c r="BI728" s="515"/>
      <c r="BJ728" s="644"/>
      <c r="BK728" s="515"/>
      <c r="BL728" s="515"/>
      <c r="BM728" s="644"/>
      <c r="BN728" s="515"/>
      <c r="BO728" s="515"/>
      <c r="BP728" s="644"/>
      <c r="BQ728" s="515"/>
      <c r="BR728" s="515"/>
    </row>
    <row r="729" spans="4:70" x14ac:dyDescent="0.25">
      <c r="D729" s="538"/>
      <c r="G729" s="538"/>
      <c r="J729" s="538"/>
      <c r="M729" s="538"/>
      <c r="R729" s="538"/>
      <c r="S729" s="343"/>
      <c r="T729" s="343"/>
      <c r="U729" s="538"/>
      <c r="V729" s="343"/>
      <c r="W729" s="343"/>
      <c r="X729" s="538"/>
      <c r="Y729" s="343"/>
      <c r="Z729" s="343"/>
      <c r="AA729" s="538"/>
      <c r="AB729" s="343"/>
      <c r="AC729" s="343"/>
      <c r="AE729" s="343"/>
      <c r="AF729" s="538"/>
      <c r="AG729" s="343"/>
      <c r="AH729" s="343"/>
      <c r="AI729" s="538"/>
      <c r="AJ729" s="343"/>
      <c r="AK729" s="343"/>
      <c r="AL729" s="538"/>
      <c r="AM729" s="343"/>
      <c r="AN729" s="343"/>
      <c r="AO729" s="538"/>
      <c r="AP729" s="343"/>
      <c r="AQ729" s="343"/>
      <c r="AS729" s="343"/>
      <c r="AT729" s="538"/>
      <c r="AU729" s="343"/>
      <c r="AV729" s="343"/>
      <c r="AW729" s="538"/>
      <c r="AX729" s="343"/>
      <c r="AY729" s="343"/>
      <c r="AZ729" s="538"/>
      <c r="BA729" s="343"/>
      <c r="BB729" s="343"/>
      <c r="BC729" s="538"/>
      <c r="BD729" s="343"/>
      <c r="BE729" s="343"/>
      <c r="BG729" s="644"/>
      <c r="BH729" s="515"/>
      <c r="BI729" s="515"/>
      <c r="BJ729" s="644"/>
      <c r="BK729" s="515"/>
      <c r="BL729" s="515"/>
      <c r="BM729" s="644"/>
      <c r="BN729" s="515"/>
      <c r="BO729" s="515"/>
      <c r="BP729" s="644"/>
      <c r="BQ729" s="515"/>
      <c r="BR729" s="515"/>
    </row>
    <row r="730" spans="4:70" x14ac:dyDescent="0.25">
      <c r="D730" s="538"/>
      <c r="G730" s="538"/>
      <c r="J730" s="538"/>
      <c r="M730" s="538"/>
      <c r="R730" s="538"/>
      <c r="S730" s="343"/>
      <c r="T730" s="343"/>
      <c r="U730" s="538"/>
      <c r="V730" s="343"/>
      <c r="W730" s="343"/>
      <c r="X730" s="538"/>
      <c r="Y730" s="343"/>
      <c r="Z730" s="343"/>
      <c r="AA730" s="538"/>
      <c r="AB730" s="343"/>
      <c r="AC730" s="343"/>
      <c r="AE730" s="343"/>
      <c r="AF730" s="538"/>
      <c r="AG730" s="343"/>
      <c r="AH730" s="343"/>
      <c r="AI730" s="538"/>
      <c r="AJ730" s="343"/>
      <c r="AK730" s="343"/>
      <c r="AL730" s="538"/>
      <c r="AM730" s="343"/>
      <c r="AN730" s="343"/>
      <c r="AO730" s="538"/>
      <c r="AP730" s="343"/>
      <c r="AQ730" s="343"/>
      <c r="AS730" s="343"/>
      <c r="AT730" s="538"/>
      <c r="AU730" s="343"/>
      <c r="AV730" s="343"/>
      <c r="AW730" s="538"/>
      <c r="AX730" s="343"/>
      <c r="AY730" s="343"/>
      <c r="AZ730" s="538"/>
      <c r="BA730" s="343"/>
      <c r="BB730" s="343"/>
      <c r="BC730" s="538"/>
      <c r="BD730" s="343"/>
      <c r="BE730" s="343"/>
      <c r="BG730" s="644"/>
      <c r="BH730" s="515"/>
      <c r="BI730" s="515"/>
      <c r="BJ730" s="644"/>
      <c r="BK730" s="515"/>
      <c r="BL730" s="515"/>
      <c r="BM730" s="644"/>
      <c r="BN730" s="515"/>
      <c r="BO730" s="515"/>
      <c r="BP730" s="644"/>
      <c r="BQ730" s="515"/>
      <c r="BR730" s="515"/>
    </row>
    <row r="731" spans="4:70" x14ac:dyDescent="0.25">
      <c r="D731" s="538"/>
      <c r="G731" s="538"/>
      <c r="J731" s="538"/>
      <c r="M731" s="538"/>
      <c r="R731" s="538"/>
      <c r="S731" s="343"/>
      <c r="T731" s="343"/>
      <c r="U731" s="538"/>
      <c r="V731" s="343"/>
      <c r="W731" s="343"/>
      <c r="X731" s="538"/>
      <c r="Y731" s="343"/>
      <c r="Z731" s="343"/>
      <c r="AA731" s="538"/>
      <c r="AB731" s="343"/>
      <c r="AC731" s="343"/>
      <c r="AE731" s="343"/>
      <c r="AF731" s="538"/>
      <c r="AG731" s="343"/>
      <c r="AH731" s="343"/>
      <c r="AI731" s="538"/>
      <c r="AJ731" s="343"/>
      <c r="AK731" s="343"/>
      <c r="AL731" s="538"/>
      <c r="AM731" s="343"/>
      <c r="AN731" s="343"/>
      <c r="AO731" s="538"/>
      <c r="AP731" s="343"/>
      <c r="AQ731" s="343"/>
      <c r="AS731" s="343"/>
      <c r="AT731" s="538"/>
      <c r="AU731" s="343"/>
      <c r="AV731" s="343"/>
      <c r="AW731" s="538"/>
      <c r="AX731" s="343"/>
      <c r="AY731" s="343"/>
      <c r="AZ731" s="538"/>
      <c r="BA731" s="343"/>
      <c r="BB731" s="343"/>
      <c r="BC731" s="538"/>
      <c r="BD731" s="343"/>
      <c r="BE731" s="343"/>
      <c r="BG731" s="644"/>
      <c r="BH731" s="515"/>
      <c r="BI731" s="515"/>
      <c r="BJ731" s="644"/>
      <c r="BK731" s="515"/>
      <c r="BL731" s="515"/>
      <c r="BM731" s="644"/>
      <c r="BN731" s="515"/>
      <c r="BO731" s="515"/>
      <c r="BP731" s="644"/>
      <c r="BQ731" s="515"/>
      <c r="BR731" s="515"/>
    </row>
    <row r="732" spans="4:70" x14ac:dyDescent="0.25">
      <c r="D732" s="538"/>
      <c r="G732" s="538"/>
      <c r="J732" s="538"/>
      <c r="M732" s="538"/>
      <c r="R732" s="538"/>
      <c r="S732" s="343"/>
      <c r="T732" s="343"/>
      <c r="U732" s="538"/>
      <c r="V732" s="343"/>
      <c r="W732" s="343"/>
      <c r="X732" s="538"/>
      <c r="Y732" s="343"/>
      <c r="Z732" s="343"/>
      <c r="AA732" s="538"/>
      <c r="AB732" s="343"/>
      <c r="AC732" s="343"/>
      <c r="AE732" s="343"/>
      <c r="AF732" s="538"/>
      <c r="AG732" s="343"/>
      <c r="AH732" s="343"/>
      <c r="AI732" s="538"/>
      <c r="AJ732" s="343"/>
      <c r="AK732" s="343"/>
      <c r="AL732" s="538"/>
      <c r="AM732" s="343"/>
      <c r="AN732" s="343"/>
      <c r="AO732" s="538"/>
      <c r="AP732" s="343"/>
      <c r="AQ732" s="343"/>
      <c r="AS732" s="343"/>
      <c r="AT732" s="538"/>
      <c r="AU732" s="343"/>
      <c r="AV732" s="343"/>
      <c r="AW732" s="538"/>
      <c r="AX732" s="343"/>
      <c r="AY732" s="343"/>
      <c r="AZ732" s="538"/>
      <c r="BA732" s="343"/>
      <c r="BB732" s="343"/>
      <c r="BC732" s="538"/>
      <c r="BD732" s="343"/>
      <c r="BE732" s="343"/>
      <c r="BG732" s="644"/>
      <c r="BH732" s="515"/>
      <c r="BI732" s="515"/>
      <c r="BJ732" s="644"/>
      <c r="BK732" s="515"/>
      <c r="BL732" s="515"/>
      <c r="BM732" s="644"/>
      <c r="BN732" s="515"/>
      <c r="BO732" s="515"/>
      <c r="BP732" s="644"/>
      <c r="BQ732" s="515"/>
      <c r="BR732" s="515"/>
    </row>
    <row r="733" spans="4:70" x14ac:dyDescent="0.25">
      <c r="D733" s="538"/>
      <c r="G733" s="538"/>
      <c r="J733" s="538"/>
      <c r="M733" s="538"/>
      <c r="R733" s="538"/>
      <c r="S733" s="343"/>
      <c r="T733" s="343"/>
      <c r="U733" s="538"/>
      <c r="V733" s="343"/>
      <c r="W733" s="343"/>
      <c r="X733" s="538"/>
      <c r="Y733" s="343"/>
      <c r="Z733" s="343"/>
      <c r="AA733" s="538"/>
      <c r="AB733" s="343"/>
      <c r="AC733" s="343"/>
      <c r="AE733" s="343"/>
      <c r="AF733" s="538"/>
      <c r="AG733" s="343"/>
      <c r="AH733" s="343"/>
      <c r="AI733" s="538"/>
      <c r="AJ733" s="343"/>
      <c r="AK733" s="343"/>
      <c r="AL733" s="538"/>
      <c r="AM733" s="343"/>
      <c r="AN733" s="343"/>
      <c r="AO733" s="538"/>
      <c r="AP733" s="343"/>
      <c r="AQ733" s="343"/>
      <c r="AS733" s="343"/>
      <c r="AT733" s="538"/>
      <c r="AU733" s="343"/>
      <c r="AV733" s="343"/>
      <c r="AW733" s="538"/>
      <c r="AX733" s="343"/>
      <c r="AY733" s="343"/>
      <c r="AZ733" s="538"/>
      <c r="BA733" s="343"/>
      <c r="BB733" s="343"/>
      <c r="BC733" s="538"/>
      <c r="BD733" s="343"/>
      <c r="BE733" s="343"/>
      <c r="BG733" s="644"/>
      <c r="BH733" s="515"/>
      <c r="BI733" s="515"/>
      <c r="BJ733" s="644"/>
      <c r="BK733" s="515"/>
      <c r="BL733" s="515"/>
      <c r="BM733" s="644"/>
      <c r="BN733" s="515"/>
      <c r="BO733" s="515"/>
      <c r="BP733" s="644"/>
      <c r="BQ733" s="515"/>
      <c r="BR733" s="515"/>
    </row>
    <row r="734" spans="4:70" x14ac:dyDescent="0.25">
      <c r="D734" s="538"/>
      <c r="G734" s="538"/>
      <c r="J734" s="538"/>
      <c r="M734" s="538"/>
      <c r="R734" s="538"/>
      <c r="S734" s="343"/>
      <c r="T734" s="343"/>
      <c r="U734" s="538"/>
      <c r="V734" s="343"/>
      <c r="W734" s="343"/>
      <c r="X734" s="538"/>
      <c r="Y734" s="343"/>
      <c r="Z734" s="343"/>
      <c r="AA734" s="538"/>
      <c r="AB734" s="343"/>
      <c r="AC734" s="343"/>
      <c r="AE734" s="343"/>
      <c r="AF734" s="538"/>
      <c r="AG734" s="343"/>
      <c r="AH734" s="343"/>
      <c r="AI734" s="538"/>
      <c r="AJ734" s="343"/>
      <c r="AK734" s="343"/>
      <c r="AL734" s="538"/>
      <c r="AM734" s="343"/>
      <c r="AN734" s="343"/>
      <c r="AO734" s="538"/>
      <c r="AP734" s="343"/>
      <c r="AQ734" s="343"/>
      <c r="AS734" s="343"/>
      <c r="AT734" s="538"/>
      <c r="AU734" s="343"/>
      <c r="AV734" s="343"/>
      <c r="AW734" s="538"/>
      <c r="AX734" s="343"/>
      <c r="AY734" s="343"/>
      <c r="AZ734" s="538"/>
      <c r="BA734" s="343"/>
      <c r="BB734" s="343"/>
      <c r="BC734" s="538"/>
      <c r="BD734" s="343"/>
      <c r="BE734" s="343"/>
      <c r="BG734" s="644"/>
      <c r="BH734" s="515"/>
      <c r="BI734" s="515"/>
      <c r="BJ734" s="644"/>
      <c r="BK734" s="515"/>
      <c r="BL734" s="515"/>
      <c r="BM734" s="644"/>
      <c r="BN734" s="515"/>
      <c r="BO734" s="515"/>
      <c r="BP734" s="644"/>
      <c r="BQ734" s="515"/>
      <c r="BR734" s="515"/>
    </row>
    <row r="735" spans="4:70" x14ac:dyDescent="0.25">
      <c r="D735" s="538"/>
      <c r="G735" s="538"/>
      <c r="J735" s="538"/>
      <c r="M735" s="538"/>
      <c r="R735" s="538"/>
      <c r="S735" s="343"/>
      <c r="T735" s="343"/>
      <c r="U735" s="538"/>
      <c r="V735" s="343"/>
      <c r="W735" s="343"/>
      <c r="X735" s="538"/>
      <c r="Y735" s="343"/>
      <c r="Z735" s="343"/>
      <c r="AA735" s="538"/>
      <c r="AB735" s="343"/>
      <c r="AC735" s="343"/>
      <c r="AE735" s="343"/>
      <c r="AF735" s="538"/>
      <c r="AG735" s="343"/>
      <c r="AH735" s="343"/>
      <c r="AI735" s="538"/>
      <c r="AJ735" s="343"/>
      <c r="AK735" s="343"/>
      <c r="AL735" s="538"/>
      <c r="AM735" s="343"/>
      <c r="AN735" s="343"/>
      <c r="AO735" s="538"/>
      <c r="AP735" s="343"/>
      <c r="AQ735" s="343"/>
      <c r="AS735" s="343"/>
      <c r="AT735" s="538"/>
      <c r="AU735" s="343"/>
      <c r="AV735" s="343"/>
      <c r="AW735" s="538"/>
      <c r="AX735" s="343"/>
      <c r="AY735" s="343"/>
      <c r="AZ735" s="538"/>
      <c r="BA735" s="343"/>
      <c r="BB735" s="343"/>
      <c r="BC735" s="538"/>
      <c r="BD735" s="343"/>
      <c r="BE735" s="343"/>
      <c r="BG735" s="644"/>
      <c r="BH735" s="515"/>
      <c r="BI735" s="515"/>
      <c r="BJ735" s="644"/>
      <c r="BK735" s="515"/>
      <c r="BL735" s="515"/>
      <c r="BM735" s="644"/>
      <c r="BN735" s="515"/>
      <c r="BO735" s="515"/>
      <c r="BP735" s="644"/>
      <c r="BQ735" s="515"/>
      <c r="BR735" s="515"/>
    </row>
    <row r="736" spans="4:70" x14ac:dyDescent="0.25">
      <c r="D736" s="538"/>
      <c r="G736" s="538"/>
      <c r="J736" s="538"/>
      <c r="M736" s="538"/>
      <c r="R736" s="538"/>
      <c r="S736" s="343"/>
      <c r="T736" s="343"/>
      <c r="U736" s="538"/>
      <c r="V736" s="343"/>
      <c r="W736" s="343"/>
      <c r="X736" s="538"/>
      <c r="Y736" s="343"/>
      <c r="Z736" s="343"/>
      <c r="AA736" s="538"/>
      <c r="AB736" s="343"/>
      <c r="AC736" s="343"/>
      <c r="AE736" s="343"/>
      <c r="AF736" s="538"/>
      <c r="AG736" s="343"/>
      <c r="AH736" s="343"/>
      <c r="AI736" s="538"/>
      <c r="AJ736" s="343"/>
      <c r="AK736" s="343"/>
      <c r="AL736" s="538"/>
      <c r="AM736" s="343"/>
      <c r="AN736" s="343"/>
      <c r="AO736" s="538"/>
      <c r="AP736" s="343"/>
      <c r="AQ736" s="343"/>
      <c r="AS736" s="343"/>
      <c r="AT736" s="538"/>
      <c r="AU736" s="343"/>
      <c r="AV736" s="343"/>
      <c r="AW736" s="538"/>
      <c r="AX736" s="343"/>
      <c r="AY736" s="343"/>
      <c r="AZ736" s="538"/>
      <c r="BA736" s="343"/>
      <c r="BB736" s="343"/>
      <c r="BC736" s="538"/>
      <c r="BD736" s="343"/>
      <c r="BE736" s="343"/>
      <c r="BG736" s="644"/>
      <c r="BH736" s="515"/>
      <c r="BI736" s="515"/>
      <c r="BJ736" s="644"/>
      <c r="BK736" s="515"/>
      <c r="BL736" s="515"/>
      <c r="BM736" s="644"/>
      <c r="BN736" s="515"/>
      <c r="BO736" s="515"/>
      <c r="BP736" s="644"/>
      <c r="BQ736" s="515"/>
      <c r="BR736" s="515"/>
    </row>
    <row r="737" spans="4:70" x14ac:dyDescent="0.25">
      <c r="D737" s="538"/>
      <c r="G737" s="538"/>
      <c r="J737" s="538"/>
      <c r="M737" s="538"/>
      <c r="R737" s="538"/>
      <c r="S737" s="343"/>
      <c r="T737" s="343"/>
      <c r="U737" s="538"/>
      <c r="V737" s="343"/>
      <c r="W737" s="343"/>
      <c r="X737" s="538"/>
      <c r="Y737" s="343"/>
      <c r="Z737" s="343"/>
      <c r="AA737" s="538"/>
      <c r="AB737" s="343"/>
      <c r="AC737" s="343"/>
      <c r="AE737" s="343"/>
      <c r="AF737" s="538"/>
      <c r="AG737" s="343"/>
      <c r="AH737" s="343"/>
      <c r="AI737" s="538"/>
      <c r="AJ737" s="343"/>
      <c r="AK737" s="343"/>
      <c r="AL737" s="538"/>
      <c r="AM737" s="343"/>
      <c r="AN737" s="343"/>
      <c r="AO737" s="538"/>
      <c r="AP737" s="343"/>
      <c r="AQ737" s="343"/>
      <c r="AS737" s="343"/>
      <c r="AT737" s="538"/>
      <c r="AU737" s="343"/>
      <c r="AV737" s="343"/>
      <c r="AW737" s="538"/>
      <c r="AX737" s="343"/>
      <c r="AY737" s="343"/>
      <c r="AZ737" s="538"/>
      <c r="BA737" s="343"/>
      <c r="BB737" s="343"/>
      <c r="BC737" s="538"/>
      <c r="BD737" s="343"/>
      <c r="BE737" s="343"/>
      <c r="BG737" s="644"/>
      <c r="BH737" s="515"/>
      <c r="BI737" s="515"/>
      <c r="BJ737" s="644"/>
      <c r="BK737" s="515"/>
      <c r="BL737" s="515"/>
      <c r="BM737" s="644"/>
      <c r="BN737" s="515"/>
      <c r="BO737" s="515"/>
      <c r="BP737" s="644"/>
      <c r="BQ737" s="515"/>
      <c r="BR737" s="515"/>
    </row>
    <row r="738" spans="4:70" x14ac:dyDescent="0.25">
      <c r="D738" s="538"/>
      <c r="G738" s="538"/>
      <c r="J738" s="538"/>
      <c r="M738" s="538"/>
      <c r="R738" s="538"/>
      <c r="S738" s="343"/>
      <c r="T738" s="343"/>
      <c r="U738" s="538"/>
      <c r="V738" s="343"/>
      <c r="W738" s="343"/>
      <c r="X738" s="538"/>
      <c r="Y738" s="343"/>
      <c r="Z738" s="343"/>
      <c r="AA738" s="538"/>
      <c r="AB738" s="343"/>
      <c r="AC738" s="343"/>
      <c r="AE738" s="343"/>
      <c r="AF738" s="538"/>
      <c r="AG738" s="343"/>
      <c r="AH738" s="343"/>
      <c r="AI738" s="538"/>
      <c r="AJ738" s="343"/>
      <c r="AK738" s="343"/>
      <c r="AL738" s="538"/>
      <c r="AM738" s="343"/>
      <c r="AN738" s="343"/>
      <c r="AO738" s="538"/>
      <c r="AP738" s="343"/>
      <c r="AQ738" s="343"/>
      <c r="AS738" s="343"/>
      <c r="AT738" s="538"/>
      <c r="AU738" s="343"/>
      <c r="AV738" s="343"/>
      <c r="AW738" s="538"/>
      <c r="AX738" s="343"/>
      <c r="AY738" s="343"/>
      <c r="AZ738" s="538"/>
      <c r="BA738" s="343"/>
      <c r="BB738" s="343"/>
      <c r="BC738" s="538"/>
      <c r="BD738" s="343"/>
      <c r="BE738" s="343"/>
      <c r="BG738" s="644"/>
      <c r="BH738" s="515"/>
      <c r="BI738" s="515"/>
      <c r="BJ738" s="644"/>
      <c r="BK738" s="515"/>
      <c r="BL738" s="515"/>
      <c r="BM738" s="644"/>
      <c r="BN738" s="515"/>
      <c r="BO738" s="515"/>
      <c r="BP738" s="644"/>
      <c r="BQ738" s="515"/>
      <c r="BR738" s="515"/>
    </row>
    <row r="739" spans="4:70" x14ac:dyDescent="0.25">
      <c r="D739" s="538"/>
      <c r="G739" s="538"/>
      <c r="J739" s="538"/>
      <c r="M739" s="538"/>
      <c r="R739" s="538"/>
      <c r="S739" s="343"/>
      <c r="T739" s="343"/>
      <c r="U739" s="538"/>
      <c r="V739" s="343"/>
      <c r="W739" s="343"/>
      <c r="X739" s="538"/>
      <c r="Y739" s="343"/>
      <c r="Z739" s="343"/>
      <c r="AA739" s="538"/>
      <c r="AB739" s="343"/>
      <c r="AC739" s="343"/>
      <c r="AE739" s="343"/>
      <c r="AF739" s="538"/>
      <c r="AG739" s="343"/>
      <c r="AH739" s="343"/>
      <c r="AI739" s="538"/>
      <c r="AJ739" s="343"/>
      <c r="AK739" s="343"/>
      <c r="AL739" s="538"/>
      <c r="AM739" s="343"/>
      <c r="AN739" s="343"/>
      <c r="AO739" s="538"/>
      <c r="AP739" s="343"/>
      <c r="AQ739" s="343"/>
      <c r="AS739" s="343"/>
      <c r="AT739" s="538"/>
      <c r="AU739" s="343"/>
      <c r="AV739" s="343"/>
      <c r="AW739" s="538"/>
      <c r="AX739" s="343"/>
      <c r="AY739" s="343"/>
      <c r="AZ739" s="538"/>
      <c r="BA739" s="343"/>
      <c r="BB739" s="343"/>
      <c r="BC739" s="538"/>
      <c r="BD739" s="343"/>
      <c r="BE739" s="343"/>
      <c r="BG739" s="644"/>
      <c r="BH739" s="515"/>
      <c r="BI739" s="515"/>
      <c r="BJ739" s="644"/>
      <c r="BK739" s="515"/>
      <c r="BL739" s="515"/>
      <c r="BM739" s="644"/>
      <c r="BN739" s="515"/>
      <c r="BO739" s="515"/>
      <c r="BP739" s="644"/>
      <c r="BQ739" s="515"/>
      <c r="BR739" s="515"/>
    </row>
    <row r="740" spans="4:70" x14ac:dyDescent="0.25">
      <c r="D740" s="538"/>
      <c r="G740" s="538"/>
      <c r="J740" s="538"/>
      <c r="M740" s="538"/>
      <c r="R740" s="538"/>
      <c r="S740" s="343"/>
      <c r="T740" s="343"/>
      <c r="U740" s="538"/>
      <c r="V740" s="343"/>
      <c r="W740" s="343"/>
      <c r="X740" s="538"/>
      <c r="Y740" s="343"/>
      <c r="Z740" s="343"/>
      <c r="AA740" s="538"/>
      <c r="AB740" s="343"/>
      <c r="AC740" s="343"/>
      <c r="AE740" s="343"/>
      <c r="AF740" s="538"/>
      <c r="AG740" s="343"/>
      <c r="AH740" s="343"/>
      <c r="AI740" s="538"/>
      <c r="AJ740" s="343"/>
      <c r="AK740" s="343"/>
      <c r="AL740" s="538"/>
      <c r="AM740" s="343"/>
      <c r="AN740" s="343"/>
      <c r="AO740" s="538"/>
      <c r="AP740" s="343"/>
      <c r="AQ740" s="343"/>
      <c r="AS740" s="343"/>
      <c r="AT740" s="538"/>
      <c r="AU740" s="343"/>
      <c r="AV740" s="343"/>
      <c r="AW740" s="538"/>
      <c r="AX740" s="343"/>
      <c r="AY740" s="343"/>
      <c r="AZ740" s="538"/>
      <c r="BA740" s="343"/>
      <c r="BB740" s="343"/>
      <c r="BC740" s="538"/>
      <c r="BD740" s="343"/>
      <c r="BE740" s="343"/>
      <c r="BG740" s="644"/>
      <c r="BH740" s="515"/>
      <c r="BI740" s="515"/>
      <c r="BJ740" s="644"/>
      <c r="BK740" s="515"/>
      <c r="BL740" s="515"/>
      <c r="BM740" s="644"/>
      <c r="BN740" s="515"/>
      <c r="BO740" s="515"/>
      <c r="BP740" s="644"/>
      <c r="BQ740" s="515"/>
      <c r="BR740" s="515"/>
    </row>
    <row r="741" spans="4:70" x14ac:dyDescent="0.25">
      <c r="D741" s="538"/>
      <c r="G741" s="538"/>
      <c r="J741" s="538"/>
      <c r="M741" s="538"/>
      <c r="R741" s="538"/>
      <c r="S741" s="343"/>
      <c r="T741" s="343"/>
      <c r="U741" s="538"/>
      <c r="V741" s="343"/>
      <c r="W741" s="343"/>
      <c r="X741" s="538"/>
      <c r="Y741" s="343"/>
      <c r="Z741" s="343"/>
      <c r="AA741" s="538"/>
      <c r="AB741" s="343"/>
      <c r="AC741" s="343"/>
      <c r="AE741" s="343"/>
      <c r="AF741" s="538"/>
      <c r="AG741" s="343"/>
      <c r="AH741" s="343"/>
      <c r="AI741" s="538"/>
      <c r="AJ741" s="343"/>
      <c r="AK741" s="343"/>
      <c r="AL741" s="538"/>
      <c r="AM741" s="343"/>
      <c r="AN741" s="343"/>
      <c r="AO741" s="538"/>
      <c r="AP741" s="343"/>
      <c r="AQ741" s="343"/>
      <c r="AS741" s="343"/>
      <c r="AT741" s="538"/>
      <c r="AU741" s="343"/>
      <c r="AV741" s="343"/>
      <c r="AW741" s="538"/>
      <c r="AX741" s="343"/>
      <c r="AY741" s="343"/>
      <c r="AZ741" s="538"/>
      <c r="BA741" s="343"/>
      <c r="BB741" s="343"/>
      <c r="BC741" s="538"/>
      <c r="BD741" s="343"/>
      <c r="BE741" s="343"/>
      <c r="BG741" s="644"/>
      <c r="BH741" s="515"/>
      <c r="BI741" s="515"/>
      <c r="BJ741" s="644"/>
      <c r="BK741" s="515"/>
      <c r="BL741" s="515"/>
      <c r="BM741" s="644"/>
      <c r="BN741" s="515"/>
      <c r="BO741" s="515"/>
      <c r="BP741" s="644"/>
      <c r="BQ741" s="515"/>
      <c r="BR741" s="515"/>
    </row>
    <row r="742" spans="4:70" x14ac:dyDescent="0.25">
      <c r="D742" s="538"/>
      <c r="G742" s="538"/>
      <c r="J742" s="538"/>
      <c r="M742" s="538"/>
      <c r="R742" s="538"/>
      <c r="S742" s="343"/>
      <c r="T742" s="343"/>
      <c r="U742" s="538"/>
      <c r="V742" s="343"/>
      <c r="W742" s="343"/>
      <c r="X742" s="538"/>
      <c r="Y742" s="343"/>
      <c r="Z742" s="343"/>
      <c r="AA742" s="538"/>
      <c r="AB742" s="343"/>
      <c r="AC742" s="343"/>
      <c r="AE742" s="343"/>
      <c r="AF742" s="538"/>
      <c r="AG742" s="343"/>
      <c r="AH742" s="343"/>
      <c r="AI742" s="538"/>
      <c r="AJ742" s="343"/>
      <c r="AK742" s="343"/>
      <c r="AL742" s="538"/>
      <c r="AM742" s="343"/>
      <c r="AN742" s="343"/>
      <c r="AO742" s="538"/>
      <c r="AP742" s="343"/>
      <c r="AQ742" s="343"/>
      <c r="AS742" s="343"/>
      <c r="AT742" s="538"/>
      <c r="AU742" s="343"/>
      <c r="AV742" s="343"/>
      <c r="AW742" s="538"/>
      <c r="AX742" s="343"/>
      <c r="AY742" s="343"/>
      <c r="AZ742" s="538"/>
      <c r="BA742" s="343"/>
      <c r="BB742" s="343"/>
      <c r="BC742" s="538"/>
      <c r="BD742" s="343"/>
      <c r="BE742" s="343"/>
      <c r="BG742" s="644"/>
      <c r="BH742" s="515"/>
      <c r="BI742" s="515"/>
      <c r="BJ742" s="644"/>
      <c r="BK742" s="515"/>
      <c r="BL742" s="515"/>
      <c r="BM742" s="644"/>
      <c r="BN742" s="515"/>
      <c r="BO742" s="515"/>
      <c r="BP742" s="644"/>
      <c r="BQ742" s="515"/>
      <c r="BR742" s="515"/>
    </row>
    <row r="743" spans="4:70" x14ac:dyDescent="0.25">
      <c r="D743" s="538"/>
      <c r="G743" s="538"/>
      <c r="J743" s="538"/>
      <c r="M743" s="538"/>
      <c r="R743" s="538"/>
      <c r="S743" s="343"/>
      <c r="T743" s="343"/>
      <c r="U743" s="538"/>
      <c r="V743" s="343"/>
      <c r="W743" s="343"/>
      <c r="X743" s="538"/>
      <c r="Y743" s="343"/>
      <c r="Z743" s="343"/>
      <c r="AA743" s="538"/>
      <c r="AB743" s="343"/>
      <c r="AC743" s="343"/>
      <c r="AE743" s="343"/>
      <c r="AF743" s="538"/>
      <c r="AG743" s="343"/>
      <c r="AH743" s="343"/>
      <c r="AI743" s="538"/>
      <c r="AJ743" s="343"/>
      <c r="AK743" s="343"/>
      <c r="AL743" s="538"/>
      <c r="AM743" s="343"/>
      <c r="AN743" s="343"/>
      <c r="AO743" s="538"/>
      <c r="AP743" s="343"/>
      <c r="AQ743" s="343"/>
      <c r="AS743" s="343"/>
      <c r="AT743" s="538"/>
      <c r="AU743" s="343"/>
      <c r="AV743" s="343"/>
      <c r="AW743" s="538"/>
      <c r="AX743" s="343"/>
      <c r="AY743" s="343"/>
      <c r="AZ743" s="538"/>
      <c r="BA743" s="343"/>
      <c r="BB743" s="343"/>
      <c r="BC743" s="538"/>
      <c r="BD743" s="343"/>
      <c r="BE743" s="343"/>
      <c r="BG743" s="644"/>
      <c r="BH743" s="515"/>
      <c r="BI743" s="515"/>
      <c r="BJ743" s="644"/>
      <c r="BK743" s="515"/>
      <c r="BL743" s="515"/>
      <c r="BM743" s="644"/>
      <c r="BN743" s="515"/>
      <c r="BO743" s="515"/>
      <c r="BP743" s="644"/>
      <c r="BQ743" s="515"/>
      <c r="BR743" s="515"/>
    </row>
    <row r="744" spans="4:70" x14ac:dyDescent="0.25">
      <c r="D744" s="538"/>
      <c r="G744" s="538"/>
      <c r="J744" s="538"/>
      <c r="M744" s="538"/>
      <c r="R744" s="538"/>
      <c r="S744" s="343"/>
      <c r="T744" s="343"/>
      <c r="U744" s="538"/>
      <c r="V744" s="343"/>
      <c r="W744" s="343"/>
      <c r="X744" s="538"/>
      <c r="Y744" s="343"/>
      <c r="Z744" s="343"/>
      <c r="AA744" s="538"/>
      <c r="AB744" s="343"/>
      <c r="AC744" s="343"/>
      <c r="AE744" s="343"/>
      <c r="AF744" s="538"/>
      <c r="AG744" s="343"/>
      <c r="AH744" s="343"/>
      <c r="AI744" s="538"/>
      <c r="AJ744" s="343"/>
      <c r="AK744" s="343"/>
      <c r="AL744" s="538"/>
      <c r="AM744" s="343"/>
      <c r="AN744" s="343"/>
      <c r="AO744" s="538"/>
      <c r="AP744" s="343"/>
      <c r="AQ744" s="343"/>
      <c r="AS744" s="343"/>
      <c r="AT744" s="538"/>
      <c r="AU744" s="343"/>
      <c r="AV744" s="343"/>
      <c r="AW744" s="538"/>
      <c r="AX744" s="343"/>
      <c r="AY744" s="343"/>
      <c r="AZ744" s="538"/>
      <c r="BA744" s="343"/>
      <c r="BB744" s="343"/>
      <c r="BC744" s="538"/>
      <c r="BD744" s="343"/>
      <c r="BE744" s="343"/>
      <c r="BG744" s="644"/>
      <c r="BH744" s="515"/>
      <c r="BI744" s="515"/>
      <c r="BJ744" s="644"/>
      <c r="BK744" s="515"/>
      <c r="BL744" s="515"/>
      <c r="BM744" s="644"/>
      <c r="BN744" s="515"/>
      <c r="BO744" s="515"/>
      <c r="BP744" s="644"/>
      <c r="BQ744" s="515"/>
      <c r="BR744" s="515"/>
    </row>
    <row r="745" spans="4:70" x14ac:dyDescent="0.25">
      <c r="D745" s="538"/>
      <c r="G745" s="538"/>
      <c r="J745" s="538"/>
      <c r="M745" s="538"/>
      <c r="R745" s="538"/>
      <c r="S745" s="343"/>
      <c r="T745" s="343"/>
      <c r="U745" s="538"/>
      <c r="V745" s="343"/>
      <c r="W745" s="343"/>
      <c r="X745" s="538"/>
      <c r="Y745" s="343"/>
      <c r="Z745" s="343"/>
      <c r="AA745" s="538"/>
      <c r="AB745" s="343"/>
      <c r="AC745" s="343"/>
      <c r="AE745" s="343"/>
      <c r="AF745" s="538"/>
      <c r="AG745" s="343"/>
      <c r="AH745" s="343"/>
      <c r="AI745" s="538"/>
      <c r="AJ745" s="343"/>
      <c r="AK745" s="343"/>
      <c r="AL745" s="538"/>
      <c r="AM745" s="343"/>
      <c r="AN745" s="343"/>
      <c r="AO745" s="538"/>
      <c r="AP745" s="343"/>
      <c r="AQ745" s="343"/>
      <c r="AS745" s="343"/>
      <c r="AT745" s="538"/>
      <c r="AU745" s="343"/>
      <c r="AV745" s="343"/>
      <c r="AW745" s="538"/>
      <c r="AX745" s="343"/>
      <c r="AY745" s="343"/>
      <c r="AZ745" s="538"/>
      <c r="BA745" s="343"/>
      <c r="BB745" s="343"/>
      <c r="BC745" s="538"/>
      <c r="BD745" s="343"/>
      <c r="BE745" s="343"/>
      <c r="BG745" s="644"/>
      <c r="BH745" s="515"/>
      <c r="BI745" s="515"/>
      <c r="BJ745" s="644"/>
      <c r="BK745" s="515"/>
      <c r="BL745" s="515"/>
      <c r="BM745" s="644"/>
      <c r="BN745" s="515"/>
      <c r="BO745" s="515"/>
      <c r="BP745" s="644"/>
      <c r="BQ745" s="515"/>
      <c r="BR745" s="515"/>
    </row>
    <row r="746" spans="4:70" x14ac:dyDescent="0.25">
      <c r="D746" s="538"/>
      <c r="G746" s="538"/>
      <c r="J746" s="538"/>
      <c r="M746" s="538"/>
      <c r="R746" s="538"/>
      <c r="S746" s="343"/>
      <c r="T746" s="343"/>
      <c r="U746" s="538"/>
      <c r="V746" s="343"/>
      <c r="W746" s="343"/>
      <c r="X746" s="538"/>
      <c r="Y746" s="343"/>
      <c r="Z746" s="343"/>
      <c r="AA746" s="538"/>
      <c r="AB746" s="343"/>
      <c r="AC746" s="343"/>
      <c r="AE746" s="343"/>
      <c r="AF746" s="538"/>
      <c r="AG746" s="343"/>
      <c r="AH746" s="343"/>
      <c r="AI746" s="538"/>
      <c r="AJ746" s="343"/>
      <c r="AK746" s="343"/>
      <c r="AL746" s="538"/>
      <c r="AM746" s="343"/>
      <c r="AN746" s="343"/>
      <c r="AO746" s="538"/>
      <c r="AP746" s="343"/>
      <c r="AQ746" s="343"/>
      <c r="AS746" s="343"/>
      <c r="AT746" s="538"/>
      <c r="AU746" s="343"/>
      <c r="AV746" s="343"/>
      <c r="AW746" s="538"/>
      <c r="AX746" s="343"/>
      <c r="AY746" s="343"/>
      <c r="AZ746" s="538"/>
      <c r="BA746" s="343"/>
      <c r="BB746" s="343"/>
      <c r="BC746" s="538"/>
      <c r="BD746" s="343"/>
      <c r="BE746" s="343"/>
      <c r="BG746" s="644"/>
      <c r="BH746" s="515"/>
      <c r="BI746" s="515"/>
      <c r="BJ746" s="644"/>
      <c r="BK746" s="515"/>
      <c r="BL746" s="515"/>
      <c r="BM746" s="644"/>
      <c r="BN746" s="515"/>
      <c r="BO746" s="515"/>
      <c r="BP746" s="644"/>
      <c r="BQ746" s="515"/>
      <c r="BR746" s="515"/>
    </row>
    <row r="747" spans="4:70" x14ac:dyDescent="0.25">
      <c r="D747" s="538"/>
      <c r="G747" s="538"/>
      <c r="J747" s="538"/>
      <c r="M747" s="538"/>
      <c r="R747" s="538"/>
      <c r="S747" s="343"/>
      <c r="T747" s="343"/>
      <c r="U747" s="538"/>
      <c r="V747" s="343"/>
      <c r="W747" s="343"/>
      <c r="X747" s="538"/>
      <c r="Y747" s="343"/>
      <c r="Z747" s="343"/>
      <c r="AA747" s="538"/>
      <c r="AB747" s="343"/>
      <c r="AC747" s="343"/>
      <c r="AE747" s="343"/>
      <c r="AF747" s="538"/>
      <c r="AG747" s="343"/>
      <c r="AH747" s="343"/>
      <c r="AI747" s="538"/>
      <c r="AJ747" s="343"/>
      <c r="AK747" s="343"/>
      <c r="AL747" s="538"/>
      <c r="AM747" s="343"/>
      <c r="AN747" s="343"/>
      <c r="AO747" s="538"/>
      <c r="AP747" s="343"/>
      <c r="AQ747" s="343"/>
      <c r="AS747" s="343"/>
      <c r="AT747" s="538"/>
      <c r="AU747" s="343"/>
      <c r="AV747" s="343"/>
      <c r="AW747" s="538"/>
      <c r="AX747" s="343"/>
      <c r="AY747" s="343"/>
      <c r="AZ747" s="538"/>
      <c r="BA747" s="343"/>
      <c r="BB747" s="343"/>
      <c r="BC747" s="538"/>
      <c r="BD747" s="343"/>
      <c r="BE747" s="343"/>
      <c r="BG747" s="644"/>
      <c r="BH747" s="515"/>
      <c r="BI747" s="515"/>
      <c r="BJ747" s="644"/>
      <c r="BK747" s="515"/>
      <c r="BL747" s="515"/>
      <c r="BM747" s="644"/>
      <c r="BN747" s="515"/>
      <c r="BO747" s="515"/>
      <c r="BP747" s="644"/>
      <c r="BQ747" s="515"/>
      <c r="BR747" s="515"/>
    </row>
    <row r="748" spans="4:70" x14ac:dyDescent="0.25">
      <c r="D748" s="538"/>
      <c r="G748" s="538"/>
      <c r="J748" s="538"/>
      <c r="M748" s="538"/>
      <c r="R748" s="538"/>
      <c r="S748" s="343"/>
      <c r="T748" s="343"/>
      <c r="U748" s="538"/>
      <c r="V748" s="343"/>
      <c r="W748" s="343"/>
      <c r="X748" s="538"/>
      <c r="Y748" s="343"/>
      <c r="Z748" s="343"/>
      <c r="AA748" s="538"/>
      <c r="AB748" s="343"/>
      <c r="AC748" s="343"/>
      <c r="AE748" s="343"/>
      <c r="AF748" s="538"/>
      <c r="AG748" s="343"/>
      <c r="AH748" s="343"/>
      <c r="AI748" s="538"/>
      <c r="AJ748" s="343"/>
      <c r="AK748" s="343"/>
      <c r="AL748" s="538"/>
      <c r="AM748" s="343"/>
      <c r="AN748" s="343"/>
      <c r="AO748" s="538"/>
      <c r="AP748" s="343"/>
      <c r="AQ748" s="343"/>
      <c r="AS748" s="343"/>
      <c r="AT748" s="538"/>
      <c r="AU748" s="343"/>
      <c r="AV748" s="343"/>
      <c r="AW748" s="538"/>
      <c r="AX748" s="343"/>
      <c r="AY748" s="343"/>
      <c r="AZ748" s="538"/>
      <c r="BA748" s="343"/>
      <c r="BB748" s="343"/>
      <c r="BC748" s="538"/>
      <c r="BD748" s="343"/>
      <c r="BE748" s="343"/>
      <c r="BG748" s="644"/>
      <c r="BH748" s="515"/>
      <c r="BI748" s="515"/>
      <c r="BJ748" s="644"/>
      <c r="BK748" s="515"/>
      <c r="BL748" s="515"/>
      <c r="BM748" s="644"/>
      <c r="BN748" s="515"/>
      <c r="BO748" s="515"/>
      <c r="BP748" s="644"/>
      <c r="BQ748" s="515"/>
      <c r="BR748" s="515"/>
    </row>
    <row r="749" spans="4:70" x14ac:dyDescent="0.25">
      <c r="D749" s="538"/>
      <c r="G749" s="538"/>
      <c r="J749" s="538"/>
      <c r="M749" s="538"/>
      <c r="R749" s="538"/>
      <c r="S749" s="343"/>
      <c r="T749" s="343"/>
      <c r="U749" s="538"/>
      <c r="V749" s="343"/>
      <c r="W749" s="343"/>
      <c r="X749" s="538"/>
      <c r="Y749" s="343"/>
      <c r="Z749" s="343"/>
      <c r="AA749" s="538"/>
      <c r="AB749" s="343"/>
      <c r="AC749" s="343"/>
      <c r="AE749" s="343"/>
      <c r="AF749" s="538"/>
      <c r="AG749" s="343"/>
      <c r="AH749" s="343"/>
      <c r="AI749" s="538"/>
      <c r="AJ749" s="343"/>
      <c r="AK749" s="343"/>
      <c r="AL749" s="538"/>
      <c r="AM749" s="343"/>
      <c r="AN749" s="343"/>
      <c r="AO749" s="538"/>
      <c r="AP749" s="343"/>
      <c r="AQ749" s="343"/>
      <c r="AS749" s="343"/>
      <c r="AT749" s="538"/>
      <c r="AU749" s="343"/>
      <c r="AV749" s="343"/>
      <c r="AW749" s="538"/>
      <c r="AX749" s="343"/>
      <c r="AY749" s="343"/>
      <c r="AZ749" s="538"/>
      <c r="BA749" s="343"/>
      <c r="BB749" s="343"/>
      <c r="BC749" s="538"/>
      <c r="BD749" s="343"/>
      <c r="BE749" s="343"/>
      <c r="BG749" s="644"/>
      <c r="BH749" s="515"/>
      <c r="BI749" s="515"/>
      <c r="BJ749" s="644"/>
      <c r="BK749" s="515"/>
      <c r="BL749" s="515"/>
      <c r="BM749" s="644"/>
      <c r="BN749" s="515"/>
      <c r="BO749" s="515"/>
      <c r="BP749" s="644"/>
      <c r="BQ749" s="515"/>
      <c r="BR749" s="515"/>
    </row>
    <row r="750" spans="4:70" x14ac:dyDescent="0.25">
      <c r="D750" s="538"/>
      <c r="G750" s="538"/>
      <c r="J750" s="538"/>
      <c r="M750" s="538"/>
      <c r="R750" s="538"/>
      <c r="S750" s="343"/>
      <c r="T750" s="343"/>
      <c r="U750" s="538"/>
      <c r="V750" s="343"/>
      <c r="W750" s="343"/>
      <c r="X750" s="538"/>
      <c r="Y750" s="343"/>
      <c r="Z750" s="343"/>
      <c r="AA750" s="538"/>
      <c r="AB750" s="343"/>
      <c r="AC750" s="343"/>
      <c r="AE750" s="343"/>
      <c r="AF750" s="538"/>
      <c r="AG750" s="343"/>
      <c r="AH750" s="343"/>
      <c r="AI750" s="538"/>
      <c r="AJ750" s="343"/>
      <c r="AK750" s="343"/>
      <c r="AL750" s="538"/>
      <c r="AM750" s="343"/>
      <c r="AN750" s="343"/>
      <c r="AO750" s="538"/>
      <c r="AP750" s="343"/>
      <c r="AQ750" s="343"/>
      <c r="AS750" s="343"/>
      <c r="AT750" s="538"/>
      <c r="AU750" s="343"/>
      <c r="AV750" s="343"/>
      <c r="AW750" s="538"/>
      <c r="AX750" s="343"/>
      <c r="AY750" s="343"/>
      <c r="AZ750" s="538"/>
      <c r="BA750" s="343"/>
      <c r="BB750" s="343"/>
      <c r="BC750" s="538"/>
      <c r="BD750" s="343"/>
      <c r="BE750" s="343"/>
      <c r="BG750" s="644"/>
      <c r="BH750" s="515"/>
      <c r="BI750" s="515"/>
      <c r="BJ750" s="644"/>
      <c r="BK750" s="515"/>
      <c r="BL750" s="515"/>
      <c r="BM750" s="644"/>
      <c r="BN750" s="515"/>
      <c r="BO750" s="515"/>
      <c r="BP750" s="644"/>
      <c r="BQ750" s="515"/>
      <c r="BR750" s="515"/>
    </row>
    <row r="751" spans="4:70" x14ac:dyDescent="0.25">
      <c r="D751" s="538"/>
      <c r="G751" s="538"/>
      <c r="J751" s="538"/>
      <c r="M751" s="538"/>
      <c r="R751" s="538"/>
      <c r="S751" s="343"/>
      <c r="T751" s="343"/>
      <c r="U751" s="538"/>
      <c r="V751" s="343"/>
      <c r="W751" s="343"/>
      <c r="X751" s="538"/>
      <c r="Y751" s="343"/>
      <c r="Z751" s="343"/>
      <c r="AA751" s="538"/>
      <c r="AB751" s="343"/>
      <c r="AC751" s="343"/>
      <c r="AE751" s="343"/>
      <c r="AF751" s="538"/>
      <c r="AG751" s="343"/>
      <c r="AH751" s="343"/>
      <c r="AI751" s="538"/>
      <c r="AJ751" s="343"/>
      <c r="AK751" s="343"/>
      <c r="AL751" s="538"/>
      <c r="AM751" s="343"/>
      <c r="AN751" s="343"/>
      <c r="AO751" s="538"/>
      <c r="AP751" s="343"/>
      <c r="AQ751" s="343"/>
      <c r="AS751" s="343"/>
      <c r="AT751" s="538"/>
      <c r="AU751" s="343"/>
      <c r="AV751" s="343"/>
      <c r="AW751" s="538"/>
      <c r="AX751" s="343"/>
      <c r="AY751" s="343"/>
      <c r="AZ751" s="538"/>
      <c r="BA751" s="343"/>
      <c r="BB751" s="343"/>
      <c r="BC751" s="538"/>
      <c r="BD751" s="343"/>
      <c r="BE751" s="343"/>
      <c r="BG751" s="644"/>
      <c r="BH751" s="515"/>
      <c r="BI751" s="515"/>
      <c r="BJ751" s="644"/>
      <c r="BK751" s="515"/>
      <c r="BL751" s="515"/>
      <c r="BM751" s="644"/>
      <c r="BN751" s="515"/>
      <c r="BO751" s="515"/>
      <c r="BP751" s="644"/>
      <c r="BQ751" s="515"/>
      <c r="BR751" s="515"/>
    </row>
    <row r="752" spans="4:70" x14ac:dyDescent="0.25">
      <c r="D752" s="538"/>
      <c r="G752" s="538"/>
      <c r="J752" s="538"/>
      <c r="M752" s="538"/>
      <c r="R752" s="538"/>
      <c r="S752" s="343"/>
      <c r="T752" s="343"/>
      <c r="U752" s="538"/>
      <c r="V752" s="343"/>
      <c r="W752" s="343"/>
      <c r="X752" s="538"/>
      <c r="Y752" s="343"/>
      <c r="Z752" s="343"/>
      <c r="AA752" s="538"/>
      <c r="AB752" s="343"/>
      <c r="AC752" s="343"/>
      <c r="AE752" s="343"/>
      <c r="AF752" s="538"/>
      <c r="AG752" s="343"/>
      <c r="AH752" s="343"/>
      <c r="AI752" s="538"/>
      <c r="AJ752" s="343"/>
      <c r="AK752" s="343"/>
      <c r="AL752" s="538"/>
      <c r="AM752" s="343"/>
      <c r="AN752" s="343"/>
      <c r="AO752" s="538"/>
      <c r="AP752" s="343"/>
      <c r="AQ752" s="343"/>
      <c r="AS752" s="343"/>
      <c r="AT752" s="538"/>
      <c r="AU752" s="343"/>
      <c r="AV752" s="343"/>
      <c r="AW752" s="538"/>
      <c r="AX752" s="343"/>
      <c r="AY752" s="343"/>
      <c r="AZ752" s="538"/>
      <c r="BA752" s="343"/>
      <c r="BB752" s="343"/>
      <c r="BC752" s="538"/>
      <c r="BD752" s="343"/>
      <c r="BE752" s="343"/>
      <c r="BG752" s="644"/>
      <c r="BH752" s="515"/>
      <c r="BI752" s="515"/>
      <c r="BJ752" s="644"/>
      <c r="BK752" s="515"/>
      <c r="BL752" s="515"/>
      <c r="BM752" s="644"/>
      <c r="BN752" s="515"/>
      <c r="BO752" s="515"/>
      <c r="BP752" s="644"/>
      <c r="BQ752" s="515"/>
      <c r="BR752" s="515"/>
    </row>
    <row r="753" spans="4:70" x14ac:dyDescent="0.25">
      <c r="D753" s="538"/>
      <c r="G753" s="538"/>
      <c r="J753" s="538"/>
      <c r="M753" s="538"/>
      <c r="R753" s="538"/>
      <c r="S753" s="343"/>
      <c r="T753" s="343"/>
      <c r="U753" s="538"/>
      <c r="V753" s="343"/>
      <c r="W753" s="343"/>
      <c r="X753" s="538"/>
      <c r="Y753" s="343"/>
      <c r="Z753" s="343"/>
      <c r="AA753" s="538"/>
      <c r="AB753" s="343"/>
      <c r="AC753" s="343"/>
      <c r="AE753" s="343"/>
      <c r="AF753" s="538"/>
      <c r="AG753" s="343"/>
      <c r="AH753" s="343"/>
      <c r="AI753" s="538"/>
      <c r="AJ753" s="343"/>
      <c r="AK753" s="343"/>
      <c r="AL753" s="538"/>
      <c r="AM753" s="343"/>
      <c r="AN753" s="343"/>
      <c r="AO753" s="538"/>
      <c r="AP753" s="343"/>
      <c r="AQ753" s="343"/>
      <c r="AS753" s="343"/>
      <c r="AT753" s="538"/>
      <c r="AU753" s="343"/>
      <c r="AV753" s="343"/>
      <c r="AW753" s="538"/>
      <c r="AX753" s="343"/>
      <c r="AY753" s="343"/>
      <c r="AZ753" s="538"/>
      <c r="BA753" s="343"/>
      <c r="BB753" s="343"/>
      <c r="BC753" s="538"/>
      <c r="BD753" s="343"/>
      <c r="BE753" s="343"/>
      <c r="BG753" s="644"/>
      <c r="BH753" s="515"/>
      <c r="BI753" s="515"/>
      <c r="BJ753" s="644"/>
      <c r="BK753" s="515"/>
      <c r="BL753" s="515"/>
      <c r="BM753" s="644"/>
      <c r="BN753" s="515"/>
      <c r="BO753" s="515"/>
      <c r="BP753" s="644"/>
      <c r="BQ753" s="515"/>
      <c r="BR753" s="515"/>
    </row>
    <row r="754" spans="4:70" x14ac:dyDescent="0.25">
      <c r="D754" s="538"/>
      <c r="G754" s="538"/>
      <c r="J754" s="538"/>
      <c r="M754" s="538"/>
      <c r="R754" s="538"/>
      <c r="S754" s="343"/>
      <c r="T754" s="343"/>
      <c r="U754" s="538"/>
      <c r="V754" s="343"/>
      <c r="W754" s="343"/>
      <c r="X754" s="538"/>
      <c r="Y754" s="343"/>
      <c r="Z754" s="343"/>
      <c r="AA754" s="538"/>
      <c r="AB754" s="343"/>
      <c r="AC754" s="343"/>
      <c r="AE754" s="343"/>
      <c r="AF754" s="538"/>
      <c r="AG754" s="343"/>
      <c r="AH754" s="343"/>
      <c r="AI754" s="538"/>
      <c r="AJ754" s="343"/>
      <c r="AK754" s="343"/>
      <c r="AL754" s="538"/>
      <c r="AM754" s="343"/>
      <c r="AN754" s="343"/>
      <c r="AO754" s="538"/>
      <c r="AP754" s="343"/>
      <c r="AQ754" s="343"/>
      <c r="AS754" s="343"/>
      <c r="AT754" s="538"/>
      <c r="AU754" s="343"/>
      <c r="AV754" s="343"/>
      <c r="AW754" s="538"/>
      <c r="AX754" s="343"/>
      <c r="AY754" s="343"/>
      <c r="AZ754" s="538"/>
      <c r="BA754" s="343"/>
      <c r="BB754" s="343"/>
      <c r="BC754" s="538"/>
      <c r="BD754" s="343"/>
      <c r="BE754" s="343"/>
      <c r="BG754" s="644"/>
      <c r="BH754" s="515"/>
      <c r="BI754" s="515"/>
      <c r="BJ754" s="644"/>
      <c r="BK754" s="515"/>
      <c r="BL754" s="515"/>
      <c r="BM754" s="644"/>
      <c r="BN754" s="515"/>
      <c r="BO754" s="515"/>
      <c r="BP754" s="644"/>
      <c r="BQ754" s="515"/>
      <c r="BR754" s="515"/>
    </row>
    <row r="755" spans="4:70" x14ac:dyDescent="0.25">
      <c r="D755" s="538"/>
      <c r="G755" s="538"/>
      <c r="J755" s="538"/>
      <c r="M755" s="538"/>
      <c r="R755" s="538"/>
      <c r="S755" s="343"/>
      <c r="T755" s="343"/>
      <c r="U755" s="538"/>
      <c r="V755" s="343"/>
      <c r="W755" s="343"/>
      <c r="X755" s="538"/>
      <c r="Y755" s="343"/>
      <c r="Z755" s="343"/>
      <c r="AA755" s="538"/>
      <c r="AB755" s="343"/>
      <c r="AC755" s="343"/>
      <c r="AE755" s="343"/>
      <c r="AF755" s="538"/>
      <c r="AG755" s="343"/>
      <c r="AH755" s="343"/>
      <c r="AI755" s="538"/>
      <c r="AJ755" s="343"/>
      <c r="AK755" s="343"/>
      <c r="AL755" s="538"/>
      <c r="AM755" s="343"/>
      <c r="AN755" s="343"/>
      <c r="AO755" s="538"/>
      <c r="AP755" s="343"/>
      <c r="AQ755" s="343"/>
      <c r="AS755" s="343"/>
      <c r="AT755" s="538"/>
      <c r="AU755" s="343"/>
      <c r="AV755" s="343"/>
      <c r="AW755" s="538"/>
      <c r="AX755" s="343"/>
      <c r="AY755" s="343"/>
      <c r="AZ755" s="538"/>
      <c r="BA755" s="343"/>
      <c r="BB755" s="343"/>
      <c r="BC755" s="538"/>
      <c r="BD755" s="343"/>
      <c r="BE755" s="343"/>
      <c r="BG755" s="644"/>
      <c r="BH755" s="515"/>
      <c r="BI755" s="515"/>
      <c r="BJ755" s="644"/>
      <c r="BK755" s="515"/>
      <c r="BL755" s="515"/>
      <c r="BM755" s="644"/>
      <c r="BN755" s="515"/>
      <c r="BO755" s="515"/>
      <c r="BP755" s="644"/>
      <c r="BQ755" s="515"/>
      <c r="BR755" s="515"/>
    </row>
    <row r="756" spans="4:70" x14ac:dyDescent="0.25">
      <c r="D756" s="538"/>
      <c r="G756" s="538"/>
      <c r="J756" s="538"/>
      <c r="M756" s="538"/>
      <c r="R756" s="538"/>
      <c r="S756" s="343"/>
      <c r="T756" s="343"/>
      <c r="U756" s="538"/>
      <c r="V756" s="343"/>
      <c r="W756" s="343"/>
      <c r="X756" s="538"/>
      <c r="Y756" s="343"/>
      <c r="Z756" s="343"/>
      <c r="AA756" s="538"/>
      <c r="AB756" s="343"/>
      <c r="AC756" s="343"/>
      <c r="AE756" s="343"/>
      <c r="AF756" s="538"/>
      <c r="AG756" s="343"/>
      <c r="AH756" s="343"/>
      <c r="AI756" s="538"/>
      <c r="AJ756" s="343"/>
      <c r="AK756" s="343"/>
      <c r="AL756" s="538"/>
      <c r="AM756" s="343"/>
      <c r="AN756" s="343"/>
      <c r="AO756" s="538"/>
      <c r="AP756" s="343"/>
      <c r="AQ756" s="343"/>
      <c r="AS756" s="343"/>
      <c r="AT756" s="538"/>
      <c r="AU756" s="343"/>
      <c r="AV756" s="343"/>
      <c r="AW756" s="538"/>
      <c r="AX756" s="343"/>
      <c r="AY756" s="343"/>
      <c r="AZ756" s="538"/>
      <c r="BA756" s="343"/>
      <c r="BB756" s="343"/>
      <c r="BC756" s="538"/>
      <c r="BD756" s="343"/>
      <c r="BE756" s="343"/>
      <c r="BG756" s="644"/>
      <c r="BH756" s="515"/>
      <c r="BI756" s="515"/>
      <c r="BJ756" s="644"/>
      <c r="BK756" s="515"/>
      <c r="BL756" s="515"/>
      <c r="BM756" s="644"/>
      <c r="BN756" s="515"/>
      <c r="BO756" s="515"/>
      <c r="BP756" s="644"/>
      <c r="BQ756" s="515"/>
      <c r="BR756" s="515"/>
    </row>
    <row r="757" spans="4:70" x14ac:dyDescent="0.25">
      <c r="D757" s="538"/>
      <c r="G757" s="538"/>
      <c r="J757" s="538"/>
      <c r="M757" s="538"/>
      <c r="R757" s="538"/>
      <c r="S757" s="343"/>
      <c r="T757" s="343"/>
      <c r="U757" s="538"/>
      <c r="V757" s="343"/>
      <c r="W757" s="343"/>
      <c r="X757" s="538"/>
      <c r="Y757" s="343"/>
      <c r="Z757" s="343"/>
      <c r="AA757" s="538"/>
      <c r="AB757" s="343"/>
      <c r="AC757" s="343"/>
      <c r="AE757" s="343"/>
      <c r="AF757" s="538"/>
      <c r="AG757" s="343"/>
      <c r="AH757" s="343"/>
      <c r="AI757" s="538"/>
      <c r="AJ757" s="343"/>
      <c r="AK757" s="343"/>
      <c r="AL757" s="538"/>
      <c r="AM757" s="343"/>
      <c r="AN757" s="343"/>
      <c r="AO757" s="538"/>
      <c r="AP757" s="343"/>
      <c r="AQ757" s="343"/>
      <c r="AS757" s="343"/>
      <c r="AT757" s="538"/>
      <c r="AU757" s="343"/>
      <c r="AV757" s="343"/>
      <c r="AW757" s="538"/>
      <c r="AX757" s="343"/>
      <c r="AY757" s="343"/>
      <c r="AZ757" s="538"/>
      <c r="BA757" s="343"/>
      <c r="BB757" s="343"/>
      <c r="BC757" s="538"/>
      <c r="BD757" s="343"/>
      <c r="BE757" s="343"/>
      <c r="BG757" s="644"/>
      <c r="BH757" s="515"/>
      <c r="BI757" s="515"/>
      <c r="BJ757" s="644"/>
      <c r="BK757" s="515"/>
      <c r="BL757" s="515"/>
      <c r="BM757" s="644"/>
      <c r="BN757" s="515"/>
      <c r="BO757" s="515"/>
      <c r="BP757" s="644"/>
      <c r="BQ757" s="515"/>
      <c r="BR757" s="515"/>
    </row>
    <row r="758" spans="4:70" x14ac:dyDescent="0.25">
      <c r="D758" s="538"/>
      <c r="G758" s="538"/>
      <c r="J758" s="538"/>
      <c r="M758" s="538"/>
      <c r="R758" s="538"/>
      <c r="S758" s="343"/>
      <c r="T758" s="343"/>
      <c r="U758" s="538"/>
      <c r="V758" s="343"/>
      <c r="W758" s="343"/>
      <c r="X758" s="538"/>
      <c r="Y758" s="343"/>
      <c r="Z758" s="343"/>
      <c r="AA758" s="538"/>
      <c r="AB758" s="343"/>
      <c r="AC758" s="343"/>
      <c r="AE758" s="343"/>
      <c r="AF758" s="538"/>
      <c r="AG758" s="343"/>
      <c r="AH758" s="343"/>
      <c r="AI758" s="538"/>
      <c r="AJ758" s="343"/>
      <c r="AK758" s="343"/>
      <c r="AL758" s="538"/>
      <c r="AM758" s="343"/>
      <c r="AN758" s="343"/>
      <c r="AO758" s="538"/>
      <c r="AP758" s="343"/>
      <c r="AQ758" s="343"/>
      <c r="AS758" s="343"/>
      <c r="AT758" s="538"/>
      <c r="AU758" s="343"/>
      <c r="AV758" s="343"/>
      <c r="AW758" s="538"/>
      <c r="AX758" s="343"/>
      <c r="AY758" s="343"/>
      <c r="AZ758" s="538"/>
      <c r="BA758" s="343"/>
      <c r="BB758" s="343"/>
      <c r="BC758" s="538"/>
      <c r="BD758" s="343"/>
      <c r="BE758" s="343"/>
      <c r="BG758" s="644"/>
      <c r="BH758" s="515"/>
      <c r="BI758" s="515"/>
      <c r="BJ758" s="644"/>
      <c r="BK758" s="515"/>
      <c r="BL758" s="515"/>
      <c r="BM758" s="644"/>
      <c r="BN758" s="515"/>
      <c r="BO758" s="515"/>
      <c r="BP758" s="644"/>
      <c r="BQ758" s="515"/>
      <c r="BR758" s="515"/>
    </row>
    <row r="759" spans="4:70" x14ac:dyDescent="0.25">
      <c r="D759" s="538"/>
      <c r="G759" s="538"/>
      <c r="J759" s="538"/>
      <c r="M759" s="538"/>
      <c r="R759" s="538"/>
      <c r="S759" s="343"/>
      <c r="T759" s="343"/>
      <c r="U759" s="538"/>
      <c r="V759" s="343"/>
      <c r="W759" s="343"/>
      <c r="X759" s="538"/>
      <c r="Y759" s="343"/>
      <c r="Z759" s="343"/>
      <c r="AA759" s="538"/>
      <c r="AB759" s="343"/>
      <c r="AC759" s="343"/>
      <c r="AE759" s="343"/>
      <c r="AF759" s="538"/>
      <c r="AG759" s="343"/>
      <c r="AH759" s="343"/>
      <c r="AI759" s="538"/>
      <c r="AJ759" s="343"/>
      <c r="AK759" s="343"/>
      <c r="AL759" s="538"/>
      <c r="AM759" s="343"/>
      <c r="AN759" s="343"/>
      <c r="AO759" s="538"/>
      <c r="AP759" s="343"/>
      <c r="AQ759" s="343"/>
      <c r="AS759" s="343"/>
      <c r="AT759" s="538"/>
      <c r="AU759" s="343"/>
      <c r="AV759" s="343"/>
      <c r="AW759" s="538"/>
      <c r="AX759" s="343"/>
      <c r="AY759" s="343"/>
      <c r="AZ759" s="538"/>
      <c r="BA759" s="343"/>
      <c r="BB759" s="343"/>
      <c r="BC759" s="538"/>
      <c r="BD759" s="343"/>
      <c r="BE759" s="343"/>
      <c r="BG759" s="644"/>
      <c r="BH759" s="515"/>
      <c r="BI759" s="515"/>
      <c r="BJ759" s="644"/>
      <c r="BK759" s="515"/>
      <c r="BL759" s="515"/>
      <c r="BM759" s="644"/>
      <c r="BN759" s="515"/>
      <c r="BO759" s="515"/>
      <c r="BP759" s="644"/>
      <c r="BQ759" s="515"/>
      <c r="BR759" s="515"/>
    </row>
    <row r="760" spans="4:70" x14ac:dyDescent="0.25">
      <c r="D760" s="538"/>
      <c r="G760" s="538"/>
      <c r="J760" s="538"/>
      <c r="M760" s="538"/>
      <c r="R760" s="538"/>
      <c r="S760" s="343"/>
      <c r="T760" s="343"/>
      <c r="U760" s="538"/>
      <c r="V760" s="343"/>
      <c r="W760" s="343"/>
      <c r="X760" s="538"/>
      <c r="Y760" s="343"/>
      <c r="Z760" s="343"/>
      <c r="AA760" s="538"/>
      <c r="AB760" s="343"/>
      <c r="AC760" s="343"/>
      <c r="AE760" s="343"/>
      <c r="AF760" s="538"/>
      <c r="AG760" s="343"/>
      <c r="AH760" s="343"/>
      <c r="AI760" s="538"/>
      <c r="AJ760" s="343"/>
      <c r="AK760" s="343"/>
      <c r="AL760" s="538"/>
      <c r="AM760" s="343"/>
      <c r="AN760" s="343"/>
      <c r="AO760" s="538"/>
      <c r="AP760" s="343"/>
      <c r="AQ760" s="343"/>
      <c r="AS760" s="343"/>
      <c r="AT760" s="538"/>
      <c r="AU760" s="343"/>
      <c r="AV760" s="343"/>
      <c r="AW760" s="538"/>
      <c r="AX760" s="343"/>
      <c r="AY760" s="343"/>
      <c r="AZ760" s="538"/>
      <c r="BA760" s="343"/>
      <c r="BB760" s="343"/>
      <c r="BC760" s="538"/>
      <c r="BD760" s="343"/>
      <c r="BE760" s="343"/>
      <c r="BG760" s="644"/>
      <c r="BH760" s="515"/>
      <c r="BI760" s="515"/>
      <c r="BJ760" s="644"/>
      <c r="BK760" s="515"/>
      <c r="BL760" s="515"/>
      <c r="BM760" s="644"/>
      <c r="BN760" s="515"/>
      <c r="BO760" s="515"/>
      <c r="BP760" s="644"/>
      <c r="BQ760" s="515"/>
      <c r="BR760" s="515"/>
    </row>
    <row r="761" spans="4:70" x14ac:dyDescent="0.25">
      <c r="D761" s="538"/>
      <c r="G761" s="538"/>
      <c r="J761" s="538"/>
      <c r="M761" s="538"/>
      <c r="R761" s="538"/>
      <c r="S761" s="343"/>
      <c r="T761" s="343"/>
      <c r="U761" s="538"/>
      <c r="V761" s="343"/>
      <c r="W761" s="343"/>
      <c r="X761" s="538"/>
      <c r="Y761" s="343"/>
      <c r="Z761" s="343"/>
      <c r="AA761" s="538"/>
      <c r="AB761" s="343"/>
      <c r="AC761" s="343"/>
      <c r="AE761" s="343"/>
      <c r="AF761" s="538"/>
      <c r="AG761" s="343"/>
      <c r="AH761" s="343"/>
      <c r="AI761" s="538"/>
      <c r="AJ761" s="343"/>
      <c r="AK761" s="343"/>
      <c r="AL761" s="538"/>
      <c r="AM761" s="343"/>
      <c r="AN761" s="343"/>
      <c r="AO761" s="538"/>
      <c r="AP761" s="343"/>
      <c r="AQ761" s="343"/>
      <c r="AS761" s="343"/>
      <c r="AT761" s="538"/>
      <c r="AU761" s="343"/>
      <c r="AV761" s="343"/>
      <c r="AW761" s="538"/>
      <c r="AX761" s="343"/>
      <c r="AY761" s="343"/>
      <c r="AZ761" s="538"/>
      <c r="BA761" s="343"/>
      <c r="BB761" s="343"/>
      <c r="BC761" s="538"/>
      <c r="BD761" s="343"/>
      <c r="BE761" s="343"/>
      <c r="BG761" s="644"/>
      <c r="BH761" s="515"/>
      <c r="BI761" s="515"/>
      <c r="BJ761" s="644"/>
      <c r="BK761" s="515"/>
      <c r="BL761" s="515"/>
      <c r="BM761" s="644"/>
      <c r="BN761" s="515"/>
      <c r="BO761" s="515"/>
      <c r="BP761" s="644"/>
      <c r="BQ761" s="515"/>
      <c r="BR761" s="515"/>
    </row>
    <row r="762" spans="4:70" x14ac:dyDescent="0.25">
      <c r="D762" s="538"/>
      <c r="G762" s="538"/>
      <c r="J762" s="538"/>
      <c r="M762" s="538"/>
      <c r="R762" s="538"/>
      <c r="S762" s="343"/>
      <c r="T762" s="343"/>
      <c r="U762" s="538"/>
      <c r="V762" s="343"/>
      <c r="W762" s="343"/>
      <c r="X762" s="538"/>
      <c r="Y762" s="343"/>
      <c r="Z762" s="343"/>
      <c r="AA762" s="538"/>
      <c r="AB762" s="343"/>
      <c r="AC762" s="343"/>
      <c r="AE762" s="343"/>
      <c r="AF762" s="538"/>
      <c r="AG762" s="343"/>
      <c r="AH762" s="343"/>
      <c r="AI762" s="538"/>
      <c r="AJ762" s="343"/>
      <c r="AK762" s="343"/>
      <c r="AL762" s="538"/>
      <c r="AM762" s="343"/>
      <c r="AN762" s="343"/>
      <c r="AO762" s="538"/>
      <c r="AP762" s="343"/>
      <c r="AQ762" s="343"/>
      <c r="AS762" s="343"/>
      <c r="AT762" s="538"/>
      <c r="AU762" s="343"/>
      <c r="AV762" s="343"/>
      <c r="AW762" s="538"/>
      <c r="AX762" s="343"/>
      <c r="AY762" s="343"/>
      <c r="AZ762" s="538"/>
      <c r="BA762" s="343"/>
      <c r="BB762" s="343"/>
      <c r="BC762" s="538"/>
      <c r="BD762" s="343"/>
      <c r="BE762" s="343"/>
      <c r="BG762" s="644"/>
      <c r="BH762" s="515"/>
      <c r="BI762" s="515"/>
      <c r="BJ762" s="644"/>
      <c r="BK762" s="515"/>
      <c r="BL762" s="515"/>
      <c r="BM762" s="644"/>
      <c r="BN762" s="515"/>
      <c r="BO762" s="515"/>
      <c r="BP762" s="644"/>
      <c r="BQ762" s="515"/>
      <c r="BR762" s="515"/>
    </row>
    <row r="763" spans="4:70" x14ac:dyDescent="0.25">
      <c r="D763" s="538"/>
      <c r="G763" s="538"/>
      <c r="J763" s="538"/>
      <c r="M763" s="538"/>
      <c r="R763" s="538"/>
      <c r="S763" s="343"/>
      <c r="T763" s="343"/>
      <c r="U763" s="538"/>
      <c r="V763" s="343"/>
      <c r="W763" s="343"/>
      <c r="X763" s="538"/>
      <c r="Y763" s="343"/>
      <c r="Z763" s="343"/>
      <c r="AA763" s="538"/>
      <c r="AB763" s="343"/>
      <c r="AC763" s="343"/>
      <c r="AE763" s="343"/>
      <c r="AF763" s="538"/>
      <c r="AG763" s="343"/>
      <c r="AH763" s="343"/>
      <c r="AI763" s="538"/>
      <c r="AJ763" s="343"/>
      <c r="AK763" s="343"/>
      <c r="AL763" s="538"/>
      <c r="AM763" s="343"/>
      <c r="AN763" s="343"/>
      <c r="AO763" s="538"/>
      <c r="AP763" s="343"/>
      <c r="AQ763" s="343"/>
      <c r="AS763" s="343"/>
      <c r="AT763" s="538"/>
      <c r="AU763" s="343"/>
      <c r="AV763" s="343"/>
      <c r="AW763" s="538"/>
      <c r="AX763" s="343"/>
      <c r="AY763" s="343"/>
      <c r="AZ763" s="538"/>
      <c r="BA763" s="343"/>
      <c r="BB763" s="343"/>
      <c r="BC763" s="538"/>
      <c r="BD763" s="343"/>
      <c r="BE763" s="343"/>
      <c r="BG763" s="644"/>
      <c r="BH763" s="515"/>
      <c r="BI763" s="515"/>
      <c r="BJ763" s="644"/>
      <c r="BK763" s="515"/>
      <c r="BL763" s="515"/>
      <c r="BM763" s="644"/>
      <c r="BN763" s="515"/>
      <c r="BO763" s="515"/>
      <c r="BP763" s="644"/>
      <c r="BQ763" s="515"/>
      <c r="BR763" s="515"/>
    </row>
    <row r="764" spans="4:70" x14ac:dyDescent="0.25">
      <c r="D764" s="538"/>
      <c r="G764" s="538"/>
      <c r="J764" s="538"/>
      <c r="M764" s="538"/>
      <c r="R764" s="538"/>
      <c r="S764" s="343"/>
      <c r="T764" s="343"/>
      <c r="U764" s="538"/>
      <c r="V764" s="343"/>
      <c r="W764" s="343"/>
      <c r="X764" s="538"/>
      <c r="Y764" s="343"/>
      <c r="Z764" s="343"/>
      <c r="AA764" s="538"/>
      <c r="AB764" s="343"/>
      <c r="AC764" s="343"/>
      <c r="AE764" s="343"/>
      <c r="AF764" s="538"/>
      <c r="AG764" s="343"/>
      <c r="AH764" s="343"/>
      <c r="AI764" s="538"/>
      <c r="AJ764" s="343"/>
      <c r="AK764" s="343"/>
      <c r="AL764" s="538"/>
      <c r="AM764" s="343"/>
      <c r="AN764" s="343"/>
      <c r="AO764" s="538"/>
      <c r="AP764" s="343"/>
      <c r="AQ764" s="343"/>
      <c r="AS764" s="343"/>
      <c r="AT764" s="538"/>
      <c r="AU764" s="343"/>
      <c r="AV764" s="343"/>
      <c r="AW764" s="538"/>
      <c r="AX764" s="343"/>
      <c r="AY764" s="343"/>
      <c r="AZ764" s="538"/>
      <c r="BA764" s="343"/>
      <c r="BB764" s="343"/>
      <c r="BC764" s="538"/>
      <c r="BD764" s="343"/>
      <c r="BE764" s="343"/>
      <c r="BG764" s="644"/>
      <c r="BH764" s="515"/>
      <c r="BI764" s="515"/>
      <c r="BJ764" s="644"/>
      <c r="BK764" s="515"/>
      <c r="BL764" s="515"/>
      <c r="BM764" s="644"/>
      <c r="BN764" s="515"/>
      <c r="BO764" s="515"/>
      <c r="BP764" s="644"/>
      <c r="BQ764" s="515"/>
      <c r="BR764" s="515"/>
    </row>
    <row r="765" spans="4:70" x14ac:dyDescent="0.25">
      <c r="D765" s="538"/>
      <c r="G765" s="538"/>
      <c r="J765" s="538"/>
      <c r="M765" s="538"/>
      <c r="R765" s="538"/>
      <c r="S765" s="343"/>
      <c r="T765" s="343"/>
      <c r="U765" s="538"/>
      <c r="V765" s="343"/>
      <c r="W765" s="343"/>
      <c r="X765" s="538"/>
      <c r="Y765" s="343"/>
      <c r="Z765" s="343"/>
      <c r="AA765" s="538"/>
      <c r="AB765" s="343"/>
      <c r="AC765" s="343"/>
      <c r="AE765" s="343"/>
      <c r="AF765" s="538"/>
      <c r="AG765" s="343"/>
      <c r="AH765" s="343"/>
      <c r="AI765" s="538"/>
      <c r="AJ765" s="343"/>
      <c r="AK765" s="343"/>
      <c r="AL765" s="538"/>
      <c r="AM765" s="343"/>
      <c r="AN765" s="343"/>
      <c r="AO765" s="538"/>
      <c r="AP765" s="343"/>
      <c r="AQ765" s="343"/>
      <c r="AS765" s="343"/>
      <c r="AT765" s="538"/>
      <c r="AU765" s="343"/>
      <c r="AV765" s="343"/>
      <c r="AW765" s="538"/>
      <c r="AX765" s="343"/>
      <c r="AY765" s="343"/>
      <c r="AZ765" s="538"/>
      <c r="BA765" s="343"/>
      <c r="BB765" s="343"/>
      <c r="BC765" s="538"/>
      <c r="BD765" s="343"/>
      <c r="BE765" s="343"/>
      <c r="BG765" s="644"/>
      <c r="BH765" s="515"/>
      <c r="BI765" s="515"/>
      <c r="BJ765" s="644"/>
      <c r="BK765" s="515"/>
      <c r="BL765" s="515"/>
      <c r="BM765" s="644"/>
      <c r="BN765" s="515"/>
      <c r="BO765" s="515"/>
      <c r="BP765" s="644"/>
      <c r="BQ765" s="515"/>
      <c r="BR765" s="515"/>
    </row>
    <row r="766" spans="4:70" x14ac:dyDescent="0.25">
      <c r="D766" s="538"/>
      <c r="G766" s="538"/>
      <c r="J766" s="538"/>
      <c r="M766" s="538"/>
      <c r="R766" s="538"/>
      <c r="S766" s="343"/>
      <c r="T766" s="343"/>
      <c r="U766" s="538"/>
      <c r="V766" s="343"/>
      <c r="W766" s="343"/>
      <c r="X766" s="538"/>
      <c r="Y766" s="343"/>
      <c r="Z766" s="343"/>
      <c r="AA766" s="538"/>
      <c r="AB766" s="343"/>
      <c r="AC766" s="343"/>
      <c r="AE766" s="343"/>
      <c r="AF766" s="538"/>
      <c r="AG766" s="343"/>
      <c r="AH766" s="343"/>
      <c r="AI766" s="538"/>
      <c r="AJ766" s="343"/>
      <c r="AK766" s="343"/>
      <c r="AL766" s="538"/>
      <c r="AM766" s="343"/>
      <c r="AN766" s="343"/>
      <c r="AO766" s="538"/>
      <c r="AP766" s="343"/>
      <c r="AQ766" s="343"/>
      <c r="AS766" s="343"/>
      <c r="AT766" s="538"/>
      <c r="AU766" s="343"/>
      <c r="AV766" s="343"/>
      <c r="AW766" s="538"/>
      <c r="AX766" s="343"/>
      <c r="AY766" s="343"/>
      <c r="AZ766" s="538"/>
      <c r="BA766" s="343"/>
      <c r="BB766" s="343"/>
      <c r="BC766" s="538"/>
      <c r="BD766" s="343"/>
      <c r="BE766" s="343"/>
      <c r="BG766" s="644"/>
      <c r="BH766" s="515"/>
      <c r="BI766" s="515"/>
      <c r="BJ766" s="644"/>
      <c r="BK766" s="515"/>
      <c r="BL766" s="515"/>
      <c r="BM766" s="644"/>
      <c r="BN766" s="515"/>
      <c r="BO766" s="515"/>
      <c r="BP766" s="644"/>
      <c r="BQ766" s="515"/>
      <c r="BR766" s="515"/>
    </row>
    <row r="767" spans="4:70" x14ac:dyDescent="0.25">
      <c r="D767" s="538"/>
      <c r="G767" s="538"/>
      <c r="J767" s="538"/>
      <c r="M767" s="538"/>
      <c r="R767" s="538"/>
      <c r="S767" s="343"/>
      <c r="T767" s="343"/>
      <c r="U767" s="538"/>
      <c r="V767" s="343"/>
      <c r="W767" s="343"/>
      <c r="X767" s="538"/>
      <c r="Y767" s="343"/>
      <c r="Z767" s="343"/>
      <c r="AA767" s="538"/>
      <c r="AB767" s="343"/>
      <c r="AC767" s="343"/>
      <c r="AE767" s="343"/>
      <c r="AF767" s="538"/>
      <c r="AG767" s="343"/>
      <c r="AH767" s="343"/>
      <c r="AI767" s="538"/>
      <c r="AJ767" s="343"/>
      <c r="AK767" s="343"/>
      <c r="AL767" s="538"/>
      <c r="AM767" s="343"/>
      <c r="AN767" s="343"/>
      <c r="AO767" s="538"/>
      <c r="AP767" s="343"/>
      <c r="AQ767" s="343"/>
      <c r="AS767" s="343"/>
      <c r="AT767" s="538"/>
      <c r="AU767" s="343"/>
      <c r="AV767" s="343"/>
      <c r="AW767" s="538"/>
      <c r="AX767" s="343"/>
      <c r="AY767" s="343"/>
      <c r="AZ767" s="538"/>
      <c r="BA767" s="343"/>
      <c r="BB767" s="343"/>
      <c r="BC767" s="538"/>
      <c r="BD767" s="343"/>
      <c r="BE767" s="343"/>
      <c r="BG767" s="644"/>
      <c r="BH767" s="515"/>
      <c r="BI767" s="515"/>
      <c r="BJ767" s="644"/>
      <c r="BK767" s="515"/>
      <c r="BL767" s="515"/>
      <c r="BM767" s="644"/>
      <c r="BN767" s="515"/>
      <c r="BO767" s="515"/>
      <c r="BP767" s="644"/>
      <c r="BQ767" s="515"/>
      <c r="BR767" s="515"/>
    </row>
    <row r="768" spans="4:70" x14ac:dyDescent="0.25">
      <c r="D768" s="538"/>
      <c r="G768" s="538"/>
      <c r="J768" s="538"/>
      <c r="M768" s="538"/>
      <c r="R768" s="538"/>
      <c r="S768" s="343"/>
      <c r="T768" s="343"/>
      <c r="U768" s="538"/>
      <c r="V768" s="343"/>
      <c r="W768" s="343"/>
      <c r="X768" s="538"/>
      <c r="Y768" s="343"/>
      <c r="Z768" s="343"/>
      <c r="AA768" s="538"/>
      <c r="AB768" s="343"/>
      <c r="AC768" s="343"/>
      <c r="AE768" s="343"/>
      <c r="AF768" s="538"/>
      <c r="AG768" s="343"/>
      <c r="AH768" s="343"/>
      <c r="AI768" s="538"/>
      <c r="AJ768" s="343"/>
      <c r="AK768" s="343"/>
      <c r="AL768" s="538"/>
      <c r="AM768" s="343"/>
      <c r="AN768" s="343"/>
      <c r="AO768" s="538"/>
      <c r="AP768" s="343"/>
      <c r="AQ768" s="343"/>
      <c r="AS768" s="343"/>
      <c r="AT768" s="538"/>
      <c r="AU768" s="343"/>
      <c r="AV768" s="343"/>
      <c r="AW768" s="538"/>
      <c r="AX768" s="343"/>
      <c r="AY768" s="343"/>
      <c r="AZ768" s="538"/>
      <c r="BA768" s="343"/>
      <c r="BB768" s="343"/>
      <c r="BC768" s="538"/>
      <c r="BD768" s="343"/>
      <c r="BE768" s="343"/>
      <c r="BG768" s="644"/>
      <c r="BH768" s="515"/>
      <c r="BI768" s="515"/>
      <c r="BJ768" s="644"/>
      <c r="BK768" s="515"/>
      <c r="BL768" s="515"/>
      <c r="BM768" s="644"/>
      <c r="BN768" s="515"/>
      <c r="BO768" s="515"/>
      <c r="BP768" s="644"/>
      <c r="BQ768" s="515"/>
      <c r="BR768" s="515"/>
    </row>
    <row r="769" spans="4:70" x14ac:dyDescent="0.25">
      <c r="D769" s="538"/>
      <c r="G769" s="538"/>
      <c r="J769" s="538"/>
      <c r="M769" s="538"/>
      <c r="R769" s="538"/>
      <c r="S769" s="343"/>
      <c r="T769" s="343"/>
      <c r="U769" s="538"/>
      <c r="V769" s="343"/>
      <c r="W769" s="343"/>
      <c r="X769" s="538"/>
      <c r="Y769" s="343"/>
      <c r="Z769" s="343"/>
      <c r="AA769" s="538"/>
      <c r="AB769" s="343"/>
      <c r="AC769" s="343"/>
      <c r="AE769" s="343"/>
      <c r="AF769" s="538"/>
      <c r="AG769" s="343"/>
      <c r="AH769" s="343"/>
      <c r="AI769" s="538"/>
      <c r="AJ769" s="343"/>
      <c r="AK769" s="343"/>
      <c r="AL769" s="538"/>
      <c r="AM769" s="343"/>
      <c r="AN769" s="343"/>
      <c r="AO769" s="538"/>
      <c r="AP769" s="343"/>
      <c r="AQ769" s="343"/>
      <c r="AS769" s="343"/>
      <c r="AT769" s="538"/>
      <c r="AU769" s="343"/>
      <c r="AV769" s="343"/>
      <c r="AW769" s="538"/>
      <c r="AX769" s="343"/>
      <c r="AY769" s="343"/>
      <c r="AZ769" s="538"/>
      <c r="BA769" s="343"/>
      <c r="BB769" s="343"/>
      <c r="BC769" s="538"/>
      <c r="BD769" s="343"/>
      <c r="BE769" s="343"/>
      <c r="BG769" s="644"/>
      <c r="BH769" s="515"/>
      <c r="BI769" s="515"/>
      <c r="BJ769" s="644"/>
      <c r="BK769" s="515"/>
      <c r="BL769" s="515"/>
      <c r="BM769" s="644"/>
      <c r="BN769" s="515"/>
      <c r="BO769" s="515"/>
      <c r="BP769" s="644"/>
      <c r="BQ769" s="515"/>
      <c r="BR769" s="515"/>
    </row>
    <row r="770" spans="4:70" x14ac:dyDescent="0.25">
      <c r="D770" s="538"/>
      <c r="G770" s="538"/>
      <c r="J770" s="538"/>
      <c r="M770" s="538"/>
      <c r="R770" s="538"/>
      <c r="S770" s="343"/>
      <c r="T770" s="343"/>
      <c r="U770" s="538"/>
      <c r="V770" s="343"/>
      <c r="W770" s="343"/>
      <c r="X770" s="538"/>
      <c r="Y770" s="343"/>
      <c r="Z770" s="343"/>
      <c r="AA770" s="538"/>
      <c r="AB770" s="343"/>
      <c r="AC770" s="343"/>
      <c r="AE770" s="343"/>
      <c r="AF770" s="538"/>
      <c r="AG770" s="343"/>
      <c r="AH770" s="343"/>
      <c r="AI770" s="538"/>
      <c r="AJ770" s="343"/>
      <c r="AK770" s="343"/>
      <c r="AL770" s="538"/>
      <c r="AM770" s="343"/>
      <c r="AN770" s="343"/>
      <c r="AO770" s="538"/>
      <c r="AP770" s="343"/>
      <c r="AQ770" s="343"/>
      <c r="AS770" s="343"/>
      <c r="AT770" s="538"/>
      <c r="AU770" s="343"/>
      <c r="AV770" s="343"/>
      <c r="AW770" s="538"/>
      <c r="AX770" s="343"/>
      <c r="AY770" s="343"/>
      <c r="AZ770" s="538"/>
      <c r="BA770" s="343"/>
      <c r="BB770" s="343"/>
      <c r="BC770" s="538"/>
      <c r="BD770" s="343"/>
      <c r="BE770" s="343"/>
      <c r="BG770" s="644"/>
      <c r="BH770" s="515"/>
      <c r="BI770" s="515"/>
      <c r="BJ770" s="644"/>
      <c r="BK770" s="515"/>
      <c r="BL770" s="515"/>
      <c r="BM770" s="644"/>
      <c r="BN770" s="515"/>
      <c r="BO770" s="515"/>
      <c r="BP770" s="644"/>
      <c r="BQ770" s="515"/>
      <c r="BR770" s="515"/>
    </row>
    <row r="771" spans="4:70" x14ac:dyDescent="0.25">
      <c r="D771" s="538"/>
      <c r="G771" s="538"/>
      <c r="J771" s="538"/>
      <c r="M771" s="538"/>
      <c r="R771" s="538"/>
      <c r="S771" s="343"/>
      <c r="T771" s="343"/>
      <c r="U771" s="538"/>
      <c r="V771" s="343"/>
      <c r="W771" s="343"/>
      <c r="X771" s="538"/>
      <c r="Y771" s="343"/>
      <c r="Z771" s="343"/>
      <c r="AA771" s="538"/>
      <c r="AB771" s="343"/>
      <c r="AC771" s="343"/>
      <c r="AE771" s="343"/>
      <c r="AF771" s="538"/>
      <c r="AG771" s="343"/>
      <c r="AH771" s="343"/>
      <c r="AI771" s="538"/>
      <c r="AJ771" s="343"/>
      <c r="AK771" s="343"/>
      <c r="AL771" s="538"/>
      <c r="AM771" s="343"/>
      <c r="AN771" s="343"/>
      <c r="AO771" s="538"/>
      <c r="AP771" s="343"/>
      <c r="AQ771" s="343"/>
      <c r="AS771" s="343"/>
      <c r="AT771" s="538"/>
      <c r="AU771" s="343"/>
      <c r="AV771" s="343"/>
      <c r="AW771" s="538"/>
      <c r="AX771" s="343"/>
      <c r="AY771" s="343"/>
      <c r="AZ771" s="538"/>
      <c r="BA771" s="343"/>
      <c r="BB771" s="343"/>
      <c r="BC771" s="538"/>
      <c r="BD771" s="343"/>
      <c r="BE771" s="343"/>
      <c r="BG771" s="644"/>
      <c r="BH771" s="515"/>
      <c r="BI771" s="515"/>
      <c r="BJ771" s="644"/>
      <c r="BK771" s="515"/>
      <c r="BL771" s="515"/>
      <c r="BM771" s="644"/>
      <c r="BN771" s="515"/>
      <c r="BO771" s="515"/>
      <c r="BP771" s="644"/>
      <c r="BQ771" s="515"/>
      <c r="BR771" s="515"/>
    </row>
    <row r="772" spans="4:70" x14ac:dyDescent="0.25">
      <c r="D772" s="538"/>
      <c r="G772" s="538"/>
      <c r="J772" s="538"/>
      <c r="M772" s="538"/>
      <c r="R772" s="538"/>
      <c r="S772" s="343"/>
      <c r="T772" s="343"/>
      <c r="U772" s="538"/>
      <c r="V772" s="343"/>
      <c r="W772" s="343"/>
      <c r="X772" s="538"/>
      <c r="Y772" s="343"/>
      <c r="Z772" s="343"/>
      <c r="AA772" s="538"/>
      <c r="AB772" s="343"/>
      <c r="AC772" s="343"/>
      <c r="AE772" s="343"/>
      <c r="AF772" s="538"/>
      <c r="AG772" s="343"/>
      <c r="AH772" s="343"/>
      <c r="AI772" s="538"/>
      <c r="AJ772" s="343"/>
      <c r="AK772" s="343"/>
      <c r="AL772" s="538"/>
      <c r="AM772" s="343"/>
      <c r="AN772" s="343"/>
      <c r="AO772" s="538"/>
      <c r="AP772" s="343"/>
      <c r="AQ772" s="343"/>
      <c r="AS772" s="343"/>
      <c r="AT772" s="538"/>
      <c r="AU772" s="343"/>
      <c r="AV772" s="343"/>
      <c r="AW772" s="538"/>
      <c r="AX772" s="343"/>
      <c r="AY772" s="343"/>
      <c r="AZ772" s="538"/>
      <c r="BA772" s="343"/>
      <c r="BB772" s="343"/>
      <c r="BC772" s="538"/>
      <c r="BD772" s="343"/>
      <c r="BE772" s="343"/>
      <c r="BG772" s="644"/>
      <c r="BH772" s="515"/>
      <c r="BI772" s="515"/>
      <c r="BJ772" s="644"/>
      <c r="BK772" s="515"/>
      <c r="BL772" s="515"/>
      <c r="BM772" s="644"/>
      <c r="BN772" s="515"/>
      <c r="BO772" s="515"/>
      <c r="BP772" s="644"/>
      <c r="BQ772" s="515"/>
      <c r="BR772" s="515"/>
    </row>
    <row r="773" spans="4:70" x14ac:dyDescent="0.25">
      <c r="D773" s="538"/>
      <c r="G773" s="538"/>
      <c r="J773" s="538"/>
      <c r="M773" s="538"/>
      <c r="R773" s="538"/>
      <c r="S773" s="343"/>
      <c r="T773" s="343"/>
      <c r="U773" s="538"/>
      <c r="V773" s="343"/>
      <c r="W773" s="343"/>
      <c r="X773" s="538"/>
      <c r="Y773" s="343"/>
      <c r="Z773" s="343"/>
      <c r="AA773" s="538"/>
      <c r="AB773" s="343"/>
      <c r="AC773" s="343"/>
      <c r="AE773" s="343"/>
      <c r="AF773" s="538"/>
      <c r="AG773" s="343"/>
      <c r="AH773" s="343"/>
      <c r="AI773" s="538"/>
      <c r="AJ773" s="343"/>
      <c r="AK773" s="343"/>
      <c r="AL773" s="538"/>
      <c r="AM773" s="343"/>
      <c r="AN773" s="343"/>
      <c r="AO773" s="538"/>
      <c r="AP773" s="343"/>
      <c r="AQ773" s="343"/>
      <c r="AS773" s="343"/>
      <c r="AT773" s="538"/>
      <c r="AU773" s="343"/>
      <c r="AV773" s="343"/>
      <c r="AW773" s="538"/>
      <c r="AX773" s="343"/>
      <c r="AY773" s="343"/>
      <c r="AZ773" s="538"/>
      <c r="BA773" s="343"/>
      <c r="BB773" s="343"/>
      <c r="BC773" s="538"/>
      <c r="BD773" s="343"/>
      <c r="BE773" s="343"/>
      <c r="BG773" s="644"/>
      <c r="BH773" s="515"/>
      <c r="BI773" s="515"/>
      <c r="BJ773" s="644"/>
      <c r="BK773" s="515"/>
      <c r="BL773" s="515"/>
      <c r="BM773" s="644"/>
      <c r="BN773" s="515"/>
      <c r="BO773" s="515"/>
      <c r="BP773" s="644"/>
      <c r="BQ773" s="515"/>
      <c r="BR773" s="515"/>
    </row>
    <row r="774" spans="4:70" x14ac:dyDescent="0.25">
      <c r="D774" s="538"/>
      <c r="G774" s="538"/>
      <c r="J774" s="538"/>
      <c r="M774" s="538"/>
      <c r="R774" s="538"/>
      <c r="S774" s="343"/>
      <c r="T774" s="343"/>
      <c r="U774" s="538"/>
      <c r="V774" s="343"/>
      <c r="W774" s="343"/>
      <c r="X774" s="538"/>
      <c r="Y774" s="343"/>
      <c r="Z774" s="343"/>
      <c r="AA774" s="538"/>
      <c r="AB774" s="343"/>
      <c r="AC774" s="343"/>
      <c r="AE774" s="343"/>
      <c r="AF774" s="538"/>
      <c r="AG774" s="343"/>
      <c r="AH774" s="343"/>
      <c r="AI774" s="538"/>
      <c r="AJ774" s="343"/>
      <c r="AK774" s="343"/>
      <c r="AL774" s="538"/>
      <c r="AM774" s="343"/>
      <c r="AN774" s="343"/>
      <c r="AO774" s="538"/>
      <c r="AP774" s="343"/>
      <c r="AQ774" s="343"/>
      <c r="AS774" s="343"/>
      <c r="AT774" s="538"/>
      <c r="AU774" s="343"/>
      <c r="AV774" s="343"/>
      <c r="AW774" s="538"/>
      <c r="AX774" s="343"/>
      <c r="AY774" s="343"/>
      <c r="AZ774" s="538"/>
      <c r="BA774" s="343"/>
      <c r="BB774" s="343"/>
      <c r="BC774" s="538"/>
      <c r="BD774" s="343"/>
      <c r="BE774" s="343"/>
      <c r="BG774" s="644"/>
      <c r="BH774" s="515"/>
      <c r="BI774" s="515"/>
      <c r="BJ774" s="644"/>
      <c r="BK774" s="515"/>
      <c r="BL774" s="515"/>
      <c r="BM774" s="644"/>
      <c r="BN774" s="515"/>
      <c r="BO774" s="515"/>
      <c r="BP774" s="644"/>
      <c r="BQ774" s="515"/>
      <c r="BR774" s="515"/>
    </row>
    <row r="775" spans="4:70" x14ac:dyDescent="0.25">
      <c r="D775" s="538"/>
      <c r="G775" s="538"/>
      <c r="J775" s="538"/>
      <c r="M775" s="538"/>
      <c r="R775" s="538"/>
      <c r="S775" s="343"/>
      <c r="T775" s="343"/>
      <c r="U775" s="538"/>
      <c r="V775" s="343"/>
      <c r="W775" s="343"/>
      <c r="X775" s="538"/>
      <c r="Y775" s="343"/>
      <c r="Z775" s="343"/>
      <c r="AA775" s="538"/>
      <c r="AB775" s="343"/>
      <c r="AC775" s="343"/>
      <c r="AE775" s="343"/>
      <c r="AF775" s="538"/>
      <c r="AG775" s="343"/>
      <c r="AH775" s="343"/>
      <c r="AI775" s="538"/>
      <c r="AJ775" s="343"/>
      <c r="AK775" s="343"/>
      <c r="AL775" s="538"/>
      <c r="AM775" s="343"/>
      <c r="AN775" s="343"/>
      <c r="AO775" s="538"/>
      <c r="AP775" s="343"/>
      <c r="AQ775" s="343"/>
      <c r="AS775" s="343"/>
      <c r="AT775" s="538"/>
      <c r="AU775" s="343"/>
      <c r="AV775" s="343"/>
      <c r="AW775" s="538"/>
      <c r="AX775" s="343"/>
      <c r="AY775" s="343"/>
      <c r="AZ775" s="538"/>
      <c r="BA775" s="343"/>
      <c r="BB775" s="343"/>
      <c r="BC775" s="538"/>
      <c r="BD775" s="343"/>
      <c r="BE775" s="343"/>
      <c r="BG775" s="644"/>
      <c r="BH775" s="515"/>
      <c r="BI775" s="515"/>
      <c r="BJ775" s="644"/>
      <c r="BK775" s="515"/>
      <c r="BL775" s="515"/>
      <c r="BM775" s="644"/>
      <c r="BN775" s="515"/>
      <c r="BO775" s="515"/>
      <c r="BP775" s="644"/>
      <c r="BQ775" s="515"/>
      <c r="BR775" s="515"/>
    </row>
    <row r="776" spans="4:70" x14ac:dyDescent="0.25">
      <c r="D776" s="538"/>
      <c r="G776" s="538"/>
      <c r="J776" s="538"/>
      <c r="M776" s="538"/>
      <c r="R776" s="538"/>
      <c r="S776" s="343"/>
      <c r="T776" s="343"/>
      <c r="U776" s="538"/>
      <c r="V776" s="343"/>
      <c r="W776" s="343"/>
      <c r="X776" s="538"/>
      <c r="Y776" s="343"/>
      <c r="Z776" s="343"/>
      <c r="AA776" s="538"/>
      <c r="AB776" s="343"/>
      <c r="AC776" s="343"/>
      <c r="AE776" s="343"/>
      <c r="AF776" s="538"/>
      <c r="AG776" s="343"/>
      <c r="AH776" s="343"/>
      <c r="AI776" s="538"/>
      <c r="AJ776" s="343"/>
      <c r="AK776" s="343"/>
      <c r="AL776" s="538"/>
      <c r="AM776" s="343"/>
      <c r="AN776" s="343"/>
      <c r="AO776" s="538"/>
      <c r="AP776" s="343"/>
      <c r="AQ776" s="343"/>
      <c r="AS776" s="343"/>
      <c r="AT776" s="538"/>
      <c r="AU776" s="343"/>
      <c r="AV776" s="343"/>
      <c r="AW776" s="538"/>
      <c r="AX776" s="343"/>
      <c r="AY776" s="343"/>
      <c r="AZ776" s="538"/>
      <c r="BA776" s="343"/>
      <c r="BB776" s="343"/>
      <c r="BC776" s="538"/>
      <c r="BD776" s="343"/>
      <c r="BE776" s="343"/>
      <c r="BG776" s="644"/>
      <c r="BH776" s="515"/>
      <c r="BI776" s="515"/>
      <c r="BJ776" s="644"/>
      <c r="BK776" s="515"/>
      <c r="BL776" s="515"/>
      <c r="BM776" s="644"/>
      <c r="BN776" s="515"/>
      <c r="BO776" s="515"/>
      <c r="BP776" s="644"/>
      <c r="BQ776" s="515"/>
      <c r="BR776" s="515"/>
    </row>
    <row r="777" spans="4:70" x14ac:dyDescent="0.25">
      <c r="D777" s="538"/>
      <c r="G777" s="538"/>
      <c r="J777" s="538"/>
      <c r="M777" s="538"/>
      <c r="R777" s="538"/>
      <c r="S777" s="343"/>
      <c r="T777" s="343"/>
      <c r="U777" s="538"/>
      <c r="V777" s="343"/>
      <c r="W777" s="343"/>
      <c r="X777" s="538"/>
      <c r="Y777" s="343"/>
      <c r="Z777" s="343"/>
      <c r="AA777" s="538"/>
      <c r="AB777" s="343"/>
      <c r="AC777" s="343"/>
      <c r="AE777" s="343"/>
      <c r="AF777" s="538"/>
      <c r="AG777" s="343"/>
      <c r="AH777" s="343"/>
      <c r="AI777" s="538"/>
      <c r="AJ777" s="343"/>
      <c r="AK777" s="343"/>
      <c r="AL777" s="538"/>
      <c r="AM777" s="343"/>
      <c r="AN777" s="343"/>
      <c r="AO777" s="538"/>
      <c r="AP777" s="343"/>
      <c r="AQ777" s="343"/>
      <c r="AS777" s="343"/>
      <c r="AT777" s="538"/>
      <c r="AU777" s="343"/>
      <c r="AV777" s="343"/>
      <c r="AW777" s="538"/>
      <c r="AX777" s="343"/>
      <c r="AY777" s="343"/>
      <c r="AZ777" s="538"/>
      <c r="BA777" s="343"/>
      <c r="BB777" s="343"/>
      <c r="BC777" s="538"/>
      <c r="BD777" s="343"/>
      <c r="BE777" s="343"/>
      <c r="BG777" s="644"/>
      <c r="BH777" s="515"/>
      <c r="BI777" s="515"/>
      <c r="BJ777" s="644"/>
      <c r="BK777" s="515"/>
      <c r="BL777" s="515"/>
      <c r="BM777" s="644"/>
      <c r="BN777" s="515"/>
      <c r="BO777" s="515"/>
      <c r="BP777" s="644"/>
      <c r="BQ777" s="515"/>
      <c r="BR777" s="515"/>
    </row>
    <row r="778" spans="4:70" x14ac:dyDescent="0.25">
      <c r="D778" s="538"/>
      <c r="G778" s="538"/>
      <c r="J778" s="538"/>
      <c r="M778" s="538"/>
      <c r="R778" s="538"/>
      <c r="S778" s="343"/>
      <c r="T778" s="343"/>
      <c r="U778" s="538"/>
      <c r="V778" s="343"/>
      <c r="W778" s="343"/>
      <c r="X778" s="538"/>
      <c r="Y778" s="343"/>
      <c r="Z778" s="343"/>
      <c r="AA778" s="538"/>
      <c r="AB778" s="343"/>
      <c r="AC778" s="343"/>
      <c r="AE778" s="343"/>
      <c r="AF778" s="538"/>
      <c r="AG778" s="343"/>
      <c r="AH778" s="343"/>
      <c r="AI778" s="538"/>
      <c r="AJ778" s="343"/>
      <c r="AK778" s="343"/>
      <c r="AL778" s="538"/>
      <c r="AM778" s="343"/>
      <c r="AN778" s="343"/>
      <c r="AO778" s="538"/>
      <c r="AP778" s="343"/>
      <c r="AQ778" s="343"/>
      <c r="AS778" s="343"/>
      <c r="AT778" s="538"/>
      <c r="AU778" s="343"/>
      <c r="AV778" s="343"/>
      <c r="AW778" s="538"/>
      <c r="AX778" s="343"/>
      <c r="AY778" s="343"/>
      <c r="AZ778" s="538"/>
      <c r="BA778" s="343"/>
      <c r="BB778" s="343"/>
      <c r="BC778" s="538"/>
      <c r="BD778" s="343"/>
      <c r="BE778" s="343"/>
      <c r="BG778" s="644"/>
      <c r="BH778" s="515"/>
      <c r="BI778" s="515"/>
      <c r="BJ778" s="644"/>
      <c r="BK778" s="515"/>
      <c r="BL778" s="515"/>
      <c r="BM778" s="644"/>
      <c r="BN778" s="515"/>
      <c r="BO778" s="515"/>
      <c r="BP778" s="644"/>
      <c r="BQ778" s="515"/>
      <c r="BR778" s="515"/>
    </row>
    <row r="779" spans="4:70" x14ac:dyDescent="0.25">
      <c r="D779" s="538"/>
      <c r="G779" s="538"/>
      <c r="J779" s="538"/>
      <c r="M779" s="538"/>
      <c r="R779" s="538"/>
      <c r="S779" s="343"/>
      <c r="T779" s="343"/>
      <c r="U779" s="538"/>
      <c r="V779" s="343"/>
      <c r="W779" s="343"/>
      <c r="X779" s="538"/>
      <c r="Y779" s="343"/>
      <c r="Z779" s="343"/>
      <c r="AA779" s="538"/>
      <c r="AB779" s="343"/>
      <c r="AC779" s="343"/>
      <c r="AE779" s="343"/>
      <c r="AF779" s="538"/>
      <c r="AG779" s="343"/>
      <c r="AH779" s="343"/>
      <c r="AI779" s="538"/>
      <c r="AJ779" s="343"/>
      <c r="AK779" s="343"/>
      <c r="AL779" s="538"/>
      <c r="AM779" s="343"/>
      <c r="AN779" s="343"/>
      <c r="AO779" s="538"/>
      <c r="AP779" s="343"/>
      <c r="AQ779" s="343"/>
      <c r="AS779" s="343"/>
      <c r="AT779" s="538"/>
      <c r="AU779" s="343"/>
      <c r="AV779" s="343"/>
      <c r="AW779" s="538"/>
      <c r="AX779" s="343"/>
      <c r="AY779" s="343"/>
      <c r="AZ779" s="538"/>
      <c r="BA779" s="343"/>
      <c r="BB779" s="343"/>
      <c r="BC779" s="538"/>
      <c r="BD779" s="343"/>
      <c r="BE779" s="343"/>
      <c r="BG779" s="644"/>
      <c r="BH779" s="515"/>
      <c r="BI779" s="515"/>
      <c r="BJ779" s="644"/>
      <c r="BK779" s="515"/>
      <c r="BL779" s="515"/>
      <c r="BM779" s="644"/>
      <c r="BN779" s="515"/>
      <c r="BO779" s="515"/>
      <c r="BP779" s="644"/>
      <c r="BQ779" s="515"/>
      <c r="BR779" s="515"/>
    </row>
    <row r="780" spans="4:70" x14ac:dyDescent="0.25">
      <c r="D780" s="538"/>
      <c r="G780" s="538"/>
      <c r="J780" s="538"/>
      <c r="M780" s="538"/>
      <c r="R780" s="538"/>
      <c r="S780" s="343"/>
      <c r="T780" s="343"/>
      <c r="U780" s="538"/>
      <c r="V780" s="343"/>
      <c r="W780" s="343"/>
      <c r="X780" s="538"/>
      <c r="Y780" s="343"/>
      <c r="Z780" s="343"/>
      <c r="AA780" s="538"/>
      <c r="AB780" s="343"/>
      <c r="AC780" s="343"/>
      <c r="AE780" s="343"/>
      <c r="AF780" s="538"/>
      <c r="AG780" s="343"/>
      <c r="AH780" s="343"/>
      <c r="AI780" s="538"/>
      <c r="AJ780" s="343"/>
      <c r="AK780" s="343"/>
      <c r="AL780" s="538"/>
      <c r="AM780" s="343"/>
      <c r="AN780" s="343"/>
      <c r="AO780" s="538"/>
      <c r="AP780" s="343"/>
      <c r="AQ780" s="343"/>
      <c r="AS780" s="343"/>
      <c r="AT780" s="538"/>
      <c r="AU780" s="343"/>
      <c r="AV780" s="343"/>
      <c r="AW780" s="538"/>
      <c r="AX780" s="343"/>
      <c r="AY780" s="343"/>
      <c r="AZ780" s="538"/>
      <c r="BA780" s="343"/>
      <c r="BB780" s="343"/>
      <c r="BC780" s="538"/>
      <c r="BD780" s="343"/>
      <c r="BE780" s="343"/>
      <c r="BG780" s="644"/>
      <c r="BH780" s="515"/>
      <c r="BI780" s="515"/>
      <c r="BJ780" s="644"/>
      <c r="BK780" s="515"/>
      <c r="BL780" s="515"/>
      <c r="BM780" s="644"/>
      <c r="BN780" s="515"/>
      <c r="BO780" s="515"/>
      <c r="BP780" s="644"/>
      <c r="BQ780" s="515"/>
      <c r="BR780" s="515"/>
    </row>
    <row r="781" spans="4:70" x14ac:dyDescent="0.25">
      <c r="D781" s="538"/>
      <c r="G781" s="538"/>
      <c r="J781" s="538"/>
      <c r="M781" s="538"/>
      <c r="R781" s="538"/>
      <c r="S781" s="343"/>
      <c r="T781" s="343"/>
      <c r="U781" s="538"/>
      <c r="V781" s="343"/>
      <c r="W781" s="343"/>
      <c r="X781" s="538"/>
      <c r="Y781" s="343"/>
      <c r="Z781" s="343"/>
      <c r="AA781" s="538"/>
      <c r="AB781" s="343"/>
      <c r="AC781" s="343"/>
      <c r="AE781" s="343"/>
      <c r="AF781" s="538"/>
      <c r="AG781" s="343"/>
      <c r="AH781" s="343"/>
      <c r="AI781" s="538"/>
      <c r="AJ781" s="343"/>
      <c r="AK781" s="343"/>
      <c r="AL781" s="538"/>
      <c r="AM781" s="343"/>
      <c r="AN781" s="343"/>
      <c r="AO781" s="538"/>
      <c r="AP781" s="343"/>
      <c r="AQ781" s="343"/>
      <c r="AS781" s="343"/>
      <c r="AT781" s="538"/>
      <c r="AU781" s="343"/>
      <c r="AV781" s="343"/>
      <c r="AW781" s="538"/>
      <c r="AX781" s="343"/>
      <c r="AY781" s="343"/>
      <c r="AZ781" s="538"/>
      <c r="BA781" s="343"/>
      <c r="BB781" s="343"/>
      <c r="BC781" s="538"/>
      <c r="BD781" s="343"/>
      <c r="BE781" s="343"/>
      <c r="BG781" s="644"/>
      <c r="BH781" s="515"/>
      <c r="BI781" s="515"/>
      <c r="BJ781" s="644"/>
      <c r="BK781" s="515"/>
      <c r="BL781" s="515"/>
      <c r="BM781" s="644"/>
      <c r="BN781" s="515"/>
      <c r="BO781" s="515"/>
      <c r="BP781" s="644"/>
      <c r="BQ781" s="515"/>
      <c r="BR781" s="515"/>
    </row>
    <row r="782" spans="4:70" x14ac:dyDescent="0.25">
      <c r="D782" s="538"/>
      <c r="G782" s="538"/>
      <c r="J782" s="538"/>
      <c r="M782" s="538"/>
      <c r="R782" s="538"/>
      <c r="S782" s="343"/>
      <c r="T782" s="343"/>
      <c r="U782" s="538"/>
      <c r="V782" s="343"/>
      <c r="W782" s="343"/>
      <c r="X782" s="538"/>
      <c r="Y782" s="343"/>
      <c r="Z782" s="343"/>
      <c r="AA782" s="538"/>
      <c r="AB782" s="343"/>
      <c r="AC782" s="343"/>
      <c r="AE782" s="343"/>
      <c r="AF782" s="538"/>
      <c r="AG782" s="343"/>
      <c r="AH782" s="343"/>
      <c r="AI782" s="538"/>
      <c r="AJ782" s="343"/>
      <c r="AK782" s="343"/>
      <c r="AL782" s="538"/>
      <c r="AM782" s="343"/>
      <c r="AN782" s="343"/>
      <c r="AO782" s="538"/>
      <c r="AP782" s="343"/>
      <c r="AQ782" s="343"/>
      <c r="AS782" s="343"/>
      <c r="AT782" s="538"/>
      <c r="AU782" s="343"/>
      <c r="AV782" s="343"/>
      <c r="AW782" s="538"/>
      <c r="AX782" s="343"/>
      <c r="AY782" s="343"/>
      <c r="AZ782" s="538"/>
      <c r="BA782" s="343"/>
      <c r="BB782" s="343"/>
      <c r="BC782" s="538"/>
      <c r="BD782" s="343"/>
      <c r="BE782" s="343"/>
      <c r="BG782" s="644"/>
      <c r="BH782" s="515"/>
      <c r="BI782" s="515"/>
      <c r="BJ782" s="644"/>
      <c r="BK782" s="515"/>
      <c r="BL782" s="515"/>
      <c r="BM782" s="644"/>
      <c r="BN782" s="515"/>
      <c r="BO782" s="515"/>
      <c r="BP782" s="644"/>
      <c r="BQ782" s="515"/>
      <c r="BR782" s="515"/>
    </row>
    <row r="783" spans="4:70" x14ac:dyDescent="0.25">
      <c r="D783" s="538"/>
      <c r="G783" s="538"/>
      <c r="J783" s="538"/>
      <c r="M783" s="538"/>
      <c r="R783" s="538"/>
      <c r="S783" s="343"/>
      <c r="T783" s="343"/>
      <c r="U783" s="538"/>
      <c r="V783" s="343"/>
      <c r="W783" s="343"/>
      <c r="X783" s="538"/>
      <c r="Y783" s="343"/>
      <c r="Z783" s="343"/>
      <c r="AA783" s="538"/>
      <c r="AB783" s="343"/>
      <c r="AC783" s="343"/>
      <c r="AE783" s="343"/>
      <c r="AF783" s="538"/>
      <c r="AG783" s="343"/>
      <c r="AH783" s="343"/>
      <c r="AI783" s="538"/>
      <c r="AJ783" s="343"/>
      <c r="AK783" s="343"/>
      <c r="AL783" s="538"/>
      <c r="AM783" s="343"/>
      <c r="AN783" s="343"/>
      <c r="AO783" s="538"/>
      <c r="AP783" s="343"/>
      <c r="AQ783" s="343"/>
      <c r="AS783" s="343"/>
      <c r="AT783" s="538"/>
      <c r="AU783" s="343"/>
      <c r="AV783" s="343"/>
      <c r="AW783" s="538"/>
      <c r="AX783" s="343"/>
      <c r="AY783" s="343"/>
      <c r="AZ783" s="538"/>
      <c r="BA783" s="343"/>
      <c r="BB783" s="343"/>
      <c r="BC783" s="538"/>
      <c r="BD783" s="343"/>
      <c r="BE783" s="343"/>
      <c r="BG783" s="644"/>
      <c r="BH783" s="515"/>
      <c r="BI783" s="515"/>
      <c r="BJ783" s="644"/>
      <c r="BK783" s="515"/>
      <c r="BL783" s="515"/>
      <c r="BM783" s="644"/>
      <c r="BN783" s="515"/>
      <c r="BO783" s="515"/>
      <c r="BP783" s="644"/>
      <c r="BQ783" s="515"/>
      <c r="BR783" s="515"/>
    </row>
    <row r="784" spans="4:70" x14ac:dyDescent="0.25">
      <c r="D784" s="538"/>
      <c r="G784" s="538"/>
      <c r="J784" s="538"/>
      <c r="M784" s="538"/>
      <c r="R784" s="538"/>
      <c r="S784" s="343"/>
      <c r="T784" s="343"/>
      <c r="U784" s="538"/>
      <c r="V784" s="343"/>
      <c r="W784" s="343"/>
      <c r="X784" s="538"/>
      <c r="Y784" s="343"/>
      <c r="Z784" s="343"/>
      <c r="AA784" s="538"/>
      <c r="AB784" s="343"/>
      <c r="AC784" s="343"/>
      <c r="AE784" s="343"/>
      <c r="AF784" s="538"/>
      <c r="AG784" s="343"/>
      <c r="AH784" s="343"/>
      <c r="AI784" s="538"/>
      <c r="AJ784" s="343"/>
      <c r="AK784" s="343"/>
      <c r="AL784" s="538"/>
      <c r="AM784" s="343"/>
      <c r="AN784" s="343"/>
      <c r="AO784" s="538"/>
      <c r="AP784" s="343"/>
      <c r="AQ784" s="343"/>
      <c r="AS784" s="343"/>
      <c r="AT784" s="538"/>
      <c r="AU784" s="343"/>
      <c r="AV784" s="343"/>
      <c r="AW784" s="538"/>
      <c r="AX784" s="343"/>
      <c r="AY784" s="343"/>
      <c r="AZ784" s="538"/>
      <c r="BA784" s="343"/>
      <c r="BB784" s="343"/>
      <c r="BC784" s="538"/>
      <c r="BD784" s="343"/>
      <c r="BE784" s="343"/>
      <c r="BG784" s="644"/>
      <c r="BH784" s="515"/>
      <c r="BI784" s="515"/>
      <c r="BJ784" s="644"/>
      <c r="BK784" s="515"/>
      <c r="BL784" s="515"/>
      <c r="BM784" s="644"/>
      <c r="BN784" s="515"/>
      <c r="BO784" s="515"/>
      <c r="BP784" s="644"/>
      <c r="BQ784" s="515"/>
      <c r="BR784" s="515"/>
    </row>
    <row r="785" spans="4:70" x14ac:dyDescent="0.25">
      <c r="D785" s="538"/>
      <c r="G785" s="538"/>
      <c r="J785" s="538"/>
      <c r="M785" s="538"/>
      <c r="R785" s="538"/>
      <c r="S785" s="343"/>
      <c r="T785" s="343"/>
      <c r="U785" s="538"/>
      <c r="V785" s="343"/>
      <c r="W785" s="343"/>
      <c r="X785" s="538"/>
      <c r="Y785" s="343"/>
      <c r="Z785" s="343"/>
      <c r="AA785" s="538"/>
      <c r="AB785" s="343"/>
      <c r="AC785" s="343"/>
      <c r="AE785" s="343"/>
      <c r="AF785" s="538"/>
      <c r="AG785" s="343"/>
      <c r="AH785" s="343"/>
      <c r="AI785" s="538"/>
      <c r="AJ785" s="343"/>
      <c r="AK785" s="343"/>
      <c r="AL785" s="538"/>
      <c r="AM785" s="343"/>
      <c r="AN785" s="343"/>
      <c r="AO785" s="538"/>
      <c r="AP785" s="343"/>
      <c r="AQ785" s="343"/>
      <c r="AS785" s="343"/>
      <c r="AT785" s="538"/>
      <c r="AU785" s="343"/>
      <c r="AV785" s="343"/>
      <c r="AW785" s="538"/>
      <c r="AX785" s="343"/>
      <c r="AY785" s="343"/>
      <c r="AZ785" s="538"/>
      <c r="BA785" s="343"/>
      <c r="BB785" s="343"/>
      <c r="BC785" s="538"/>
      <c r="BD785" s="343"/>
      <c r="BE785" s="343"/>
      <c r="BG785" s="644"/>
      <c r="BH785" s="515"/>
      <c r="BI785" s="515"/>
      <c r="BJ785" s="644"/>
      <c r="BK785" s="515"/>
      <c r="BL785" s="515"/>
      <c r="BM785" s="644"/>
      <c r="BN785" s="515"/>
      <c r="BO785" s="515"/>
      <c r="BP785" s="644"/>
      <c r="BQ785" s="515"/>
      <c r="BR785" s="515"/>
    </row>
    <row r="786" spans="4:70" x14ac:dyDescent="0.25">
      <c r="D786" s="538"/>
      <c r="G786" s="538"/>
      <c r="J786" s="538"/>
      <c r="M786" s="538"/>
      <c r="R786" s="538"/>
      <c r="S786" s="343"/>
      <c r="T786" s="343"/>
      <c r="U786" s="538"/>
      <c r="V786" s="343"/>
      <c r="W786" s="343"/>
      <c r="X786" s="538"/>
      <c r="Y786" s="343"/>
      <c r="Z786" s="343"/>
      <c r="AA786" s="538"/>
      <c r="AB786" s="343"/>
      <c r="AC786" s="343"/>
      <c r="AE786" s="343"/>
      <c r="AF786" s="538"/>
      <c r="AG786" s="343"/>
      <c r="AH786" s="343"/>
      <c r="AI786" s="538"/>
      <c r="AJ786" s="343"/>
      <c r="AK786" s="343"/>
      <c r="AL786" s="538"/>
      <c r="AM786" s="343"/>
      <c r="AN786" s="343"/>
      <c r="AO786" s="538"/>
      <c r="AP786" s="343"/>
      <c r="AQ786" s="343"/>
      <c r="AS786" s="343"/>
      <c r="AT786" s="538"/>
      <c r="AU786" s="343"/>
      <c r="AV786" s="343"/>
      <c r="AW786" s="538"/>
      <c r="AX786" s="343"/>
      <c r="AY786" s="343"/>
      <c r="AZ786" s="538"/>
      <c r="BA786" s="343"/>
      <c r="BB786" s="343"/>
      <c r="BC786" s="538"/>
      <c r="BD786" s="343"/>
      <c r="BE786" s="343"/>
      <c r="BG786" s="644"/>
      <c r="BH786" s="515"/>
      <c r="BI786" s="515"/>
      <c r="BJ786" s="644"/>
      <c r="BK786" s="515"/>
      <c r="BL786" s="515"/>
      <c r="BM786" s="644"/>
      <c r="BN786" s="515"/>
      <c r="BO786" s="515"/>
      <c r="BP786" s="644"/>
      <c r="BQ786" s="515"/>
      <c r="BR786" s="515"/>
    </row>
    <row r="787" spans="4:70" x14ac:dyDescent="0.25">
      <c r="D787" s="538"/>
      <c r="G787" s="538"/>
      <c r="J787" s="538"/>
      <c r="M787" s="538"/>
      <c r="R787" s="538"/>
      <c r="S787" s="343"/>
      <c r="T787" s="343"/>
      <c r="U787" s="538"/>
      <c r="V787" s="343"/>
      <c r="W787" s="343"/>
      <c r="X787" s="538"/>
      <c r="Y787" s="343"/>
      <c r="Z787" s="343"/>
      <c r="AA787" s="538"/>
      <c r="AB787" s="343"/>
      <c r="AC787" s="343"/>
      <c r="AE787" s="343"/>
      <c r="AF787" s="538"/>
      <c r="AG787" s="343"/>
      <c r="AH787" s="343"/>
      <c r="AI787" s="538"/>
      <c r="AJ787" s="343"/>
      <c r="AK787" s="343"/>
      <c r="AL787" s="538"/>
      <c r="AM787" s="343"/>
      <c r="AN787" s="343"/>
      <c r="AO787" s="538"/>
      <c r="AP787" s="343"/>
      <c r="AQ787" s="343"/>
      <c r="AS787" s="343"/>
      <c r="AT787" s="538"/>
      <c r="AU787" s="343"/>
      <c r="AV787" s="343"/>
      <c r="AW787" s="538"/>
      <c r="AX787" s="343"/>
      <c r="AY787" s="343"/>
      <c r="AZ787" s="538"/>
      <c r="BA787" s="343"/>
      <c r="BB787" s="343"/>
      <c r="BC787" s="538"/>
      <c r="BD787" s="343"/>
      <c r="BE787" s="343"/>
      <c r="BG787" s="644"/>
      <c r="BH787" s="515"/>
      <c r="BI787" s="515"/>
      <c r="BJ787" s="644"/>
      <c r="BK787" s="515"/>
      <c r="BL787" s="515"/>
      <c r="BM787" s="644"/>
      <c r="BN787" s="515"/>
      <c r="BO787" s="515"/>
      <c r="BP787" s="644"/>
      <c r="BQ787" s="515"/>
      <c r="BR787" s="515"/>
    </row>
    <row r="788" spans="4:70" x14ac:dyDescent="0.25">
      <c r="D788" s="538"/>
      <c r="G788" s="538"/>
      <c r="J788" s="538"/>
      <c r="M788" s="538"/>
      <c r="R788" s="538"/>
      <c r="S788" s="343"/>
      <c r="T788" s="343"/>
      <c r="U788" s="538"/>
      <c r="V788" s="343"/>
      <c r="W788" s="343"/>
      <c r="X788" s="538"/>
      <c r="Y788" s="343"/>
      <c r="Z788" s="343"/>
      <c r="AA788" s="538"/>
      <c r="AB788" s="343"/>
      <c r="AC788" s="343"/>
      <c r="AE788" s="343"/>
      <c r="AF788" s="538"/>
      <c r="AG788" s="343"/>
      <c r="AH788" s="343"/>
      <c r="AI788" s="538"/>
      <c r="AJ788" s="343"/>
      <c r="AK788" s="343"/>
      <c r="AL788" s="538"/>
      <c r="AM788" s="343"/>
      <c r="AN788" s="343"/>
      <c r="AO788" s="538"/>
      <c r="AP788" s="343"/>
      <c r="AQ788" s="343"/>
      <c r="AS788" s="343"/>
      <c r="AT788" s="538"/>
      <c r="AU788" s="343"/>
      <c r="AV788" s="343"/>
      <c r="AW788" s="538"/>
      <c r="AX788" s="343"/>
      <c r="AY788" s="343"/>
      <c r="AZ788" s="538"/>
      <c r="BA788" s="343"/>
      <c r="BB788" s="343"/>
      <c r="BC788" s="538"/>
      <c r="BD788" s="343"/>
      <c r="BE788" s="343"/>
      <c r="BG788" s="644"/>
      <c r="BH788" s="515"/>
      <c r="BI788" s="515"/>
      <c r="BJ788" s="644"/>
      <c r="BK788" s="515"/>
      <c r="BL788" s="515"/>
      <c r="BM788" s="644"/>
      <c r="BN788" s="515"/>
      <c r="BO788" s="515"/>
      <c r="BP788" s="644"/>
      <c r="BQ788" s="515"/>
      <c r="BR788" s="515"/>
    </row>
    <row r="789" spans="4:70" x14ac:dyDescent="0.25">
      <c r="D789" s="538"/>
      <c r="G789" s="538"/>
      <c r="J789" s="538"/>
      <c r="M789" s="538"/>
      <c r="R789" s="538"/>
      <c r="S789" s="343"/>
      <c r="T789" s="343"/>
      <c r="U789" s="538"/>
      <c r="V789" s="343"/>
      <c r="W789" s="343"/>
      <c r="X789" s="538"/>
      <c r="Y789" s="343"/>
      <c r="Z789" s="343"/>
      <c r="AA789" s="538"/>
      <c r="AB789" s="343"/>
      <c r="AC789" s="343"/>
      <c r="AE789" s="343"/>
      <c r="AF789" s="538"/>
      <c r="AG789" s="343"/>
      <c r="AH789" s="343"/>
      <c r="AI789" s="538"/>
      <c r="AJ789" s="343"/>
      <c r="AK789" s="343"/>
      <c r="AL789" s="538"/>
      <c r="AM789" s="343"/>
      <c r="AN789" s="343"/>
      <c r="AO789" s="538"/>
      <c r="AP789" s="343"/>
      <c r="AQ789" s="343"/>
      <c r="AS789" s="343"/>
      <c r="AT789" s="538"/>
      <c r="AU789" s="343"/>
      <c r="AV789" s="343"/>
      <c r="AW789" s="538"/>
      <c r="AX789" s="343"/>
      <c r="AY789" s="343"/>
      <c r="AZ789" s="538"/>
      <c r="BA789" s="343"/>
      <c r="BB789" s="343"/>
      <c r="BC789" s="538"/>
      <c r="BD789" s="343"/>
      <c r="BE789" s="343"/>
      <c r="BG789" s="644"/>
      <c r="BH789" s="515"/>
      <c r="BI789" s="515"/>
      <c r="BJ789" s="644"/>
      <c r="BK789" s="515"/>
      <c r="BL789" s="515"/>
      <c r="BM789" s="644"/>
      <c r="BN789" s="515"/>
      <c r="BO789" s="515"/>
      <c r="BP789" s="644"/>
      <c r="BQ789" s="515"/>
      <c r="BR789" s="515"/>
    </row>
    <row r="790" spans="4:70" x14ac:dyDescent="0.25">
      <c r="D790" s="538"/>
      <c r="G790" s="538"/>
      <c r="J790" s="538"/>
      <c r="M790" s="538"/>
      <c r="R790" s="538"/>
      <c r="S790" s="343"/>
      <c r="T790" s="343"/>
      <c r="U790" s="538"/>
      <c r="V790" s="343"/>
      <c r="W790" s="343"/>
      <c r="X790" s="538"/>
      <c r="Y790" s="343"/>
      <c r="Z790" s="343"/>
      <c r="AA790" s="538"/>
      <c r="AB790" s="343"/>
      <c r="AC790" s="343"/>
      <c r="AE790" s="343"/>
      <c r="AF790" s="538"/>
      <c r="AG790" s="343"/>
      <c r="AH790" s="343"/>
      <c r="AI790" s="538"/>
      <c r="AJ790" s="343"/>
      <c r="AK790" s="343"/>
      <c r="AL790" s="538"/>
      <c r="AM790" s="343"/>
      <c r="AN790" s="343"/>
      <c r="AO790" s="538"/>
      <c r="AP790" s="343"/>
      <c r="AQ790" s="343"/>
      <c r="AS790" s="343"/>
      <c r="AT790" s="538"/>
      <c r="AU790" s="343"/>
      <c r="AV790" s="343"/>
      <c r="AW790" s="538"/>
      <c r="AX790" s="343"/>
      <c r="AY790" s="343"/>
      <c r="AZ790" s="538"/>
      <c r="BA790" s="343"/>
      <c r="BB790" s="343"/>
      <c r="BC790" s="538"/>
      <c r="BD790" s="343"/>
      <c r="BE790" s="343"/>
      <c r="BG790" s="644"/>
      <c r="BH790" s="515"/>
      <c r="BI790" s="515"/>
      <c r="BJ790" s="644"/>
      <c r="BK790" s="515"/>
      <c r="BL790" s="515"/>
      <c r="BM790" s="644"/>
      <c r="BN790" s="515"/>
      <c r="BO790" s="515"/>
      <c r="BP790" s="644"/>
      <c r="BQ790" s="515"/>
      <c r="BR790" s="515"/>
    </row>
    <row r="791" spans="4:70" x14ac:dyDescent="0.25">
      <c r="D791" s="538"/>
      <c r="G791" s="538"/>
      <c r="J791" s="538"/>
      <c r="M791" s="538"/>
      <c r="R791" s="538"/>
      <c r="S791" s="343"/>
      <c r="T791" s="343"/>
      <c r="U791" s="538"/>
      <c r="V791" s="343"/>
      <c r="W791" s="343"/>
      <c r="X791" s="538"/>
      <c r="Y791" s="343"/>
      <c r="Z791" s="343"/>
      <c r="AA791" s="538"/>
      <c r="AB791" s="343"/>
      <c r="AC791" s="343"/>
      <c r="AE791" s="343"/>
      <c r="AF791" s="538"/>
      <c r="AG791" s="343"/>
      <c r="AH791" s="343"/>
      <c r="AI791" s="538"/>
      <c r="AJ791" s="343"/>
      <c r="AK791" s="343"/>
      <c r="AL791" s="538"/>
      <c r="AM791" s="343"/>
      <c r="AN791" s="343"/>
      <c r="AO791" s="538"/>
      <c r="AP791" s="343"/>
      <c r="AQ791" s="343"/>
      <c r="AS791" s="343"/>
      <c r="AT791" s="538"/>
      <c r="AU791" s="343"/>
      <c r="AV791" s="343"/>
      <c r="AW791" s="538"/>
      <c r="AX791" s="343"/>
      <c r="AY791" s="343"/>
      <c r="AZ791" s="538"/>
      <c r="BA791" s="343"/>
      <c r="BB791" s="343"/>
      <c r="BC791" s="538"/>
      <c r="BD791" s="343"/>
      <c r="BE791" s="343"/>
      <c r="BG791" s="644"/>
      <c r="BH791" s="515"/>
      <c r="BI791" s="515"/>
      <c r="BJ791" s="644"/>
      <c r="BK791" s="515"/>
      <c r="BL791" s="515"/>
      <c r="BM791" s="644"/>
      <c r="BN791" s="515"/>
      <c r="BO791" s="515"/>
      <c r="BP791" s="644"/>
      <c r="BQ791" s="515"/>
      <c r="BR791" s="515"/>
    </row>
    <row r="792" spans="4:70" x14ac:dyDescent="0.25">
      <c r="D792" s="538"/>
      <c r="G792" s="538"/>
      <c r="J792" s="538"/>
      <c r="M792" s="538"/>
      <c r="R792" s="538"/>
      <c r="S792" s="343"/>
      <c r="T792" s="343"/>
      <c r="U792" s="538"/>
      <c r="V792" s="343"/>
      <c r="W792" s="343"/>
      <c r="X792" s="538"/>
      <c r="Y792" s="343"/>
      <c r="Z792" s="343"/>
      <c r="AA792" s="538"/>
      <c r="AB792" s="343"/>
      <c r="AC792" s="343"/>
      <c r="AE792" s="343"/>
      <c r="AF792" s="538"/>
      <c r="AG792" s="343"/>
      <c r="AH792" s="343"/>
      <c r="AI792" s="538"/>
      <c r="AJ792" s="343"/>
      <c r="AK792" s="343"/>
      <c r="AL792" s="538"/>
      <c r="AM792" s="343"/>
      <c r="AN792" s="343"/>
      <c r="AO792" s="538"/>
      <c r="AP792" s="343"/>
      <c r="AQ792" s="343"/>
      <c r="AS792" s="343"/>
      <c r="AT792" s="538"/>
      <c r="AU792" s="343"/>
      <c r="AV792" s="343"/>
      <c r="AW792" s="538"/>
      <c r="AX792" s="343"/>
      <c r="AY792" s="343"/>
      <c r="AZ792" s="538"/>
      <c r="BA792" s="343"/>
      <c r="BB792" s="343"/>
      <c r="BC792" s="538"/>
      <c r="BD792" s="343"/>
      <c r="BE792" s="343"/>
      <c r="BG792" s="644"/>
      <c r="BH792" s="515"/>
      <c r="BI792" s="515"/>
      <c r="BJ792" s="644"/>
      <c r="BK792" s="515"/>
      <c r="BL792" s="515"/>
      <c r="BM792" s="644"/>
      <c r="BN792" s="515"/>
      <c r="BO792" s="515"/>
      <c r="BP792" s="644"/>
      <c r="BQ792" s="515"/>
      <c r="BR792" s="515"/>
    </row>
    <row r="793" spans="4:70" x14ac:dyDescent="0.25">
      <c r="D793" s="538"/>
      <c r="G793" s="538"/>
      <c r="J793" s="538"/>
      <c r="M793" s="538"/>
      <c r="R793" s="538"/>
      <c r="S793" s="343"/>
      <c r="T793" s="343"/>
      <c r="U793" s="538"/>
      <c r="V793" s="343"/>
      <c r="W793" s="343"/>
      <c r="X793" s="538"/>
      <c r="Y793" s="343"/>
      <c r="Z793" s="343"/>
      <c r="AA793" s="538"/>
      <c r="AB793" s="343"/>
      <c r="AC793" s="343"/>
      <c r="AE793" s="343"/>
      <c r="AF793" s="538"/>
      <c r="AG793" s="343"/>
      <c r="AH793" s="343"/>
      <c r="AI793" s="538"/>
      <c r="AJ793" s="343"/>
      <c r="AK793" s="343"/>
      <c r="AL793" s="538"/>
      <c r="AM793" s="343"/>
      <c r="AN793" s="343"/>
      <c r="AO793" s="538"/>
      <c r="AP793" s="343"/>
      <c r="AQ793" s="343"/>
      <c r="AS793" s="343"/>
      <c r="AT793" s="538"/>
      <c r="AU793" s="343"/>
      <c r="AV793" s="343"/>
      <c r="AW793" s="538"/>
      <c r="AX793" s="343"/>
      <c r="AY793" s="343"/>
      <c r="AZ793" s="538"/>
      <c r="BA793" s="343"/>
      <c r="BB793" s="343"/>
      <c r="BC793" s="538"/>
      <c r="BD793" s="343"/>
      <c r="BE793" s="343"/>
      <c r="BG793" s="644"/>
      <c r="BH793" s="515"/>
      <c r="BI793" s="515"/>
      <c r="BJ793" s="644"/>
      <c r="BK793" s="515"/>
      <c r="BL793" s="515"/>
      <c r="BM793" s="644"/>
      <c r="BN793" s="515"/>
      <c r="BO793" s="515"/>
      <c r="BP793" s="644"/>
      <c r="BQ793" s="515"/>
      <c r="BR793" s="515"/>
    </row>
    <row r="794" spans="4:70" x14ac:dyDescent="0.25">
      <c r="D794" s="538"/>
      <c r="G794" s="538"/>
      <c r="J794" s="538"/>
      <c r="M794" s="538"/>
      <c r="R794" s="538"/>
      <c r="S794" s="343"/>
      <c r="T794" s="343"/>
      <c r="U794" s="538"/>
      <c r="V794" s="343"/>
      <c r="W794" s="343"/>
      <c r="X794" s="538"/>
      <c r="Y794" s="343"/>
      <c r="Z794" s="343"/>
      <c r="AA794" s="538"/>
      <c r="AB794" s="343"/>
      <c r="AC794" s="343"/>
      <c r="AE794" s="343"/>
      <c r="AF794" s="538"/>
      <c r="AG794" s="343"/>
      <c r="AH794" s="343"/>
      <c r="AI794" s="538"/>
      <c r="AJ794" s="343"/>
      <c r="AK794" s="343"/>
      <c r="AL794" s="538"/>
      <c r="AM794" s="343"/>
      <c r="AN794" s="343"/>
      <c r="AO794" s="538"/>
      <c r="AP794" s="343"/>
      <c r="AQ794" s="343"/>
      <c r="AS794" s="343"/>
      <c r="AT794" s="538"/>
      <c r="AU794" s="343"/>
      <c r="AV794" s="343"/>
      <c r="AW794" s="538"/>
      <c r="AX794" s="343"/>
      <c r="AY794" s="343"/>
      <c r="AZ794" s="538"/>
      <c r="BA794" s="343"/>
      <c r="BB794" s="343"/>
      <c r="BC794" s="538"/>
      <c r="BD794" s="343"/>
      <c r="BE794" s="343"/>
      <c r="BG794" s="644"/>
      <c r="BH794" s="515"/>
      <c r="BI794" s="515"/>
      <c r="BJ794" s="644"/>
      <c r="BK794" s="515"/>
      <c r="BL794" s="515"/>
      <c r="BM794" s="644"/>
      <c r="BN794" s="515"/>
      <c r="BO794" s="515"/>
      <c r="BP794" s="644"/>
      <c r="BQ794" s="515"/>
      <c r="BR794" s="515"/>
    </row>
    <row r="795" spans="4:70" x14ac:dyDescent="0.25">
      <c r="D795" s="538"/>
      <c r="G795" s="538"/>
      <c r="J795" s="538"/>
      <c r="M795" s="538"/>
      <c r="R795" s="538"/>
      <c r="S795" s="343"/>
      <c r="T795" s="343"/>
      <c r="U795" s="538"/>
      <c r="V795" s="343"/>
      <c r="W795" s="343"/>
      <c r="X795" s="538"/>
      <c r="Y795" s="343"/>
      <c r="Z795" s="343"/>
      <c r="AA795" s="538"/>
      <c r="AB795" s="343"/>
      <c r="AC795" s="343"/>
      <c r="AE795" s="343"/>
      <c r="AF795" s="538"/>
      <c r="AG795" s="343"/>
      <c r="AH795" s="343"/>
      <c r="AI795" s="538"/>
      <c r="AJ795" s="343"/>
      <c r="AK795" s="343"/>
      <c r="AL795" s="538"/>
      <c r="AM795" s="343"/>
      <c r="AN795" s="343"/>
      <c r="AO795" s="538"/>
      <c r="AP795" s="343"/>
      <c r="AQ795" s="343"/>
      <c r="AS795" s="343"/>
      <c r="AT795" s="538"/>
      <c r="AU795" s="343"/>
      <c r="AV795" s="343"/>
      <c r="AW795" s="538"/>
      <c r="AX795" s="343"/>
      <c r="AY795" s="343"/>
      <c r="AZ795" s="538"/>
      <c r="BA795" s="343"/>
      <c r="BB795" s="343"/>
      <c r="BC795" s="538"/>
      <c r="BD795" s="343"/>
      <c r="BE795" s="343"/>
      <c r="BG795" s="644"/>
      <c r="BH795" s="515"/>
      <c r="BI795" s="515"/>
      <c r="BJ795" s="644"/>
      <c r="BK795" s="515"/>
      <c r="BL795" s="515"/>
      <c r="BM795" s="644"/>
      <c r="BN795" s="515"/>
      <c r="BO795" s="515"/>
      <c r="BP795" s="644"/>
      <c r="BQ795" s="515"/>
      <c r="BR795" s="515"/>
    </row>
    <row r="796" spans="4:70" x14ac:dyDescent="0.25">
      <c r="D796" s="538"/>
      <c r="G796" s="538"/>
      <c r="J796" s="538"/>
      <c r="M796" s="538"/>
      <c r="R796" s="538"/>
      <c r="S796" s="343"/>
      <c r="T796" s="343"/>
      <c r="U796" s="538"/>
      <c r="V796" s="343"/>
      <c r="W796" s="343"/>
      <c r="X796" s="538"/>
      <c r="Y796" s="343"/>
      <c r="Z796" s="343"/>
      <c r="AA796" s="538"/>
      <c r="AB796" s="343"/>
      <c r="AC796" s="343"/>
      <c r="AE796" s="343"/>
      <c r="AF796" s="538"/>
      <c r="AG796" s="343"/>
      <c r="AH796" s="343"/>
      <c r="AI796" s="538"/>
      <c r="AJ796" s="343"/>
      <c r="AK796" s="343"/>
      <c r="AL796" s="538"/>
      <c r="AM796" s="343"/>
      <c r="AN796" s="343"/>
      <c r="AO796" s="538"/>
      <c r="AP796" s="343"/>
      <c r="AQ796" s="343"/>
      <c r="AS796" s="343"/>
      <c r="AT796" s="538"/>
      <c r="AU796" s="343"/>
      <c r="AV796" s="343"/>
      <c r="AW796" s="538"/>
      <c r="AX796" s="343"/>
      <c r="AY796" s="343"/>
      <c r="AZ796" s="538"/>
      <c r="BA796" s="343"/>
      <c r="BB796" s="343"/>
      <c r="BC796" s="538"/>
      <c r="BD796" s="343"/>
      <c r="BE796" s="343"/>
      <c r="BG796" s="644"/>
      <c r="BH796" s="515"/>
      <c r="BI796" s="515"/>
      <c r="BJ796" s="644"/>
      <c r="BK796" s="515"/>
      <c r="BL796" s="515"/>
      <c r="BM796" s="644"/>
      <c r="BN796" s="515"/>
      <c r="BO796" s="515"/>
      <c r="BP796" s="644"/>
      <c r="BQ796" s="515"/>
      <c r="BR796" s="515"/>
    </row>
    <row r="797" spans="4:70" x14ac:dyDescent="0.25">
      <c r="D797" s="538"/>
      <c r="G797" s="538"/>
      <c r="J797" s="538"/>
      <c r="M797" s="538"/>
      <c r="R797" s="538"/>
      <c r="S797" s="343"/>
      <c r="T797" s="343"/>
      <c r="U797" s="538"/>
      <c r="V797" s="343"/>
      <c r="W797" s="343"/>
      <c r="X797" s="538"/>
      <c r="Y797" s="343"/>
      <c r="Z797" s="343"/>
      <c r="AA797" s="538"/>
      <c r="AB797" s="343"/>
      <c r="AC797" s="343"/>
      <c r="AE797" s="343"/>
      <c r="AF797" s="538"/>
      <c r="AG797" s="343"/>
      <c r="AH797" s="343"/>
      <c r="AI797" s="538"/>
      <c r="AJ797" s="343"/>
      <c r="AK797" s="343"/>
      <c r="AL797" s="538"/>
      <c r="AM797" s="343"/>
      <c r="AN797" s="343"/>
      <c r="AO797" s="538"/>
      <c r="AP797" s="343"/>
      <c r="AQ797" s="343"/>
      <c r="AS797" s="343"/>
      <c r="AT797" s="538"/>
      <c r="AU797" s="343"/>
      <c r="AV797" s="343"/>
      <c r="AW797" s="538"/>
      <c r="AX797" s="343"/>
      <c r="AY797" s="343"/>
      <c r="AZ797" s="538"/>
      <c r="BA797" s="343"/>
      <c r="BB797" s="343"/>
      <c r="BC797" s="538"/>
      <c r="BD797" s="343"/>
      <c r="BE797" s="343"/>
      <c r="BG797" s="644"/>
      <c r="BH797" s="515"/>
      <c r="BI797" s="515"/>
      <c r="BJ797" s="644"/>
      <c r="BK797" s="515"/>
      <c r="BL797" s="515"/>
      <c r="BM797" s="644"/>
      <c r="BN797" s="515"/>
      <c r="BO797" s="515"/>
      <c r="BP797" s="644"/>
      <c r="BQ797" s="515"/>
      <c r="BR797" s="515"/>
    </row>
    <row r="798" spans="4:70" x14ac:dyDescent="0.25">
      <c r="D798" s="538"/>
      <c r="G798" s="538"/>
      <c r="J798" s="538"/>
      <c r="M798" s="538"/>
      <c r="R798" s="538"/>
      <c r="S798" s="343"/>
      <c r="T798" s="343"/>
      <c r="U798" s="538"/>
      <c r="V798" s="343"/>
      <c r="W798" s="343"/>
      <c r="X798" s="538"/>
      <c r="Y798" s="343"/>
      <c r="Z798" s="343"/>
      <c r="AA798" s="538"/>
      <c r="AB798" s="343"/>
      <c r="AC798" s="343"/>
      <c r="AE798" s="343"/>
      <c r="AF798" s="538"/>
      <c r="AG798" s="343"/>
      <c r="AH798" s="343"/>
      <c r="AI798" s="538"/>
      <c r="AJ798" s="343"/>
      <c r="AK798" s="343"/>
      <c r="AL798" s="538"/>
      <c r="AM798" s="343"/>
      <c r="AN798" s="343"/>
      <c r="AO798" s="538"/>
      <c r="AP798" s="343"/>
      <c r="AQ798" s="343"/>
      <c r="AS798" s="343"/>
      <c r="AT798" s="538"/>
      <c r="AU798" s="343"/>
      <c r="AV798" s="343"/>
      <c r="AW798" s="538"/>
      <c r="AX798" s="343"/>
      <c r="AY798" s="343"/>
      <c r="AZ798" s="538"/>
      <c r="BA798" s="343"/>
      <c r="BB798" s="343"/>
      <c r="BC798" s="538"/>
      <c r="BD798" s="343"/>
      <c r="BE798" s="343"/>
      <c r="BG798" s="644"/>
      <c r="BH798" s="515"/>
      <c r="BI798" s="515"/>
      <c r="BJ798" s="644"/>
      <c r="BK798" s="515"/>
      <c r="BL798" s="515"/>
      <c r="BM798" s="644"/>
      <c r="BN798" s="515"/>
      <c r="BO798" s="515"/>
      <c r="BP798" s="644"/>
      <c r="BQ798" s="515"/>
      <c r="BR798" s="515"/>
    </row>
    <row r="799" spans="4:70" x14ac:dyDescent="0.25">
      <c r="D799" s="538"/>
      <c r="G799" s="538"/>
      <c r="J799" s="538"/>
      <c r="M799" s="538"/>
      <c r="R799" s="538"/>
      <c r="S799" s="343"/>
      <c r="T799" s="343"/>
      <c r="U799" s="538"/>
      <c r="V799" s="343"/>
      <c r="W799" s="343"/>
      <c r="X799" s="538"/>
      <c r="Y799" s="343"/>
      <c r="Z799" s="343"/>
      <c r="AA799" s="538"/>
      <c r="AB799" s="343"/>
      <c r="AC799" s="343"/>
      <c r="AE799" s="343"/>
      <c r="AF799" s="538"/>
      <c r="AG799" s="343"/>
      <c r="AH799" s="343"/>
      <c r="AI799" s="538"/>
      <c r="AJ799" s="343"/>
      <c r="AK799" s="343"/>
      <c r="AL799" s="538"/>
      <c r="AM799" s="343"/>
      <c r="AN799" s="343"/>
      <c r="AO799" s="538"/>
      <c r="AP799" s="343"/>
      <c r="AQ799" s="343"/>
      <c r="AS799" s="343"/>
      <c r="AT799" s="538"/>
      <c r="AU799" s="343"/>
      <c r="AV799" s="343"/>
      <c r="AW799" s="538"/>
      <c r="AX799" s="343"/>
      <c r="AY799" s="343"/>
      <c r="AZ799" s="538"/>
      <c r="BA799" s="343"/>
      <c r="BB799" s="343"/>
      <c r="BC799" s="538"/>
      <c r="BD799" s="343"/>
      <c r="BE799" s="343"/>
      <c r="BG799" s="644"/>
      <c r="BH799" s="515"/>
      <c r="BI799" s="515"/>
      <c r="BJ799" s="644"/>
      <c r="BK799" s="515"/>
      <c r="BL799" s="515"/>
      <c r="BM799" s="644"/>
      <c r="BN799" s="515"/>
      <c r="BO799" s="515"/>
      <c r="BP799" s="644"/>
      <c r="BQ799" s="515"/>
      <c r="BR799" s="515"/>
    </row>
    <row r="800" spans="4:70" x14ac:dyDescent="0.25">
      <c r="D800" s="538"/>
      <c r="G800" s="538"/>
      <c r="J800" s="538"/>
      <c r="M800" s="538"/>
      <c r="R800" s="538"/>
      <c r="S800" s="343"/>
      <c r="T800" s="343"/>
      <c r="U800" s="538"/>
      <c r="V800" s="343"/>
      <c r="W800" s="343"/>
      <c r="X800" s="538"/>
      <c r="Y800" s="343"/>
      <c r="Z800" s="343"/>
      <c r="AA800" s="538"/>
      <c r="AB800" s="343"/>
      <c r="AC800" s="343"/>
      <c r="AE800" s="343"/>
      <c r="AF800" s="538"/>
      <c r="AG800" s="343"/>
      <c r="AH800" s="343"/>
      <c r="AI800" s="538"/>
      <c r="AJ800" s="343"/>
      <c r="AK800" s="343"/>
      <c r="AL800" s="538"/>
      <c r="AM800" s="343"/>
      <c r="AN800" s="343"/>
      <c r="AO800" s="538"/>
      <c r="AP800" s="343"/>
      <c r="AQ800" s="343"/>
      <c r="AS800" s="343"/>
      <c r="AT800" s="538"/>
      <c r="AU800" s="343"/>
      <c r="AV800" s="343"/>
      <c r="AW800" s="538"/>
      <c r="AX800" s="343"/>
      <c r="AY800" s="343"/>
      <c r="AZ800" s="538"/>
      <c r="BA800" s="343"/>
      <c r="BB800" s="343"/>
      <c r="BC800" s="538"/>
      <c r="BD800" s="343"/>
      <c r="BE800" s="343"/>
      <c r="BG800" s="644"/>
      <c r="BH800" s="515"/>
      <c r="BI800" s="515"/>
      <c r="BJ800" s="644"/>
      <c r="BK800" s="515"/>
      <c r="BL800" s="515"/>
      <c r="BM800" s="644"/>
      <c r="BN800" s="515"/>
      <c r="BO800" s="515"/>
      <c r="BP800" s="644"/>
      <c r="BQ800" s="515"/>
      <c r="BR800" s="515"/>
    </row>
    <row r="801" spans="4:70" x14ac:dyDescent="0.25">
      <c r="D801" s="538"/>
      <c r="G801" s="538"/>
      <c r="J801" s="538"/>
      <c r="M801" s="538"/>
      <c r="R801" s="538"/>
      <c r="S801" s="343"/>
      <c r="T801" s="343"/>
      <c r="U801" s="538"/>
      <c r="V801" s="343"/>
      <c r="W801" s="343"/>
      <c r="X801" s="538"/>
      <c r="Y801" s="343"/>
      <c r="Z801" s="343"/>
      <c r="AA801" s="538"/>
      <c r="AB801" s="343"/>
      <c r="AC801" s="343"/>
      <c r="AE801" s="343"/>
      <c r="AF801" s="538"/>
      <c r="AG801" s="343"/>
      <c r="AH801" s="343"/>
      <c r="AI801" s="538"/>
      <c r="AJ801" s="343"/>
      <c r="AK801" s="343"/>
      <c r="AL801" s="538"/>
      <c r="AM801" s="343"/>
      <c r="AN801" s="343"/>
      <c r="AO801" s="538"/>
      <c r="AP801" s="343"/>
      <c r="AQ801" s="343"/>
      <c r="AS801" s="343"/>
      <c r="AT801" s="538"/>
      <c r="AU801" s="343"/>
      <c r="AV801" s="343"/>
      <c r="AW801" s="538"/>
      <c r="AX801" s="343"/>
      <c r="AY801" s="343"/>
      <c r="AZ801" s="538"/>
      <c r="BA801" s="343"/>
      <c r="BB801" s="343"/>
      <c r="BC801" s="538"/>
      <c r="BD801" s="343"/>
      <c r="BE801" s="343"/>
      <c r="BG801" s="644"/>
      <c r="BH801" s="515"/>
      <c r="BI801" s="515"/>
      <c r="BJ801" s="644"/>
      <c r="BK801" s="515"/>
      <c r="BL801" s="515"/>
      <c r="BM801" s="644"/>
      <c r="BN801" s="515"/>
      <c r="BO801" s="515"/>
      <c r="BP801" s="644"/>
      <c r="BQ801" s="515"/>
      <c r="BR801" s="515"/>
    </row>
    <row r="802" spans="4:70" x14ac:dyDescent="0.25">
      <c r="D802" s="538"/>
      <c r="G802" s="538"/>
      <c r="J802" s="538"/>
      <c r="M802" s="538"/>
      <c r="R802" s="538"/>
      <c r="S802" s="343"/>
      <c r="T802" s="343"/>
      <c r="U802" s="538"/>
      <c r="V802" s="343"/>
      <c r="W802" s="343"/>
      <c r="X802" s="538"/>
      <c r="Y802" s="343"/>
      <c r="Z802" s="343"/>
      <c r="AA802" s="538"/>
      <c r="AB802" s="343"/>
      <c r="AC802" s="343"/>
      <c r="AE802" s="343"/>
      <c r="AF802" s="538"/>
      <c r="AG802" s="343"/>
      <c r="AH802" s="343"/>
      <c r="AI802" s="538"/>
      <c r="AJ802" s="343"/>
      <c r="AK802" s="343"/>
      <c r="AL802" s="538"/>
      <c r="AM802" s="343"/>
      <c r="AN802" s="343"/>
      <c r="AO802" s="538"/>
      <c r="AP802" s="343"/>
      <c r="AQ802" s="343"/>
      <c r="AS802" s="343"/>
      <c r="AT802" s="538"/>
      <c r="AU802" s="343"/>
      <c r="AV802" s="343"/>
      <c r="AW802" s="538"/>
      <c r="AX802" s="343"/>
      <c r="AY802" s="343"/>
      <c r="AZ802" s="538"/>
      <c r="BA802" s="343"/>
      <c r="BB802" s="343"/>
      <c r="BC802" s="538"/>
      <c r="BD802" s="343"/>
      <c r="BE802" s="343"/>
      <c r="BG802" s="644"/>
      <c r="BH802" s="515"/>
      <c r="BI802" s="515"/>
      <c r="BJ802" s="644"/>
      <c r="BK802" s="515"/>
      <c r="BL802" s="515"/>
      <c r="BM802" s="644"/>
      <c r="BN802" s="515"/>
      <c r="BO802" s="515"/>
      <c r="BP802" s="644"/>
      <c r="BQ802" s="515"/>
      <c r="BR802" s="515"/>
    </row>
    <row r="803" spans="4:70" x14ac:dyDescent="0.25">
      <c r="D803" s="538"/>
      <c r="G803" s="538"/>
      <c r="J803" s="538"/>
      <c r="M803" s="538"/>
      <c r="R803" s="538"/>
      <c r="S803" s="343"/>
      <c r="T803" s="343"/>
      <c r="U803" s="538"/>
      <c r="V803" s="343"/>
      <c r="W803" s="343"/>
      <c r="X803" s="538"/>
      <c r="Y803" s="343"/>
      <c r="Z803" s="343"/>
      <c r="AA803" s="538"/>
      <c r="AB803" s="343"/>
      <c r="AC803" s="343"/>
      <c r="AE803" s="343"/>
      <c r="AF803" s="538"/>
      <c r="AG803" s="343"/>
      <c r="AH803" s="343"/>
      <c r="AI803" s="538"/>
      <c r="AJ803" s="343"/>
      <c r="AK803" s="343"/>
      <c r="AL803" s="538"/>
      <c r="AM803" s="343"/>
      <c r="AN803" s="343"/>
      <c r="AO803" s="538"/>
      <c r="AP803" s="343"/>
      <c r="AQ803" s="343"/>
      <c r="AS803" s="343"/>
      <c r="AT803" s="538"/>
      <c r="AU803" s="343"/>
      <c r="AV803" s="343"/>
      <c r="AW803" s="538"/>
      <c r="AX803" s="343"/>
      <c r="AY803" s="343"/>
      <c r="AZ803" s="538"/>
      <c r="BA803" s="343"/>
      <c r="BB803" s="343"/>
      <c r="BC803" s="538"/>
      <c r="BD803" s="343"/>
      <c r="BE803" s="343"/>
      <c r="BG803" s="644"/>
      <c r="BH803" s="515"/>
      <c r="BI803" s="515"/>
      <c r="BJ803" s="644"/>
      <c r="BK803" s="515"/>
      <c r="BL803" s="515"/>
      <c r="BM803" s="644"/>
      <c r="BN803" s="515"/>
      <c r="BO803" s="515"/>
      <c r="BP803" s="644"/>
      <c r="BQ803" s="515"/>
      <c r="BR803" s="515"/>
    </row>
    <row r="804" spans="4:70" x14ac:dyDescent="0.25">
      <c r="D804" s="538"/>
      <c r="G804" s="538"/>
      <c r="J804" s="538"/>
      <c r="M804" s="538"/>
      <c r="R804" s="538"/>
      <c r="S804" s="343"/>
      <c r="T804" s="343"/>
      <c r="U804" s="538"/>
      <c r="V804" s="343"/>
      <c r="W804" s="343"/>
      <c r="X804" s="538"/>
      <c r="Y804" s="343"/>
      <c r="Z804" s="343"/>
      <c r="AA804" s="538"/>
      <c r="AB804" s="343"/>
      <c r="AC804" s="343"/>
      <c r="AE804" s="343"/>
      <c r="AF804" s="538"/>
      <c r="AG804" s="343"/>
      <c r="AH804" s="343"/>
      <c r="AI804" s="538"/>
      <c r="AJ804" s="343"/>
      <c r="AK804" s="343"/>
      <c r="AL804" s="538"/>
      <c r="AM804" s="343"/>
      <c r="AN804" s="343"/>
      <c r="AO804" s="538"/>
      <c r="AP804" s="343"/>
      <c r="AQ804" s="343"/>
      <c r="AS804" s="343"/>
      <c r="AT804" s="538"/>
      <c r="AU804" s="343"/>
      <c r="AV804" s="343"/>
      <c r="AW804" s="538"/>
      <c r="AX804" s="343"/>
      <c r="AY804" s="343"/>
      <c r="AZ804" s="538"/>
      <c r="BA804" s="343"/>
      <c r="BB804" s="343"/>
      <c r="BC804" s="538"/>
      <c r="BD804" s="343"/>
      <c r="BE804" s="343"/>
      <c r="BG804" s="644"/>
      <c r="BH804" s="515"/>
      <c r="BI804" s="515"/>
      <c r="BJ804" s="644"/>
      <c r="BK804" s="515"/>
      <c r="BL804" s="515"/>
      <c r="BM804" s="644"/>
      <c r="BN804" s="515"/>
      <c r="BO804" s="515"/>
      <c r="BP804" s="644"/>
      <c r="BQ804" s="515"/>
      <c r="BR804" s="515"/>
    </row>
    <row r="805" spans="4:70" x14ac:dyDescent="0.25">
      <c r="D805" s="538"/>
      <c r="G805" s="538"/>
      <c r="J805" s="538"/>
      <c r="M805" s="538"/>
      <c r="R805" s="538"/>
      <c r="S805" s="343"/>
      <c r="T805" s="343"/>
      <c r="U805" s="538"/>
      <c r="V805" s="343"/>
      <c r="W805" s="343"/>
      <c r="X805" s="538"/>
      <c r="Y805" s="343"/>
      <c r="Z805" s="343"/>
      <c r="AA805" s="538"/>
      <c r="AB805" s="343"/>
      <c r="AC805" s="343"/>
      <c r="AE805" s="343"/>
      <c r="AF805" s="538"/>
      <c r="AG805" s="343"/>
      <c r="AH805" s="343"/>
      <c r="AI805" s="538"/>
      <c r="AJ805" s="343"/>
      <c r="AK805" s="343"/>
      <c r="AL805" s="538"/>
      <c r="AM805" s="343"/>
      <c r="AN805" s="343"/>
      <c r="AO805" s="538"/>
      <c r="AP805" s="343"/>
      <c r="AQ805" s="343"/>
      <c r="AS805" s="343"/>
      <c r="AT805" s="538"/>
      <c r="AU805" s="343"/>
      <c r="AV805" s="343"/>
      <c r="AW805" s="538"/>
      <c r="AX805" s="343"/>
      <c r="AY805" s="343"/>
      <c r="AZ805" s="538"/>
      <c r="BA805" s="343"/>
      <c r="BB805" s="343"/>
      <c r="BC805" s="538"/>
      <c r="BD805" s="343"/>
      <c r="BE805" s="343"/>
      <c r="BG805" s="644"/>
      <c r="BH805" s="515"/>
      <c r="BI805" s="515"/>
      <c r="BJ805" s="644"/>
      <c r="BK805" s="515"/>
      <c r="BL805" s="515"/>
      <c r="BM805" s="644"/>
      <c r="BN805" s="515"/>
      <c r="BO805" s="515"/>
      <c r="BP805" s="644"/>
      <c r="BQ805" s="515"/>
      <c r="BR805" s="515"/>
    </row>
    <row r="806" spans="4:70" x14ac:dyDescent="0.25">
      <c r="D806" s="538"/>
      <c r="G806" s="538"/>
      <c r="J806" s="538"/>
      <c r="M806" s="538"/>
      <c r="R806" s="538"/>
      <c r="S806" s="343"/>
      <c r="T806" s="343"/>
      <c r="U806" s="538"/>
      <c r="V806" s="343"/>
      <c r="W806" s="343"/>
      <c r="X806" s="538"/>
      <c r="Y806" s="343"/>
      <c r="Z806" s="343"/>
      <c r="AA806" s="538"/>
      <c r="AB806" s="343"/>
      <c r="AC806" s="343"/>
      <c r="AE806" s="343"/>
      <c r="AF806" s="538"/>
      <c r="AG806" s="343"/>
      <c r="AH806" s="343"/>
      <c r="AI806" s="538"/>
      <c r="AJ806" s="343"/>
      <c r="AK806" s="343"/>
      <c r="AL806" s="538"/>
      <c r="AM806" s="343"/>
      <c r="AN806" s="343"/>
      <c r="AO806" s="538"/>
      <c r="AP806" s="343"/>
      <c r="AQ806" s="343"/>
      <c r="AS806" s="343"/>
      <c r="AT806" s="538"/>
      <c r="AU806" s="343"/>
      <c r="AV806" s="343"/>
      <c r="AW806" s="538"/>
      <c r="AX806" s="343"/>
      <c r="AY806" s="343"/>
      <c r="AZ806" s="538"/>
      <c r="BA806" s="343"/>
      <c r="BB806" s="343"/>
      <c r="BC806" s="538"/>
      <c r="BD806" s="343"/>
      <c r="BE806" s="343"/>
      <c r="BG806" s="644"/>
      <c r="BH806" s="515"/>
      <c r="BI806" s="515"/>
      <c r="BJ806" s="644"/>
      <c r="BK806" s="515"/>
      <c r="BL806" s="515"/>
      <c r="BM806" s="644"/>
      <c r="BN806" s="515"/>
      <c r="BO806" s="515"/>
      <c r="BP806" s="644"/>
      <c r="BQ806" s="515"/>
      <c r="BR806" s="515"/>
    </row>
    <row r="807" spans="4:70" x14ac:dyDescent="0.25">
      <c r="D807" s="538"/>
      <c r="G807" s="538"/>
      <c r="J807" s="538"/>
      <c r="M807" s="538"/>
      <c r="R807" s="538"/>
      <c r="S807" s="343"/>
      <c r="T807" s="343"/>
      <c r="U807" s="538"/>
      <c r="V807" s="343"/>
      <c r="W807" s="343"/>
      <c r="X807" s="538"/>
      <c r="Y807" s="343"/>
      <c r="Z807" s="343"/>
      <c r="AA807" s="538"/>
      <c r="AB807" s="343"/>
      <c r="AC807" s="343"/>
      <c r="AE807" s="343"/>
      <c r="AF807" s="538"/>
      <c r="AG807" s="343"/>
      <c r="AH807" s="343"/>
      <c r="AI807" s="538"/>
      <c r="AJ807" s="343"/>
      <c r="AK807" s="343"/>
      <c r="AL807" s="538"/>
      <c r="AM807" s="343"/>
      <c r="AN807" s="343"/>
      <c r="AO807" s="538"/>
      <c r="AP807" s="343"/>
      <c r="AQ807" s="343"/>
      <c r="AS807" s="343"/>
      <c r="AT807" s="538"/>
      <c r="AU807" s="343"/>
      <c r="AV807" s="343"/>
      <c r="AW807" s="538"/>
      <c r="AX807" s="343"/>
      <c r="AY807" s="343"/>
      <c r="AZ807" s="538"/>
      <c r="BA807" s="343"/>
      <c r="BB807" s="343"/>
      <c r="BC807" s="538"/>
      <c r="BD807" s="343"/>
      <c r="BE807" s="343"/>
      <c r="BG807" s="644"/>
      <c r="BH807" s="515"/>
      <c r="BI807" s="515"/>
      <c r="BJ807" s="644"/>
      <c r="BK807" s="515"/>
      <c r="BL807" s="515"/>
      <c r="BM807" s="644"/>
      <c r="BN807" s="515"/>
      <c r="BO807" s="515"/>
      <c r="BP807" s="644"/>
      <c r="BQ807" s="515"/>
      <c r="BR807" s="515"/>
    </row>
    <row r="808" spans="4:70" x14ac:dyDescent="0.25">
      <c r="D808" s="538"/>
      <c r="G808" s="538"/>
      <c r="J808" s="538"/>
      <c r="M808" s="538"/>
      <c r="R808" s="538"/>
      <c r="S808" s="343"/>
      <c r="T808" s="343"/>
      <c r="U808" s="538"/>
      <c r="V808" s="343"/>
      <c r="W808" s="343"/>
      <c r="X808" s="538"/>
      <c r="Y808" s="343"/>
      <c r="Z808" s="343"/>
      <c r="AA808" s="538"/>
      <c r="AB808" s="343"/>
      <c r="AC808" s="343"/>
      <c r="AE808" s="343"/>
      <c r="AF808" s="538"/>
      <c r="AG808" s="343"/>
      <c r="AH808" s="343"/>
      <c r="AI808" s="538"/>
      <c r="AJ808" s="343"/>
      <c r="AK808" s="343"/>
      <c r="AL808" s="538"/>
      <c r="AM808" s="343"/>
      <c r="AN808" s="343"/>
      <c r="AO808" s="538"/>
      <c r="AP808" s="343"/>
      <c r="AQ808" s="343"/>
      <c r="AS808" s="343"/>
      <c r="AT808" s="538"/>
      <c r="AU808" s="343"/>
      <c r="AV808" s="343"/>
      <c r="AW808" s="538"/>
      <c r="AX808" s="343"/>
      <c r="AY808" s="343"/>
      <c r="AZ808" s="538"/>
      <c r="BA808" s="343"/>
      <c r="BB808" s="343"/>
      <c r="BC808" s="538"/>
      <c r="BD808" s="343"/>
      <c r="BE808" s="343"/>
      <c r="BG808" s="644"/>
      <c r="BH808" s="515"/>
      <c r="BI808" s="515"/>
      <c r="BJ808" s="644"/>
      <c r="BK808" s="515"/>
      <c r="BL808" s="515"/>
      <c r="BM808" s="644"/>
      <c r="BN808" s="515"/>
      <c r="BO808" s="515"/>
      <c r="BP808" s="644"/>
      <c r="BQ808" s="515"/>
      <c r="BR808" s="515"/>
    </row>
    <row r="809" spans="4:70" x14ac:dyDescent="0.25">
      <c r="D809" s="538"/>
      <c r="G809" s="538"/>
      <c r="J809" s="538"/>
      <c r="M809" s="538"/>
      <c r="R809" s="538"/>
      <c r="S809" s="343"/>
      <c r="T809" s="343"/>
      <c r="U809" s="538"/>
      <c r="V809" s="343"/>
      <c r="W809" s="343"/>
      <c r="X809" s="538"/>
      <c r="Y809" s="343"/>
      <c r="Z809" s="343"/>
      <c r="AA809" s="538"/>
      <c r="AB809" s="343"/>
      <c r="AC809" s="343"/>
      <c r="AE809" s="343"/>
      <c r="AF809" s="538"/>
      <c r="AG809" s="343"/>
      <c r="AH809" s="343"/>
      <c r="AI809" s="538"/>
      <c r="AJ809" s="343"/>
      <c r="AK809" s="343"/>
      <c r="AL809" s="538"/>
      <c r="AM809" s="343"/>
      <c r="AN809" s="343"/>
      <c r="AO809" s="538"/>
      <c r="AP809" s="343"/>
      <c r="AQ809" s="343"/>
      <c r="AS809" s="343"/>
      <c r="AT809" s="538"/>
      <c r="AU809" s="343"/>
      <c r="AV809" s="343"/>
      <c r="AW809" s="538"/>
      <c r="AX809" s="343"/>
      <c r="AY809" s="343"/>
      <c r="AZ809" s="538"/>
      <c r="BA809" s="343"/>
      <c r="BB809" s="343"/>
      <c r="BC809" s="538"/>
      <c r="BD809" s="343"/>
      <c r="BE809" s="343"/>
      <c r="BG809" s="644"/>
      <c r="BH809" s="515"/>
      <c r="BI809" s="515"/>
      <c r="BJ809" s="644"/>
      <c r="BK809" s="515"/>
      <c r="BL809" s="515"/>
      <c r="BM809" s="644"/>
      <c r="BN809" s="515"/>
      <c r="BO809" s="515"/>
      <c r="BP809" s="644"/>
      <c r="BQ809" s="515"/>
      <c r="BR809" s="515"/>
    </row>
    <row r="810" spans="4:70" x14ac:dyDescent="0.25">
      <c r="D810" s="538"/>
      <c r="G810" s="538"/>
      <c r="J810" s="538"/>
      <c r="M810" s="538"/>
      <c r="R810" s="538"/>
      <c r="S810" s="343"/>
      <c r="T810" s="343"/>
      <c r="U810" s="538"/>
      <c r="V810" s="343"/>
      <c r="W810" s="343"/>
      <c r="X810" s="538"/>
      <c r="Y810" s="343"/>
      <c r="Z810" s="343"/>
      <c r="AA810" s="538"/>
      <c r="AB810" s="343"/>
      <c r="AC810" s="343"/>
      <c r="AE810" s="343"/>
      <c r="AF810" s="538"/>
      <c r="AG810" s="343"/>
      <c r="AH810" s="343"/>
      <c r="AI810" s="538"/>
      <c r="AJ810" s="343"/>
      <c r="AK810" s="343"/>
      <c r="AL810" s="538"/>
      <c r="AM810" s="343"/>
      <c r="AN810" s="343"/>
      <c r="AO810" s="538"/>
      <c r="AP810" s="343"/>
      <c r="AQ810" s="343"/>
      <c r="AS810" s="343"/>
      <c r="AT810" s="538"/>
      <c r="AU810" s="343"/>
      <c r="AV810" s="343"/>
      <c r="AW810" s="538"/>
      <c r="AX810" s="343"/>
      <c r="AY810" s="343"/>
      <c r="AZ810" s="538"/>
      <c r="BA810" s="343"/>
      <c r="BB810" s="343"/>
      <c r="BC810" s="538"/>
      <c r="BD810" s="343"/>
      <c r="BE810" s="343"/>
      <c r="BG810" s="644"/>
      <c r="BH810" s="515"/>
      <c r="BI810" s="515"/>
      <c r="BJ810" s="644"/>
      <c r="BK810" s="515"/>
      <c r="BL810" s="515"/>
      <c r="BM810" s="644"/>
      <c r="BN810" s="515"/>
      <c r="BO810" s="515"/>
      <c r="BP810" s="644"/>
      <c r="BQ810" s="515"/>
      <c r="BR810" s="515"/>
    </row>
    <row r="811" spans="4:70" x14ac:dyDescent="0.25">
      <c r="D811" s="538"/>
      <c r="G811" s="538"/>
      <c r="J811" s="538"/>
      <c r="M811" s="538"/>
      <c r="R811" s="538"/>
      <c r="S811" s="343"/>
      <c r="T811" s="343"/>
      <c r="U811" s="538"/>
      <c r="V811" s="343"/>
      <c r="W811" s="343"/>
      <c r="X811" s="538"/>
      <c r="Y811" s="343"/>
      <c r="Z811" s="343"/>
      <c r="AA811" s="538"/>
      <c r="AB811" s="343"/>
      <c r="AC811" s="343"/>
      <c r="AE811" s="343"/>
      <c r="AF811" s="538"/>
      <c r="AG811" s="343"/>
      <c r="AH811" s="343"/>
      <c r="AI811" s="538"/>
      <c r="AJ811" s="343"/>
      <c r="AK811" s="343"/>
      <c r="AL811" s="538"/>
      <c r="AM811" s="343"/>
      <c r="AN811" s="343"/>
      <c r="AO811" s="538"/>
      <c r="AP811" s="343"/>
      <c r="AQ811" s="343"/>
      <c r="AS811" s="343"/>
      <c r="AT811" s="538"/>
      <c r="AU811" s="343"/>
      <c r="AV811" s="343"/>
      <c r="AW811" s="538"/>
      <c r="AX811" s="343"/>
      <c r="AY811" s="343"/>
      <c r="AZ811" s="538"/>
      <c r="BA811" s="343"/>
      <c r="BB811" s="343"/>
      <c r="BC811" s="538"/>
      <c r="BD811" s="343"/>
      <c r="BE811" s="343"/>
      <c r="BG811" s="644"/>
      <c r="BH811" s="515"/>
      <c r="BI811" s="515"/>
      <c r="BJ811" s="644"/>
      <c r="BK811" s="515"/>
      <c r="BL811" s="515"/>
      <c r="BM811" s="644"/>
      <c r="BN811" s="515"/>
      <c r="BO811" s="515"/>
      <c r="BP811" s="644"/>
      <c r="BQ811" s="515"/>
      <c r="BR811" s="515"/>
    </row>
    <row r="812" spans="4:70" x14ac:dyDescent="0.25">
      <c r="D812" s="538"/>
      <c r="G812" s="538"/>
      <c r="J812" s="538"/>
      <c r="M812" s="538"/>
      <c r="R812" s="538"/>
      <c r="S812" s="343"/>
      <c r="T812" s="343"/>
      <c r="U812" s="538"/>
      <c r="V812" s="343"/>
      <c r="W812" s="343"/>
      <c r="X812" s="538"/>
      <c r="Y812" s="343"/>
      <c r="Z812" s="343"/>
      <c r="AA812" s="538"/>
      <c r="AB812" s="343"/>
      <c r="AC812" s="343"/>
      <c r="AE812" s="343"/>
      <c r="AF812" s="538"/>
      <c r="AG812" s="343"/>
      <c r="AH812" s="343"/>
      <c r="AI812" s="538"/>
      <c r="AJ812" s="343"/>
      <c r="AK812" s="343"/>
      <c r="AL812" s="538"/>
      <c r="AM812" s="343"/>
      <c r="AN812" s="343"/>
      <c r="AO812" s="538"/>
      <c r="AP812" s="343"/>
      <c r="AQ812" s="343"/>
      <c r="AS812" s="343"/>
      <c r="AT812" s="538"/>
      <c r="AU812" s="343"/>
      <c r="AV812" s="343"/>
      <c r="AW812" s="538"/>
      <c r="AX812" s="343"/>
      <c r="AY812" s="343"/>
      <c r="AZ812" s="538"/>
      <c r="BA812" s="343"/>
      <c r="BB812" s="343"/>
      <c r="BC812" s="538"/>
      <c r="BD812" s="343"/>
      <c r="BE812" s="343"/>
      <c r="BG812" s="644"/>
      <c r="BH812" s="515"/>
      <c r="BI812" s="515"/>
      <c r="BJ812" s="644"/>
      <c r="BK812" s="515"/>
      <c r="BL812" s="515"/>
      <c r="BM812" s="644"/>
      <c r="BN812" s="515"/>
      <c r="BO812" s="515"/>
      <c r="BP812" s="644"/>
      <c r="BQ812" s="515"/>
      <c r="BR812" s="515"/>
    </row>
    <row r="813" spans="4:70" x14ac:dyDescent="0.25">
      <c r="D813" s="538"/>
      <c r="G813" s="538"/>
      <c r="J813" s="538"/>
      <c r="M813" s="538"/>
      <c r="R813" s="538"/>
      <c r="S813" s="343"/>
      <c r="T813" s="343"/>
      <c r="U813" s="538"/>
      <c r="V813" s="343"/>
      <c r="W813" s="343"/>
      <c r="X813" s="538"/>
      <c r="Y813" s="343"/>
      <c r="Z813" s="343"/>
      <c r="AA813" s="538"/>
      <c r="AB813" s="343"/>
      <c r="AC813" s="343"/>
      <c r="AE813" s="343"/>
      <c r="AF813" s="538"/>
      <c r="AG813" s="343"/>
      <c r="AH813" s="343"/>
      <c r="AI813" s="538"/>
      <c r="AJ813" s="343"/>
      <c r="AK813" s="343"/>
      <c r="AL813" s="538"/>
      <c r="AM813" s="343"/>
      <c r="AN813" s="343"/>
      <c r="AO813" s="538"/>
      <c r="AP813" s="343"/>
      <c r="AQ813" s="343"/>
      <c r="AS813" s="343"/>
      <c r="AT813" s="538"/>
      <c r="AU813" s="343"/>
      <c r="AV813" s="343"/>
      <c r="AW813" s="538"/>
      <c r="AX813" s="343"/>
      <c r="AY813" s="343"/>
      <c r="AZ813" s="538"/>
      <c r="BA813" s="343"/>
      <c r="BB813" s="343"/>
      <c r="BC813" s="538"/>
      <c r="BD813" s="343"/>
      <c r="BE813" s="343"/>
      <c r="BG813" s="644"/>
      <c r="BH813" s="515"/>
      <c r="BI813" s="515"/>
      <c r="BJ813" s="644"/>
      <c r="BK813" s="515"/>
      <c r="BL813" s="515"/>
      <c r="BM813" s="644"/>
      <c r="BN813" s="515"/>
      <c r="BO813" s="515"/>
      <c r="BP813" s="644"/>
      <c r="BQ813" s="515"/>
      <c r="BR813" s="515"/>
    </row>
    <row r="814" spans="4:70" x14ac:dyDescent="0.25">
      <c r="D814" s="538"/>
      <c r="G814" s="538"/>
      <c r="J814" s="538"/>
      <c r="M814" s="538"/>
      <c r="R814" s="538"/>
      <c r="S814" s="343"/>
      <c r="T814" s="343"/>
      <c r="U814" s="538"/>
      <c r="V814" s="343"/>
      <c r="W814" s="343"/>
      <c r="X814" s="538"/>
      <c r="Y814" s="343"/>
      <c r="Z814" s="343"/>
      <c r="AA814" s="538"/>
      <c r="AB814" s="343"/>
      <c r="AC814" s="343"/>
      <c r="AE814" s="343"/>
      <c r="AF814" s="538"/>
      <c r="AG814" s="343"/>
      <c r="AH814" s="343"/>
      <c r="AI814" s="538"/>
      <c r="AJ814" s="343"/>
      <c r="AK814" s="343"/>
      <c r="AL814" s="538"/>
      <c r="AM814" s="343"/>
      <c r="AN814" s="343"/>
      <c r="AO814" s="538"/>
      <c r="AP814" s="343"/>
      <c r="AQ814" s="343"/>
      <c r="AS814" s="343"/>
      <c r="AT814" s="538"/>
      <c r="AU814" s="343"/>
      <c r="AV814" s="343"/>
      <c r="AW814" s="538"/>
      <c r="AX814" s="343"/>
      <c r="AY814" s="343"/>
      <c r="AZ814" s="538"/>
      <c r="BA814" s="343"/>
      <c r="BB814" s="343"/>
      <c r="BC814" s="538"/>
      <c r="BD814" s="343"/>
      <c r="BE814" s="343"/>
      <c r="BG814" s="644"/>
      <c r="BH814" s="515"/>
      <c r="BI814" s="515"/>
      <c r="BJ814" s="644"/>
      <c r="BK814" s="515"/>
      <c r="BL814" s="515"/>
      <c r="BM814" s="644"/>
      <c r="BN814" s="515"/>
      <c r="BO814" s="515"/>
      <c r="BP814" s="644"/>
      <c r="BQ814" s="515"/>
      <c r="BR814" s="515"/>
    </row>
    <row r="815" spans="4:70" x14ac:dyDescent="0.25">
      <c r="D815" s="538"/>
      <c r="G815" s="538"/>
      <c r="J815" s="538"/>
      <c r="M815" s="538"/>
      <c r="R815" s="538"/>
      <c r="S815" s="343"/>
      <c r="T815" s="343"/>
      <c r="U815" s="538"/>
      <c r="V815" s="343"/>
      <c r="W815" s="343"/>
      <c r="X815" s="538"/>
      <c r="Y815" s="343"/>
      <c r="Z815" s="343"/>
      <c r="AA815" s="538"/>
      <c r="AB815" s="343"/>
      <c r="AC815" s="343"/>
      <c r="AE815" s="343"/>
      <c r="AF815" s="538"/>
      <c r="AG815" s="343"/>
      <c r="AH815" s="343"/>
      <c r="AI815" s="538"/>
      <c r="AJ815" s="343"/>
      <c r="AK815" s="343"/>
      <c r="AL815" s="538"/>
      <c r="AM815" s="343"/>
      <c r="AN815" s="343"/>
      <c r="AO815" s="538"/>
      <c r="AP815" s="343"/>
      <c r="AQ815" s="343"/>
      <c r="AS815" s="343"/>
      <c r="AT815" s="538"/>
      <c r="AU815" s="343"/>
      <c r="AV815" s="343"/>
      <c r="AW815" s="538"/>
      <c r="AX815" s="343"/>
      <c r="AY815" s="343"/>
      <c r="AZ815" s="538"/>
      <c r="BA815" s="343"/>
      <c r="BB815" s="343"/>
      <c r="BC815" s="538"/>
      <c r="BD815" s="343"/>
      <c r="BE815" s="343"/>
      <c r="BG815" s="644"/>
      <c r="BH815" s="515"/>
      <c r="BI815" s="515"/>
      <c r="BJ815" s="644"/>
      <c r="BK815" s="515"/>
      <c r="BL815" s="515"/>
      <c r="BM815" s="644"/>
      <c r="BN815" s="515"/>
      <c r="BO815" s="515"/>
      <c r="BP815" s="644"/>
      <c r="BQ815" s="515"/>
      <c r="BR815" s="515"/>
    </row>
    <row r="816" spans="4:70" x14ac:dyDescent="0.25">
      <c r="D816" s="538"/>
      <c r="G816" s="538"/>
      <c r="J816" s="538"/>
      <c r="M816" s="538"/>
      <c r="R816" s="538"/>
      <c r="S816" s="343"/>
      <c r="T816" s="343"/>
      <c r="U816" s="538"/>
      <c r="V816" s="343"/>
      <c r="W816" s="343"/>
      <c r="X816" s="538"/>
      <c r="Y816" s="343"/>
      <c r="Z816" s="343"/>
      <c r="AA816" s="538"/>
      <c r="AB816" s="343"/>
      <c r="AC816" s="343"/>
      <c r="AE816" s="343"/>
      <c r="AF816" s="538"/>
      <c r="AG816" s="343"/>
      <c r="AH816" s="343"/>
      <c r="AI816" s="538"/>
      <c r="AJ816" s="343"/>
      <c r="AK816" s="343"/>
      <c r="AL816" s="538"/>
      <c r="AM816" s="343"/>
      <c r="AN816" s="343"/>
      <c r="AO816" s="538"/>
      <c r="AP816" s="343"/>
      <c r="AQ816" s="343"/>
      <c r="AS816" s="343"/>
      <c r="AT816" s="538"/>
      <c r="AU816" s="343"/>
      <c r="AV816" s="343"/>
      <c r="AW816" s="538"/>
      <c r="AX816" s="343"/>
      <c r="AY816" s="343"/>
      <c r="AZ816" s="538"/>
      <c r="BA816" s="343"/>
      <c r="BB816" s="343"/>
      <c r="BC816" s="538"/>
      <c r="BD816" s="343"/>
      <c r="BE816" s="343"/>
      <c r="BG816" s="644"/>
      <c r="BH816" s="515"/>
      <c r="BI816" s="515"/>
      <c r="BJ816" s="644"/>
      <c r="BK816" s="515"/>
      <c r="BL816" s="515"/>
      <c r="BM816" s="644"/>
      <c r="BN816" s="515"/>
      <c r="BO816" s="515"/>
      <c r="BP816" s="644"/>
      <c r="BQ816" s="515"/>
      <c r="BR816" s="515"/>
    </row>
    <row r="817" spans="4:70" x14ac:dyDescent="0.25">
      <c r="D817" s="538"/>
      <c r="G817" s="538"/>
      <c r="J817" s="538"/>
      <c r="M817" s="538"/>
      <c r="R817" s="538"/>
      <c r="S817" s="343"/>
      <c r="T817" s="343"/>
      <c r="U817" s="538"/>
      <c r="V817" s="343"/>
      <c r="W817" s="343"/>
      <c r="X817" s="538"/>
      <c r="Y817" s="343"/>
      <c r="Z817" s="343"/>
      <c r="AA817" s="538"/>
      <c r="AB817" s="343"/>
      <c r="AC817" s="343"/>
      <c r="AE817" s="343"/>
      <c r="AF817" s="538"/>
      <c r="AG817" s="343"/>
      <c r="AH817" s="343"/>
      <c r="AI817" s="538"/>
      <c r="AJ817" s="343"/>
      <c r="AK817" s="343"/>
      <c r="AL817" s="538"/>
      <c r="AM817" s="343"/>
      <c r="AN817" s="343"/>
      <c r="AO817" s="538"/>
      <c r="AP817" s="343"/>
      <c r="AQ817" s="343"/>
      <c r="AS817" s="343"/>
      <c r="AT817" s="538"/>
      <c r="AU817" s="343"/>
      <c r="AV817" s="343"/>
      <c r="AW817" s="538"/>
      <c r="AX817" s="343"/>
      <c r="AY817" s="343"/>
      <c r="AZ817" s="538"/>
      <c r="BA817" s="343"/>
      <c r="BB817" s="343"/>
      <c r="BC817" s="538"/>
      <c r="BD817" s="343"/>
      <c r="BE817" s="343"/>
      <c r="BG817" s="644"/>
      <c r="BH817" s="515"/>
      <c r="BI817" s="515"/>
      <c r="BJ817" s="644"/>
      <c r="BK817" s="515"/>
      <c r="BL817" s="515"/>
      <c r="BM817" s="644"/>
      <c r="BN817" s="515"/>
      <c r="BO817" s="515"/>
      <c r="BP817" s="644"/>
      <c r="BQ817" s="515"/>
      <c r="BR817" s="515"/>
    </row>
    <row r="818" spans="4:70" x14ac:dyDescent="0.25">
      <c r="D818" s="538"/>
      <c r="G818" s="538"/>
      <c r="J818" s="538"/>
      <c r="M818" s="538"/>
      <c r="R818" s="538"/>
      <c r="S818" s="343"/>
      <c r="T818" s="343"/>
      <c r="U818" s="538"/>
      <c r="V818" s="343"/>
      <c r="W818" s="343"/>
      <c r="X818" s="538"/>
      <c r="Y818" s="343"/>
      <c r="Z818" s="343"/>
      <c r="AA818" s="538"/>
      <c r="AB818" s="343"/>
      <c r="AC818" s="343"/>
      <c r="AE818" s="343"/>
      <c r="AF818" s="538"/>
      <c r="AG818" s="343"/>
      <c r="AH818" s="343"/>
      <c r="AI818" s="538"/>
      <c r="AJ818" s="343"/>
      <c r="AK818" s="343"/>
      <c r="AL818" s="538"/>
      <c r="AM818" s="343"/>
      <c r="AN818" s="343"/>
      <c r="AO818" s="538"/>
      <c r="AP818" s="343"/>
      <c r="AQ818" s="343"/>
      <c r="AS818" s="343"/>
      <c r="AT818" s="538"/>
      <c r="AU818" s="343"/>
      <c r="AV818" s="343"/>
      <c r="AW818" s="538"/>
      <c r="AX818" s="343"/>
      <c r="AY818" s="343"/>
      <c r="AZ818" s="538"/>
      <c r="BA818" s="343"/>
      <c r="BB818" s="343"/>
      <c r="BC818" s="538"/>
      <c r="BD818" s="343"/>
      <c r="BE818" s="343"/>
      <c r="BG818" s="644"/>
      <c r="BH818" s="515"/>
      <c r="BI818" s="515"/>
      <c r="BJ818" s="644"/>
      <c r="BK818" s="515"/>
      <c r="BL818" s="515"/>
      <c r="BM818" s="644"/>
      <c r="BN818" s="515"/>
      <c r="BO818" s="515"/>
      <c r="BP818" s="644"/>
      <c r="BQ818" s="515"/>
      <c r="BR818" s="515"/>
    </row>
    <row r="819" spans="4:70" x14ac:dyDescent="0.25">
      <c r="D819" s="538"/>
      <c r="G819" s="538"/>
      <c r="J819" s="538"/>
      <c r="M819" s="538"/>
      <c r="R819" s="538"/>
      <c r="S819" s="343"/>
      <c r="T819" s="343"/>
      <c r="U819" s="538"/>
      <c r="V819" s="343"/>
      <c r="W819" s="343"/>
      <c r="X819" s="538"/>
      <c r="Y819" s="343"/>
      <c r="Z819" s="343"/>
      <c r="AA819" s="538"/>
      <c r="AB819" s="343"/>
      <c r="AC819" s="343"/>
      <c r="AE819" s="343"/>
      <c r="AF819" s="538"/>
      <c r="AG819" s="343"/>
      <c r="AH819" s="343"/>
      <c r="AI819" s="538"/>
      <c r="AJ819" s="343"/>
      <c r="AK819" s="343"/>
      <c r="AL819" s="538"/>
      <c r="AM819" s="343"/>
      <c r="AN819" s="343"/>
      <c r="AO819" s="538"/>
      <c r="AP819" s="343"/>
      <c r="AQ819" s="343"/>
      <c r="AS819" s="343"/>
      <c r="AT819" s="538"/>
      <c r="AU819" s="343"/>
      <c r="AV819" s="343"/>
      <c r="AW819" s="538"/>
      <c r="AX819" s="343"/>
      <c r="AY819" s="343"/>
      <c r="AZ819" s="538"/>
      <c r="BA819" s="343"/>
      <c r="BB819" s="343"/>
      <c r="BC819" s="538"/>
      <c r="BD819" s="343"/>
      <c r="BE819" s="343"/>
      <c r="BG819" s="644"/>
      <c r="BH819" s="515"/>
      <c r="BI819" s="515"/>
      <c r="BJ819" s="644"/>
      <c r="BK819" s="515"/>
      <c r="BL819" s="515"/>
      <c r="BM819" s="644"/>
      <c r="BN819" s="515"/>
      <c r="BO819" s="515"/>
      <c r="BP819" s="644"/>
      <c r="BQ819" s="515"/>
      <c r="BR819" s="515"/>
    </row>
    <row r="820" spans="4:70" x14ac:dyDescent="0.25">
      <c r="D820" s="538"/>
      <c r="G820" s="538"/>
      <c r="J820" s="538"/>
      <c r="M820" s="538"/>
      <c r="R820" s="538"/>
      <c r="S820" s="343"/>
      <c r="T820" s="343"/>
      <c r="U820" s="538"/>
      <c r="V820" s="343"/>
      <c r="W820" s="343"/>
      <c r="X820" s="538"/>
      <c r="Y820" s="343"/>
      <c r="Z820" s="343"/>
      <c r="AA820" s="538"/>
      <c r="AB820" s="343"/>
      <c r="AC820" s="343"/>
      <c r="AE820" s="343"/>
      <c r="AF820" s="538"/>
      <c r="AG820" s="343"/>
      <c r="AH820" s="343"/>
      <c r="AI820" s="538"/>
      <c r="AJ820" s="343"/>
      <c r="AK820" s="343"/>
      <c r="AL820" s="538"/>
      <c r="AM820" s="343"/>
      <c r="AN820" s="343"/>
      <c r="AO820" s="538"/>
      <c r="AP820" s="343"/>
      <c r="AQ820" s="343"/>
      <c r="AS820" s="343"/>
      <c r="AT820" s="538"/>
      <c r="AU820" s="343"/>
      <c r="AV820" s="343"/>
      <c r="AW820" s="538"/>
      <c r="AX820" s="343"/>
      <c r="AY820" s="343"/>
      <c r="AZ820" s="538"/>
      <c r="BA820" s="343"/>
      <c r="BB820" s="343"/>
      <c r="BC820" s="538"/>
      <c r="BD820" s="343"/>
      <c r="BE820" s="343"/>
      <c r="BG820" s="644"/>
      <c r="BH820" s="515"/>
      <c r="BI820" s="515"/>
      <c r="BJ820" s="644"/>
      <c r="BK820" s="515"/>
      <c r="BL820" s="515"/>
      <c r="BM820" s="644"/>
      <c r="BN820" s="515"/>
      <c r="BO820" s="515"/>
      <c r="BP820" s="644"/>
      <c r="BQ820" s="515"/>
      <c r="BR820" s="515"/>
    </row>
    <row r="821" spans="4:70" x14ac:dyDescent="0.25">
      <c r="D821" s="538"/>
      <c r="G821" s="538"/>
      <c r="J821" s="538"/>
      <c r="M821" s="538"/>
      <c r="R821" s="538"/>
      <c r="S821" s="343"/>
      <c r="T821" s="343"/>
      <c r="U821" s="538"/>
      <c r="V821" s="343"/>
      <c r="W821" s="343"/>
      <c r="X821" s="538"/>
      <c r="Y821" s="343"/>
      <c r="Z821" s="343"/>
      <c r="AA821" s="538"/>
      <c r="AB821" s="343"/>
      <c r="AC821" s="343"/>
      <c r="AE821" s="343"/>
      <c r="AF821" s="538"/>
      <c r="AG821" s="343"/>
      <c r="AH821" s="343"/>
      <c r="AI821" s="538"/>
      <c r="AJ821" s="343"/>
      <c r="AK821" s="343"/>
      <c r="AL821" s="538"/>
      <c r="AM821" s="343"/>
      <c r="AN821" s="343"/>
      <c r="AO821" s="538"/>
      <c r="AP821" s="343"/>
      <c r="AQ821" s="343"/>
      <c r="AS821" s="343"/>
      <c r="AT821" s="538"/>
      <c r="AU821" s="343"/>
      <c r="AV821" s="343"/>
      <c r="AW821" s="538"/>
      <c r="AX821" s="343"/>
      <c r="AY821" s="343"/>
      <c r="AZ821" s="538"/>
      <c r="BA821" s="343"/>
      <c r="BB821" s="343"/>
      <c r="BC821" s="538"/>
      <c r="BD821" s="343"/>
      <c r="BE821" s="343"/>
      <c r="BG821" s="644"/>
      <c r="BH821" s="515"/>
      <c r="BI821" s="515"/>
      <c r="BJ821" s="644"/>
      <c r="BK821" s="515"/>
      <c r="BL821" s="515"/>
      <c r="BM821" s="644"/>
      <c r="BN821" s="515"/>
      <c r="BO821" s="515"/>
      <c r="BP821" s="644"/>
      <c r="BQ821" s="515"/>
      <c r="BR821" s="515"/>
    </row>
    <row r="822" spans="4:70" x14ac:dyDescent="0.25">
      <c r="D822" s="538"/>
      <c r="G822" s="538"/>
      <c r="J822" s="538"/>
      <c r="M822" s="538"/>
      <c r="R822" s="538"/>
      <c r="S822" s="343"/>
      <c r="T822" s="343"/>
      <c r="U822" s="538"/>
      <c r="V822" s="343"/>
      <c r="W822" s="343"/>
      <c r="X822" s="538"/>
      <c r="Y822" s="343"/>
      <c r="Z822" s="343"/>
      <c r="AA822" s="538"/>
      <c r="AB822" s="343"/>
      <c r="AC822" s="343"/>
      <c r="AE822" s="343"/>
      <c r="AF822" s="538"/>
      <c r="AG822" s="343"/>
      <c r="AH822" s="343"/>
      <c r="AI822" s="538"/>
      <c r="AJ822" s="343"/>
      <c r="AK822" s="343"/>
      <c r="AL822" s="538"/>
      <c r="AM822" s="343"/>
      <c r="AN822" s="343"/>
      <c r="AO822" s="538"/>
      <c r="AP822" s="343"/>
      <c r="AQ822" s="343"/>
      <c r="AS822" s="343"/>
      <c r="AT822" s="538"/>
      <c r="AU822" s="343"/>
      <c r="AV822" s="343"/>
      <c r="AW822" s="538"/>
      <c r="AX822" s="343"/>
      <c r="AY822" s="343"/>
      <c r="AZ822" s="538"/>
      <c r="BA822" s="343"/>
      <c r="BB822" s="343"/>
      <c r="BC822" s="538"/>
      <c r="BD822" s="343"/>
      <c r="BE822" s="343"/>
      <c r="BG822" s="644"/>
      <c r="BH822" s="515"/>
      <c r="BI822" s="515"/>
      <c r="BJ822" s="644"/>
      <c r="BK822" s="515"/>
      <c r="BL822" s="515"/>
      <c r="BM822" s="644"/>
      <c r="BN822" s="515"/>
      <c r="BO822" s="515"/>
      <c r="BP822" s="644"/>
      <c r="BQ822" s="515"/>
      <c r="BR822" s="515"/>
    </row>
    <row r="823" spans="4:70" x14ac:dyDescent="0.25">
      <c r="D823" s="538"/>
      <c r="G823" s="538"/>
      <c r="J823" s="538"/>
      <c r="M823" s="538"/>
      <c r="R823" s="538"/>
      <c r="S823" s="343"/>
      <c r="T823" s="343"/>
      <c r="U823" s="538"/>
      <c r="V823" s="343"/>
      <c r="W823" s="343"/>
      <c r="X823" s="538"/>
      <c r="Y823" s="343"/>
      <c r="Z823" s="343"/>
      <c r="AA823" s="538"/>
      <c r="AB823" s="343"/>
      <c r="AC823" s="343"/>
      <c r="AE823" s="343"/>
      <c r="AF823" s="538"/>
      <c r="AG823" s="343"/>
      <c r="AH823" s="343"/>
      <c r="AI823" s="538"/>
      <c r="AJ823" s="343"/>
      <c r="AK823" s="343"/>
      <c r="AL823" s="538"/>
      <c r="AM823" s="343"/>
      <c r="AN823" s="343"/>
      <c r="AO823" s="538"/>
      <c r="AP823" s="343"/>
      <c r="AQ823" s="343"/>
      <c r="AS823" s="343"/>
      <c r="AT823" s="538"/>
      <c r="AU823" s="343"/>
      <c r="AV823" s="343"/>
      <c r="AW823" s="538"/>
      <c r="AX823" s="343"/>
      <c r="AY823" s="343"/>
      <c r="AZ823" s="538"/>
      <c r="BA823" s="343"/>
      <c r="BB823" s="343"/>
      <c r="BC823" s="538"/>
      <c r="BD823" s="343"/>
      <c r="BE823" s="343"/>
      <c r="BG823" s="644"/>
      <c r="BH823" s="515"/>
      <c r="BI823" s="515"/>
      <c r="BJ823" s="644"/>
      <c r="BK823" s="515"/>
      <c r="BL823" s="515"/>
      <c r="BM823" s="644"/>
      <c r="BN823" s="515"/>
      <c r="BO823" s="515"/>
      <c r="BP823" s="644"/>
      <c r="BQ823" s="515"/>
      <c r="BR823" s="515"/>
    </row>
    <row r="824" spans="4:70" x14ac:dyDescent="0.25">
      <c r="D824" s="538"/>
      <c r="G824" s="538"/>
      <c r="J824" s="538"/>
      <c r="M824" s="538"/>
      <c r="R824" s="538"/>
      <c r="S824" s="343"/>
      <c r="T824" s="343"/>
      <c r="U824" s="538"/>
      <c r="V824" s="343"/>
      <c r="W824" s="343"/>
      <c r="X824" s="538"/>
      <c r="Y824" s="343"/>
      <c r="Z824" s="343"/>
      <c r="AA824" s="538"/>
      <c r="AB824" s="343"/>
      <c r="AC824" s="343"/>
      <c r="AE824" s="343"/>
      <c r="AF824" s="538"/>
      <c r="AG824" s="343"/>
      <c r="AH824" s="343"/>
      <c r="AI824" s="538"/>
      <c r="AJ824" s="343"/>
      <c r="AK824" s="343"/>
      <c r="AL824" s="538"/>
      <c r="AM824" s="343"/>
      <c r="AN824" s="343"/>
      <c r="AO824" s="538"/>
      <c r="AP824" s="343"/>
      <c r="AQ824" s="343"/>
      <c r="AS824" s="343"/>
      <c r="AT824" s="538"/>
      <c r="AU824" s="343"/>
      <c r="AV824" s="343"/>
      <c r="AW824" s="538"/>
      <c r="AX824" s="343"/>
      <c r="AY824" s="343"/>
      <c r="AZ824" s="538"/>
      <c r="BA824" s="343"/>
      <c r="BB824" s="343"/>
      <c r="BC824" s="538"/>
      <c r="BD824" s="343"/>
      <c r="BE824" s="343"/>
      <c r="BG824" s="644"/>
      <c r="BH824" s="515"/>
      <c r="BI824" s="515"/>
      <c r="BJ824" s="644"/>
      <c r="BK824" s="515"/>
      <c r="BL824" s="515"/>
      <c r="BM824" s="644"/>
      <c r="BN824" s="515"/>
      <c r="BO824" s="515"/>
      <c r="BP824" s="644"/>
      <c r="BQ824" s="515"/>
      <c r="BR824" s="515"/>
    </row>
    <row r="825" spans="4:70" x14ac:dyDescent="0.25">
      <c r="D825" s="538"/>
      <c r="G825" s="538"/>
      <c r="J825" s="538"/>
      <c r="M825" s="538"/>
      <c r="R825" s="538"/>
      <c r="S825" s="343"/>
      <c r="T825" s="343"/>
      <c r="U825" s="538"/>
      <c r="V825" s="343"/>
      <c r="W825" s="343"/>
      <c r="X825" s="538"/>
      <c r="Y825" s="343"/>
      <c r="Z825" s="343"/>
      <c r="AA825" s="538"/>
      <c r="AB825" s="343"/>
      <c r="AC825" s="343"/>
      <c r="AE825" s="343"/>
      <c r="AF825" s="538"/>
      <c r="AG825" s="343"/>
      <c r="AH825" s="343"/>
      <c r="AI825" s="538"/>
      <c r="AJ825" s="343"/>
      <c r="AK825" s="343"/>
      <c r="AL825" s="538"/>
      <c r="AM825" s="343"/>
      <c r="AN825" s="343"/>
      <c r="AO825" s="538"/>
      <c r="AP825" s="343"/>
      <c r="AQ825" s="343"/>
      <c r="AS825" s="343"/>
      <c r="AT825" s="538"/>
      <c r="AU825" s="343"/>
      <c r="AV825" s="343"/>
      <c r="AW825" s="538"/>
      <c r="AX825" s="343"/>
      <c r="AY825" s="343"/>
      <c r="AZ825" s="538"/>
      <c r="BA825" s="343"/>
      <c r="BB825" s="343"/>
      <c r="BC825" s="538"/>
      <c r="BD825" s="343"/>
      <c r="BE825" s="343"/>
      <c r="BG825" s="644"/>
      <c r="BH825" s="515"/>
      <c r="BI825" s="515"/>
      <c r="BJ825" s="644"/>
      <c r="BK825" s="515"/>
      <c r="BL825" s="515"/>
      <c r="BM825" s="644"/>
      <c r="BN825" s="515"/>
      <c r="BO825" s="515"/>
      <c r="BP825" s="644"/>
      <c r="BQ825" s="515"/>
      <c r="BR825" s="515"/>
    </row>
    <row r="826" spans="4:70" x14ac:dyDescent="0.25">
      <c r="D826" s="538"/>
      <c r="G826" s="538"/>
      <c r="J826" s="538"/>
      <c r="M826" s="538"/>
      <c r="R826" s="538"/>
      <c r="S826" s="343"/>
      <c r="T826" s="343"/>
      <c r="U826" s="538"/>
      <c r="V826" s="343"/>
      <c r="W826" s="343"/>
      <c r="X826" s="538"/>
      <c r="Y826" s="343"/>
      <c r="Z826" s="343"/>
      <c r="AA826" s="538"/>
      <c r="AB826" s="343"/>
      <c r="AC826" s="343"/>
      <c r="AE826" s="343"/>
      <c r="AF826" s="538"/>
      <c r="AG826" s="343"/>
      <c r="AH826" s="343"/>
      <c r="AI826" s="538"/>
      <c r="AJ826" s="343"/>
      <c r="AK826" s="343"/>
      <c r="AL826" s="538"/>
      <c r="AM826" s="343"/>
      <c r="AN826" s="343"/>
      <c r="AO826" s="538"/>
      <c r="AP826" s="343"/>
      <c r="AQ826" s="343"/>
      <c r="AS826" s="343"/>
      <c r="AT826" s="538"/>
      <c r="AU826" s="343"/>
      <c r="AV826" s="343"/>
      <c r="AW826" s="538"/>
      <c r="AX826" s="343"/>
      <c r="AY826" s="343"/>
      <c r="AZ826" s="538"/>
      <c r="BA826" s="343"/>
      <c r="BB826" s="343"/>
      <c r="BC826" s="538"/>
      <c r="BD826" s="343"/>
      <c r="BE826" s="343"/>
      <c r="BG826" s="644"/>
      <c r="BH826" s="515"/>
      <c r="BI826" s="515"/>
      <c r="BJ826" s="644"/>
      <c r="BK826" s="515"/>
      <c r="BL826" s="515"/>
      <c r="BM826" s="644"/>
      <c r="BN826" s="515"/>
      <c r="BO826" s="515"/>
      <c r="BP826" s="644"/>
      <c r="BQ826" s="515"/>
      <c r="BR826" s="515"/>
    </row>
    <row r="827" spans="4:70" x14ac:dyDescent="0.25">
      <c r="D827" s="538"/>
      <c r="G827" s="538"/>
      <c r="J827" s="538"/>
      <c r="M827" s="538"/>
      <c r="R827" s="538"/>
      <c r="S827" s="343"/>
      <c r="T827" s="343"/>
      <c r="U827" s="538"/>
      <c r="V827" s="343"/>
      <c r="W827" s="343"/>
      <c r="X827" s="538"/>
      <c r="Y827" s="343"/>
      <c r="Z827" s="343"/>
      <c r="AA827" s="538"/>
      <c r="AB827" s="343"/>
      <c r="AC827" s="343"/>
      <c r="AE827" s="343"/>
      <c r="AF827" s="538"/>
      <c r="AG827" s="343"/>
      <c r="AH827" s="343"/>
      <c r="AI827" s="538"/>
      <c r="AJ827" s="343"/>
      <c r="AK827" s="343"/>
      <c r="AL827" s="538"/>
      <c r="AM827" s="343"/>
      <c r="AN827" s="343"/>
      <c r="AO827" s="538"/>
      <c r="AP827" s="343"/>
      <c r="AQ827" s="343"/>
      <c r="AS827" s="343"/>
      <c r="AT827" s="538"/>
      <c r="AU827" s="343"/>
      <c r="AV827" s="343"/>
      <c r="AW827" s="538"/>
      <c r="AX827" s="343"/>
      <c r="AY827" s="343"/>
      <c r="AZ827" s="538"/>
      <c r="BA827" s="343"/>
      <c r="BB827" s="343"/>
      <c r="BC827" s="538"/>
      <c r="BD827" s="343"/>
      <c r="BE827" s="343"/>
      <c r="BG827" s="644"/>
      <c r="BH827" s="515"/>
      <c r="BI827" s="515"/>
      <c r="BJ827" s="644"/>
      <c r="BK827" s="515"/>
      <c r="BL827" s="515"/>
      <c r="BM827" s="644"/>
      <c r="BN827" s="515"/>
      <c r="BO827" s="515"/>
      <c r="BP827" s="644"/>
      <c r="BQ827" s="515"/>
      <c r="BR827" s="515"/>
    </row>
    <row r="828" spans="4:70" x14ac:dyDescent="0.25">
      <c r="D828" s="538"/>
      <c r="G828" s="538"/>
      <c r="J828" s="538"/>
      <c r="M828" s="538"/>
      <c r="R828" s="538"/>
      <c r="S828" s="343"/>
      <c r="T828" s="343"/>
      <c r="U828" s="538"/>
      <c r="V828" s="343"/>
      <c r="W828" s="343"/>
      <c r="X828" s="538"/>
      <c r="Y828" s="343"/>
      <c r="Z828" s="343"/>
      <c r="AA828" s="538"/>
      <c r="AB828" s="343"/>
      <c r="AC828" s="343"/>
      <c r="AE828" s="343"/>
      <c r="AF828" s="538"/>
      <c r="AG828" s="343"/>
      <c r="AH828" s="343"/>
      <c r="AI828" s="538"/>
      <c r="AJ828" s="343"/>
      <c r="AK828" s="343"/>
      <c r="AL828" s="538"/>
      <c r="AM828" s="343"/>
      <c r="AN828" s="343"/>
      <c r="AO828" s="538"/>
      <c r="AP828" s="343"/>
      <c r="AQ828" s="343"/>
      <c r="AS828" s="343"/>
      <c r="AT828" s="538"/>
      <c r="AU828" s="343"/>
      <c r="AV828" s="343"/>
      <c r="AW828" s="538"/>
      <c r="AX828" s="343"/>
      <c r="AY828" s="343"/>
      <c r="AZ828" s="538"/>
      <c r="BA828" s="343"/>
      <c r="BB828" s="343"/>
      <c r="BC828" s="538"/>
      <c r="BD828" s="343"/>
      <c r="BE828" s="343"/>
      <c r="BG828" s="644"/>
      <c r="BH828" s="515"/>
      <c r="BI828" s="515"/>
      <c r="BJ828" s="644"/>
      <c r="BK828" s="515"/>
      <c r="BL828" s="515"/>
      <c r="BM828" s="644"/>
      <c r="BN828" s="515"/>
      <c r="BO828" s="515"/>
      <c r="BP828" s="644"/>
      <c r="BQ828" s="515"/>
      <c r="BR828" s="515"/>
    </row>
    <row r="829" spans="4:70" x14ac:dyDescent="0.25">
      <c r="D829" s="538"/>
      <c r="G829" s="538"/>
      <c r="J829" s="538"/>
      <c r="M829" s="538"/>
      <c r="R829" s="538"/>
      <c r="S829" s="343"/>
      <c r="T829" s="343"/>
      <c r="U829" s="538"/>
      <c r="V829" s="343"/>
      <c r="W829" s="343"/>
      <c r="X829" s="538"/>
      <c r="Y829" s="343"/>
      <c r="Z829" s="343"/>
      <c r="AA829" s="538"/>
      <c r="AB829" s="343"/>
      <c r="AC829" s="343"/>
      <c r="AE829" s="343"/>
      <c r="AF829" s="538"/>
      <c r="AG829" s="343"/>
      <c r="AH829" s="343"/>
      <c r="AI829" s="538"/>
      <c r="AJ829" s="343"/>
      <c r="AK829" s="343"/>
      <c r="AL829" s="538"/>
      <c r="AM829" s="343"/>
      <c r="AN829" s="343"/>
      <c r="AO829" s="538"/>
      <c r="AP829" s="343"/>
      <c r="AQ829" s="343"/>
      <c r="AS829" s="343"/>
      <c r="AT829" s="538"/>
      <c r="AU829" s="343"/>
      <c r="AV829" s="343"/>
      <c r="AW829" s="538"/>
      <c r="AX829" s="343"/>
      <c r="AY829" s="343"/>
      <c r="AZ829" s="538"/>
      <c r="BA829" s="343"/>
      <c r="BB829" s="343"/>
      <c r="BC829" s="538"/>
      <c r="BD829" s="343"/>
      <c r="BE829" s="343"/>
      <c r="BG829" s="644"/>
      <c r="BH829" s="515"/>
      <c r="BI829" s="515"/>
      <c r="BJ829" s="644"/>
      <c r="BK829" s="515"/>
      <c r="BL829" s="515"/>
      <c r="BM829" s="644"/>
      <c r="BN829" s="515"/>
      <c r="BO829" s="515"/>
      <c r="BP829" s="644"/>
      <c r="BQ829" s="515"/>
      <c r="BR829" s="515"/>
    </row>
    <row r="830" spans="4:70" x14ac:dyDescent="0.25">
      <c r="D830" s="538"/>
      <c r="G830" s="538"/>
      <c r="J830" s="538"/>
      <c r="M830" s="538"/>
      <c r="R830" s="538"/>
      <c r="S830" s="343"/>
      <c r="T830" s="343"/>
      <c r="U830" s="538"/>
      <c r="V830" s="343"/>
      <c r="W830" s="343"/>
      <c r="X830" s="538"/>
      <c r="Y830" s="343"/>
      <c r="Z830" s="343"/>
      <c r="AA830" s="538"/>
      <c r="AB830" s="343"/>
      <c r="AC830" s="343"/>
      <c r="AE830" s="343"/>
      <c r="AF830" s="538"/>
      <c r="AG830" s="343"/>
      <c r="AH830" s="343"/>
      <c r="AI830" s="538"/>
      <c r="AJ830" s="343"/>
      <c r="AK830" s="343"/>
      <c r="AL830" s="538"/>
      <c r="AM830" s="343"/>
      <c r="AN830" s="343"/>
      <c r="AO830" s="538"/>
      <c r="AP830" s="343"/>
      <c r="AQ830" s="343"/>
      <c r="AS830" s="343"/>
      <c r="AT830" s="538"/>
      <c r="AU830" s="343"/>
      <c r="AV830" s="343"/>
      <c r="AW830" s="538"/>
      <c r="AX830" s="343"/>
      <c r="AY830" s="343"/>
      <c r="AZ830" s="538"/>
      <c r="BA830" s="343"/>
      <c r="BB830" s="343"/>
      <c r="BC830" s="538"/>
      <c r="BD830" s="343"/>
      <c r="BE830" s="343"/>
      <c r="BG830" s="644"/>
      <c r="BH830" s="515"/>
      <c r="BI830" s="515"/>
      <c r="BJ830" s="644"/>
      <c r="BK830" s="515"/>
      <c r="BL830" s="515"/>
      <c r="BM830" s="644"/>
      <c r="BN830" s="515"/>
      <c r="BO830" s="515"/>
      <c r="BP830" s="644"/>
      <c r="BQ830" s="515"/>
      <c r="BR830" s="515"/>
    </row>
    <row r="831" spans="4:70" x14ac:dyDescent="0.25">
      <c r="D831" s="538"/>
      <c r="G831" s="538"/>
      <c r="J831" s="538"/>
      <c r="M831" s="538"/>
      <c r="R831" s="538"/>
      <c r="S831" s="343"/>
      <c r="T831" s="343"/>
      <c r="U831" s="538"/>
      <c r="V831" s="343"/>
      <c r="W831" s="343"/>
      <c r="X831" s="538"/>
      <c r="Y831" s="343"/>
      <c r="Z831" s="343"/>
      <c r="AA831" s="538"/>
      <c r="AB831" s="343"/>
      <c r="AC831" s="343"/>
      <c r="AE831" s="343"/>
      <c r="AF831" s="538"/>
      <c r="AG831" s="343"/>
      <c r="AH831" s="343"/>
      <c r="AI831" s="538"/>
      <c r="AJ831" s="343"/>
      <c r="AK831" s="343"/>
      <c r="AL831" s="538"/>
      <c r="AM831" s="343"/>
      <c r="AN831" s="343"/>
      <c r="AO831" s="538"/>
      <c r="AP831" s="343"/>
      <c r="AQ831" s="343"/>
      <c r="AS831" s="343"/>
      <c r="AT831" s="538"/>
      <c r="AU831" s="343"/>
      <c r="AV831" s="343"/>
      <c r="AW831" s="538"/>
      <c r="AX831" s="343"/>
      <c r="AY831" s="343"/>
      <c r="AZ831" s="538"/>
      <c r="BA831" s="343"/>
      <c r="BB831" s="343"/>
      <c r="BC831" s="538"/>
      <c r="BD831" s="343"/>
      <c r="BE831" s="343"/>
      <c r="BG831" s="644"/>
      <c r="BH831" s="515"/>
      <c r="BI831" s="515"/>
      <c r="BJ831" s="644"/>
      <c r="BK831" s="515"/>
      <c r="BL831" s="515"/>
      <c r="BM831" s="644"/>
      <c r="BN831" s="515"/>
      <c r="BO831" s="515"/>
      <c r="BP831" s="644"/>
      <c r="BQ831" s="515"/>
      <c r="BR831" s="515"/>
    </row>
    <row r="832" spans="4:70" x14ac:dyDescent="0.25">
      <c r="D832" s="538"/>
      <c r="G832" s="538"/>
      <c r="J832" s="538"/>
      <c r="M832" s="538"/>
      <c r="R832" s="538"/>
      <c r="S832" s="343"/>
      <c r="T832" s="343"/>
      <c r="U832" s="538"/>
      <c r="V832" s="343"/>
      <c r="W832" s="343"/>
      <c r="X832" s="538"/>
      <c r="Y832" s="343"/>
      <c r="Z832" s="343"/>
      <c r="AA832" s="538"/>
      <c r="AB832" s="343"/>
      <c r="AC832" s="343"/>
      <c r="AE832" s="343"/>
      <c r="AF832" s="538"/>
      <c r="AG832" s="343"/>
      <c r="AH832" s="343"/>
      <c r="AI832" s="538"/>
      <c r="AJ832" s="343"/>
      <c r="AK832" s="343"/>
      <c r="AL832" s="538"/>
      <c r="AM832" s="343"/>
      <c r="AN832" s="343"/>
      <c r="AO832" s="538"/>
      <c r="AP832" s="343"/>
      <c r="AQ832" s="343"/>
      <c r="AS832" s="343"/>
      <c r="AT832" s="538"/>
      <c r="AU832" s="343"/>
      <c r="AV832" s="343"/>
      <c r="AW832" s="538"/>
      <c r="AX832" s="343"/>
      <c r="AY832" s="343"/>
      <c r="AZ832" s="538"/>
      <c r="BA832" s="343"/>
      <c r="BB832" s="343"/>
      <c r="BC832" s="538"/>
      <c r="BD832" s="343"/>
      <c r="BE832" s="343"/>
      <c r="BG832" s="644"/>
      <c r="BH832" s="515"/>
      <c r="BI832" s="515"/>
      <c r="BJ832" s="644"/>
      <c r="BK832" s="515"/>
      <c r="BL832" s="515"/>
      <c r="BM832" s="644"/>
      <c r="BN832" s="515"/>
      <c r="BO832" s="515"/>
      <c r="BP832" s="644"/>
      <c r="BQ832" s="515"/>
      <c r="BR832" s="515"/>
    </row>
    <row r="833" spans="4:70" x14ac:dyDescent="0.25">
      <c r="D833" s="538"/>
      <c r="G833" s="538"/>
      <c r="J833" s="538"/>
      <c r="M833" s="538"/>
      <c r="R833" s="538"/>
      <c r="S833" s="343"/>
      <c r="T833" s="343"/>
      <c r="U833" s="538"/>
      <c r="V833" s="343"/>
      <c r="W833" s="343"/>
      <c r="X833" s="538"/>
      <c r="Y833" s="343"/>
      <c r="Z833" s="343"/>
      <c r="AA833" s="538"/>
      <c r="AB833" s="343"/>
      <c r="AC833" s="343"/>
      <c r="AE833" s="343"/>
      <c r="AF833" s="538"/>
      <c r="AG833" s="343"/>
      <c r="AH833" s="343"/>
      <c r="AI833" s="538"/>
      <c r="AJ833" s="343"/>
      <c r="AK833" s="343"/>
      <c r="AL833" s="538"/>
      <c r="AM833" s="343"/>
      <c r="AN833" s="343"/>
      <c r="AO833" s="538"/>
      <c r="AP833" s="343"/>
      <c r="AQ833" s="343"/>
      <c r="AS833" s="343"/>
      <c r="AT833" s="538"/>
      <c r="AU833" s="343"/>
      <c r="AV833" s="343"/>
      <c r="AW833" s="538"/>
      <c r="AX833" s="343"/>
      <c r="AY833" s="343"/>
      <c r="AZ833" s="538"/>
      <c r="BA833" s="343"/>
      <c r="BB833" s="343"/>
      <c r="BC833" s="538"/>
      <c r="BD833" s="343"/>
      <c r="BE833" s="343"/>
      <c r="BG833" s="644"/>
      <c r="BH833" s="515"/>
      <c r="BI833" s="515"/>
      <c r="BJ833" s="644"/>
      <c r="BK833" s="515"/>
      <c r="BL833" s="515"/>
      <c r="BM833" s="644"/>
      <c r="BN833" s="515"/>
      <c r="BO833" s="515"/>
      <c r="BP833" s="644"/>
      <c r="BQ833" s="515"/>
      <c r="BR833" s="515"/>
    </row>
    <row r="834" spans="4:70" x14ac:dyDescent="0.25">
      <c r="D834" s="538"/>
      <c r="G834" s="538"/>
      <c r="J834" s="538"/>
      <c r="M834" s="538"/>
      <c r="R834" s="538"/>
      <c r="S834" s="343"/>
      <c r="T834" s="343"/>
      <c r="U834" s="538"/>
      <c r="V834" s="343"/>
      <c r="W834" s="343"/>
      <c r="X834" s="538"/>
      <c r="Y834" s="343"/>
      <c r="Z834" s="343"/>
      <c r="AA834" s="538"/>
      <c r="AB834" s="343"/>
      <c r="AC834" s="343"/>
      <c r="AE834" s="343"/>
      <c r="AF834" s="538"/>
      <c r="AG834" s="343"/>
      <c r="AH834" s="343"/>
      <c r="AI834" s="538"/>
      <c r="AJ834" s="343"/>
      <c r="AK834" s="343"/>
      <c r="AL834" s="538"/>
      <c r="AM834" s="343"/>
      <c r="AN834" s="343"/>
      <c r="AO834" s="538"/>
      <c r="AP834" s="343"/>
      <c r="AQ834" s="343"/>
      <c r="AS834" s="343"/>
      <c r="AT834" s="538"/>
      <c r="AU834" s="343"/>
      <c r="AV834" s="343"/>
      <c r="AW834" s="538"/>
      <c r="AX834" s="343"/>
      <c r="AY834" s="343"/>
      <c r="AZ834" s="538"/>
      <c r="BA834" s="343"/>
      <c r="BB834" s="343"/>
      <c r="BC834" s="538"/>
      <c r="BD834" s="343"/>
      <c r="BE834" s="343"/>
      <c r="BG834" s="644"/>
      <c r="BH834" s="515"/>
      <c r="BI834" s="515"/>
      <c r="BJ834" s="644"/>
      <c r="BK834" s="515"/>
      <c r="BL834" s="515"/>
      <c r="BM834" s="644"/>
      <c r="BN834" s="515"/>
      <c r="BO834" s="515"/>
      <c r="BP834" s="644"/>
      <c r="BQ834" s="515"/>
      <c r="BR834" s="515"/>
    </row>
    <row r="835" spans="4:70" x14ac:dyDescent="0.25">
      <c r="D835" s="538"/>
      <c r="G835" s="538"/>
      <c r="J835" s="538"/>
      <c r="M835" s="538"/>
      <c r="R835" s="538"/>
      <c r="S835" s="343"/>
      <c r="T835" s="343"/>
      <c r="U835" s="538"/>
      <c r="V835" s="343"/>
      <c r="W835" s="343"/>
      <c r="X835" s="538"/>
      <c r="Y835" s="343"/>
      <c r="Z835" s="343"/>
      <c r="AA835" s="538"/>
      <c r="AB835" s="343"/>
      <c r="AC835" s="343"/>
      <c r="AE835" s="343"/>
      <c r="AF835" s="538"/>
      <c r="AG835" s="343"/>
      <c r="AH835" s="343"/>
      <c r="AI835" s="538"/>
      <c r="AJ835" s="343"/>
      <c r="AK835" s="343"/>
      <c r="AL835" s="538"/>
      <c r="AM835" s="343"/>
      <c r="AN835" s="343"/>
      <c r="AO835" s="538"/>
      <c r="AP835" s="343"/>
      <c r="AQ835" s="343"/>
      <c r="AS835" s="343"/>
      <c r="AT835" s="538"/>
      <c r="AU835" s="343"/>
      <c r="AV835" s="343"/>
      <c r="AW835" s="538"/>
      <c r="AX835" s="343"/>
      <c r="AY835" s="343"/>
      <c r="AZ835" s="538"/>
      <c r="BA835" s="343"/>
      <c r="BB835" s="343"/>
      <c r="BC835" s="538"/>
      <c r="BD835" s="343"/>
      <c r="BE835" s="343"/>
      <c r="BG835" s="644"/>
      <c r="BH835" s="515"/>
      <c r="BI835" s="515"/>
      <c r="BJ835" s="644"/>
      <c r="BK835" s="515"/>
      <c r="BL835" s="515"/>
      <c r="BM835" s="644"/>
      <c r="BN835" s="515"/>
      <c r="BO835" s="515"/>
      <c r="BP835" s="644"/>
      <c r="BQ835" s="515"/>
      <c r="BR835" s="515"/>
    </row>
    <row r="836" spans="4:70" x14ac:dyDescent="0.25">
      <c r="D836" s="538"/>
      <c r="G836" s="538"/>
      <c r="J836" s="538"/>
      <c r="M836" s="538"/>
      <c r="R836" s="538"/>
      <c r="S836" s="343"/>
      <c r="T836" s="343"/>
      <c r="U836" s="538"/>
      <c r="V836" s="343"/>
      <c r="W836" s="343"/>
      <c r="X836" s="538"/>
      <c r="Y836" s="343"/>
      <c r="Z836" s="343"/>
      <c r="AA836" s="538"/>
      <c r="AB836" s="343"/>
      <c r="AC836" s="343"/>
      <c r="AE836" s="343"/>
      <c r="AF836" s="538"/>
      <c r="AG836" s="343"/>
      <c r="AH836" s="343"/>
      <c r="AI836" s="538"/>
      <c r="AJ836" s="343"/>
      <c r="AK836" s="343"/>
      <c r="AL836" s="538"/>
      <c r="AM836" s="343"/>
      <c r="AN836" s="343"/>
      <c r="AO836" s="538"/>
      <c r="AP836" s="343"/>
      <c r="AQ836" s="343"/>
      <c r="AS836" s="343"/>
      <c r="AT836" s="538"/>
      <c r="AU836" s="343"/>
      <c r="AV836" s="343"/>
      <c r="AW836" s="538"/>
      <c r="AX836" s="343"/>
      <c r="AY836" s="343"/>
      <c r="AZ836" s="538"/>
      <c r="BA836" s="343"/>
      <c r="BB836" s="343"/>
      <c r="BC836" s="538"/>
      <c r="BD836" s="343"/>
      <c r="BE836" s="343"/>
      <c r="BG836" s="644"/>
      <c r="BH836" s="515"/>
      <c r="BI836" s="515"/>
      <c r="BJ836" s="644"/>
      <c r="BK836" s="515"/>
      <c r="BL836" s="515"/>
      <c r="BM836" s="644"/>
      <c r="BN836" s="515"/>
      <c r="BO836" s="515"/>
      <c r="BP836" s="644"/>
      <c r="BQ836" s="515"/>
      <c r="BR836" s="515"/>
    </row>
    <row r="837" spans="4:70" x14ac:dyDescent="0.25">
      <c r="D837" s="538"/>
      <c r="G837" s="538"/>
      <c r="J837" s="538"/>
      <c r="M837" s="538"/>
      <c r="R837" s="538"/>
      <c r="S837" s="343"/>
      <c r="T837" s="343"/>
      <c r="U837" s="538"/>
      <c r="V837" s="343"/>
      <c r="W837" s="343"/>
      <c r="X837" s="538"/>
      <c r="Y837" s="343"/>
      <c r="Z837" s="343"/>
      <c r="AA837" s="538"/>
      <c r="AB837" s="343"/>
      <c r="AC837" s="343"/>
      <c r="AE837" s="343"/>
      <c r="AF837" s="538"/>
      <c r="AG837" s="343"/>
      <c r="AH837" s="343"/>
      <c r="AI837" s="538"/>
      <c r="AJ837" s="343"/>
      <c r="AK837" s="343"/>
      <c r="AL837" s="538"/>
      <c r="AM837" s="343"/>
      <c r="AN837" s="343"/>
      <c r="AO837" s="538"/>
      <c r="AP837" s="343"/>
      <c r="AQ837" s="343"/>
      <c r="AS837" s="343"/>
      <c r="AT837" s="538"/>
      <c r="AU837" s="343"/>
      <c r="AV837" s="343"/>
      <c r="AW837" s="538"/>
      <c r="AX837" s="343"/>
      <c r="AY837" s="343"/>
      <c r="AZ837" s="538"/>
      <c r="BA837" s="343"/>
      <c r="BB837" s="343"/>
      <c r="BC837" s="538"/>
      <c r="BD837" s="343"/>
      <c r="BE837" s="343"/>
      <c r="BG837" s="644"/>
      <c r="BH837" s="515"/>
      <c r="BI837" s="515"/>
      <c r="BJ837" s="644"/>
      <c r="BK837" s="515"/>
      <c r="BL837" s="515"/>
      <c r="BM837" s="644"/>
      <c r="BN837" s="515"/>
      <c r="BO837" s="515"/>
      <c r="BP837" s="644"/>
      <c r="BQ837" s="515"/>
      <c r="BR837" s="515"/>
    </row>
    <row r="838" spans="4:70" x14ac:dyDescent="0.25">
      <c r="D838" s="538"/>
      <c r="G838" s="538"/>
      <c r="J838" s="538"/>
      <c r="M838" s="538"/>
      <c r="R838" s="538"/>
      <c r="S838" s="343"/>
      <c r="T838" s="343"/>
      <c r="U838" s="538"/>
      <c r="V838" s="343"/>
      <c r="W838" s="343"/>
      <c r="X838" s="538"/>
      <c r="Y838" s="343"/>
      <c r="Z838" s="343"/>
      <c r="AA838" s="538"/>
      <c r="AB838" s="343"/>
      <c r="AC838" s="343"/>
      <c r="AE838" s="343"/>
      <c r="AF838" s="538"/>
      <c r="AG838" s="343"/>
      <c r="AH838" s="343"/>
      <c r="AI838" s="538"/>
      <c r="AJ838" s="343"/>
      <c r="AK838" s="343"/>
      <c r="AL838" s="538"/>
      <c r="AM838" s="343"/>
      <c r="AN838" s="343"/>
      <c r="AO838" s="538"/>
      <c r="AP838" s="343"/>
      <c r="AQ838" s="343"/>
      <c r="AS838" s="343"/>
      <c r="AT838" s="538"/>
      <c r="AU838" s="343"/>
      <c r="AV838" s="343"/>
      <c r="AW838" s="538"/>
      <c r="AX838" s="343"/>
      <c r="AY838" s="343"/>
      <c r="AZ838" s="538"/>
      <c r="BA838" s="343"/>
      <c r="BB838" s="343"/>
      <c r="BC838" s="538"/>
      <c r="BD838" s="343"/>
      <c r="BE838" s="343"/>
      <c r="BG838" s="644"/>
      <c r="BH838" s="515"/>
      <c r="BI838" s="515"/>
      <c r="BJ838" s="644"/>
      <c r="BK838" s="515"/>
      <c r="BL838" s="515"/>
      <c r="BM838" s="644"/>
      <c r="BN838" s="515"/>
      <c r="BO838" s="515"/>
      <c r="BP838" s="644"/>
      <c r="BQ838" s="515"/>
      <c r="BR838" s="515"/>
    </row>
    <row r="839" spans="4:70" x14ac:dyDescent="0.25">
      <c r="D839" s="538"/>
      <c r="G839" s="538"/>
      <c r="J839" s="538"/>
      <c r="M839" s="538"/>
      <c r="R839" s="538"/>
      <c r="S839" s="343"/>
      <c r="T839" s="343"/>
      <c r="U839" s="538"/>
      <c r="V839" s="343"/>
      <c r="W839" s="343"/>
      <c r="X839" s="538"/>
      <c r="Y839" s="343"/>
      <c r="Z839" s="343"/>
      <c r="AA839" s="538"/>
      <c r="AB839" s="343"/>
      <c r="AC839" s="343"/>
      <c r="AE839" s="343"/>
      <c r="AF839" s="538"/>
      <c r="AG839" s="343"/>
      <c r="AH839" s="343"/>
      <c r="AI839" s="538"/>
      <c r="AJ839" s="343"/>
      <c r="AK839" s="343"/>
      <c r="AL839" s="538"/>
      <c r="AM839" s="343"/>
      <c r="AN839" s="343"/>
      <c r="AO839" s="538"/>
      <c r="AP839" s="343"/>
      <c r="AQ839" s="343"/>
      <c r="AS839" s="343"/>
      <c r="AT839" s="538"/>
      <c r="AU839" s="343"/>
      <c r="AV839" s="343"/>
      <c r="AW839" s="538"/>
      <c r="AX839" s="343"/>
      <c r="AY839" s="343"/>
      <c r="AZ839" s="538"/>
      <c r="BA839" s="343"/>
      <c r="BB839" s="343"/>
      <c r="BC839" s="538"/>
      <c r="BD839" s="343"/>
      <c r="BE839" s="343"/>
      <c r="BG839" s="644"/>
      <c r="BH839" s="515"/>
      <c r="BI839" s="515"/>
      <c r="BJ839" s="644"/>
      <c r="BK839" s="515"/>
      <c r="BL839" s="515"/>
      <c r="BM839" s="644"/>
      <c r="BN839" s="515"/>
      <c r="BO839" s="515"/>
      <c r="BP839" s="644"/>
      <c r="BQ839" s="515"/>
      <c r="BR839" s="515"/>
    </row>
    <row r="840" spans="4:70" x14ac:dyDescent="0.25">
      <c r="D840" s="538"/>
      <c r="G840" s="538"/>
      <c r="J840" s="538"/>
      <c r="M840" s="538"/>
      <c r="R840" s="538"/>
      <c r="S840" s="343"/>
      <c r="T840" s="343"/>
      <c r="U840" s="538"/>
      <c r="V840" s="343"/>
      <c r="W840" s="343"/>
      <c r="X840" s="538"/>
      <c r="Y840" s="343"/>
      <c r="Z840" s="343"/>
      <c r="AA840" s="538"/>
      <c r="AB840" s="343"/>
      <c r="AC840" s="343"/>
      <c r="AE840" s="343"/>
      <c r="AF840" s="538"/>
      <c r="AG840" s="343"/>
      <c r="AH840" s="343"/>
      <c r="AI840" s="538"/>
      <c r="AJ840" s="343"/>
      <c r="AK840" s="343"/>
      <c r="AL840" s="538"/>
      <c r="AM840" s="343"/>
      <c r="AN840" s="343"/>
      <c r="AO840" s="538"/>
      <c r="AP840" s="343"/>
      <c r="AQ840" s="343"/>
      <c r="AS840" s="343"/>
      <c r="AT840" s="538"/>
      <c r="AU840" s="343"/>
      <c r="AV840" s="343"/>
      <c r="AW840" s="538"/>
      <c r="AX840" s="343"/>
      <c r="AY840" s="343"/>
      <c r="AZ840" s="538"/>
      <c r="BA840" s="343"/>
      <c r="BB840" s="343"/>
      <c r="BC840" s="538"/>
      <c r="BD840" s="343"/>
      <c r="BE840" s="343"/>
      <c r="BG840" s="644"/>
      <c r="BH840" s="515"/>
      <c r="BI840" s="515"/>
      <c r="BJ840" s="644"/>
      <c r="BK840" s="515"/>
      <c r="BL840" s="515"/>
      <c r="BM840" s="644"/>
      <c r="BN840" s="515"/>
      <c r="BO840" s="515"/>
      <c r="BP840" s="644"/>
      <c r="BQ840" s="515"/>
      <c r="BR840" s="515"/>
    </row>
    <row r="841" spans="4:70" x14ac:dyDescent="0.25">
      <c r="D841" s="538"/>
      <c r="G841" s="538"/>
      <c r="J841" s="538"/>
      <c r="M841" s="538"/>
      <c r="R841" s="538"/>
      <c r="S841" s="343"/>
      <c r="T841" s="343"/>
      <c r="U841" s="538"/>
      <c r="V841" s="343"/>
      <c r="W841" s="343"/>
      <c r="X841" s="538"/>
      <c r="Y841" s="343"/>
      <c r="Z841" s="343"/>
      <c r="AA841" s="538"/>
      <c r="AB841" s="343"/>
      <c r="AC841" s="343"/>
      <c r="AE841" s="343"/>
      <c r="AF841" s="538"/>
      <c r="AG841" s="343"/>
      <c r="AH841" s="343"/>
      <c r="AI841" s="538"/>
      <c r="AJ841" s="343"/>
      <c r="AK841" s="343"/>
      <c r="AL841" s="538"/>
      <c r="AM841" s="343"/>
      <c r="AN841" s="343"/>
      <c r="AO841" s="538"/>
      <c r="AP841" s="343"/>
      <c r="AQ841" s="343"/>
      <c r="AS841" s="343"/>
      <c r="AT841" s="538"/>
      <c r="AU841" s="343"/>
      <c r="AV841" s="343"/>
      <c r="AW841" s="538"/>
      <c r="AX841" s="343"/>
      <c r="AY841" s="343"/>
      <c r="AZ841" s="538"/>
      <c r="BA841" s="343"/>
      <c r="BB841" s="343"/>
      <c r="BC841" s="538"/>
      <c r="BD841" s="343"/>
      <c r="BE841" s="343"/>
      <c r="BG841" s="644"/>
      <c r="BH841" s="515"/>
      <c r="BI841" s="515"/>
      <c r="BJ841" s="644"/>
      <c r="BK841" s="515"/>
      <c r="BL841" s="515"/>
      <c r="BM841" s="644"/>
      <c r="BN841" s="515"/>
      <c r="BO841" s="515"/>
      <c r="BP841" s="644"/>
      <c r="BQ841" s="515"/>
      <c r="BR841" s="515"/>
    </row>
    <row r="842" spans="4:70" x14ac:dyDescent="0.25">
      <c r="D842" s="538"/>
      <c r="G842" s="538"/>
      <c r="J842" s="538"/>
      <c r="M842" s="538"/>
      <c r="R842" s="538"/>
      <c r="S842" s="343"/>
      <c r="T842" s="343"/>
      <c r="U842" s="538"/>
      <c r="V842" s="343"/>
      <c r="W842" s="343"/>
      <c r="X842" s="538"/>
      <c r="Y842" s="343"/>
      <c r="Z842" s="343"/>
      <c r="AA842" s="538"/>
      <c r="AB842" s="343"/>
      <c r="AC842" s="343"/>
      <c r="AE842" s="343"/>
      <c r="AF842" s="538"/>
      <c r="AG842" s="343"/>
      <c r="AH842" s="343"/>
      <c r="AI842" s="538"/>
      <c r="AJ842" s="343"/>
      <c r="AK842" s="343"/>
      <c r="AL842" s="538"/>
      <c r="AM842" s="343"/>
      <c r="AN842" s="343"/>
      <c r="AO842" s="538"/>
      <c r="AP842" s="343"/>
      <c r="AQ842" s="343"/>
      <c r="AS842" s="343"/>
      <c r="AT842" s="538"/>
      <c r="AU842" s="343"/>
      <c r="AV842" s="343"/>
      <c r="AW842" s="538"/>
      <c r="AX842" s="343"/>
      <c r="AY842" s="343"/>
      <c r="AZ842" s="538"/>
      <c r="BA842" s="343"/>
      <c r="BB842" s="343"/>
      <c r="BC842" s="538"/>
      <c r="BD842" s="343"/>
      <c r="BE842" s="343"/>
      <c r="BG842" s="644"/>
      <c r="BH842" s="515"/>
      <c r="BI842" s="515"/>
      <c r="BJ842" s="644"/>
      <c r="BK842" s="515"/>
      <c r="BL842" s="515"/>
      <c r="BM842" s="644"/>
      <c r="BN842" s="515"/>
      <c r="BO842" s="515"/>
      <c r="BP842" s="644"/>
      <c r="BQ842" s="515"/>
      <c r="BR842" s="515"/>
    </row>
    <row r="843" spans="4:70" x14ac:dyDescent="0.25">
      <c r="D843" s="538"/>
      <c r="G843" s="538"/>
      <c r="J843" s="538"/>
      <c r="M843" s="538"/>
      <c r="R843" s="538"/>
      <c r="S843" s="343"/>
      <c r="T843" s="343"/>
      <c r="U843" s="538"/>
      <c r="V843" s="343"/>
      <c r="W843" s="343"/>
      <c r="X843" s="538"/>
      <c r="Y843" s="343"/>
      <c r="Z843" s="343"/>
      <c r="AA843" s="538"/>
      <c r="AB843" s="343"/>
      <c r="AC843" s="343"/>
      <c r="AE843" s="343"/>
      <c r="AF843" s="538"/>
      <c r="AG843" s="343"/>
      <c r="AH843" s="343"/>
      <c r="AI843" s="538"/>
      <c r="AJ843" s="343"/>
      <c r="AK843" s="343"/>
      <c r="AL843" s="538"/>
      <c r="AM843" s="343"/>
      <c r="AN843" s="343"/>
      <c r="AO843" s="538"/>
      <c r="AP843" s="343"/>
      <c r="AQ843" s="343"/>
      <c r="AS843" s="343"/>
      <c r="AT843" s="538"/>
      <c r="AU843" s="343"/>
      <c r="AV843" s="343"/>
      <c r="AW843" s="538"/>
      <c r="AX843" s="343"/>
      <c r="AY843" s="343"/>
      <c r="AZ843" s="538"/>
      <c r="BA843" s="343"/>
      <c r="BB843" s="343"/>
      <c r="BC843" s="538"/>
      <c r="BD843" s="343"/>
      <c r="BE843" s="343"/>
      <c r="BG843" s="644"/>
      <c r="BH843" s="515"/>
      <c r="BI843" s="515"/>
      <c r="BJ843" s="644"/>
      <c r="BK843" s="515"/>
      <c r="BL843" s="515"/>
      <c r="BM843" s="644"/>
      <c r="BN843" s="515"/>
      <c r="BO843" s="515"/>
      <c r="BP843" s="644"/>
      <c r="BQ843" s="515"/>
      <c r="BR843" s="515"/>
    </row>
    <row r="844" spans="4:70" x14ac:dyDescent="0.25">
      <c r="D844" s="538"/>
      <c r="G844" s="538"/>
      <c r="J844" s="538"/>
      <c r="M844" s="538"/>
      <c r="R844" s="538"/>
      <c r="S844" s="343"/>
      <c r="T844" s="343"/>
      <c r="U844" s="538"/>
      <c r="V844" s="343"/>
      <c r="W844" s="343"/>
      <c r="X844" s="538"/>
      <c r="Y844" s="343"/>
      <c r="Z844" s="343"/>
      <c r="AA844" s="538"/>
      <c r="AB844" s="343"/>
      <c r="AC844" s="343"/>
      <c r="AE844" s="343"/>
      <c r="AF844" s="538"/>
      <c r="AG844" s="343"/>
      <c r="AH844" s="343"/>
      <c r="AI844" s="538"/>
      <c r="AJ844" s="343"/>
      <c r="AK844" s="343"/>
      <c r="AL844" s="538"/>
      <c r="AM844" s="343"/>
      <c r="AN844" s="343"/>
      <c r="AO844" s="538"/>
      <c r="AP844" s="343"/>
      <c r="AQ844" s="343"/>
      <c r="AS844" s="343"/>
      <c r="AT844" s="538"/>
      <c r="AU844" s="343"/>
      <c r="AV844" s="343"/>
      <c r="AW844" s="538"/>
      <c r="AX844" s="343"/>
      <c r="AY844" s="343"/>
      <c r="AZ844" s="538"/>
      <c r="BA844" s="343"/>
      <c r="BB844" s="343"/>
      <c r="BC844" s="538"/>
      <c r="BD844" s="343"/>
      <c r="BE844" s="343"/>
      <c r="BG844" s="644"/>
      <c r="BH844" s="515"/>
      <c r="BI844" s="515"/>
      <c r="BJ844" s="644"/>
      <c r="BK844" s="515"/>
      <c r="BL844" s="515"/>
      <c r="BM844" s="644"/>
      <c r="BN844" s="515"/>
      <c r="BO844" s="515"/>
      <c r="BP844" s="644"/>
      <c r="BQ844" s="515"/>
      <c r="BR844" s="515"/>
    </row>
    <row r="845" spans="4:70" x14ac:dyDescent="0.25">
      <c r="D845" s="538"/>
      <c r="G845" s="538"/>
      <c r="J845" s="538"/>
      <c r="M845" s="538"/>
      <c r="R845" s="538"/>
      <c r="S845" s="343"/>
      <c r="T845" s="343"/>
      <c r="U845" s="538"/>
      <c r="V845" s="343"/>
      <c r="W845" s="343"/>
      <c r="X845" s="538"/>
      <c r="Y845" s="343"/>
      <c r="Z845" s="343"/>
      <c r="AA845" s="538"/>
      <c r="AB845" s="343"/>
      <c r="AC845" s="343"/>
      <c r="AE845" s="343"/>
      <c r="AF845" s="538"/>
      <c r="AG845" s="343"/>
      <c r="AH845" s="343"/>
      <c r="AI845" s="538"/>
      <c r="AJ845" s="343"/>
      <c r="AK845" s="343"/>
      <c r="AL845" s="538"/>
      <c r="AM845" s="343"/>
      <c r="AN845" s="343"/>
      <c r="AO845" s="538"/>
      <c r="AP845" s="343"/>
      <c r="AQ845" s="343"/>
      <c r="AS845" s="343"/>
      <c r="AT845" s="538"/>
      <c r="AU845" s="343"/>
      <c r="AV845" s="343"/>
      <c r="AW845" s="538"/>
      <c r="AX845" s="343"/>
      <c r="AY845" s="343"/>
      <c r="AZ845" s="538"/>
      <c r="BA845" s="343"/>
      <c r="BB845" s="343"/>
      <c r="BC845" s="538"/>
      <c r="BD845" s="343"/>
      <c r="BE845" s="343"/>
      <c r="BG845" s="644"/>
      <c r="BH845" s="515"/>
      <c r="BI845" s="515"/>
      <c r="BJ845" s="644"/>
      <c r="BK845" s="515"/>
      <c r="BL845" s="515"/>
      <c r="BM845" s="644"/>
      <c r="BN845" s="515"/>
      <c r="BO845" s="515"/>
      <c r="BP845" s="644"/>
      <c r="BQ845" s="515"/>
      <c r="BR845" s="515"/>
    </row>
    <row r="846" spans="4:70" x14ac:dyDescent="0.25">
      <c r="D846" s="538"/>
      <c r="G846" s="538"/>
      <c r="J846" s="538"/>
      <c r="M846" s="538"/>
      <c r="R846" s="538"/>
      <c r="S846" s="343"/>
      <c r="T846" s="343"/>
      <c r="U846" s="538"/>
      <c r="V846" s="343"/>
      <c r="W846" s="343"/>
      <c r="X846" s="538"/>
      <c r="Y846" s="343"/>
      <c r="Z846" s="343"/>
      <c r="AA846" s="538"/>
      <c r="AB846" s="343"/>
      <c r="AC846" s="343"/>
      <c r="AE846" s="343"/>
      <c r="AF846" s="538"/>
      <c r="AG846" s="343"/>
      <c r="AH846" s="343"/>
      <c r="AI846" s="538"/>
      <c r="AJ846" s="343"/>
      <c r="AK846" s="343"/>
      <c r="AL846" s="538"/>
      <c r="AM846" s="343"/>
      <c r="AN846" s="343"/>
      <c r="AO846" s="538"/>
      <c r="AP846" s="343"/>
      <c r="AQ846" s="343"/>
      <c r="AS846" s="343"/>
      <c r="AT846" s="538"/>
      <c r="AU846" s="343"/>
      <c r="AV846" s="343"/>
      <c r="AW846" s="538"/>
      <c r="AX846" s="343"/>
      <c r="AY846" s="343"/>
      <c r="AZ846" s="538"/>
      <c r="BA846" s="343"/>
      <c r="BB846" s="343"/>
      <c r="BC846" s="538"/>
      <c r="BD846" s="343"/>
      <c r="BE846" s="343"/>
      <c r="BG846" s="644"/>
      <c r="BH846" s="515"/>
      <c r="BI846" s="515"/>
      <c r="BJ846" s="644"/>
      <c r="BK846" s="515"/>
      <c r="BL846" s="515"/>
      <c r="BM846" s="644"/>
      <c r="BN846" s="515"/>
      <c r="BO846" s="515"/>
      <c r="BP846" s="644"/>
      <c r="BQ846" s="515"/>
      <c r="BR846" s="515"/>
    </row>
    <row r="847" spans="4:70" x14ac:dyDescent="0.25">
      <c r="D847" s="538"/>
      <c r="G847" s="538"/>
      <c r="J847" s="538"/>
      <c r="M847" s="538"/>
      <c r="R847" s="538"/>
      <c r="S847" s="343"/>
      <c r="T847" s="343"/>
      <c r="U847" s="538"/>
      <c r="V847" s="343"/>
      <c r="W847" s="343"/>
      <c r="X847" s="538"/>
      <c r="Y847" s="343"/>
      <c r="Z847" s="343"/>
      <c r="AA847" s="538"/>
      <c r="AB847" s="343"/>
      <c r="AC847" s="343"/>
      <c r="AE847" s="343"/>
      <c r="AF847" s="538"/>
      <c r="AG847" s="343"/>
      <c r="AH847" s="343"/>
      <c r="AI847" s="538"/>
      <c r="AJ847" s="343"/>
      <c r="AK847" s="343"/>
      <c r="AL847" s="538"/>
      <c r="AM847" s="343"/>
      <c r="AN847" s="343"/>
      <c r="AO847" s="538"/>
      <c r="AP847" s="343"/>
      <c r="AQ847" s="343"/>
      <c r="AS847" s="343"/>
      <c r="AT847" s="538"/>
      <c r="AU847" s="343"/>
      <c r="AV847" s="343"/>
      <c r="AW847" s="538"/>
      <c r="AX847" s="343"/>
      <c r="AY847" s="343"/>
      <c r="AZ847" s="538"/>
      <c r="BA847" s="343"/>
      <c r="BB847" s="343"/>
      <c r="BC847" s="538"/>
      <c r="BD847" s="343"/>
      <c r="BE847" s="343"/>
      <c r="BG847" s="644"/>
      <c r="BH847" s="515"/>
      <c r="BI847" s="515"/>
      <c r="BJ847" s="644"/>
      <c r="BK847" s="515"/>
      <c r="BL847" s="515"/>
      <c r="BM847" s="644"/>
      <c r="BN847" s="515"/>
      <c r="BO847" s="515"/>
      <c r="BP847" s="644"/>
      <c r="BQ847" s="515"/>
      <c r="BR847" s="515"/>
    </row>
    <row r="848" spans="4:70" x14ac:dyDescent="0.25">
      <c r="D848" s="538"/>
      <c r="G848" s="538"/>
      <c r="J848" s="538"/>
      <c r="M848" s="538"/>
      <c r="R848" s="538"/>
      <c r="S848" s="343"/>
      <c r="T848" s="343"/>
      <c r="U848" s="538"/>
      <c r="V848" s="343"/>
      <c r="W848" s="343"/>
      <c r="X848" s="538"/>
      <c r="Y848" s="343"/>
      <c r="Z848" s="343"/>
      <c r="AA848" s="538"/>
      <c r="AB848" s="343"/>
      <c r="AC848" s="343"/>
      <c r="AE848" s="343"/>
      <c r="AF848" s="538"/>
      <c r="AG848" s="343"/>
      <c r="AH848" s="343"/>
      <c r="AI848" s="538"/>
      <c r="AJ848" s="343"/>
      <c r="AK848" s="343"/>
      <c r="AL848" s="538"/>
      <c r="AM848" s="343"/>
      <c r="AN848" s="343"/>
      <c r="AO848" s="538"/>
      <c r="AP848" s="343"/>
      <c r="AQ848" s="343"/>
      <c r="AS848" s="343"/>
      <c r="AT848" s="538"/>
      <c r="AU848" s="343"/>
      <c r="AV848" s="343"/>
      <c r="AW848" s="538"/>
      <c r="AX848" s="343"/>
      <c r="AY848" s="343"/>
      <c r="AZ848" s="538"/>
      <c r="BA848" s="343"/>
      <c r="BB848" s="343"/>
      <c r="BC848" s="538"/>
      <c r="BD848" s="343"/>
      <c r="BE848" s="343"/>
      <c r="BG848" s="644"/>
      <c r="BH848" s="515"/>
      <c r="BI848" s="515"/>
      <c r="BJ848" s="644"/>
      <c r="BK848" s="515"/>
      <c r="BL848" s="515"/>
      <c r="BM848" s="644"/>
      <c r="BN848" s="515"/>
      <c r="BO848" s="515"/>
      <c r="BP848" s="644"/>
      <c r="BQ848" s="515"/>
      <c r="BR848" s="515"/>
    </row>
    <row r="849" spans="4:70" x14ac:dyDescent="0.25">
      <c r="D849" s="538"/>
      <c r="G849" s="538"/>
      <c r="J849" s="538"/>
      <c r="M849" s="538"/>
      <c r="R849" s="538"/>
      <c r="S849" s="343"/>
      <c r="T849" s="343"/>
      <c r="U849" s="538"/>
      <c r="V849" s="343"/>
      <c r="W849" s="343"/>
      <c r="X849" s="538"/>
      <c r="Y849" s="343"/>
      <c r="Z849" s="343"/>
      <c r="AA849" s="538"/>
      <c r="AB849" s="343"/>
      <c r="AC849" s="343"/>
      <c r="AE849" s="343"/>
      <c r="AF849" s="538"/>
      <c r="AG849" s="343"/>
      <c r="AH849" s="343"/>
      <c r="AI849" s="538"/>
      <c r="AJ849" s="343"/>
      <c r="AK849" s="343"/>
      <c r="AL849" s="538"/>
      <c r="AM849" s="343"/>
      <c r="AN849" s="343"/>
      <c r="AO849" s="538"/>
      <c r="AP849" s="343"/>
      <c r="AQ849" s="343"/>
      <c r="AS849" s="343"/>
      <c r="AT849" s="538"/>
      <c r="AU849" s="343"/>
      <c r="AV849" s="343"/>
      <c r="AW849" s="538"/>
      <c r="AX849" s="343"/>
      <c r="AY849" s="343"/>
      <c r="AZ849" s="538"/>
      <c r="BA849" s="343"/>
      <c r="BB849" s="343"/>
      <c r="BC849" s="538"/>
      <c r="BD849" s="343"/>
      <c r="BE849" s="343"/>
      <c r="BG849" s="644"/>
      <c r="BH849" s="515"/>
      <c r="BI849" s="515"/>
      <c r="BJ849" s="644"/>
      <c r="BK849" s="515"/>
      <c r="BL849" s="515"/>
      <c r="BM849" s="644"/>
      <c r="BN849" s="515"/>
      <c r="BO849" s="515"/>
      <c r="BP849" s="644"/>
      <c r="BQ849" s="515"/>
      <c r="BR849" s="515"/>
    </row>
    <row r="850" spans="4:70" x14ac:dyDescent="0.25">
      <c r="D850" s="538"/>
      <c r="G850" s="538"/>
      <c r="J850" s="538"/>
      <c r="M850" s="538"/>
      <c r="R850" s="538"/>
      <c r="S850" s="343"/>
      <c r="T850" s="343"/>
      <c r="U850" s="538"/>
      <c r="V850" s="343"/>
      <c r="W850" s="343"/>
      <c r="X850" s="538"/>
      <c r="Y850" s="343"/>
      <c r="Z850" s="343"/>
      <c r="AA850" s="538"/>
      <c r="AB850" s="343"/>
      <c r="AC850" s="343"/>
      <c r="AE850" s="343"/>
      <c r="AF850" s="538"/>
      <c r="AG850" s="343"/>
      <c r="AH850" s="343"/>
      <c r="AI850" s="538"/>
      <c r="AJ850" s="343"/>
      <c r="AK850" s="343"/>
      <c r="AL850" s="538"/>
      <c r="AM850" s="343"/>
      <c r="AN850" s="343"/>
      <c r="AO850" s="538"/>
      <c r="AP850" s="343"/>
      <c r="AQ850" s="343"/>
      <c r="AS850" s="343"/>
      <c r="AT850" s="538"/>
      <c r="AU850" s="343"/>
      <c r="AV850" s="343"/>
      <c r="AW850" s="538"/>
      <c r="AX850" s="343"/>
      <c r="AY850" s="343"/>
      <c r="AZ850" s="538"/>
      <c r="BA850" s="343"/>
      <c r="BB850" s="343"/>
      <c r="BC850" s="538"/>
      <c r="BD850" s="343"/>
      <c r="BE850" s="343"/>
      <c r="BG850" s="644"/>
      <c r="BH850" s="515"/>
      <c r="BI850" s="515"/>
      <c r="BJ850" s="644"/>
      <c r="BK850" s="515"/>
      <c r="BL850" s="515"/>
      <c r="BM850" s="644"/>
      <c r="BN850" s="515"/>
      <c r="BO850" s="515"/>
      <c r="BP850" s="644"/>
      <c r="BQ850" s="515"/>
      <c r="BR850" s="515"/>
    </row>
    <row r="851" spans="4:70" x14ac:dyDescent="0.25">
      <c r="D851" s="538"/>
      <c r="G851" s="538"/>
      <c r="J851" s="538"/>
      <c r="M851" s="538"/>
      <c r="R851" s="538"/>
      <c r="S851" s="343"/>
      <c r="T851" s="343"/>
      <c r="U851" s="538"/>
      <c r="V851" s="343"/>
      <c r="W851" s="343"/>
      <c r="X851" s="538"/>
      <c r="Y851" s="343"/>
      <c r="Z851" s="343"/>
      <c r="AA851" s="538"/>
      <c r="AB851" s="343"/>
      <c r="AC851" s="343"/>
      <c r="AE851" s="343"/>
      <c r="AF851" s="538"/>
      <c r="AG851" s="343"/>
      <c r="AH851" s="343"/>
      <c r="AI851" s="538"/>
      <c r="AJ851" s="343"/>
      <c r="AK851" s="343"/>
      <c r="AL851" s="538"/>
      <c r="AM851" s="343"/>
      <c r="AN851" s="343"/>
      <c r="AO851" s="538"/>
      <c r="AP851" s="343"/>
      <c r="AQ851" s="343"/>
      <c r="AS851" s="343"/>
      <c r="AT851" s="538"/>
      <c r="AU851" s="343"/>
      <c r="AV851" s="343"/>
      <c r="AW851" s="538"/>
      <c r="AX851" s="343"/>
      <c r="AY851" s="343"/>
      <c r="AZ851" s="538"/>
      <c r="BA851" s="343"/>
      <c r="BB851" s="343"/>
      <c r="BC851" s="538"/>
      <c r="BD851" s="343"/>
      <c r="BE851" s="343"/>
      <c r="BG851" s="644"/>
      <c r="BH851" s="515"/>
      <c r="BI851" s="515"/>
      <c r="BJ851" s="644"/>
      <c r="BK851" s="515"/>
      <c r="BL851" s="515"/>
      <c r="BM851" s="644"/>
      <c r="BN851" s="515"/>
      <c r="BO851" s="515"/>
      <c r="BP851" s="644"/>
      <c r="BQ851" s="515"/>
      <c r="BR851" s="515"/>
    </row>
    <row r="852" spans="4:70" x14ac:dyDescent="0.25">
      <c r="D852" s="538"/>
      <c r="G852" s="538"/>
      <c r="J852" s="538"/>
      <c r="M852" s="538"/>
      <c r="R852" s="538"/>
      <c r="S852" s="343"/>
      <c r="T852" s="343"/>
      <c r="U852" s="538"/>
      <c r="V852" s="343"/>
      <c r="W852" s="343"/>
      <c r="X852" s="538"/>
      <c r="Y852" s="343"/>
      <c r="Z852" s="343"/>
      <c r="AA852" s="538"/>
      <c r="AB852" s="343"/>
      <c r="AC852" s="343"/>
      <c r="AE852" s="343"/>
      <c r="AF852" s="538"/>
      <c r="AG852" s="343"/>
      <c r="AH852" s="343"/>
      <c r="AI852" s="538"/>
      <c r="AJ852" s="343"/>
      <c r="AK852" s="343"/>
      <c r="AL852" s="538"/>
      <c r="AM852" s="343"/>
      <c r="AN852" s="343"/>
      <c r="AO852" s="538"/>
      <c r="AP852" s="343"/>
      <c r="AQ852" s="343"/>
      <c r="AS852" s="343"/>
      <c r="AT852" s="538"/>
      <c r="AU852" s="343"/>
      <c r="AV852" s="343"/>
      <c r="AW852" s="538"/>
      <c r="AX852" s="343"/>
      <c r="AY852" s="343"/>
      <c r="AZ852" s="538"/>
      <c r="BA852" s="343"/>
      <c r="BB852" s="343"/>
      <c r="BC852" s="538"/>
      <c r="BD852" s="343"/>
      <c r="BE852" s="343"/>
      <c r="BG852" s="644"/>
      <c r="BH852" s="515"/>
      <c r="BI852" s="515"/>
      <c r="BJ852" s="644"/>
      <c r="BK852" s="515"/>
      <c r="BL852" s="515"/>
      <c r="BM852" s="644"/>
      <c r="BN852" s="515"/>
      <c r="BO852" s="515"/>
      <c r="BP852" s="644"/>
      <c r="BQ852" s="515"/>
      <c r="BR852" s="515"/>
    </row>
    <row r="853" spans="4:70" x14ac:dyDescent="0.25">
      <c r="D853" s="538"/>
      <c r="G853" s="538"/>
      <c r="J853" s="538"/>
      <c r="M853" s="538"/>
      <c r="R853" s="538"/>
      <c r="S853" s="343"/>
      <c r="T853" s="343"/>
      <c r="U853" s="538"/>
      <c r="V853" s="343"/>
      <c r="W853" s="343"/>
      <c r="X853" s="538"/>
      <c r="Y853" s="343"/>
      <c r="Z853" s="343"/>
      <c r="AA853" s="538"/>
      <c r="AB853" s="343"/>
      <c r="AC853" s="343"/>
      <c r="AE853" s="343"/>
      <c r="AF853" s="538"/>
      <c r="AG853" s="343"/>
      <c r="AH853" s="343"/>
      <c r="AI853" s="538"/>
      <c r="AJ853" s="343"/>
      <c r="AK853" s="343"/>
      <c r="AL853" s="538"/>
      <c r="AM853" s="343"/>
      <c r="AN853" s="343"/>
      <c r="AO853" s="538"/>
      <c r="AP853" s="343"/>
      <c r="AQ853" s="343"/>
      <c r="AS853" s="343"/>
      <c r="AT853" s="538"/>
      <c r="AU853" s="343"/>
      <c r="AV853" s="343"/>
      <c r="AW853" s="538"/>
      <c r="AX853" s="343"/>
      <c r="AY853" s="343"/>
      <c r="AZ853" s="538"/>
      <c r="BA853" s="343"/>
      <c r="BB853" s="343"/>
      <c r="BC853" s="538"/>
      <c r="BD853" s="343"/>
      <c r="BE853" s="343"/>
      <c r="BG853" s="644"/>
      <c r="BH853" s="515"/>
      <c r="BI853" s="515"/>
      <c r="BJ853" s="644"/>
      <c r="BK853" s="515"/>
      <c r="BL853" s="515"/>
      <c r="BM853" s="644"/>
      <c r="BN853" s="515"/>
      <c r="BO853" s="515"/>
      <c r="BP853" s="644"/>
      <c r="BQ853" s="515"/>
      <c r="BR853" s="515"/>
    </row>
    <row r="854" spans="4:70" x14ac:dyDescent="0.25">
      <c r="D854" s="538"/>
      <c r="G854" s="538"/>
      <c r="J854" s="538"/>
      <c r="M854" s="538"/>
      <c r="R854" s="538"/>
      <c r="S854" s="343"/>
      <c r="T854" s="343"/>
      <c r="U854" s="538"/>
      <c r="V854" s="343"/>
      <c r="W854" s="343"/>
      <c r="X854" s="538"/>
      <c r="Y854" s="343"/>
      <c r="Z854" s="343"/>
      <c r="AA854" s="538"/>
      <c r="AB854" s="343"/>
      <c r="AC854" s="343"/>
      <c r="AE854" s="343"/>
      <c r="AF854" s="538"/>
      <c r="AG854" s="343"/>
      <c r="AH854" s="343"/>
      <c r="AI854" s="538"/>
      <c r="AJ854" s="343"/>
      <c r="AK854" s="343"/>
      <c r="AL854" s="538"/>
      <c r="AM854" s="343"/>
      <c r="AN854" s="343"/>
      <c r="AO854" s="538"/>
      <c r="AP854" s="343"/>
      <c r="AQ854" s="343"/>
      <c r="AS854" s="343"/>
      <c r="AT854" s="538"/>
      <c r="AU854" s="343"/>
      <c r="AV854" s="343"/>
      <c r="AW854" s="538"/>
      <c r="AX854" s="343"/>
      <c r="AY854" s="343"/>
      <c r="AZ854" s="538"/>
      <c r="BA854" s="343"/>
      <c r="BB854" s="343"/>
      <c r="BC854" s="538"/>
      <c r="BD854" s="343"/>
      <c r="BE854" s="343"/>
      <c r="BG854" s="644"/>
      <c r="BH854" s="515"/>
      <c r="BI854" s="515"/>
      <c r="BJ854" s="644"/>
      <c r="BK854" s="515"/>
      <c r="BL854" s="515"/>
      <c r="BM854" s="644"/>
      <c r="BN854" s="515"/>
      <c r="BO854" s="515"/>
      <c r="BP854" s="644"/>
      <c r="BQ854" s="515"/>
      <c r="BR854" s="515"/>
    </row>
    <row r="855" spans="4:70" x14ac:dyDescent="0.25">
      <c r="D855" s="538"/>
      <c r="G855" s="538"/>
      <c r="J855" s="538"/>
      <c r="M855" s="538"/>
      <c r="R855" s="538"/>
      <c r="S855" s="343"/>
      <c r="T855" s="343"/>
      <c r="U855" s="538"/>
      <c r="V855" s="343"/>
      <c r="W855" s="343"/>
      <c r="X855" s="538"/>
      <c r="Y855" s="343"/>
      <c r="Z855" s="343"/>
      <c r="AA855" s="538"/>
      <c r="AB855" s="343"/>
      <c r="AC855" s="343"/>
      <c r="AE855" s="343"/>
      <c r="AF855" s="538"/>
      <c r="AG855" s="343"/>
      <c r="AH855" s="343"/>
      <c r="AI855" s="538"/>
      <c r="AJ855" s="343"/>
      <c r="AK855" s="343"/>
      <c r="AL855" s="538"/>
      <c r="AM855" s="343"/>
      <c r="AN855" s="343"/>
      <c r="AO855" s="538"/>
      <c r="AP855" s="343"/>
      <c r="AQ855" s="343"/>
      <c r="AS855" s="343"/>
      <c r="AT855" s="538"/>
      <c r="AU855" s="343"/>
      <c r="AV855" s="343"/>
      <c r="AW855" s="538"/>
      <c r="AX855" s="343"/>
      <c r="AY855" s="343"/>
      <c r="AZ855" s="538"/>
      <c r="BA855" s="343"/>
      <c r="BB855" s="343"/>
      <c r="BC855" s="538"/>
      <c r="BD855" s="343"/>
      <c r="BE855" s="343"/>
      <c r="BG855" s="644"/>
      <c r="BH855" s="515"/>
      <c r="BI855" s="515"/>
      <c r="BJ855" s="644"/>
      <c r="BK855" s="515"/>
      <c r="BL855" s="515"/>
      <c r="BM855" s="644"/>
      <c r="BN855" s="515"/>
      <c r="BO855" s="515"/>
      <c r="BP855" s="644"/>
      <c r="BQ855" s="515"/>
      <c r="BR855" s="515"/>
    </row>
    <row r="856" spans="4:70" x14ac:dyDescent="0.25">
      <c r="D856" s="538"/>
      <c r="G856" s="538"/>
      <c r="J856" s="538"/>
      <c r="M856" s="538"/>
      <c r="R856" s="538"/>
      <c r="S856" s="343"/>
      <c r="T856" s="343"/>
      <c r="U856" s="538"/>
      <c r="V856" s="343"/>
      <c r="W856" s="343"/>
      <c r="X856" s="538"/>
      <c r="Y856" s="343"/>
      <c r="Z856" s="343"/>
      <c r="AA856" s="538"/>
      <c r="AB856" s="343"/>
      <c r="AC856" s="343"/>
      <c r="AE856" s="343"/>
      <c r="AF856" s="538"/>
      <c r="AG856" s="343"/>
      <c r="AH856" s="343"/>
      <c r="AI856" s="538"/>
      <c r="AJ856" s="343"/>
      <c r="AK856" s="343"/>
      <c r="AL856" s="538"/>
      <c r="AM856" s="343"/>
      <c r="AN856" s="343"/>
      <c r="AO856" s="538"/>
      <c r="AP856" s="343"/>
      <c r="AQ856" s="343"/>
      <c r="AS856" s="343"/>
      <c r="AT856" s="538"/>
      <c r="AU856" s="343"/>
      <c r="AV856" s="343"/>
      <c r="AW856" s="538"/>
      <c r="AX856" s="343"/>
      <c r="AY856" s="343"/>
      <c r="AZ856" s="538"/>
      <c r="BA856" s="343"/>
      <c r="BB856" s="343"/>
      <c r="BC856" s="538"/>
      <c r="BD856" s="343"/>
      <c r="BE856" s="343"/>
      <c r="BG856" s="644"/>
      <c r="BH856" s="515"/>
      <c r="BI856" s="515"/>
      <c r="BJ856" s="644"/>
      <c r="BK856" s="515"/>
      <c r="BL856" s="515"/>
      <c r="BM856" s="644"/>
      <c r="BN856" s="515"/>
      <c r="BO856" s="515"/>
      <c r="BP856" s="644"/>
      <c r="BQ856" s="515"/>
      <c r="BR856" s="515"/>
    </row>
    <row r="857" spans="4:70" x14ac:dyDescent="0.25">
      <c r="D857" s="538"/>
      <c r="G857" s="538"/>
      <c r="J857" s="538"/>
      <c r="M857" s="538"/>
      <c r="R857" s="538"/>
      <c r="S857" s="343"/>
      <c r="T857" s="343"/>
      <c r="U857" s="538"/>
      <c r="V857" s="343"/>
      <c r="W857" s="343"/>
      <c r="X857" s="538"/>
      <c r="Y857" s="343"/>
      <c r="Z857" s="343"/>
      <c r="AA857" s="538"/>
      <c r="AB857" s="343"/>
      <c r="AC857" s="343"/>
      <c r="AE857" s="343"/>
      <c r="AF857" s="538"/>
      <c r="AG857" s="343"/>
      <c r="AH857" s="343"/>
      <c r="AI857" s="538"/>
      <c r="AJ857" s="343"/>
      <c r="AK857" s="343"/>
      <c r="AL857" s="538"/>
      <c r="AM857" s="343"/>
      <c r="AN857" s="343"/>
      <c r="AO857" s="538"/>
      <c r="AP857" s="343"/>
      <c r="AQ857" s="343"/>
      <c r="AS857" s="343"/>
      <c r="AT857" s="538"/>
      <c r="AU857" s="343"/>
      <c r="AV857" s="343"/>
      <c r="AW857" s="538"/>
      <c r="AX857" s="343"/>
      <c r="AY857" s="343"/>
      <c r="AZ857" s="538"/>
      <c r="BA857" s="343"/>
      <c r="BB857" s="343"/>
      <c r="BC857" s="538"/>
      <c r="BD857" s="343"/>
      <c r="BE857" s="343"/>
      <c r="BG857" s="644"/>
      <c r="BH857" s="515"/>
      <c r="BI857" s="515"/>
      <c r="BJ857" s="644"/>
      <c r="BK857" s="515"/>
      <c r="BL857" s="515"/>
      <c r="BM857" s="644"/>
      <c r="BN857" s="515"/>
      <c r="BO857" s="515"/>
      <c r="BP857" s="644"/>
      <c r="BQ857" s="515"/>
      <c r="BR857" s="515"/>
    </row>
    <row r="858" spans="4:70" x14ac:dyDescent="0.25">
      <c r="D858" s="538"/>
      <c r="G858" s="538"/>
      <c r="J858" s="538"/>
      <c r="M858" s="538"/>
      <c r="R858" s="538"/>
      <c r="S858" s="343"/>
      <c r="T858" s="343"/>
      <c r="U858" s="538"/>
      <c r="V858" s="343"/>
      <c r="W858" s="343"/>
      <c r="X858" s="538"/>
      <c r="Y858" s="343"/>
      <c r="Z858" s="343"/>
      <c r="AA858" s="538"/>
      <c r="AB858" s="343"/>
      <c r="AC858" s="343"/>
      <c r="AE858" s="343"/>
      <c r="AF858" s="538"/>
      <c r="AG858" s="343"/>
      <c r="AH858" s="343"/>
      <c r="AI858" s="538"/>
      <c r="AJ858" s="343"/>
      <c r="AK858" s="343"/>
      <c r="AL858" s="538"/>
      <c r="AM858" s="343"/>
      <c r="AN858" s="343"/>
      <c r="AO858" s="538"/>
      <c r="AP858" s="343"/>
      <c r="AQ858" s="343"/>
      <c r="AS858" s="343"/>
      <c r="AT858" s="538"/>
      <c r="AU858" s="343"/>
      <c r="AV858" s="343"/>
      <c r="AW858" s="538"/>
      <c r="AX858" s="343"/>
      <c r="AY858" s="343"/>
      <c r="AZ858" s="538"/>
      <c r="BA858" s="343"/>
      <c r="BB858" s="343"/>
      <c r="BC858" s="538"/>
      <c r="BD858" s="343"/>
      <c r="BE858" s="343"/>
      <c r="BG858" s="644"/>
      <c r="BH858" s="515"/>
      <c r="BI858" s="515"/>
      <c r="BJ858" s="644"/>
      <c r="BK858" s="515"/>
      <c r="BL858" s="515"/>
      <c r="BM858" s="644"/>
      <c r="BN858" s="515"/>
      <c r="BO858" s="515"/>
      <c r="BP858" s="644"/>
      <c r="BQ858" s="515"/>
      <c r="BR858" s="515"/>
    </row>
    <row r="859" spans="4:70" x14ac:dyDescent="0.25">
      <c r="D859" s="538"/>
      <c r="G859" s="538"/>
      <c r="J859" s="538"/>
      <c r="M859" s="538"/>
      <c r="R859" s="538"/>
      <c r="S859" s="343"/>
      <c r="T859" s="343"/>
      <c r="U859" s="538"/>
      <c r="V859" s="343"/>
      <c r="W859" s="343"/>
      <c r="X859" s="538"/>
      <c r="Y859" s="343"/>
      <c r="Z859" s="343"/>
      <c r="AA859" s="538"/>
      <c r="AB859" s="343"/>
      <c r="AC859" s="343"/>
      <c r="AE859" s="343"/>
      <c r="AF859" s="538"/>
      <c r="AG859" s="343"/>
      <c r="AH859" s="343"/>
      <c r="AI859" s="538"/>
      <c r="AJ859" s="343"/>
      <c r="AK859" s="343"/>
      <c r="AL859" s="538"/>
      <c r="AM859" s="343"/>
      <c r="AN859" s="343"/>
      <c r="AO859" s="538"/>
      <c r="AP859" s="343"/>
      <c r="AQ859" s="343"/>
      <c r="AS859" s="343"/>
      <c r="AT859" s="538"/>
      <c r="AU859" s="343"/>
      <c r="AV859" s="343"/>
      <c r="AW859" s="538"/>
      <c r="AX859" s="343"/>
      <c r="AY859" s="343"/>
      <c r="AZ859" s="538"/>
      <c r="BA859" s="343"/>
      <c r="BB859" s="343"/>
      <c r="BC859" s="538"/>
      <c r="BD859" s="343"/>
      <c r="BE859" s="343"/>
      <c r="BG859" s="644"/>
      <c r="BH859" s="515"/>
      <c r="BI859" s="515"/>
      <c r="BJ859" s="644"/>
      <c r="BK859" s="515"/>
      <c r="BL859" s="515"/>
      <c r="BM859" s="644"/>
      <c r="BN859" s="515"/>
      <c r="BO859" s="515"/>
      <c r="BP859" s="644"/>
      <c r="BQ859" s="515"/>
      <c r="BR859" s="515"/>
    </row>
    <row r="860" spans="4:70" x14ac:dyDescent="0.25">
      <c r="D860" s="538"/>
      <c r="G860" s="538"/>
      <c r="J860" s="538"/>
      <c r="M860" s="538"/>
      <c r="R860" s="538"/>
      <c r="S860" s="343"/>
      <c r="T860" s="343"/>
      <c r="U860" s="538"/>
      <c r="V860" s="343"/>
      <c r="W860" s="343"/>
      <c r="X860" s="538"/>
      <c r="Y860" s="343"/>
      <c r="Z860" s="343"/>
      <c r="AA860" s="538"/>
      <c r="AB860" s="343"/>
      <c r="AC860" s="343"/>
      <c r="AE860" s="343"/>
      <c r="AF860" s="538"/>
      <c r="AG860" s="343"/>
      <c r="AH860" s="343"/>
      <c r="AI860" s="538"/>
      <c r="AJ860" s="343"/>
      <c r="AK860" s="343"/>
      <c r="AL860" s="538"/>
      <c r="AM860" s="343"/>
      <c r="AN860" s="343"/>
      <c r="AO860" s="538"/>
      <c r="AP860" s="343"/>
      <c r="AQ860" s="343"/>
      <c r="AS860" s="343"/>
      <c r="AT860" s="538"/>
      <c r="AU860" s="343"/>
      <c r="AV860" s="343"/>
      <c r="AW860" s="538"/>
      <c r="AX860" s="343"/>
      <c r="AY860" s="343"/>
      <c r="AZ860" s="538"/>
      <c r="BA860" s="343"/>
      <c r="BB860" s="343"/>
      <c r="BC860" s="538"/>
      <c r="BD860" s="343"/>
      <c r="BE860" s="343"/>
      <c r="BG860" s="644"/>
      <c r="BH860" s="515"/>
      <c r="BI860" s="515"/>
      <c r="BJ860" s="644"/>
      <c r="BK860" s="515"/>
      <c r="BL860" s="515"/>
      <c r="BM860" s="644"/>
      <c r="BN860" s="515"/>
      <c r="BO860" s="515"/>
      <c r="BP860" s="644"/>
      <c r="BQ860" s="515"/>
      <c r="BR860" s="515"/>
    </row>
    <row r="861" spans="4:70" x14ac:dyDescent="0.25">
      <c r="D861" s="538"/>
      <c r="G861" s="538"/>
      <c r="J861" s="538"/>
      <c r="M861" s="538"/>
      <c r="R861" s="538"/>
      <c r="S861" s="343"/>
      <c r="T861" s="343"/>
      <c r="U861" s="538"/>
      <c r="V861" s="343"/>
      <c r="W861" s="343"/>
      <c r="X861" s="538"/>
      <c r="Y861" s="343"/>
      <c r="Z861" s="343"/>
      <c r="AA861" s="538"/>
      <c r="AB861" s="343"/>
      <c r="AC861" s="343"/>
      <c r="AE861" s="343"/>
      <c r="AF861" s="538"/>
      <c r="AG861" s="343"/>
      <c r="AH861" s="343"/>
      <c r="AI861" s="538"/>
      <c r="AJ861" s="343"/>
      <c r="AK861" s="343"/>
      <c r="AL861" s="538"/>
      <c r="AM861" s="343"/>
      <c r="AN861" s="343"/>
      <c r="AO861" s="538"/>
      <c r="AP861" s="343"/>
      <c r="AQ861" s="343"/>
      <c r="AS861" s="343"/>
      <c r="AT861" s="538"/>
      <c r="AU861" s="343"/>
      <c r="AV861" s="343"/>
      <c r="AW861" s="538"/>
      <c r="AX861" s="343"/>
      <c r="AY861" s="343"/>
      <c r="AZ861" s="538"/>
      <c r="BA861" s="343"/>
      <c r="BB861" s="343"/>
      <c r="BC861" s="538"/>
      <c r="BD861" s="343"/>
      <c r="BE861" s="343"/>
      <c r="BG861" s="644"/>
      <c r="BH861" s="515"/>
      <c r="BI861" s="515"/>
      <c r="BJ861" s="644"/>
      <c r="BK861" s="515"/>
      <c r="BL861" s="515"/>
      <c r="BM861" s="644"/>
      <c r="BN861" s="515"/>
      <c r="BO861" s="515"/>
      <c r="BP861" s="644"/>
      <c r="BQ861" s="515"/>
      <c r="BR861" s="515"/>
    </row>
    <row r="862" spans="4:70" x14ac:dyDescent="0.25">
      <c r="D862" s="538"/>
      <c r="G862" s="538"/>
      <c r="J862" s="538"/>
      <c r="M862" s="538"/>
      <c r="R862" s="538"/>
      <c r="S862" s="343"/>
      <c r="T862" s="343"/>
      <c r="U862" s="538"/>
      <c r="V862" s="343"/>
      <c r="W862" s="343"/>
      <c r="X862" s="538"/>
      <c r="Y862" s="343"/>
      <c r="Z862" s="343"/>
      <c r="AA862" s="538"/>
      <c r="AB862" s="343"/>
      <c r="AC862" s="343"/>
      <c r="AE862" s="343"/>
      <c r="AF862" s="538"/>
      <c r="AG862" s="343"/>
      <c r="AH862" s="343"/>
      <c r="AI862" s="538"/>
      <c r="AJ862" s="343"/>
      <c r="AK862" s="343"/>
      <c r="AL862" s="538"/>
      <c r="AM862" s="343"/>
      <c r="AN862" s="343"/>
      <c r="AO862" s="538"/>
      <c r="AP862" s="343"/>
      <c r="AQ862" s="343"/>
      <c r="AS862" s="343"/>
      <c r="AT862" s="538"/>
      <c r="AU862" s="343"/>
      <c r="AV862" s="343"/>
      <c r="AW862" s="538"/>
      <c r="AX862" s="343"/>
      <c r="AY862" s="343"/>
      <c r="AZ862" s="538"/>
      <c r="BA862" s="343"/>
      <c r="BB862" s="343"/>
      <c r="BC862" s="538"/>
      <c r="BD862" s="343"/>
      <c r="BE862" s="343"/>
      <c r="BG862" s="644"/>
      <c r="BH862" s="515"/>
      <c r="BI862" s="515"/>
      <c r="BJ862" s="644"/>
      <c r="BK862" s="515"/>
      <c r="BL862" s="515"/>
      <c r="BM862" s="644"/>
      <c r="BN862" s="515"/>
      <c r="BO862" s="515"/>
      <c r="BP862" s="644"/>
      <c r="BQ862" s="515"/>
      <c r="BR862" s="515"/>
    </row>
    <row r="863" spans="4:70" x14ac:dyDescent="0.25">
      <c r="D863" s="538"/>
      <c r="G863" s="538"/>
      <c r="J863" s="538"/>
      <c r="M863" s="538"/>
      <c r="R863" s="538"/>
      <c r="S863" s="343"/>
      <c r="T863" s="343"/>
      <c r="U863" s="538"/>
      <c r="V863" s="343"/>
      <c r="W863" s="343"/>
      <c r="X863" s="538"/>
      <c r="Y863" s="343"/>
      <c r="Z863" s="343"/>
      <c r="AA863" s="538"/>
      <c r="AB863" s="343"/>
      <c r="AC863" s="343"/>
      <c r="AE863" s="343"/>
      <c r="AF863" s="538"/>
      <c r="AG863" s="343"/>
      <c r="AH863" s="343"/>
      <c r="AI863" s="538"/>
      <c r="AJ863" s="343"/>
      <c r="AK863" s="343"/>
      <c r="AL863" s="538"/>
      <c r="AM863" s="343"/>
      <c r="AN863" s="343"/>
      <c r="AO863" s="538"/>
      <c r="AP863" s="343"/>
      <c r="AQ863" s="343"/>
      <c r="AS863" s="343"/>
      <c r="AT863" s="538"/>
      <c r="AU863" s="343"/>
      <c r="AV863" s="343"/>
      <c r="AW863" s="538"/>
      <c r="AX863" s="343"/>
      <c r="AY863" s="343"/>
      <c r="AZ863" s="538"/>
      <c r="BA863" s="343"/>
      <c r="BB863" s="343"/>
      <c r="BC863" s="538"/>
      <c r="BD863" s="343"/>
      <c r="BE863" s="343"/>
      <c r="BG863" s="644"/>
      <c r="BH863" s="515"/>
      <c r="BI863" s="515"/>
      <c r="BJ863" s="644"/>
      <c r="BK863" s="515"/>
      <c r="BL863" s="515"/>
      <c r="BM863" s="644"/>
      <c r="BN863" s="515"/>
      <c r="BO863" s="515"/>
      <c r="BP863" s="644"/>
      <c r="BQ863" s="515"/>
      <c r="BR863" s="515"/>
    </row>
    <row r="864" spans="4:70" x14ac:dyDescent="0.25">
      <c r="D864" s="538"/>
      <c r="G864" s="538"/>
      <c r="J864" s="538"/>
      <c r="M864" s="538"/>
      <c r="R864" s="538"/>
      <c r="S864" s="343"/>
      <c r="T864" s="343"/>
      <c r="U864" s="538"/>
      <c r="V864" s="343"/>
      <c r="W864" s="343"/>
      <c r="X864" s="538"/>
      <c r="Y864" s="343"/>
      <c r="Z864" s="343"/>
      <c r="AA864" s="538"/>
      <c r="AB864" s="343"/>
      <c r="AC864" s="343"/>
      <c r="AE864" s="343"/>
      <c r="AF864" s="538"/>
      <c r="AG864" s="343"/>
      <c r="AH864" s="343"/>
      <c r="AI864" s="538"/>
      <c r="AJ864" s="343"/>
      <c r="AK864" s="343"/>
      <c r="AL864" s="538"/>
      <c r="AM864" s="343"/>
      <c r="AN864" s="343"/>
      <c r="AO864" s="538"/>
      <c r="AP864" s="343"/>
      <c r="AQ864" s="343"/>
      <c r="AS864" s="343"/>
      <c r="AT864" s="538"/>
      <c r="AU864" s="343"/>
      <c r="AV864" s="343"/>
      <c r="AW864" s="538"/>
      <c r="AX864" s="343"/>
      <c r="AY864" s="343"/>
      <c r="AZ864" s="538"/>
      <c r="BA864" s="343"/>
      <c r="BB864" s="343"/>
      <c r="BC864" s="538"/>
      <c r="BD864" s="343"/>
      <c r="BE864" s="343"/>
      <c r="BG864" s="644"/>
      <c r="BH864" s="515"/>
      <c r="BI864" s="515"/>
      <c r="BJ864" s="644"/>
      <c r="BK864" s="515"/>
      <c r="BL864" s="515"/>
      <c r="BM864" s="644"/>
      <c r="BN864" s="515"/>
      <c r="BO864" s="515"/>
      <c r="BP864" s="644"/>
      <c r="BQ864" s="515"/>
      <c r="BR864" s="515"/>
    </row>
    <row r="865" spans="4:70" x14ac:dyDescent="0.25">
      <c r="D865" s="538"/>
      <c r="G865" s="538"/>
      <c r="J865" s="538"/>
      <c r="M865" s="538"/>
      <c r="R865" s="538"/>
      <c r="S865" s="343"/>
      <c r="T865" s="343"/>
      <c r="U865" s="538"/>
      <c r="V865" s="343"/>
      <c r="W865" s="343"/>
      <c r="X865" s="538"/>
      <c r="Y865" s="343"/>
      <c r="Z865" s="343"/>
      <c r="AA865" s="538"/>
      <c r="AB865" s="343"/>
      <c r="AC865" s="343"/>
      <c r="AE865" s="343"/>
      <c r="AF865" s="538"/>
      <c r="AG865" s="343"/>
      <c r="AH865" s="343"/>
      <c r="AI865" s="538"/>
      <c r="AJ865" s="343"/>
      <c r="AK865" s="343"/>
      <c r="AL865" s="538"/>
      <c r="AM865" s="343"/>
      <c r="AN865" s="343"/>
      <c r="AO865" s="538"/>
      <c r="AP865" s="343"/>
      <c r="AQ865" s="343"/>
      <c r="AS865" s="343"/>
      <c r="AT865" s="538"/>
      <c r="AU865" s="343"/>
      <c r="AV865" s="343"/>
      <c r="AW865" s="538"/>
      <c r="AX865" s="343"/>
      <c r="AY865" s="343"/>
      <c r="AZ865" s="538"/>
      <c r="BA865" s="343"/>
      <c r="BB865" s="343"/>
      <c r="BC865" s="538"/>
      <c r="BD865" s="343"/>
      <c r="BE865" s="343"/>
      <c r="BG865" s="644"/>
      <c r="BH865" s="515"/>
      <c r="BI865" s="515"/>
      <c r="BJ865" s="644"/>
      <c r="BK865" s="515"/>
      <c r="BL865" s="515"/>
      <c r="BM865" s="644"/>
      <c r="BN865" s="515"/>
      <c r="BO865" s="515"/>
      <c r="BP865" s="644"/>
      <c r="BQ865" s="515"/>
      <c r="BR865" s="515"/>
    </row>
    <row r="866" spans="4:70" x14ac:dyDescent="0.25">
      <c r="D866" s="538"/>
      <c r="G866" s="538"/>
      <c r="J866" s="538"/>
      <c r="M866" s="538"/>
      <c r="R866" s="538"/>
      <c r="S866" s="343"/>
      <c r="T866" s="343"/>
      <c r="U866" s="538"/>
      <c r="V866" s="343"/>
      <c r="W866" s="343"/>
      <c r="X866" s="538"/>
      <c r="Y866" s="343"/>
      <c r="Z866" s="343"/>
      <c r="AA866" s="538"/>
      <c r="AB866" s="343"/>
      <c r="AC866" s="343"/>
      <c r="AE866" s="343"/>
      <c r="AF866" s="538"/>
      <c r="AG866" s="343"/>
      <c r="AH866" s="343"/>
      <c r="AI866" s="538"/>
      <c r="AJ866" s="343"/>
      <c r="AK866" s="343"/>
      <c r="AL866" s="538"/>
      <c r="AM866" s="343"/>
      <c r="AN866" s="343"/>
      <c r="AO866" s="538"/>
      <c r="AP866" s="343"/>
      <c r="AQ866" s="343"/>
      <c r="AS866" s="343"/>
      <c r="AT866" s="538"/>
      <c r="AU866" s="343"/>
      <c r="AV866" s="343"/>
      <c r="AW866" s="538"/>
      <c r="AX866" s="343"/>
      <c r="AY866" s="343"/>
      <c r="AZ866" s="538"/>
      <c r="BA866" s="343"/>
      <c r="BB866" s="343"/>
      <c r="BC866" s="538"/>
      <c r="BD866" s="343"/>
      <c r="BE866" s="343"/>
      <c r="BG866" s="644"/>
      <c r="BH866" s="515"/>
      <c r="BI866" s="515"/>
      <c r="BJ866" s="644"/>
      <c r="BK866" s="515"/>
      <c r="BL866" s="515"/>
      <c r="BM866" s="644"/>
      <c r="BN866" s="515"/>
      <c r="BO866" s="515"/>
      <c r="BP866" s="644"/>
      <c r="BQ866" s="515"/>
      <c r="BR866" s="515"/>
    </row>
    <row r="867" spans="4:70" x14ac:dyDescent="0.25">
      <c r="D867" s="538"/>
      <c r="G867" s="538"/>
      <c r="J867" s="538"/>
      <c r="M867" s="538"/>
      <c r="R867" s="538"/>
      <c r="S867" s="343"/>
      <c r="T867" s="343"/>
      <c r="U867" s="538"/>
      <c r="V867" s="343"/>
      <c r="W867" s="343"/>
      <c r="X867" s="538"/>
      <c r="Y867" s="343"/>
      <c r="Z867" s="343"/>
      <c r="AA867" s="538"/>
      <c r="AB867" s="343"/>
      <c r="AC867" s="343"/>
      <c r="AE867" s="343"/>
      <c r="AF867" s="538"/>
      <c r="AG867" s="343"/>
      <c r="AH867" s="343"/>
      <c r="AI867" s="538"/>
      <c r="AJ867" s="343"/>
      <c r="AK867" s="343"/>
      <c r="AL867" s="538"/>
      <c r="AM867" s="343"/>
      <c r="AN867" s="343"/>
      <c r="AO867" s="538"/>
      <c r="AP867" s="343"/>
      <c r="AQ867" s="343"/>
      <c r="AS867" s="343"/>
      <c r="AT867" s="538"/>
      <c r="AU867" s="343"/>
      <c r="AV867" s="343"/>
      <c r="AW867" s="538"/>
      <c r="AX867" s="343"/>
      <c r="AY867" s="343"/>
      <c r="AZ867" s="538"/>
      <c r="BA867" s="343"/>
      <c r="BB867" s="343"/>
      <c r="BC867" s="538"/>
      <c r="BD867" s="343"/>
      <c r="BE867" s="343"/>
      <c r="BG867" s="644"/>
      <c r="BH867" s="515"/>
      <c r="BI867" s="515"/>
      <c r="BJ867" s="644"/>
      <c r="BK867" s="515"/>
      <c r="BL867" s="515"/>
      <c r="BM867" s="644"/>
      <c r="BN867" s="515"/>
      <c r="BO867" s="515"/>
      <c r="BP867" s="644"/>
      <c r="BQ867" s="515"/>
      <c r="BR867" s="515"/>
    </row>
    <row r="868" spans="4:70" x14ac:dyDescent="0.25">
      <c r="D868" s="538"/>
      <c r="G868" s="538"/>
      <c r="J868" s="538"/>
      <c r="M868" s="538"/>
      <c r="R868" s="538"/>
      <c r="S868" s="343"/>
      <c r="T868" s="343"/>
      <c r="U868" s="538"/>
      <c r="V868" s="343"/>
      <c r="W868" s="343"/>
      <c r="X868" s="538"/>
      <c r="Y868" s="343"/>
      <c r="Z868" s="343"/>
      <c r="AA868" s="538"/>
      <c r="AB868" s="343"/>
      <c r="AC868" s="343"/>
      <c r="AE868" s="343"/>
      <c r="AF868" s="538"/>
      <c r="AG868" s="343"/>
      <c r="AH868" s="343"/>
      <c r="AI868" s="538"/>
      <c r="AJ868" s="343"/>
      <c r="AK868" s="343"/>
      <c r="AL868" s="538"/>
      <c r="AM868" s="343"/>
      <c r="AN868" s="343"/>
      <c r="AO868" s="538"/>
      <c r="AP868" s="343"/>
      <c r="AQ868" s="343"/>
      <c r="AS868" s="343"/>
      <c r="AT868" s="538"/>
      <c r="AU868" s="343"/>
      <c r="AV868" s="343"/>
      <c r="AW868" s="538"/>
      <c r="AX868" s="343"/>
      <c r="AY868" s="343"/>
      <c r="AZ868" s="538"/>
      <c r="BA868" s="343"/>
      <c r="BB868" s="343"/>
      <c r="BC868" s="538"/>
      <c r="BD868" s="343"/>
      <c r="BE868" s="343"/>
      <c r="BG868" s="644"/>
      <c r="BH868" s="515"/>
      <c r="BI868" s="515"/>
      <c r="BJ868" s="644"/>
      <c r="BK868" s="515"/>
      <c r="BL868" s="515"/>
      <c r="BM868" s="644"/>
      <c r="BN868" s="515"/>
      <c r="BO868" s="515"/>
      <c r="BP868" s="644"/>
      <c r="BQ868" s="515"/>
      <c r="BR868" s="515"/>
    </row>
    <row r="869" spans="4:70" x14ac:dyDescent="0.25">
      <c r="D869" s="538"/>
      <c r="G869" s="538"/>
      <c r="J869" s="538"/>
      <c r="M869" s="538"/>
      <c r="R869" s="538"/>
      <c r="S869" s="343"/>
      <c r="T869" s="343"/>
      <c r="U869" s="538"/>
      <c r="V869" s="343"/>
      <c r="W869" s="343"/>
      <c r="X869" s="538"/>
      <c r="Y869" s="343"/>
      <c r="Z869" s="343"/>
      <c r="AA869" s="538"/>
      <c r="AB869" s="343"/>
      <c r="AC869" s="343"/>
      <c r="AE869" s="343"/>
      <c r="AF869" s="538"/>
      <c r="AG869" s="343"/>
      <c r="AH869" s="343"/>
      <c r="AI869" s="538"/>
      <c r="AJ869" s="343"/>
      <c r="AK869" s="343"/>
      <c r="AL869" s="538"/>
      <c r="AM869" s="343"/>
      <c r="AN869" s="343"/>
      <c r="AO869" s="538"/>
      <c r="AP869" s="343"/>
      <c r="AQ869" s="343"/>
      <c r="AS869" s="343"/>
      <c r="AT869" s="538"/>
      <c r="AU869" s="343"/>
      <c r="AV869" s="343"/>
      <c r="AW869" s="538"/>
      <c r="AX869" s="343"/>
      <c r="AY869" s="343"/>
      <c r="AZ869" s="538"/>
      <c r="BA869" s="343"/>
      <c r="BB869" s="343"/>
      <c r="BC869" s="538"/>
      <c r="BD869" s="343"/>
      <c r="BE869" s="343"/>
      <c r="BG869" s="644"/>
      <c r="BH869" s="515"/>
      <c r="BI869" s="515"/>
      <c r="BJ869" s="644"/>
      <c r="BK869" s="515"/>
      <c r="BL869" s="515"/>
      <c r="BM869" s="644"/>
      <c r="BN869" s="515"/>
      <c r="BO869" s="515"/>
      <c r="BP869" s="644"/>
      <c r="BQ869" s="515"/>
      <c r="BR869" s="515"/>
    </row>
    <row r="870" spans="4:70" x14ac:dyDescent="0.25">
      <c r="D870" s="538"/>
      <c r="G870" s="538"/>
      <c r="J870" s="538"/>
      <c r="M870" s="538"/>
      <c r="R870" s="538"/>
      <c r="S870" s="343"/>
      <c r="T870" s="343"/>
      <c r="U870" s="538"/>
      <c r="V870" s="343"/>
      <c r="W870" s="343"/>
      <c r="X870" s="538"/>
      <c r="Y870" s="343"/>
      <c r="Z870" s="343"/>
      <c r="AA870" s="538"/>
      <c r="AB870" s="343"/>
      <c r="AC870" s="343"/>
      <c r="AE870" s="343"/>
      <c r="AF870" s="538"/>
      <c r="AG870" s="343"/>
      <c r="AH870" s="343"/>
      <c r="AI870" s="538"/>
      <c r="AJ870" s="343"/>
      <c r="AK870" s="343"/>
      <c r="AL870" s="538"/>
      <c r="AM870" s="343"/>
      <c r="AN870" s="343"/>
      <c r="AO870" s="538"/>
      <c r="AP870" s="343"/>
      <c r="AQ870" s="343"/>
      <c r="AS870" s="343"/>
      <c r="AT870" s="538"/>
      <c r="AU870" s="343"/>
      <c r="AV870" s="343"/>
      <c r="AW870" s="538"/>
      <c r="AX870" s="343"/>
      <c r="AY870" s="343"/>
      <c r="AZ870" s="538"/>
      <c r="BA870" s="343"/>
      <c r="BB870" s="343"/>
      <c r="BC870" s="538"/>
      <c r="BD870" s="343"/>
      <c r="BE870" s="343"/>
      <c r="BG870" s="644"/>
      <c r="BH870" s="515"/>
      <c r="BI870" s="515"/>
      <c r="BJ870" s="644"/>
      <c r="BK870" s="515"/>
      <c r="BL870" s="515"/>
      <c r="BM870" s="644"/>
      <c r="BN870" s="515"/>
      <c r="BO870" s="515"/>
      <c r="BP870" s="644"/>
      <c r="BQ870" s="515"/>
      <c r="BR870" s="515"/>
    </row>
    <row r="871" spans="4:70" x14ac:dyDescent="0.25">
      <c r="D871" s="538"/>
      <c r="G871" s="538"/>
      <c r="J871" s="538"/>
      <c r="M871" s="538"/>
      <c r="R871" s="538"/>
      <c r="S871" s="343"/>
      <c r="T871" s="343"/>
      <c r="U871" s="538"/>
      <c r="V871" s="343"/>
      <c r="W871" s="343"/>
      <c r="X871" s="538"/>
      <c r="Y871" s="343"/>
      <c r="Z871" s="343"/>
      <c r="AA871" s="538"/>
      <c r="AB871" s="343"/>
      <c r="AC871" s="343"/>
      <c r="AE871" s="343"/>
      <c r="AF871" s="538"/>
      <c r="AG871" s="343"/>
      <c r="AH871" s="343"/>
      <c r="AI871" s="538"/>
      <c r="AJ871" s="343"/>
      <c r="AK871" s="343"/>
      <c r="AL871" s="538"/>
      <c r="AM871" s="343"/>
      <c r="AN871" s="343"/>
      <c r="AO871" s="538"/>
      <c r="AP871" s="343"/>
      <c r="AQ871" s="343"/>
      <c r="AS871" s="343"/>
      <c r="AT871" s="538"/>
      <c r="AU871" s="343"/>
      <c r="AV871" s="343"/>
      <c r="AW871" s="538"/>
      <c r="AX871" s="343"/>
      <c r="AY871" s="343"/>
      <c r="AZ871" s="538"/>
      <c r="BA871" s="343"/>
      <c r="BB871" s="343"/>
      <c r="BC871" s="538"/>
      <c r="BD871" s="343"/>
      <c r="BE871" s="343"/>
      <c r="BG871" s="644"/>
      <c r="BH871" s="515"/>
      <c r="BI871" s="515"/>
      <c r="BJ871" s="644"/>
      <c r="BK871" s="515"/>
      <c r="BL871" s="515"/>
      <c r="BM871" s="644"/>
      <c r="BN871" s="515"/>
      <c r="BO871" s="515"/>
      <c r="BP871" s="644"/>
      <c r="BQ871" s="515"/>
      <c r="BR871" s="515"/>
    </row>
    <row r="872" spans="4:70" x14ac:dyDescent="0.25">
      <c r="D872" s="538"/>
      <c r="G872" s="538"/>
      <c r="J872" s="538"/>
      <c r="M872" s="538"/>
      <c r="R872" s="538"/>
      <c r="S872" s="343"/>
      <c r="T872" s="343"/>
      <c r="U872" s="538"/>
      <c r="V872" s="343"/>
      <c r="W872" s="343"/>
      <c r="X872" s="538"/>
      <c r="Y872" s="343"/>
      <c r="Z872" s="343"/>
      <c r="AA872" s="538"/>
      <c r="AB872" s="343"/>
      <c r="AC872" s="343"/>
      <c r="AE872" s="343"/>
      <c r="AF872" s="538"/>
      <c r="AG872" s="343"/>
      <c r="AH872" s="343"/>
      <c r="AI872" s="538"/>
      <c r="AJ872" s="343"/>
      <c r="AK872" s="343"/>
      <c r="AL872" s="538"/>
      <c r="AM872" s="343"/>
      <c r="AN872" s="343"/>
      <c r="AO872" s="538"/>
      <c r="AP872" s="343"/>
      <c r="AQ872" s="343"/>
      <c r="AS872" s="343"/>
      <c r="AT872" s="538"/>
      <c r="AU872" s="343"/>
      <c r="AV872" s="343"/>
      <c r="AW872" s="538"/>
      <c r="AX872" s="343"/>
      <c r="AY872" s="343"/>
      <c r="AZ872" s="538"/>
      <c r="BA872" s="343"/>
      <c r="BB872" s="343"/>
      <c r="BC872" s="538"/>
      <c r="BD872" s="343"/>
      <c r="BE872" s="343"/>
      <c r="BG872" s="644"/>
      <c r="BH872" s="515"/>
      <c r="BI872" s="515"/>
      <c r="BJ872" s="644"/>
      <c r="BK872" s="515"/>
      <c r="BL872" s="515"/>
      <c r="BM872" s="644"/>
      <c r="BN872" s="515"/>
      <c r="BO872" s="515"/>
      <c r="BP872" s="644"/>
      <c r="BQ872" s="515"/>
      <c r="BR872" s="515"/>
    </row>
    <row r="873" spans="4:70" x14ac:dyDescent="0.25">
      <c r="D873" s="538"/>
      <c r="G873" s="538"/>
      <c r="J873" s="538"/>
      <c r="M873" s="538"/>
      <c r="R873" s="538"/>
      <c r="S873" s="343"/>
      <c r="T873" s="343"/>
      <c r="U873" s="538"/>
      <c r="V873" s="343"/>
      <c r="W873" s="343"/>
      <c r="X873" s="538"/>
      <c r="Y873" s="343"/>
      <c r="Z873" s="343"/>
      <c r="AA873" s="538"/>
      <c r="AB873" s="343"/>
      <c r="AC873" s="343"/>
      <c r="AE873" s="343"/>
      <c r="AF873" s="538"/>
      <c r="AG873" s="343"/>
      <c r="AH873" s="343"/>
      <c r="AI873" s="538"/>
      <c r="AJ873" s="343"/>
      <c r="AK873" s="343"/>
      <c r="AL873" s="538"/>
      <c r="AM873" s="343"/>
      <c r="AN873" s="343"/>
      <c r="AO873" s="538"/>
      <c r="AP873" s="343"/>
      <c r="AQ873" s="343"/>
      <c r="AS873" s="343"/>
      <c r="AT873" s="538"/>
      <c r="AU873" s="343"/>
      <c r="AV873" s="343"/>
      <c r="AW873" s="538"/>
      <c r="AX873" s="343"/>
      <c r="AY873" s="343"/>
      <c r="AZ873" s="538"/>
      <c r="BA873" s="343"/>
      <c r="BB873" s="343"/>
      <c r="BC873" s="538"/>
      <c r="BD873" s="343"/>
      <c r="BE873" s="343"/>
      <c r="BG873" s="644"/>
      <c r="BH873" s="515"/>
      <c r="BI873" s="515"/>
      <c r="BJ873" s="644"/>
      <c r="BK873" s="515"/>
      <c r="BL873" s="515"/>
      <c r="BM873" s="644"/>
      <c r="BN873" s="515"/>
      <c r="BO873" s="515"/>
      <c r="BP873" s="644"/>
      <c r="BQ873" s="515"/>
      <c r="BR873" s="515"/>
    </row>
    <row r="874" spans="4:70" x14ac:dyDescent="0.25">
      <c r="D874" s="538"/>
      <c r="G874" s="538"/>
      <c r="J874" s="538"/>
      <c r="M874" s="538"/>
      <c r="R874" s="538"/>
      <c r="S874" s="343"/>
      <c r="T874" s="343"/>
      <c r="U874" s="538"/>
      <c r="V874" s="343"/>
      <c r="W874" s="343"/>
      <c r="X874" s="538"/>
      <c r="Y874" s="343"/>
      <c r="Z874" s="343"/>
      <c r="AA874" s="538"/>
      <c r="AB874" s="343"/>
      <c r="AC874" s="343"/>
      <c r="AE874" s="343"/>
      <c r="AF874" s="538"/>
      <c r="AG874" s="343"/>
      <c r="AH874" s="343"/>
      <c r="AI874" s="538"/>
      <c r="AJ874" s="343"/>
      <c r="AK874" s="343"/>
      <c r="AL874" s="538"/>
      <c r="AM874" s="343"/>
      <c r="AN874" s="343"/>
      <c r="AO874" s="538"/>
      <c r="AP874" s="343"/>
      <c r="AQ874" s="343"/>
      <c r="AS874" s="343"/>
      <c r="AT874" s="538"/>
      <c r="AU874" s="343"/>
      <c r="AV874" s="343"/>
      <c r="AW874" s="538"/>
      <c r="AX874" s="343"/>
      <c r="AY874" s="343"/>
      <c r="AZ874" s="538"/>
      <c r="BA874" s="343"/>
      <c r="BB874" s="343"/>
      <c r="BC874" s="538"/>
      <c r="BD874" s="343"/>
      <c r="BE874" s="343"/>
      <c r="BG874" s="644"/>
      <c r="BH874" s="515"/>
      <c r="BI874" s="515"/>
      <c r="BJ874" s="644"/>
      <c r="BK874" s="515"/>
      <c r="BL874" s="515"/>
      <c r="BM874" s="644"/>
      <c r="BN874" s="515"/>
      <c r="BO874" s="515"/>
      <c r="BP874" s="644"/>
      <c r="BQ874" s="515"/>
      <c r="BR874" s="515"/>
    </row>
    <row r="875" spans="4:70" x14ac:dyDescent="0.25">
      <c r="D875" s="538"/>
      <c r="G875" s="538"/>
      <c r="J875" s="538"/>
      <c r="M875" s="538"/>
      <c r="R875" s="538"/>
      <c r="S875" s="343"/>
      <c r="T875" s="343"/>
      <c r="U875" s="538"/>
      <c r="V875" s="343"/>
      <c r="W875" s="343"/>
      <c r="X875" s="538"/>
      <c r="Y875" s="343"/>
      <c r="Z875" s="343"/>
      <c r="AA875" s="538"/>
      <c r="AB875" s="343"/>
      <c r="AC875" s="343"/>
      <c r="AE875" s="343"/>
      <c r="AF875" s="538"/>
      <c r="AG875" s="343"/>
      <c r="AH875" s="343"/>
      <c r="AI875" s="538"/>
      <c r="AJ875" s="343"/>
      <c r="AK875" s="343"/>
      <c r="AL875" s="538"/>
      <c r="AM875" s="343"/>
      <c r="AN875" s="343"/>
      <c r="AO875" s="538"/>
      <c r="AP875" s="343"/>
      <c r="AQ875" s="343"/>
      <c r="AS875" s="343"/>
      <c r="AT875" s="538"/>
      <c r="AU875" s="343"/>
      <c r="AV875" s="343"/>
      <c r="AW875" s="538"/>
      <c r="AX875" s="343"/>
      <c r="AY875" s="343"/>
      <c r="AZ875" s="538"/>
      <c r="BA875" s="343"/>
      <c r="BB875" s="343"/>
      <c r="BC875" s="538"/>
      <c r="BD875" s="343"/>
      <c r="BE875" s="343"/>
      <c r="BG875" s="644"/>
      <c r="BH875" s="515"/>
      <c r="BI875" s="515"/>
      <c r="BJ875" s="644"/>
      <c r="BK875" s="515"/>
      <c r="BL875" s="515"/>
      <c r="BM875" s="644"/>
      <c r="BN875" s="515"/>
      <c r="BO875" s="515"/>
      <c r="BP875" s="644"/>
      <c r="BQ875" s="515"/>
      <c r="BR875" s="515"/>
    </row>
    <row r="876" spans="4:70" x14ac:dyDescent="0.25">
      <c r="D876" s="538"/>
      <c r="G876" s="538"/>
      <c r="J876" s="538"/>
      <c r="M876" s="538"/>
      <c r="R876" s="538"/>
      <c r="S876" s="343"/>
      <c r="T876" s="343"/>
      <c r="U876" s="538"/>
      <c r="V876" s="343"/>
      <c r="W876" s="343"/>
      <c r="X876" s="538"/>
      <c r="Y876" s="343"/>
      <c r="Z876" s="343"/>
      <c r="AA876" s="538"/>
      <c r="AB876" s="343"/>
      <c r="AC876" s="343"/>
      <c r="AE876" s="343"/>
      <c r="AF876" s="538"/>
      <c r="AG876" s="343"/>
      <c r="AH876" s="343"/>
      <c r="AI876" s="538"/>
      <c r="AJ876" s="343"/>
      <c r="AK876" s="343"/>
      <c r="AL876" s="538"/>
      <c r="AM876" s="343"/>
      <c r="AN876" s="343"/>
      <c r="AO876" s="538"/>
      <c r="AP876" s="343"/>
      <c r="AQ876" s="343"/>
      <c r="AS876" s="343"/>
      <c r="AT876" s="538"/>
      <c r="AU876" s="343"/>
      <c r="AV876" s="343"/>
      <c r="AW876" s="538"/>
      <c r="AX876" s="343"/>
      <c r="AY876" s="343"/>
      <c r="AZ876" s="538"/>
      <c r="BA876" s="343"/>
      <c r="BB876" s="343"/>
      <c r="BC876" s="538"/>
      <c r="BD876" s="343"/>
      <c r="BE876" s="343"/>
      <c r="BG876" s="644"/>
      <c r="BH876" s="515"/>
      <c r="BI876" s="515"/>
      <c r="BJ876" s="644"/>
      <c r="BK876" s="515"/>
      <c r="BL876" s="515"/>
      <c r="BM876" s="644"/>
      <c r="BN876" s="515"/>
      <c r="BO876" s="515"/>
      <c r="BP876" s="644"/>
      <c r="BQ876" s="515"/>
      <c r="BR876" s="515"/>
    </row>
    <row r="877" spans="4:70" x14ac:dyDescent="0.25">
      <c r="D877" s="538"/>
      <c r="G877" s="538"/>
      <c r="J877" s="538"/>
      <c r="M877" s="538"/>
      <c r="R877" s="538"/>
      <c r="S877" s="343"/>
      <c r="T877" s="343"/>
      <c r="U877" s="538"/>
      <c r="V877" s="343"/>
      <c r="W877" s="343"/>
      <c r="X877" s="538"/>
      <c r="Y877" s="343"/>
      <c r="Z877" s="343"/>
      <c r="AA877" s="538"/>
      <c r="AB877" s="343"/>
      <c r="AC877" s="343"/>
      <c r="AE877" s="343"/>
      <c r="AF877" s="538"/>
      <c r="AG877" s="343"/>
      <c r="AH877" s="343"/>
      <c r="AI877" s="538"/>
      <c r="AJ877" s="343"/>
      <c r="AK877" s="343"/>
      <c r="AL877" s="538"/>
      <c r="AM877" s="343"/>
      <c r="AN877" s="343"/>
      <c r="AO877" s="538"/>
      <c r="AP877" s="343"/>
      <c r="AQ877" s="343"/>
      <c r="AS877" s="343"/>
      <c r="AT877" s="538"/>
      <c r="AU877" s="343"/>
      <c r="AV877" s="343"/>
      <c r="AW877" s="538"/>
      <c r="AX877" s="343"/>
      <c r="AY877" s="343"/>
      <c r="AZ877" s="538"/>
      <c r="BA877" s="343"/>
      <c r="BB877" s="343"/>
      <c r="BC877" s="538"/>
      <c r="BD877" s="343"/>
      <c r="BE877" s="343"/>
      <c r="BG877" s="644"/>
      <c r="BH877" s="515"/>
      <c r="BI877" s="515"/>
      <c r="BJ877" s="644"/>
      <c r="BK877" s="515"/>
      <c r="BL877" s="515"/>
      <c r="BM877" s="644"/>
      <c r="BN877" s="515"/>
      <c r="BO877" s="515"/>
      <c r="BP877" s="644"/>
      <c r="BQ877" s="515"/>
      <c r="BR877" s="515"/>
    </row>
    <row r="878" spans="4:70" x14ac:dyDescent="0.25">
      <c r="D878" s="538"/>
      <c r="G878" s="538"/>
      <c r="J878" s="538"/>
      <c r="M878" s="538"/>
      <c r="R878" s="538"/>
      <c r="S878" s="343"/>
      <c r="T878" s="343"/>
      <c r="U878" s="538"/>
      <c r="V878" s="343"/>
      <c r="W878" s="343"/>
      <c r="X878" s="538"/>
      <c r="Y878" s="343"/>
      <c r="Z878" s="343"/>
      <c r="AA878" s="538"/>
      <c r="AB878" s="343"/>
      <c r="AC878" s="343"/>
      <c r="AE878" s="343"/>
      <c r="AF878" s="538"/>
      <c r="AG878" s="343"/>
      <c r="AH878" s="343"/>
      <c r="AI878" s="538"/>
      <c r="AJ878" s="343"/>
      <c r="AK878" s="343"/>
      <c r="AL878" s="538"/>
      <c r="AM878" s="343"/>
      <c r="AN878" s="343"/>
      <c r="AO878" s="538"/>
      <c r="AP878" s="343"/>
      <c r="AQ878" s="343"/>
      <c r="AS878" s="343"/>
      <c r="AT878" s="538"/>
      <c r="AU878" s="343"/>
      <c r="AV878" s="343"/>
      <c r="AW878" s="538"/>
      <c r="AX878" s="343"/>
      <c r="AY878" s="343"/>
      <c r="AZ878" s="538"/>
      <c r="BA878" s="343"/>
      <c r="BB878" s="343"/>
      <c r="BC878" s="538"/>
      <c r="BD878" s="343"/>
      <c r="BE878" s="343"/>
      <c r="BG878" s="644"/>
      <c r="BH878" s="515"/>
      <c r="BI878" s="515"/>
      <c r="BJ878" s="644"/>
      <c r="BK878" s="515"/>
      <c r="BL878" s="515"/>
      <c r="BM878" s="644"/>
      <c r="BN878" s="515"/>
      <c r="BO878" s="515"/>
      <c r="BP878" s="644"/>
      <c r="BQ878" s="515"/>
      <c r="BR878" s="515"/>
    </row>
    <row r="879" spans="4:70" x14ac:dyDescent="0.25">
      <c r="D879" s="538"/>
      <c r="G879" s="538"/>
      <c r="J879" s="538"/>
      <c r="M879" s="538"/>
      <c r="R879" s="538"/>
      <c r="S879" s="343"/>
      <c r="T879" s="343"/>
      <c r="U879" s="538"/>
      <c r="V879" s="343"/>
      <c r="W879" s="343"/>
      <c r="X879" s="538"/>
      <c r="Y879" s="343"/>
      <c r="Z879" s="343"/>
      <c r="AA879" s="538"/>
      <c r="AB879" s="343"/>
      <c r="AC879" s="343"/>
      <c r="AE879" s="343"/>
      <c r="AF879" s="538"/>
      <c r="AG879" s="343"/>
      <c r="AH879" s="343"/>
      <c r="AI879" s="538"/>
      <c r="AJ879" s="343"/>
      <c r="AK879" s="343"/>
      <c r="AL879" s="538"/>
      <c r="AM879" s="343"/>
      <c r="AN879" s="343"/>
      <c r="AO879" s="538"/>
      <c r="AP879" s="343"/>
      <c r="AQ879" s="343"/>
      <c r="AS879" s="343"/>
      <c r="AT879" s="538"/>
      <c r="AU879" s="343"/>
      <c r="AV879" s="343"/>
      <c r="AW879" s="538"/>
      <c r="AX879" s="343"/>
      <c r="AY879" s="343"/>
      <c r="AZ879" s="538"/>
      <c r="BA879" s="343"/>
      <c r="BB879" s="343"/>
      <c r="BC879" s="538"/>
      <c r="BD879" s="343"/>
      <c r="BE879" s="343"/>
      <c r="BG879" s="644"/>
      <c r="BH879" s="515"/>
      <c r="BI879" s="515"/>
      <c r="BJ879" s="644"/>
      <c r="BK879" s="515"/>
      <c r="BL879" s="515"/>
      <c r="BM879" s="644"/>
      <c r="BN879" s="515"/>
      <c r="BO879" s="515"/>
      <c r="BP879" s="644"/>
      <c r="BQ879" s="515"/>
      <c r="BR879" s="515"/>
    </row>
    <row r="880" spans="4:70" x14ac:dyDescent="0.25">
      <c r="D880" s="538"/>
      <c r="G880" s="538"/>
      <c r="J880" s="538"/>
      <c r="M880" s="538"/>
      <c r="R880" s="538"/>
      <c r="S880" s="343"/>
      <c r="T880" s="343"/>
      <c r="U880" s="538"/>
      <c r="V880" s="343"/>
      <c r="W880" s="343"/>
      <c r="X880" s="538"/>
      <c r="Y880" s="343"/>
      <c r="Z880" s="343"/>
      <c r="AA880" s="538"/>
      <c r="AB880" s="343"/>
      <c r="AC880" s="343"/>
      <c r="AE880" s="343"/>
      <c r="AF880" s="538"/>
      <c r="AG880" s="343"/>
      <c r="AH880" s="343"/>
      <c r="AI880" s="538"/>
      <c r="AJ880" s="343"/>
      <c r="AK880" s="343"/>
      <c r="AL880" s="538"/>
      <c r="AM880" s="343"/>
      <c r="AN880" s="343"/>
      <c r="AO880" s="538"/>
      <c r="AP880" s="343"/>
      <c r="AQ880" s="343"/>
      <c r="AS880" s="343"/>
      <c r="AT880" s="538"/>
      <c r="AU880" s="343"/>
      <c r="AV880" s="343"/>
      <c r="AW880" s="538"/>
      <c r="AX880" s="343"/>
      <c r="AY880" s="343"/>
      <c r="AZ880" s="538"/>
      <c r="BA880" s="343"/>
      <c r="BB880" s="343"/>
      <c r="BC880" s="538"/>
      <c r="BD880" s="343"/>
      <c r="BE880" s="343"/>
      <c r="BG880" s="644"/>
      <c r="BH880" s="515"/>
      <c r="BI880" s="515"/>
      <c r="BJ880" s="644"/>
      <c r="BK880" s="515"/>
      <c r="BL880" s="515"/>
      <c r="BM880" s="644"/>
      <c r="BN880" s="515"/>
      <c r="BO880" s="515"/>
      <c r="BP880" s="644"/>
      <c r="BQ880" s="515"/>
      <c r="BR880" s="515"/>
    </row>
    <row r="881" spans="4:70" x14ac:dyDescent="0.25">
      <c r="D881" s="538"/>
      <c r="G881" s="538"/>
      <c r="J881" s="538"/>
      <c r="M881" s="538"/>
      <c r="R881" s="538"/>
      <c r="S881" s="343"/>
      <c r="T881" s="343"/>
      <c r="U881" s="538"/>
      <c r="V881" s="343"/>
      <c r="W881" s="343"/>
      <c r="X881" s="538"/>
      <c r="Y881" s="343"/>
      <c r="Z881" s="343"/>
      <c r="AA881" s="538"/>
      <c r="AB881" s="343"/>
      <c r="AC881" s="343"/>
      <c r="AE881" s="343"/>
      <c r="AF881" s="538"/>
      <c r="AG881" s="343"/>
      <c r="AH881" s="343"/>
      <c r="AI881" s="538"/>
      <c r="AJ881" s="343"/>
      <c r="AK881" s="343"/>
      <c r="AL881" s="538"/>
      <c r="AM881" s="343"/>
      <c r="AN881" s="343"/>
      <c r="AO881" s="538"/>
      <c r="AP881" s="343"/>
      <c r="AQ881" s="343"/>
      <c r="AS881" s="343"/>
      <c r="AT881" s="538"/>
      <c r="AU881" s="343"/>
      <c r="AV881" s="343"/>
      <c r="AW881" s="538"/>
      <c r="AX881" s="343"/>
      <c r="AY881" s="343"/>
      <c r="AZ881" s="538"/>
      <c r="BA881" s="343"/>
      <c r="BB881" s="343"/>
      <c r="BC881" s="538"/>
      <c r="BD881" s="343"/>
      <c r="BE881" s="343"/>
      <c r="BG881" s="644"/>
      <c r="BH881" s="515"/>
      <c r="BI881" s="515"/>
      <c r="BJ881" s="644"/>
      <c r="BK881" s="515"/>
      <c r="BL881" s="515"/>
      <c r="BM881" s="644"/>
      <c r="BN881" s="515"/>
      <c r="BO881" s="515"/>
      <c r="BP881" s="644"/>
      <c r="BQ881" s="515"/>
      <c r="BR881" s="515"/>
    </row>
    <row r="882" spans="4:70" x14ac:dyDescent="0.25">
      <c r="D882" s="538"/>
      <c r="G882" s="538"/>
      <c r="J882" s="538"/>
      <c r="M882" s="538"/>
      <c r="R882" s="538"/>
      <c r="S882" s="343"/>
      <c r="T882" s="343"/>
      <c r="U882" s="538"/>
      <c r="V882" s="343"/>
      <c r="W882" s="343"/>
      <c r="X882" s="538"/>
      <c r="Y882" s="343"/>
      <c r="Z882" s="343"/>
      <c r="AA882" s="538"/>
      <c r="AB882" s="343"/>
      <c r="AC882" s="343"/>
      <c r="AE882" s="343"/>
      <c r="AF882" s="538"/>
      <c r="AG882" s="343"/>
      <c r="AH882" s="343"/>
      <c r="AI882" s="538"/>
      <c r="AJ882" s="343"/>
      <c r="AK882" s="343"/>
      <c r="AL882" s="538"/>
      <c r="AM882" s="343"/>
      <c r="AN882" s="343"/>
      <c r="AO882" s="538"/>
      <c r="AP882" s="343"/>
      <c r="AQ882" s="343"/>
      <c r="AS882" s="343"/>
      <c r="AT882" s="538"/>
      <c r="AU882" s="343"/>
      <c r="AV882" s="343"/>
      <c r="AW882" s="538"/>
      <c r="AX882" s="343"/>
      <c r="AY882" s="343"/>
      <c r="AZ882" s="538"/>
      <c r="BA882" s="343"/>
      <c r="BB882" s="343"/>
      <c r="BC882" s="538"/>
      <c r="BD882" s="343"/>
      <c r="BE882" s="343"/>
      <c r="BG882" s="644"/>
      <c r="BH882" s="515"/>
      <c r="BI882" s="515"/>
      <c r="BJ882" s="644"/>
      <c r="BK882" s="515"/>
      <c r="BL882" s="515"/>
      <c r="BM882" s="644"/>
      <c r="BN882" s="515"/>
      <c r="BO882" s="515"/>
      <c r="BP882" s="644"/>
      <c r="BQ882" s="515"/>
      <c r="BR882" s="515"/>
    </row>
    <row r="883" spans="4:70" x14ac:dyDescent="0.25">
      <c r="D883" s="538"/>
      <c r="G883" s="538"/>
      <c r="J883" s="538"/>
      <c r="M883" s="538"/>
      <c r="R883" s="538"/>
      <c r="S883" s="343"/>
      <c r="T883" s="343"/>
      <c r="U883" s="538"/>
      <c r="V883" s="343"/>
      <c r="W883" s="343"/>
      <c r="X883" s="538"/>
      <c r="Y883" s="343"/>
      <c r="Z883" s="343"/>
      <c r="AA883" s="538"/>
      <c r="AB883" s="343"/>
      <c r="AC883" s="343"/>
      <c r="AE883" s="343"/>
      <c r="AF883" s="538"/>
      <c r="AG883" s="343"/>
      <c r="AH883" s="343"/>
      <c r="AI883" s="538"/>
      <c r="AJ883" s="343"/>
      <c r="AK883" s="343"/>
      <c r="AL883" s="538"/>
      <c r="AM883" s="343"/>
      <c r="AN883" s="343"/>
      <c r="AO883" s="538"/>
      <c r="AP883" s="343"/>
      <c r="AQ883" s="343"/>
      <c r="AS883" s="343"/>
      <c r="AT883" s="538"/>
      <c r="AU883" s="343"/>
      <c r="AV883" s="343"/>
      <c r="AW883" s="538"/>
      <c r="AX883" s="343"/>
      <c r="AY883" s="343"/>
      <c r="AZ883" s="538"/>
      <c r="BA883" s="343"/>
      <c r="BB883" s="343"/>
      <c r="BC883" s="538"/>
      <c r="BD883" s="343"/>
      <c r="BE883" s="343"/>
      <c r="BG883" s="644"/>
      <c r="BH883" s="515"/>
      <c r="BI883" s="515"/>
      <c r="BJ883" s="644"/>
      <c r="BK883" s="515"/>
      <c r="BL883" s="515"/>
      <c r="BM883" s="644"/>
      <c r="BN883" s="515"/>
      <c r="BO883" s="515"/>
      <c r="BP883" s="644"/>
      <c r="BQ883" s="515"/>
      <c r="BR883" s="515"/>
    </row>
    <row r="884" spans="4:70" x14ac:dyDescent="0.25">
      <c r="D884" s="538"/>
      <c r="G884" s="538"/>
      <c r="J884" s="538"/>
      <c r="M884" s="538"/>
      <c r="R884" s="538"/>
      <c r="S884" s="343"/>
      <c r="T884" s="343"/>
      <c r="U884" s="538"/>
      <c r="V884" s="343"/>
      <c r="W884" s="343"/>
      <c r="X884" s="538"/>
      <c r="Y884" s="343"/>
      <c r="Z884" s="343"/>
      <c r="AA884" s="538"/>
      <c r="AB884" s="343"/>
      <c r="AC884" s="343"/>
      <c r="AE884" s="343"/>
      <c r="AF884" s="538"/>
      <c r="AG884" s="343"/>
      <c r="AH884" s="343"/>
      <c r="AI884" s="538"/>
      <c r="AJ884" s="343"/>
      <c r="AK884" s="343"/>
      <c r="AL884" s="538"/>
      <c r="AM884" s="343"/>
      <c r="AN884" s="343"/>
      <c r="AO884" s="538"/>
      <c r="AP884" s="343"/>
      <c r="AQ884" s="343"/>
      <c r="AS884" s="343"/>
      <c r="AT884" s="538"/>
      <c r="AU884" s="343"/>
      <c r="AV884" s="343"/>
      <c r="AW884" s="538"/>
      <c r="AX884" s="343"/>
      <c r="AY884" s="343"/>
      <c r="AZ884" s="538"/>
      <c r="BA884" s="343"/>
      <c r="BB884" s="343"/>
      <c r="BC884" s="538"/>
      <c r="BD884" s="343"/>
      <c r="BE884" s="343"/>
      <c r="BG884" s="644"/>
      <c r="BH884" s="515"/>
      <c r="BI884" s="515"/>
      <c r="BJ884" s="644"/>
      <c r="BK884" s="515"/>
      <c r="BL884" s="515"/>
      <c r="BM884" s="644"/>
      <c r="BN884" s="515"/>
      <c r="BO884" s="515"/>
      <c r="BP884" s="644"/>
      <c r="BQ884" s="515"/>
      <c r="BR884" s="515"/>
    </row>
    <row r="885" spans="4:70" x14ac:dyDescent="0.25">
      <c r="D885" s="538"/>
      <c r="G885" s="538"/>
      <c r="J885" s="538"/>
      <c r="M885" s="538"/>
      <c r="R885" s="538"/>
      <c r="S885" s="343"/>
      <c r="T885" s="343"/>
      <c r="U885" s="538"/>
      <c r="V885" s="343"/>
      <c r="W885" s="343"/>
      <c r="X885" s="538"/>
      <c r="Y885" s="343"/>
      <c r="Z885" s="343"/>
      <c r="AA885" s="538"/>
      <c r="AB885" s="343"/>
      <c r="AC885" s="343"/>
      <c r="AE885" s="343"/>
      <c r="AF885" s="538"/>
      <c r="AG885" s="343"/>
      <c r="AH885" s="343"/>
      <c r="AI885" s="538"/>
      <c r="AJ885" s="343"/>
      <c r="AK885" s="343"/>
      <c r="AL885" s="538"/>
      <c r="AM885" s="343"/>
      <c r="AN885" s="343"/>
      <c r="AO885" s="538"/>
      <c r="AP885" s="343"/>
      <c r="AQ885" s="343"/>
      <c r="AS885" s="343"/>
      <c r="AT885" s="538"/>
      <c r="AU885" s="343"/>
      <c r="AV885" s="343"/>
      <c r="AW885" s="538"/>
      <c r="AX885" s="343"/>
      <c r="AY885" s="343"/>
      <c r="AZ885" s="538"/>
      <c r="BA885" s="343"/>
      <c r="BB885" s="343"/>
      <c r="BC885" s="538"/>
      <c r="BD885" s="343"/>
      <c r="BE885" s="343"/>
      <c r="BG885" s="644"/>
      <c r="BH885" s="515"/>
      <c r="BI885" s="515"/>
      <c r="BJ885" s="644"/>
      <c r="BK885" s="515"/>
      <c r="BL885" s="515"/>
      <c r="BM885" s="644"/>
      <c r="BN885" s="515"/>
      <c r="BO885" s="515"/>
      <c r="BP885" s="644"/>
      <c r="BQ885" s="515"/>
      <c r="BR885" s="515"/>
    </row>
    <row r="886" spans="4:70" x14ac:dyDescent="0.25">
      <c r="D886" s="538"/>
      <c r="G886" s="538"/>
      <c r="J886" s="538"/>
      <c r="M886" s="538"/>
      <c r="R886" s="538"/>
      <c r="S886" s="343"/>
      <c r="T886" s="343"/>
      <c r="U886" s="538"/>
      <c r="V886" s="343"/>
      <c r="W886" s="343"/>
      <c r="X886" s="538"/>
      <c r="Y886" s="343"/>
      <c r="Z886" s="343"/>
      <c r="AA886" s="538"/>
      <c r="AB886" s="343"/>
      <c r="AC886" s="343"/>
      <c r="AE886" s="343"/>
      <c r="AF886" s="538"/>
      <c r="AG886" s="343"/>
      <c r="AH886" s="343"/>
      <c r="AI886" s="538"/>
      <c r="AJ886" s="343"/>
      <c r="AK886" s="343"/>
      <c r="AL886" s="538"/>
      <c r="AM886" s="343"/>
      <c r="AN886" s="343"/>
      <c r="AO886" s="538"/>
      <c r="AP886" s="343"/>
      <c r="AQ886" s="343"/>
      <c r="AS886" s="343"/>
      <c r="AT886" s="538"/>
      <c r="AU886" s="343"/>
      <c r="AV886" s="343"/>
      <c r="AW886" s="538"/>
      <c r="AX886" s="343"/>
      <c r="AY886" s="343"/>
      <c r="AZ886" s="538"/>
      <c r="BA886" s="343"/>
      <c r="BB886" s="343"/>
      <c r="BC886" s="538"/>
      <c r="BD886" s="343"/>
      <c r="BE886" s="343"/>
      <c r="BG886" s="644"/>
      <c r="BH886" s="515"/>
      <c r="BI886" s="515"/>
      <c r="BJ886" s="644"/>
      <c r="BK886" s="515"/>
      <c r="BL886" s="515"/>
      <c r="BM886" s="644"/>
      <c r="BN886" s="515"/>
      <c r="BO886" s="515"/>
      <c r="BP886" s="644"/>
      <c r="BQ886" s="515"/>
      <c r="BR886" s="515"/>
    </row>
    <row r="887" spans="4:70" x14ac:dyDescent="0.25">
      <c r="D887" s="538"/>
      <c r="G887" s="538"/>
      <c r="J887" s="538"/>
      <c r="M887" s="538"/>
      <c r="R887" s="538"/>
      <c r="S887" s="343"/>
      <c r="T887" s="343"/>
      <c r="U887" s="538"/>
      <c r="V887" s="343"/>
      <c r="W887" s="343"/>
      <c r="X887" s="538"/>
      <c r="Y887" s="343"/>
      <c r="Z887" s="343"/>
      <c r="AA887" s="538"/>
      <c r="AB887" s="343"/>
      <c r="AC887" s="343"/>
      <c r="AE887" s="343"/>
      <c r="AF887" s="538"/>
      <c r="AG887" s="343"/>
      <c r="AH887" s="343"/>
      <c r="AI887" s="538"/>
      <c r="AJ887" s="343"/>
      <c r="AK887" s="343"/>
      <c r="AL887" s="538"/>
      <c r="AM887" s="343"/>
      <c r="AN887" s="343"/>
      <c r="AO887" s="538"/>
      <c r="AP887" s="343"/>
      <c r="AQ887" s="343"/>
      <c r="AS887" s="343"/>
      <c r="AT887" s="538"/>
      <c r="AU887" s="343"/>
      <c r="AV887" s="343"/>
      <c r="AW887" s="538"/>
      <c r="AX887" s="343"/>
      <c r="AY887" s="343"/>
      <c r="AZ887" s="538"/>
      <c r="BA887" s="343"/>
      <c r="BB887" s="343"/>
      <c r="BC887" s="538"/>
      <c r="BD887" s="343"/>
      <c r="BE887" s="343"/>
      <c r="BG887" s="644"/>
      <c r="BH887" s="515"/>
      <c r="BI887" s="515"/>
      <c r="BJ887" s="644"/>
      <c r="BK887" s="515"/>
      <c r="BL887" s="515"/>
      <c r="BM887" s="644"/>
      <c r="BN887" s="515"/>
      <c r="BO887" s="515"/>
      <c r="BP887" s="644"/>
      <c r="BQ887" s="515"/>
      <c r="BR887" s="515"/>
    </row>
    <row r="888" spans="4:70" x14ac:dyDescent="0.25">
      <c r="D888" s="538"/>
      <c r="G888" s="538"/>
      <c r="J888" s="538"/>
      <c r="M888" s="538"/>
      <c r="R888" s="538"/>
      <c r="S888" s="343"/>
      <c r="T888" s="343"/>
      <c r="U888" s="538"/>
      <c r="V888" s="343"/>
      <c r="W888" s="343"/>
      <c r="X888" s="538"/>
      <c r="Y888" s="343"/>
      <c r="Z888" s="343"/>
      <c r="AA888" s="538"/>
      <c r="AB888" s="343"/>
      <c r="AC888" s="343"/>
      <c r="AE888" s="343"/>
      <c r="AF888" s="538"/>
      <c r="AG888" s="343"/>
      <c r="AH888" s="343"/>
      <c r="AI888" s="538"/>
      <c r="AJ888" s="343"/>
      <c r="AK888" s="343"/>
      <c r="AL888" s="538"/>
      <c r="AM888" s="343"/>
      <c r="AN888" s="343"/>
      <c r="AO888" s="538"/>
      <c r="AP888" s="343"/>
      <c r="AQ888" s="343"/>
      <c r="AS888" s="343"/>
      <c r="AT888" s="538"/>
      <c r="AU888" s="343"/>
      <c r="AV888" s="343"/>
      <c r="AW888" s="538"/>
      <c r="AX888" s="343"/>
      <c r="AY888" s="343"/>
      <c r="AZ888" s="538"/>
      <c r="BA888" s="343"/>
      <c r="BB888" s="343"/>
      <c r="BC888" s="538"/>
      <c r="BD888" s="343"/>
      <c r="BE888" s="343"/>
      <c r="BG888" s="644"/>
      <c r="BH888" s="515"/>
      <c r="BI888" s="515"/>
      <c r="BJ888" s="644"/>
      <c r="BK888" s="515"/>
      <c r="BL888" s="515"/>
      <c r="BM888" s="644"/>
      <c r="BN888" s="515"/>
      <c r="BO888" s="515"/>
      <c r="BP888" s="644"/>
      <c r="BQ888" s="515"/>
      <c r="BR888" s="515"/>
    </row>
    <row r="889" spans="4:70" x14ac:dyDescent="0.25">
      <c r="D889" s="538"/>
      <c r="G889" s="538"/>
      <c r="J889" s="538"/>
      <c r="M889" s="538"/>
      <c r="R889" s="538"/>
      <c r="S889" s="343"/>
      <c r="T889" s="343"/>
      <c r="U889" s="538"/>
      <c r="V889" s="343"/>
      <c r="W889" s="343"/>
      <c r="X889" s="538"/>
      <c r="Y889" s="343"/>
      <c r="Z889" s="343"/>
      <c r="AA889" s="538"/>
      <c r="AB889" s="343"/>
      <c r="AC889" s="343"/>
      <c r="AE889" s="343"/>
      <c r="AF889" s="538"/>
      <c r="AG889" s="343"/>
      <c r="AH889" s="343"/>
      <c r="AI889" s="538"/>
      <c r="AJ889" s="343"/>
      <c r="AK889" s="343"/>
      <c r="AL889" s="538"/>
      <c r="AM889" s="343"/>
      <c r="AN889" s="343"/>
      <c r="AO889" s="538"/>
      <c r="AP889" s="343"/>
      <c r="AQ889" s="343"/>
      <c r="AS889" s="343"/>
      <c r="AT889" s="538"/>
      <c r="AU889" s="343"/>
      <c r="AV889" s="343"/>
      <c r="AW889" s="538"/>
      <c r="AX889" s="343"/>
      <c r="AY889" s="343"/>
      <c r="AZ889" s="538"/>
      <c r="BA889" s="343"/>
      <c r="BB889" s="343"/>
      <c r="BC889" s="538"/>
      <c r="BD889" s="343"/>
      <c r="BE889" s="343"/>
      <c r="BG889" s="644"/>
      <c r="BH889" s="515"/>
      <c r="BI889" s="515"/>
      <c r="BJ889" s="644"/>
      <c r="BK889" s="515"/>
      <c r="BL889" s="515"/>
      <c r="BM889" s="644"/>
      <c r="BN889" s="515"/>
      <c r="BO889" s="515"/>
      <c r="BP889" s="644"/>
      <c r="BQ889" s="515"/>
      <c r="BR889" s="515"/>
    </row>
    <row r="890" spans="4:70" x14ac:dyDescent="0.25">
      <c r="D890" s="538"/>
      <c r="G890" s="538"/>
      <c r="J890" s="538"/>
      <c r="M890" s="538"/>
      <c r="R890" s="538"/>
      <c r="S890" s="343"/>
      <c r="T890" s="343"/>
      <c r="U890" s="538"/>
      <c r="V890" s="343"/>
      <c r="W890" s="343"/>
      <c r="X890" s="538"/>
      <c r="Y890" s="343"/>
      <c r="Z890" s="343"/>
      <c r="AA890" s="538"/>
      <c r="AB890" s="343"/>
      <c r="AC890" s="343"/>
      <c r="AE890" s="343"/>
      <c r="AF890" s="538"/>
      <c r="AG890" s="343"/>
      <c r="AH890" s="343"/>
      <c r="AI890" s="538"/>
      <c r="AJ890" s="343"/>
      <c r="AK890" s="343"/>
      <c r="AL890" s="538"/>
      <c r="AM890" s="343"/>
      <c r="AN890" s="343"/>
      <c r="AO890" s="538"/>
      <c r="AP890" s="343"/>
      <c r="AQ890" s="343"/>
      <c r="AS890" s="343"/>
      <c r="AT890" s="538"/>
      <c r="AU890" s="343"/>
      <c r="AV890" s="343"/>
      <c r="AW890" s="538"/>
      <c r="AX890" s="343"/>
      <c r="AY890" s="343"/>
      <c r="AZ890" s="538"/>
      <c r="BA890" s="343"/>
      <c r="BB890" s="343"/>
      <c r="BC890" s="538"/>
      <c r="BD890" s="343"/>
      <c r="BE890" s="343"/>
      <c r="BG890" s="644"/>
      <c r="BH890" s="515"/>
      <c r="BI890" s="515"/>
      <c r="BJ890" s="644"/>
      <c r="BK890" s="515"/>
      <c r="BL890" s="515"/>
      <c r="BM890" s="644"/>
      <c r="BN890" s="515"/>
      <c r="BO890" s="515"/>
      <c r="BP890" s="644"/>
      <c r="BQ890" s="515"/>
      <c r="BR890" s="515"/>
    </row>
    <row r="891" spans="4:70" x14ac:dyDescent="0.25">
      <c r="D891" s="538"/>
      <c r="G891" s="538"/>
      <c r="J891" s="538"/>
      <c r="M891" s="538"/>
      <c r="R891" s="538"/>
      <c r="S891" s="343"/>
      <c r="T891" s="343"/>
      <c r="U891" s="538"/>
      <c r="V891" s="343"/>
      <c r="W891" s="343"/>
      <c r="X891" s="538"/>
      <c r="Y891" s="343"/>
      <c r="Z891" s="343"/>
      <c r="AA891" s="538"/>
      <c r="AB891" s="343"/>
      <c r="AC891" s="343"/>
      <c r="AE891" s="343"/>
      <c r="AF891" s="538"/>
      <c r="AG891" s="343"/>
      <c r="AH891" s="343"/>
      <c r="AI891" s="538"/>
      <c r="AJ891" s="343"/>
      <c r="AK891" s="343"/>
      <c r="AL891" s="538"/>
      <c r="AM891" s="343"/>
      <c r="AN891" s="343"/>
      <c r="AO891" s="538"/>
      <c r="AP891" s="343"/>
      <c r="AQ891" s="343"/>
      <c r="AS891" s="343"/>
      <c r="AT891" s="538"/>
      <c r="AU891" s="343"/>
      <c r="AV891" s="343"/>
      <c r="AW891" s="538"/>
      <c r="AX891" s="343"/>
      <c r="AY891" s="343"/>
      <c r="AZ891" s="538"/>
      <c r="BA891" s="343"/>
      <c r="BB891" s="343"/>
      <c r="BC891" s="538"/>
      <c r="BD891" s="343"/>
      <c r="BE891" s="343"/>
      <c r="BG891" s="644"/>
      <c r="BH891" s="515"/>
      <c r="BI891" s="515"/>
      <c r="BJ891" s="644"/>
      <c r="BK891" s="515"/>
      <c r="BL891" s="515"/>
      <c r="BM891" s="644"/>
      <c r="BN891" s="515"/>
      <c r="BO891" s="515"/>
      <c r="BP891" s="644"/>
      <c r="BQ891" s="515"/>
      <c r="BR891" s="515"/>
    </row>
    <row r="892" spans="4:70" x14ac:dyDescent="0.25">
      <c r="D892" s="538"/>
      <c r="G892" s="538"/>
      <c r="J892" s="538"/>
      <c r="M892" s="538"/>
      <c r="R892" s="538"/>
      <c r="S892" s="343"/>
      <c r="T892" s="343"/>
      <c r="U892" s="538"/>
      <c r="V892" s="343"/>
      <c r="W892" s="343"/>
      <c r="X892" s="538"/>
      <c r="Y892" s="343"/>
      <c r="Z892" s="343"/>
      <c r="AA892" s="538"/>
      <c r="AB892" s="343"/>
      <c r="AC892" s="343"/>
      <c r="AE892" s="343"/>
      <c r="AF892" s="538"/>
      <c r="AG892" s="343"/>
      <c r="AH892" s="343"/>
      <c r="AI892" s="538"/>
      <c r="AJ892" s="343"/>
      <c r="AK892" s="343"/>
      <c r="AL892" s="538"/>
      <c r="AM892" s="343"/>
      <c r="AN892" s="343"/>
      <c r="AO892" s="538"/>
      <c r="AP892" s="343"/>
      <c r="AQ892" s="343"/>
      <c r="AS892" s="343"/>
      <c r="AT892" s="538"/>
      <c r="AU892" s="343"/>
      <c r="AV892" s="343"/>
      <c r="AW892" s="538"/>
      <c r="AX892" s="343"/>
      <c r="AY892" s="343"/>
      <c r="AZ892" s="538"/>
      <c r="BA892" s="343"/>
      <c r="BB892" s="343"/>
      <c r="BC892" s="538"/>
      <c r="BD892" s="343"/>
      <c r="BE892" s="343"/>
      <c r="BG892" s="644"/>
      <c r="BH892" s="515"/>
      <c r="BI892" s="515"/>
      <c r="BJ892" s="644"/>
      <c r="BK892" s="515"/>
      <c r="BL892" s="515"/>
      <c r="BM892" s="644"/>
      <c r="BN892" s="515"/>
      <c r="BO892" s="515"/>
      <c r="BP892" s="644"/>
      <c r="BQ892" s="515"/>
      <c r="BR892" s="515"/>
    </row>
    <row r="893" spans="4:70" x14ac:dyDescent="0.25">
      <c r="D893" s="538"/>
      <c r="G893" s="538"/>
      <c r="J893" s="538"/>
      <c r="M893" s="538"/>
      <c r="R893" s="538"/>
      <c r="S893" s="343"/>
      <c r="T893" s="343"/>
      <c r="U893" s="538"/>
      <c r="V893" s="343"/>
      <c r="W893" s="343"/>
      <c r="X893" s="538"/>
      <c r="Y893" s="343"/>
      <c r="Z893" s="343"/>
      <c r="AA893" s="538"/>
      <c r="AB893" s="343"/>
      <c r="AC893" s="343"/>
      <c r="AE893" s="343"/>
      <c r="AF893" s="538"/>
      <c r="AG893" s="343"/>
      <c r="AH893" s="343"/>
      <c r="AI893" s="538"/>
      <c r="AJ893" s="343"/>
      <c r="AK893" s="343"/>
      <c r="AL893" s="538"/>
      <c r="AM893" s="343"/>
      <c r="AN893" s="343"/>
      <c r="AO893" s="538"/>
      <c r="AP893" s="343"/>
      <c r="AQ893" s="343"/>
      <c r="AS893" s="343"/>
      <c r="AT893" s="538"/>
      <c r="AU893" s="343"/>
      <c r="AV893" s="343"/>
      <c r="AW893" s="538"/>
      <c r="AX893" s="343"/>
      <c r="AY893" s="343"/>
      <c r="AZ893" s="538"/>
      <c r="BA893" s="343"/>
      <c r="BB893" s="343"/>
      <c r="BC893" s="538"/>
      <c r="BD893" s="343"/>
      <c r="BE893" s="343"/>
      <c r="BG893" s="644"/>
      <c r="BH893" s="515"/>
      <c r="BI893" s="515"/>
      <c r="BJ893" s="644"/>
      <c r="BK893" s="515"/>
      <c r="BL893" s="515"/>
      <c r="BM893" s="644"/>
      <c r="BN893" s="515"/>
      <c r="BO893" s="515"/>
      <c r="BP893" s="644"/>
      <c r="BQ893" s="515"/>
      <c r="BR893" s="515"/>
    </row>
    <row r="894" spans="4:70" x14ac:dyDescent="0.25">
      <c r="D894" s="538"/>
      <c r="G894" s="538"/>
      <c r="J894" s="538"/>
      <c r="M894" s="538"/>
      <c r="R894" s="538"/>
      <c r="S894" s="343"/>
      <c r="T894" s="343"/>
      <c r="U894" s="538"/>
      <c r="V894" s="343"/>
      <c r="W894" s="343"/>
      <c r="X894" s="538"/>
      <c r="Y894" s="343"/>
      <c r="Z894" s="343"/>
      <c r="AA894" s="538"/>
      <c r="AB894" s="343"/>
      <c r="AC894" s="343"/>
      <c r="AE894" s="343"/>
      <c r="AF894" s="538"/>
      <c r="AG894" s="343"/>
      <c r="AH894" s="343"/>
      <c r="AI894" s="538"/>
      <c r="AJ894" s="343"/>
      <c r="AK894" s="343"/>
      <c r="AL894" s="538"/>
      <c r="AM894" s="343"/>
      <c r="AN894" s="343"/>
      <c r="AO894" s="538"/>
      <c r="AP894" s="343"/>
      <c r="AQ894" s="343"/>
      <c r="AS894" s="343"/>
      <c r="AT894" s="538"/>
      <c r="AU894" s="343"/>
      <c r="AV894" s="343"/>
      <c r="AW894" s="538"/>
      <c r="AX894" s="343"/>
      <c r="AY894" s="343"/>
      <c r="AZ894" s="538"/>
      <c r="BA894" s="343"/>
      <c r="BB894" s="343"/>
      <c r="BC894" s="538"/>
      <c r="BD894" s="343"/>
      <c r="BE894" s="343"/>
      <c r="BG894" s="644"/>
      <c r="BH894" s="515"/>
      <c r="BI894" s="515"/>
      <c r="BJ894" s="644"/>
      <c r="BK894" s="515"/>
      <c r="BL894" s="515"/>
      <c r="BM894" s="644"/>
      <c r="BN894" s="515"/>
      <c r="BO894" s="515"/>
      <c r="BP894" s="644"/>
      <c r="BQ894" s="515"/>
      <c r="BR894" s="515"/>
    </row>
    <row r="895" spans="4:70" x14ac:dyDescent="0.25">
      <c r="D895" s="538"/>
      <c r="G895" s="538"/>
      <c r="J895" s="538"/>
      <c r="M895" s="538"/>
      <c r="R895" s="538"/>
      <c r="S895" s="343"/>
      <c r="T895" s="343"/>
      <c r="U895" s="538"/>
      <c r="V895" s="343"/>
      <c r="W895" s="343"/>
      <c r="X895" s="538"/>
      <c r="Y895" s="343"/>
      <c r="Z895" s="343"/>
      <c r="AA895" s="538"/>
      <c r="AB895" s="343"/>
      <c r="AC895" s="343"/>
      <c r="AE895" s="343"/>
      <c r="AF895" s="538"/>
      <c r="AG895" s="343"/>
      <c r="AH895" s="343"/>
      <c r="AI895" s="538"/>
      <c r="AJ895" s="343"/>
      <c r="AK895" s="343"/>
      <c r="AL895" s="538"/>
      <c r="AM895" s="343"/>
      <c r="AN895" s="343"/>
      <c r="AO895" s="538"/>
      <c r="AP895" s="343"/>
      <c r="AQ895" s="343"/>
      <c r="AS895" s="343"/>
      <c r="AT895" s="538"/>
      <c r="AU895" s="343"/>
      <c r="AV895" s="343"/>
      <c r="AW895" s="538"/>
      <c r="AX895" s="343"/>
      <c r="AY895" s="343"/>
      <c r="AZ895" s="538"/>
      <c r="BA895" s="343"/>
      <c r="BB895" s="343"/>
      <c r="BC895" s="538"/>
      <c r="BD895" s="343"/>
      <c r="BE895" s="343"/>
      <c r="BG895" s="644"/>
      <c r="BH895" s="515"/>
      <c r="BI895" s="515"/>
      <c r="BJ895" s="644"/>
      <c r="BK895" s="515"/>
      <c r="BL895" s="515"/>
      <c r="BM895" s="644"/>
      <c r="BN895" s="515"/>
      <c r="BO895" s="515"/>
      <c r="BP895" s="644"/>
      <c r="BQ895" s="515"/>
      <c r="BR895" s="515"/>
    </row>
    <row r="896" spans="4:70" x14ac:dyDescent="0.25">
      <c r="D896" s="538"/>
      <c r="G896" s="538"/>
      <c r="J896" s="538"/>
      <c r="M896" s="538"/>
      <c r="R896" s="538"/>
      <c r="S896" s="343"/>
      <c r="T896" s="343"/>
      <c r="U896" s="538"/>
      <c r="V896" s="343"/>
      <c r="W896" s="343"/>
      <c r="X896" s="538"/>
      <c r="Y896" s="343"/>
      <c r="Z896" s="343"/>
      <c r="AA896" s="538"/>
      <c r="AB896" s="343"/>
      <c r="AC896" s="343"/>
      <c r="AE896" s="343"/>
      <c r="AF896" s="538"/>
      <c r="AG896" s="343"/>
      <c r="AH896" s="343"/>
      <c r="AI896" s="538"/>
      <c r="AJ896" s="343"/>
      <c r="AK896" s="343"/>
      <c r="AL896" s="538"/>
      <c r="AM896" s="343"/>
      <c r="AN896" s="343"/>
      <c r="AO896" s="538"/>
      <c r="AP896" s="343"/>
      <c r="AQ896" s="343"/>
      <c r="AS896" s="343"/>
      <c r="AT896" s="538"/>
      <c r="AU896" s="343"/>
      <c r="AV896" s="343"/>
      <c r="AW896" s="538"/>
      <c r="AX896" s="343"/>
      <c r="AY896" s="343"/>
      <c r="AZ896" s="538"/>
      <c r="BA896" s="343"/>
      <c r="BB896" s="343"/>
      <c r="BC896" s="538"/>
      <c r="BD896" s="343"/>
      <c r="BE896" s="343"/>
      <c r="BG896" s="644"/>
      <c r="BH896" s="515"/>
      <c r="BI896" s="515"/>
      <c r="BJ896" s="644"/>
      <c r="BK896" s="515"/>
      <c r="BL896" s="515"/>
      <c r="BM896" s="644"/>
      <c r="BN896" s="515"/>
      <c r="BO896" s="515"/>
      <c r="BP896" s="644"/>
      <c r="BQ896" s="515"/>
      <c r="BR896" s="515"/>
    </row>
    <row r="897" spans="4:70" x14ac:dyDescent="0.25">
      <c r="D897" s="538"/>
      <c r="G897" s="538"/>
      <c r="J897" s="538"/>
      <c r="M897" s="538"/>
      <c r="R897" s="538"/>
      <c r="S897" s="343"/>
      <c r="T897" s="343"/>
      <c r="U897" s="538"/>
      <c r="V897" s="343"/>
      <c r="W897" s="343"/>
      <c r="X897" s="538"/>
      <c r="Y897" s="343"/>
      <c r="Z897" s="343"/>
      <c r="AA897" s="538"/>
      <c r="AB897" s="343"/>
      <c r="AC897" s="343"/>
      <c r="AE897" s="343"/>
      <c r="AF897" s="538"/>
      <c r="AG897" s="343"/>
      <c r="AH897" s="343"/>
      <c r="AI897" s="538"/>
      <c r="AJ897" s="343"/>
      <c r="AK897" s="343"/>
      <c r="AL897" s="538"/>
      <c r="AM897" s="343"/>
      <c r="AN897" s="343"/>
      <c r="AO897" s="538"/>
      <c r="AP897" s="343"/>
      <c r="AQ897" s="343"/>
      <c r="AS897" s="343"/>
      <c r="AT897" s="538"/>
      <c r="AU897" s="343"/>
      <c r="AV897" s="343"/>
      <c r="AW897" s="538"/>
      <c r="AX897" s="343"/>
      <c r="AY897" s="343"/>
      <c r="AZ897" s="538"/>
      <c r="BA897" s="343"/>
      <c r="BB897" s="343"/>
      <c r="BC897" s="538"/>
      <c r="BD897" s="343"/>
      <c r="BE897" s="343"/>
      <c r="BG897" s="644"/>
      <c r="BH897" s="515"/>
      <c r="BI897" s="515"/>
      <c r="BJ897" s="644"/>
      <c r="BK897" s="515"/>
      <c r="BL897" s="515"/>
      <c r="BM897" s="644"/>
      <c r="BN897" s="515"/>
      <c r="BO897" s="515"/>
      <c r="BP897" s="644"/>
      <c r="BQ897" s="515"/>
      <c r="BR897" s="515"/>
    </row>
    <row r="898" spans="4:70" x14ac:dyDescent="0.25">
      <c r="D898" s="538"/>
      <c r="G898" s="538"/>
      <c r="J898" s="538"/>
      <c r="M898" s="538"/>
      <c r="R898" s="538"/>
      <c r="S898" s="343"/>
      <c r="T898" s="343"/>
      <c r="U898" s="538"/>
      <c r="V898" s="343"/>
      <c r="W898" s="343"/>
      <c r="X898" s="538"/>
      <c r="Y898" s="343"/>
      <c r="Z898" s="343"/>
      <c r="AA898" s="538"/>
      <c r="AB898" s="343"/>
      <c r="AC898" s="343"/>
      <c r="AE898" s="343"/>
      <c r="AF898" s="538"/>
      <c r="AG898" s="343"/>
      <c r="AH898" s="343"/>
      <c r="AI898" s="538"/>
      <c r="AJ898" s="343"/>
      <c r="AK898" s="343"/>
      <c r="AL898" s="538"/>
      <c r="AM898" s="343"/>
      <c r="AN898" s="343"/>
      <c r="AO898" s="538"/>
      <c r="AP898" s="343"/>
      <c r="AQ898" s="343"/>
      <c r="AS898" s="343"/>
      <c r="AT898" s="538"/>
      <c r="AU898" s="343"/>
      <c r="AV898" s="343"/>
      <c r="AW898" s="538"/>
      <c r="AX898" s="343"/>
      <c r="AY898" s="343"/>
      <c r="AZ898" s="538"/>
      <c r="BA898" s="343"/>
      <c r="BB898" s="343"/>
      <c r="BC898" s="538"/>
      <c r="BD898" s="343"/>
      <c r="BE898" s="343"/>
      <c r="BG898" s="644"/>
      <c r="BH898" s="515"/>
      <c r="BI898" s="515"/>
      <c r="BJ898" s="644"/>
      <c r="BK898" s="515"/>
      <c r="BL898" s="515"/>
      <c r="BM898" s="644"/>
      <c r="BN898" s="515"/>
      <c r="BO898" s="515"/>
      <c r="BP898" s="644"/>
      <c r="BQ898" s="515"/>
      <c r="BR898" s="515"/>
    </row>
    <row r="899" spans="4:70" x14ac:dyDescent="0.25">
      <c r="D899" s="538"/>
      <c r="G899" s="538"/>
      <c r="J899" s="538"/>
      <c r="M899" s="538"/>
      <c r="R899" s="538"/>
      <c r="S899" s="343"/>
      <c r="T899" s="343"/>
      <c r="U899" s="538"/>
      <c r="V899" s="343"/>
      <c r="W899" s="343"/>
      <c r="X899" s="538"/>
      <c r="Y899" s="343"/>
      <c r="Z899" s="343"/>
      <c r="AA899" s="538"/>
      <c r="AB899" s="343"/>
      <c r="AC899" s="343"/>
      <c r="AE899" s="343"/>
      <c r="AF899" s="538"/>
      <c r="AG899" s="343"/>
      <c r="AH899" s="343"/>
      <c r="AI899" s="538"/>
      <c r="AJ899" s="343"/>
      <c r="AK899" s="343"/>
      <c r="AL899" s="538"/>
      <c r="AM899" s="343"/>
      <c r="AN899" s="343"/>
      <c r="AO899" s="538"/>
      <c r="AP899" s="343"/>
      <c r="AQ899" s="343"/>
      <c r="AS899" s="343"/>
      <c r="AT899" s="538"/>
      <c r="AU899" s="343"/>
      <c r="AV899" s="343"/>
      <c r="AW899" s="538"/>
      <c r="AX899" s="343"/>
      <c r="AY899" s="343"/>
      <c r="AZ899" s="538"/>
      <c r="BA899" s="343"/>
      <c r="BB899" s="343"/>
      <c r="BC899" s="538"/>
      <c r="BD899" s="343"/>
      <c r="BE899" s="343"/>
      <c r="BG899" s="644"/>
      <c r="BH899" s="515"/>
      <c r="BI899" s="515"/>
      <c r="BJ899" s="644"/>
      <c r="BK899" s="515"/>
      <c r="BL899" s="515"/>
      <c r="BM899" s="644"/>
      <c r="BN899" s="515"/>
      <c r="BO899" s="515"/>
      <c r="BP899" s="644"/>
      <c r="BQ899" s="515"/>
      <c r="BR899" s="515"/>
    </row>
    <row r="900" spans="4:70" x14ac:dyDescent="0.25">
      <c r="D900" s="538"/>
      <c r="G900" s="538"/>
      <c r="J900" s="538"/>
      <c r="M900" s="538"/>
      <c r="R900" s="538"/>
      <c r="S900" s="343"/>
      <c r="T900" s="343"/>
      <c r="U900" s="538"/>
      <c r="V900" s="343"/>
      <c r="W900" s="343"/>
      <c r="X900" s="538"/>
      <c r="Y900" s="343"/>
      <c r="Z900" s="343"/>
      <c r="AA900" s="538"/>
      <c r="AB900" s="343"/>
      <c r="AC900" s="343"/>
      <c r="AE900" s="343"/>
      <c r="AF900" s="538"/>
      <c r="AG900" s="343"/>
      <c r="AH900" s="343"/>
      <c r="AI900" s="538"/>
      <c r="AJ900" s="343"/>
      <c r="AK900" s="343"/>
      <c r="AL900" s="538"/>
      <c r="AM900" s="343"/>
      <c r="AN900" s="343"/>
      <c r="AO900" s="538"/>
      <c r="AP900" s="343"/>
      <c r="AQ900" s="343"/>
      <c r="AS900" s="343"/>
      <c r="AT900" s="538"/>
      <c r="AU900" s="343"/>
      <c r="AV900" s="343"/>
      <c r="AW900" s="538"/>
      <c r="AX900" s="343"/>
      <c r="AY900" s="343"/>
      <c r="AZ900" s="538"/>
      <c r="BA900" s="343"/>
      <c r="BB900" s="343"/>
      <c r="BC900" s="538"/>
      <c r="BD900" s="343"/>
      <c r="BE900" s="343"/>
      <c r="BG900" s="644"/>
      <c r="BH900" s="515"/>
      <c r="BI900" s="515"/>
      <c r="BJ900" s="644"/>
      <c r="BK900" s="515"/>
      <c r="BL900" s="515"/>
      <c r="BM900" s="644"/>
      <c r="BN900" s="515"/>
      <c r="BO900" s="515"/>
      <c r="BP900" s="644"/>
      <c r="BQ900" s="515"/>
      <c r="BR900" s="515"/>
    </row>
    <row r="901" spans="4:70" x14ac:dyDescent="0.25">
      <c r="D901" s="538"/>
      <c r="G901" s="538"/>
      <c r="J901" s="538"/>
      <c r="M901" s="538"/>
      <c r="R901" s="538"/>
      <c r="S901" s="343"/>
      <c r="T901" s="343"/>
      <c r="U901" s="538"/>
      <c r="V901" s="343"/>
      <c r="W901" s="343"/>
      <c r="X901" s="538"/>
      <c r="Y901" s="343"/>
      <c r="Z901" s="343"/>
      <c r="AA901" s="538"/>
      <c r="AB901" s="343"/>
      <c r="AC901" s="343"/>
      <c r="AE901" s="343"/>
      <c r="AF901" s="538"/>
      <c r="AG901" s="343"/>
      <c r="AH901" s="343"/>
      <c r="AI901" s="538"/>
      <c r="AJ901" s="343"/>
      <c r="AK901" s="343"/>
      <c r="AL901" s="538"/>
      <c r="AM901" s="343"/>
      <c r="AN901" s="343"/>
      <c r="AO901" s="538"/>
      <c r="AP901" s="343"/>
      <c r="AQ901" s="343"/>
      <c r="AS901" s="343"/>
      <c r="AT901" s="538"/>
      <c r="AU901" s="343"/>
      <c r="AV901" s="343"/>
      <c r="AW901" s="538"/>
      <c r="AX901" s="343"/>
      <c r="AY901" s="343"/>
      <c r="AZ901" s="538"/>
      <c r="BA901" s="343"/>
      <c r="BB901" s="343"/>
      <c r="BC901" s="538"/>
      <c r="BD901" s="343"/>
      <c r="BE901" s="343"/>
      <c r="BG901" s="644"/>
      <c r="BH901" s="515"/>
      <c r="BI901" s="515"/>
      <c r="BJ901" s="644"/>
      <c r="BK901" s="515"/>
      <c r="BL901" s="515"/>
      <c r="BM901" s="644"/>
      <c r="BN901" s="515"/>
      <c r="BO901" s="515"/>
      <c r="BP901" s="644"/>
      <c r="BQ901" s="515"/>
      <c r="BR901" s="515"/>
    </row>
    <row r="902" spans="4:70" x14ac:dyDescent="0.25">
      <c r="D902" s="538"/>
      <c r="G902" s="538"/>
      <c r="J902" s="538"/>
      <c r="M902" s="538"/>
      <c r="R902" s="538"/>
      <c r="S902" s="343"/>
      <c r="T902" s="343"/>
      <c r="U902" s="538"/>
      <c r="V902" s="343"/>
      <c r="W902" s="343"/>
      <c r="X902" s="538"/>
      <c r="Y902" s="343"/>
      <c r="Z902" s="343"/>
      <c r="AA902" s="538"/>
      <c r="AB902" s="343"/>
      <c r="AC902" s="343"/>
      <c r="AE902" s="343"/>
      <c r="AF902" s="538"/>
      <c r="AG902" s="343"/>
      <c r="AH902" s="343"/>
      <c r="AI902" s="538"/>
      <c r="AJ902" s="343"/>
      <c r="AK902" s="343"/>
      <c r="AL902" s="538"/>
      <c r="AM902" s="343"/>
      <c r="AN902" s="343"/>
      <c r="AO902" s="538"/>
      <c r="AP902" s="343"/>
      <c r="AQ902" s="343"/>
      <c r="AS902" s="343"/>
      <c r="AT902" s="538"/>
      <c r="AU902" s="343"/>
      <c r="AV902" s="343"/>
      <c r="AW902" s="538"/>
      <c r="AX902" s="343"/>
      <c r="AY902" s="343"/>
      <c r="AZ902" s="538"/>
      <c r="BA902" s="343"/>
      <c r="BB902" s="343"/>
      <c r="BC902" s="538"/>
      <c r="BD902" s="343"/>
      <c r="BE902" s="343"/>
      <c r="BG902" s="644"/>
      <c r="BH902" s="515"/>
      <c r="BI902" s="515"/>
      <c r="BJ902" s="644"/>
      <c r="BK902" s="515"/>
      <c r="BL902" s="515"/>
      <c r="BM902" s="644"/>
      <c r="BN902" s="515"/>
      <c r="BO902" s="515"/>
      <c r="BP902" s="644"/>
      <c r="BQ902" s="515"/>
      <c r="BR902" s="515"/>
    </row>
    <row r="903" spans="4:70" x14ac:dyDescent="0.25">
      <c r="D903" s="538"/>
      <c r="G903" s="538"/>
      <c r="J903" s="538"/>
      <c r="M903" s="538"/>
      <c r="R903" s="538"/>
      <c r="S903" s="343"/>
      <c r="T903" s="343"/>
      <c r="U903" s="538"/>
      <c r="V903" s="343"/>
      <c r="W903" s="343"/>
      <c r="X903" s="538"/>
      <c r="Y903" s="343"/>
      <c r="Z903" s="343"/>
      <c r="AA903" s="538"/>
      <c r="AB903" s="343"/>
      <c r="AC903" s="343"/>
      <c r="AE903" s="343"/>
      <c r="AF903" s="538"/>
      <c r="AG903" s="343"/>
      <c r="AH903" s="343"/>
      <c r="AI903" s="538"/>
      <c r="AJ903" s="343"/>
      <c r="AK903" s="343"/>
      <c r="AL903" s="538"/>
      <c r="AM903" s="343"/>
      <c r="AN903" s="343"/>
      <c r="AO903" s="538"/>
      <c r="AP903" s="343"/>
      <c r="AQ903" s="343"/>
      <c r="AS903" s="343"/>
      <c r="AT903" s="538"/>
      <c r="AU903" s="343"/>
      <c r="AV903" s="343"/>
      <c r="AW903" s="538"/>
      <c r="AX903" s="343"/>
      <c r="AY903" s="343"/>
      <c r="AZ903" s="538"/>
      <c r="BA903" s="343"/>
      <c r="BB903" s="343"/>
      <c r="BC903" s="538"/>
      <c r="BD903" s="343"/>
      <c r="BE903" s="343"/>
      <c r="BG903" s="644"/>
      <c r="BH903" s="515"/>
      <c r="BI903" s="515"/>
      <c r="BJ903" s="644"/>
      <c r="BK903" s="515"/>
      <c r="BL903" s="515"/>
      <c r="BM903" s="644"/>
      <c r="BN903" s="515"/>
      <c r="BO903" s="515"/>
      <c r="BP903" s="644"/>
      <c r="BQ903" s="515"/>
      <c r="BR903" s="515"/>
    </row>
    <row r="904" spans="4:70" x14ac:dyDescent="0.25">
      <c r="D904" s="538"/>
      <c r="G904" s="538"/>
      <c r="J904" s="538"/>
      <c r="M904" s="538"/>
      <c r="R904" s="538"/>
      <c r="S904" s="343"/>
      <c r="T904" s="343"/>
      <c r="U904" s="538"/>
      <c r="V904" s="343"/>
      <c r="W904" s="343"/>
      <c r="X904" s="538"/>
      <c r="Y904" s="343"/>
      <c r="Z904" s="343"/>
      <c r="AA904" s="538"/>
      <c r="AB904" s="343"/>
      <c r="AC904" s="343"/>
      <c r="AE904" s="343"/>
      <c r="AF904" s="538"/>
      <c r="AG904" s="343"/>
      <c r="AH904" s="343"/>
      <c r="AI904" s="538"/>
      <c r="AJ904" s="343"/>
      <c r="AK904" s="343"/>
      <c r="AL904" s="538"/>
      <c r="AM904" s="343"/>
      <c r="AN904" s="343"/>
      <c r="AO904" s="538"/>
      <c r="AP904" s="343"/>
      <c r="AQ904" s="343"/>
      <c r="AS904" s="343"/>
      <c r="AT904" s="538"/>
      <c r="AU904" s="343"/>
      <c r="AV904" s="343"/>
      <c r="AW904" s="538"/>
      <c r="AX904" s="343"/>
      <c r="AY904" s="343"/>
      <c r="AZ904" s="538"/>
      <c r="BA904" s="343"/>
      <c r="BB904" s="343"/>
      <c r="BC904" s="538"/>
      <c r="BD904" s="343"/>
      <c r="BE904" s="343"/>
      <c r="BG904" s="644"/>
      <c r="BH904" s="515"/>
      <c r="BI904" s="515"/>
      <c r="BJ904" s="644"/>
      <c r="BK904" s="515"/>
      <c r="BL904" s="515"/>
      <c r="BM904" s="644"/>
      <c r="BN904" s="515"/>
      <c r="BO904" s="515"/>
      <c r="BP904" s="644"/>
      <c r="BQ904" s="515"/>
      <c r="BR904" s="515"/>
    </row>
    <row r="905" spans="4:70" x14ac:dyDescent="0.25">
      <c r="D905" s="538"/>
      <c r="G905" s="538"/>
      <c r="J905" s="538"/>
      <c r="M905" s="538"/>
      <c r="R905" s="538"/>
      <c r="S905" s="343"/>
      <c r="T905" s="343"/>
      <c r="U905" s="538"/>
      <c r="V905" s="343"/>
      <c r="W905" s="343"/>
      <c r="X905" s="538"/>
      <c r="Y905" s="343"/>
      <c r="Z905" s="343"/>
      <c r="AA905" s="538"/>
      <c r="AB905" s="343"/>
      <c r="AC905" s="343"/>
      <c r="AE905" s="343"/>
      <c r="AF905" s="538"/>
      <c r="AG905" s="343"/>
      <c r="AH905" s="343"/>
      <c r="AI905" s="538"/>
      <c r="AJ905" s="343"/>
      <c r="AK905" s="343"/>
      <c r="AL905" s="538"/>
      <c r="AM905" s="343"/>
      <c r="AN905" s="343"/>
      <c r="AO905" s="538"/>
      <c r="AP905" s="343"/>
      <c r="AQ905" s="343"/>
      <c r="AS905" s="343"/>
      <c r="AT905" s="538"/>
      <c r="AU905" s="343"/>
      <c r="AV905" s="343"/>
      <c r="AW905" s="538"/>
      <c r="AX905" s="343"/>
      <c r="AY905" s="343"/>
      <c r="AZ905" s="538"/>
      <c r="BA905" s="343"/>
      <c r="BB905" s="343"/>
      <c r="BC905" s="538"/>
      <c r="BD905" s="343"/>
      <c r="BE905" s="343"/>
      <c r="BG905" s="644"/>
      <c r="BH905" s="515"/>
      <c r="BI905" s="515"/>
      <c r="BJ905" s="644"/>
      <c r="BK905" s="515"/>
      <c r="BL905" s="515"/>
      <c r="BM905" s="644"/>
      <c r="BN905" s="515"/>
      <c r="BO905" s="515"/>
      <c r="BP905" s="644"/>
      <c r="BQ905" s="515"/>
      <c r="BR905" s="515"/>
    </row>
    <row r="906" spans="4:70" x14ac:dyDescent="0.25">
      <c r="D906" s="538"/>
      <c r="G906" s="538"/>
      <c r="J906" s="538"/>
      <c r="M906" s="538"/>
      <c r="R906" s="538"/>
      <c r="S906" s="343"/>
      <c r="T906" s="343"/>
      <c r="U906" s="538"/>
      <c r="V906" s="343"/>
      <c r="W906" s="343"/>
      <c r="X906" s="538"/>
      <c r="Y906" s="343"/>
      <c r="Z906" s="343"/>
      <c r="AA906" s="538"/>
      <c r="AB906" s="343"/>
      <c r="AC906" s="343"/>
      <c r="AE906" s="343"/>
      <c r="AF906" s="538"/>
      <c r="AG906" s="343"/>
      <c r="AH906" s="343"/>
      <c r="AI906" s="538"/>
      <c r="AJ906" s="343"/>
      <c r="AK906" s="343"/>
      <c r="AL906" s="538"/>
      <c r="AM906" s="343"/>
      <c r="AN906" s="343"/>
      <c r="AO906" s="538"/>
      <c r="AP906" s="343"/>
      <c r="AQ906" s="343"/>
      <c r="AS906" s="343"/>
      <c r="AT906" s="538"/>
      <c r="AU906" s="343"/>
      <c r="AV906" s="343"/>
      <c r="AW906" s="538"/>
      <c r="AX906" s="343"/>
      <c r="AY906" s="343"/>
      <c r="AZ906" s="538"/>
      <c r="BA906" s="343"/>
      <c r="BB906" s="343"/>
      <c r="BC906" s="538"/>
      <c r="BD906" s="343"/>
      <c r="BE906" s="343"/>
      <c r="BG906" s="644"/>
      <c r="BH906" s="515"/>
      <c r="BI906" s="515"/>
      <c r="BJ906" s="644"/>
      <c r="BK906" s="515"/>
      <c r="BL906" s="515"/>
      <c r="BM906" s="644"/>
      <c r="BN906" s="515"/>
      <c r="BO906" s="515"/>
      <c r="BP906" s="644"/>
      <c r="BQ906" s="515"/>
      <c r="BR906" s="515"/>
    </row>
    <row r="907" spans="4:70" x14ac:dyDescent="0.25">
      <c r="D907" s="538"/>
      <c r="G907" s="538"/>
      <c r="J907" s="538"/>
      <c r="M907" s="538"/>
      <c r="R907" s="538"/>
      <c r="S907" s="343"/>
      <c r="T907" s="343"/>
      <c r="U907" s="538"/>
      <c r="V907" s="343"/>
      <c r="W907" s="343"/>
      <c r="X907" s="538"/>
      <c r="Y907" s="343"/>
      <c r="Z907" s="343"/>
      <c r="AA907" s="538"/>
      <c r="AB907" s="343"/>
      <c r="AC907" s="343"/>
      <c r="AE907" s="343"/>
      <c r="AF907" s="538"/>
      <c r="AG907" s="343"/>
      <c r="AH907" s="343"/>
      <c r="AI907" s="538"/>
      <c r="AJ907" s="343"/>
      <c r="AK907" s="343"/>
      <c r="AL907" s="538"/>
      <c r="AM907" s="343"/>
      <c r="AN907" s="343"/>
      <c r="AO907" s="538"/>
      <c r="AP907" s="343"/>
      <c r="AQ907" s="343"/>
      <c r="AS907" s="343"/>
      <c r="AT907" s="538"/>
      <c r="AU907" s="343"/>
      <c r="AV907" s="343"/>
      <c r="AW907" s="538"/>
      <c r="AX907" s="343"/>
      <c r="AY907" s="343"/>
      <c r="AZ907" s="538"/>
      <c r="BA907" s="343"/>
      <c r="BB907" s="343"/>
      <c r="BC907" s="538"/>
      <c r="BD907" s="343"/>
      <c r="BE907" s="343"/>
      <c r="BG907" s="644"/>
      <c r="BH907" s="515"/>
      <c r="BI907" s="515"/>
      <c r="BJ907" s="644"/>
      <c r="BK907" s="515"/>
      <c r="BL907" s="515"/>
      <c r="BM907" s="644"/>
      <c r="BN907" s="515"/>
      <c r="BO907" s="515"/>
      <c r="BP907" s="644"/>
      <c r="BQ907" s="515"/>
      <c r="BR907" s="515"/>
    </row>
    <row r="908" spans="4:70" x14ac:dyDescent="0.25">
      <c r="D908" s="538"/>
      <c r="G908" s="538"/>
      <c r="J908" s="538"/>
      <c r="M908" s="538"/>
      <c r="R908" s="538"/>
      <c r="S908" s="343"/>
      <c r="T908" s="343"/>
      <c r="U908" s="538"/>
      <c r="V908" s="343"/>
      <c r="W908" s="343"/>
      <c r="X908" s="538"/>
      <c r="Y908" s="343"/>
      <c r="Z908" s="343"/>
      <c r="AA908" s="538"/>
      <c r="AB908" s="343"/>
      <c r="AC908" s="343"/>
      <c r="AE908" s="343"/>
      <c r="AF908" s="538"/>
      <c r="AG908" s="343"/>
      <c r="AH908" s="343"/>
      <c r="AI908" s="538"/>
      <c r="AJ908" s="343"/>
      <c r="AK908" s="343"/>
      <c r="AL908" s="538"/>
      <c r="AM908" s="343"/>
      <c r="AN908" s="343"/>
      <c r="AO908" s="538"/>
      <c r="AP908" s="343"/>
      <c r="AQ908" s="343"/>
      <c r="AS908" s="343"/>
      <c r="AT908" s="538"/>
      <c r="AU908" s="343"/>
      <c r="AV908" s="343"/>
      <c r="AW908" s="538"/>
      <c r="AX908" s="343"/>
      <c r="AY908" s="343"/>
      <c r="AZ908" s="538"/>
      <c r="BA908" s="343"/>
      <c r="BB908" s="343"/>
      <c r="BC908" s="538"/>
      <c r="BD908" s="343"/>
      <c r="BE908" s="343"/>
      <c r="BG908" s="644"/>
      <c r="BH908" s="515"/>
      <c r="BI908" s="515"/>
      <c r="BJ908" s="644"/>
      <c r="BK908" s="515"/>
      <c r="BL908" s="515"/>
      <c r="BM908" s="644"/>
      <c r="BN908" s="515"/>
      <c r="BO908" s="515"/>
      <c r="BP908" s="644"/>
      <c r="BQ908" s="515"/>
      <c r="BR908" s="515"/>
    </row>
    <row r="909" spans="4:70" x14ac:dyDescent="0.25">
      <c r="D909" s="538"/>
      <c r="G909" s="538"/>
      <c r="J909" s="538"/>
      <c r="M909" s="538"/>
      <c r="R909" s="538"/>
      <c r="S909" s="343"/>
      <c r="T909" s="343"/>
      <c r="U909" s="538"/>
      <c r="V909" s="343"/>
      <c r="W909" s="343"/>
      <c r="X909" s="538"/>
      <c r="Y909" s="343"/>
      <c r="Z909" s="343"/>
      <c r="AA909" s="538"/>
      <c r="AB909" s="343"/>
      <c r="AC909" s="343"/>
      <c r="AE909" s="343"/>
      <c r="AF909" s="538"/>
      <c r="AG909" s="343"/>
      <c r="AH909" s="343"/>
      <c r="AI909" s="538"/>
      <c r="AJ909" s="343"/>
      <c r="AK909" s="343"/>
      <c r="AL909" s="538"/>
      <c r="AM909" s="343"/>
      <c r="AN909" s="343"/>
      <c r="AO909" s="538"/>
      <c r="AP909" s="343"/>
      <c r="AQ909" s="343"/>
      <c r="AS909" s="343"/>
      <c r="AT909" s="538"/>
      <c r="AU909" s="343"/>
      <c r="AV909" s="343"/>
      <c r="AW909" s="538"/>
      <c r="AX909" s="343"/>
      <c r="AY909" s="343"/>
      <c r="AZ909" s="538"/>
      <c r="BA909" s="343"/>
      <c r="BB909" s="343"/>
      <c r="BC909" s="538"/>
      <c r="BD909" s="343"/>
      <c r="BE909" s="343"/>
      <c r="BG909" s="644"/>
      <c r="BH909" s="515"/>
      <c r="BI909" s="515"/>
      <c r="BJ909" s="644"/>
      <c r="BK909" s="515"/>
      <c r="BL909" s="515"/>
      <c r="BM909" s="644"/>
      <c r="BN909" s="515"/>
      <c r="BO909" s="515"/>
      <c r="BP909" s="644"/>
      <c r="BQ909" s="515"/>
      <c r="BR909" s="515"/>
    </row>
    <row r="910" spans="4:70" x14ac:dyDescent="0.25">
      <c r="D910" s="538"/>
      <c r="G910" s="538"/>
      <c r="J910" s="538"/>
      <c r="M910" s="538"/>
      <c r="R910" s="538"/>
      <c r="S910" s="343"/>
      <c r="T910" s="343"/>
      <c r="U910" s="538"/>
      <c r="V910" s="343"/>
      <c r="W910" s="343"/>
      <c r="X910" s="538"/>
      <c r="Y910" s="343"/>
      <c r="Z910" s="343"/>
      <c r="AA910" s="538"/>
      <c r="AB910" s="343"/>
      <c r="AC910" s="343"/>
      <c r="AE910" s="343"/>
      <c r="AF910" s="538"/>
      <c r="AG910" s="343"/>
      <c r="AH910" s="343"/>
      <c r="AI910" s="538"/>
      <c r="AJ910" s="343"/>
      <c r="AK910" s="343"/>
      <c r="AL910" s="538"/>
      <c r="AM910" s="343"/>
      <c r="AN910" s="343"/>
      <c r="AO910" s="538"/>
      <c r="AP910" s="343"/>
      <c r="AQ910" s="343"/>
      <c r="AS910" s="343"/>
      <c r="AT910" s="538"/>
      <c r="AU910" s="343"/>
      <c r="AV910" s="343"/>
      <c r="AW910" s="538"/>
      <c r="AX910" s="343"/>
      <c r="AY910" s="343"/>
      <c r="AZ910" s="538"/>
      <c r="BA910" s="343"/>
      <c r="BB910" s="343"/>
      <c r="BC910" s="538"/>
      <c r="BD910" s="343"/>
      <c r="BE910" s="343"/>
      <c r="BG910" s="644"/>
      <c r="BH910" s="515"/>
      <c r="BI910" s="515"/>
      <c r="BJ910" s="644"/>
      <c r="BK910" s="515"/>
      <c r="BL910" s="515"/>
      <c r="BM910" s="644"/>
      <c r="BN910" s="515"/>
      <c r="BO910" s="515"/>
      <c r="BP910" s="644"/>
      <c r="BQ910" s="515"/>
      <c r="BR910" s="515"/>
    </row>
    <row r="911" spans="4:70" x14ac:dyDescent="0.25">
      <c r="D911" s="538"/>
      <c r="G911" s="538"/>
      <c r="J911" s="538"/>
      <c r="M911" s="538"/>
      <c r="R911" s="538"/>
      <c r="S911" s="343"/>
      <c r="T911" s="343"/>
      <c r="U911" s="538"/>
      <c r="V911" s="343"/>
      <c r="W911" s="343"/>
      <c r="X911" s="538"/>
      <c r="Y911" s="343"/>
      <c r="Z911" s="343"/>
      <c r="AA911" s="538"/>
      <c r="AB911" s="343"/>
      <c r="AC911" s="343"/>
      <c r="AE911" s="343"/>
      <c r="AF911" s="538"/>
      <c r="AG911" s="343"/>
      <c r="AH911" s="343"/>
      <c r="AI911" s="538"/>
      <c r="AJ911" s="343"/>
      <c r="AK911" s="343"/>
      <c r="AL911" s="538"/>
      <c r="AM911" s="343"/>
      <c r="AN911" s="343"/>
      <c r="AO911" s="538"/>
      <c r="AP911" s="343"/>
      <c r="AQ911" s="343"/>
      <c r="AS911" s="343"/>
      <c r="AT911" s="538"/>
      <c r="AU911" s="343"/>
      <c r="AV911" s="343"/>
      <c r="AW911" s="538"/>
      <c r="AX911" s="343"/>
      <c r="AY911" s="343"/>
      <c r="AZ911" s="538"/>
      <c r="BA911" s="343"/>
      <c r="BB911" s="343"/>
      <c r="BC911" s="538"/>
      <c r="BD911" s="343"/>
      <c r="BE911" s="343"/>
      <c r="BG911" s="644"/>
      <c r="BH911" s="515"/>
      <c r="BI911" s="515"/>
      <c r="BJ911" s="644"/>
      <c r="BK911" s="515"/>
      <c r="BL911" s="515"/>
      <c r="BM911" s="644"/>
      <c r="BN911" s="515"/>
      <c r="BO911" s="515"/>
      <c r="BP911" s="644"/>
      <c r="BQ911" s="515"/>
      <c r="BR911" s="515"/>
    </row>
    <row r="912" spans="4:70" x14ac:dyDescent="0.25">
      <c r="D912" s="538"/>
      <c r="G912" s="538"/>
      <c r="J912" s="538"/>
      <c r="M912" s="538"/>
      <c r="R912" s="538"/>
      <c r="S912" s="343"/>
      <c r="T912" s="343"/>
      <c r="U912" s="538"/>
      <c r="V912" s="343"/>
      <c r="W912" s="343"/>
      <c r="X912" s="538"/>
      <c r="Y912" s="343"/>
      <c r="Z912" s="343"/>
      <c r="AA912" s="538"/>
      <c r="AB912" s="343"/>
      <c r="AC912" s="343"/>
      <c r="AE912" s="343"/>
      <c r="AF912" s="538"/>
      <c r="AG912" s="343"/>
      <c r="AH912" s="343"/>
      <c r="AI912" s="538"/>
      <c r="AJ912" s="343"/>
      <c r="AK912" s="343"/>
      <c r="AL912" s="538"/>
      <c r="AM912" s="343"/>
      <c r="AN912" s="343"/>
      <c r="AO912" s="538"/>
      <c r="AP912" s="343"/>
      <c r="AQ912" s="343"/>
      <c r="AS912" s="343"/>
      <c r="AT912" s="538"/>
      <c r="AU912" s="343"/>
      <c r="AV912" s="343"/>
      <c r="AW912" s="538"/>
      <c r="AX912" s="343"/>
      <c r="AY912" s="343"/>
      <c r="AZ912" s="538"/>
      <c r="BA912" s="343"/>
      <c r="BB912" s="343"/>
      <c r="BC912" s="538"/>
      <c r="BD912" s="343"/>
      <c r="BE912" s="343"/>
      <c r="BG912" s="644"/>
      <c r="BH912" s="515"/>
      <c r="BI912" s="515"/>
      <c r="BJ912" s="644"/>
      <c r="BK912" s="515"/>
      <c r="BL912" s="515"/>
      <c r="BM912" s="644"/>
      <c r="BN912" s="515"/>
      <c r="BO912" s="515"/>
      <c r="BP912" s="644"/>
      <c r="BQ912" s="515"/>
      <c r="BR912" s="515"/>
    </row>
    <row r="913" spans="4:70" x14ac:dyDescent="0.25">
      <c r="D913" s="538"/>
      <c r="G913" s="538"/>
      <c r="J913" s="538"/>
      <c r="M913" s="538"/>
      <c r="R913" s="538"/>
      <c r="S913" s="343"/>
      <c r="T913" s="343"/>
      <c r="U913" s="538"/>
      <c r="V913" s="343"/>
      <c r="W913" s="343"/>
      <c r="X913" s="538"/>
      <c r="Y913" s="343"/>
      <c r="Z913" s="343"/>
      <c r="AA913" s="538"/>
      <c r="AB913" s="343"/>
      <c r="AC913" s="343"/>
      <c r="AE913" s="343"/>
      <c r="AF913" s="538"/>
      <c r="AG913" s="343"/>
      <c r="AH913" s="343"/>
      <c r="AI913" s="538"/>
      <c r="AJ913" s="343"/>
      <c r="AK913" s="343"/>
      <c r="AL913" s="538"/>
      <c r="AM913" s="343"/>
      <c r="AN913" s="343"/>
      <c r="AO913" s="538"/>
      <c r="AP913" s="343"/>
      <c r="AQ913" s="343"/>
      <c r="AS913" s="343"/>
      <c r="AT913" s="538"/>
      <c r="AU913" s="343"/>
      <c r="AV913" s="343"/>
      <c r="AW913" s="538"/>
      <c r="AX913" s="343"/>
      <c r="AY913" s="343"/>
      <c r="AZ913" s="538"/>
      <c r="BA913" s="343"/>
      <c r="BB913" s="343"/>
      <c r="BC913" s="538"/>
      <c r="BD913" s="343"/>
      <c r="BE913" s="343"/>
      <c r="BG913" s="644"/>
      <c r="BH913" s="515"/>
      <c r="BI913" s="515"/>
      <c r="BJ913" s="644"/>
      <c r="BK913" s="515"/>
      <c r="BL913" s="515"/>
      <c r="BM913" s="644"/>
      <c r="BN913" s="515"/>
      <c r="BO913" s="515"/>
      <c r="BP913" s="644"/>
      <c r="BQ913" s="515"/>
      <c r="BR913" s="515"/>
    </row>
    <row r="914" spans="4:70" x14ac:dyDescent="0.25">
      <c r="D914" s="538"/>
      <c r="G914" s="538"/>
      <c r="J914" s="538"/>
      <c r="M914" s="538"/>
      <c r="R914" s="538"/>
      <c r="S914" s="343"/>
      <c r="T914" s="343"/>
      <c r="U914" s="538"/>
      <c r="V914" s="343"/>
      <c r="W914" s="343"/>
      <c r="X914" s="538"/>
      <c r="Y914" s="343"/>
      <c r="Z914" s="343"/>
      <c r="AA914" s="538"/>
      <c r="AB914" s="343"/>
      <c r="AC914" s="343"/>
      <c r="AE914" s="343"/>
      <c r="AF914" s="538"/>
      <c r="AG914" s="343"/>
      <c r="AH914" s="343"/>
      <c r="AI914" s="538"/>
      <c r="AJ914" s="343"/>
      <c r="AK914" s="343"/>
      <c r="AL914" s="538"/>
      <c r="AM914" s="343"/>
      <c r="AN914" s="343"/>
      <c r="AO914" s="538"/>
      <c r="AP914" s="343"/>
      <c r="AQ914" s="343"/>
      <c r="AS914" s="343"/>
      <c r="AT914" s="538"/>
      <c r="AU914" s="343"/>
      <c r="AV914" s="343"/>
      <c r="AW914" s="538"/>
      <c r="AX914" s="343"/>
      <c r="AY914" s="343"/>
      <c r="AZ914" s="538"/>
      <c r="BA914" s="343"/>
      <c r="BB914" s="343"/>
      <c r="BC914" s="538"/>
      <c r="BD914" s="343"/>
      <c r="BE914" s="343"/>
      <c r="BG914" s="644"/>
      <c r="BH914" s="515"/>
      <c r="BI914" s="515"/>
      <c r="BJ914" s="644"/>
      <c r="BK914" s="515"/>
      <c r="BL914" s="515"/>
      <c r="BM914" s="644"/>
      <c r="BN914" s="515"/>
      <c r="BO914" s="515"/>
      <c r="BP914" s="644"/>
      <c r="BQ914" s="515"/>
      <c r="BR914" s="515"/>
    </row>
    <row r="915" spans="4:70" x14ac:dyDescent="0.25">
      <c r="D915" s="538"/>
      <c r="G915" s="538"/>
      <c r="J915" s="538"/>
      <c r="M915" s="538"/>
      <c r="R915" s="538"/>
      <c r="S915" s="343"/>
      <c r="T915" s="343"/>
      <c r="U915" s="538"/>
      <c r="V915" s="343"/>
      <c r="W915" s="343"/>
      <c r="X915" s="538"/>
      <c r="Y915" s="343"/>
      <c r="Z915" s="343"/>
      <c r="AA915" s="538"/>
      <c r="AB915" s="343"/>
      <c r="AC915" s="343"/>
      <c r="AE915" s="343"/>
      <c r="AF915" s="538"/>
      <c r="AG915" s="343"/>
      <c r="AH915" s="343"/>
      <c r="AI915" s="538"/>
      <c r="AJ915" s="343"/>
      <c r="AK915" s="343"/>
      <c r="AL915" s="538"/>
      <c r="AM915" s="343"/>
      <c r="AN915" s="343"/>
      <c r="AO915" s="538"/>
      <c r="AP915" s="343"/>
      <c r="AQ915" s="343"/>
      <c r="AS915" s="343"/>
      <c r="AT915" s="538"/>
      <c r="AU915" s="343"/>
      <c r="AV915" s="343"/>
      <c r="AW915" s="538"/>
      <c r="AX915" s="343"/>
      <c r="AY915" s="343"/>
      <c r="AZ915" s="538"/>
      <c r="BA915" s="343"/>
      <c r="BB915" s="343"/>
      <c r="BC915" s="538"/>
      <c r="BD915" s="343"/>
      <c r="BE915" s="343"/>
      <c r="BG915" s="644"/>
      <c r="BH915" s="515"/>
      <c r="BI915" s="515"/>
      <c r="BJ915" s="644"/>
      <c r="BK915" s="515"/>
      <c r="BL915" s="515"/>
      <c r="BM915" s="644"/>
      <c r="BN915" s="515"/>
      <c r="BO915" s="515"/>
      <c r="BP915" s="644"/>
      <c r="BQ915" s="515"/>
      <c r="BR915" s="515"/>
    </row>
    <row r="916" spans="4:70" x14ac:dyDescent="0.25">
      <c r="D916" s="538"/>
      <c r="G916" s="538"/>
      <c r="J916" s="538"/>
      <c r="M916" s="538"/>
      <c r="R916" s="538"/>
      <c r="S916" s="343"/>
      <c r="T916" s="343"/>
      <c r="U916" s="538"/>
      <c r="V916" s="343"/>
      <c r="W916" s="343"/>
      <c r="X916" s="538"/>
      <c r="Y916" s="343"/>
      <c r="Z916" s="343"/>
      <c r="AA916" s="538"/>
      <c r="AB916" s="343"/>
      <c r="AC916" s="343"/>
      <c r="AE916" s="343"/>
      <c r="AF916" s="538"/>
      <c r="AG916" s="343"/>
      <c r="AH916" s="343"/>
      <c r="AI916" s="538"/>
      <c r="AJ916" s="343"/>
      <c r="AK916" s="343"/>
      <c r="AL916" s="538"/>
      <c r="AM916" s="343"/>
      <c r="AN916" s="343"/>
      <c r="AO916" s="538"/>
      <c r="AP916" s="343"/>
      <c r="AQ916" s="343"/>
      <c r="AS916" s="343"/>
      <c r="AT916" s="538"/>
      <c r="AU916" s="343"/>
      <c r="AV916" s="343"/>
      <c r="AW916" s="538"/>
      <c r="AX916" s="343"/>
      <c r="AY916" s="343"/>
      <c r="AZ916" s="538"/>
      <c r="BA916" s="343"/>
      <c r="BB916" s="343"/>
      <c r="BC916" s="538"/>
      <c r="BD916" s="343"/>
      <c r="BE916" s="343"/>
      <c r="BG916" s="644"/>
      <c r="BH916" s="515"/>
      <c r="BI916" s="515"/>
      <c r="BJ916" s="644"/>
      <c r="BK916" s="515"/>
      <c r="BL916" s="515"/>
      <c r="BM916" s="644"/>
      <c r="BN916" s="515"/>
      <c r="BO916" s="515"/>
      <c r="BP916" s="644"/>
      <c r="BQ916" s="515"/>
      <c r="BR916" s="515"/>
    </row>
    <row r="917" spans="4:70" x14ac:dyDescent="0.25">
      <c r="D917" s="538"/>
      <c r="G917" s="538"/>
      <c r="J917" s="538"/>
      <c r="M917" s="538"/>
      <c r="R917" s="538"/>
      <c r="S917" s="343"/>
      <c r="T917" s="343"/>
      <c r="U917" s="538"/>
      <c r="V917" s="343"/>
      <c r="W917" s="343"/>
      <c r="X917" s="538"/>
      <c r="Y917" s="343"/>
      <c r="Z917" s="343"/>
      <c r="AA917" s="538"/>
      <c r="AB917" s="343"/>
      <c r="AC917" s="343"/>
      <c r="AE917" s="343"/>
      <c r="AF917" s="538"/>
      <c r="AG917" s="343"/>
      <c r="AH917" s="343"/>
      <c r="AI917" s="538"/>
      <c r="AJ917" s="343"/>
      <c r="AK917" s="343"/>
      <c r="AL917" s="538"/>
      <c r="AM917" s="343"/>
      <c r="AN917" s="343"/>
      <c r="AO917" s="538"/>
      <c r="AP917" s="343"/>
      <c r="AQ917" s="343"/>
      <c r="AS917" s="343"/>
      <c r="AT917" s="538"/>
      <c r="AU917" s="343"/>
      <c r="AV917" s="343"/>
      <c r="AW917" s="538"/>
      <c r="AX917" s="343"/>
      <c r="AY917" s="343"/>
      <c r="AZ917" s="538"/>
      <c r="BA917" s="343"/>
      <c r="BB917" s="343"/>
      <c r="BC917" s="538"/>
      <c r="BD917" s="343"/>
      <c r="BE917" s="343"/>
      <c r="BG917" s="644"/>
      <c r="BH917" s="515"/>
      <c r="BI917" s="515"/>
      <c r="BJ917" s="644"/>
      <c r="BK917" s="515"/>
      <c r="BL917" s="515"/>
      <c r="BM917" s="644"/>
      <c r="BN917" s="515"/>
      <c r="BO917" s="515"/>
      <c r="BP917" s="644"/>
      <c r="BQ917" s="515"/>
      <c r="BR917" s="515"/>
    </row>
    <row r="918" spans="4:70" x14ac:dyDescent="0.25">
      <c r="D918" s="538"/>
      <c r="G918" s="538"/>
      <c r="J918" s="538"/>
      <c r="M918" s="538"/>
      <c r="R918" s="538"/>
      <c r="S918" s="343"/>
      <c r="T918" s="343"/>
      <c r="U918" s="538"/>
      <c r="V918" s="343"/>
      <c r="W918" s="343"/>
      <c r="X918" s="538"/>
      <c r="Y918" s="343"/>
      <c r="Z918" s="343"/>
      <c r="AA918" s="538"/>
      <c r="AB918" s="343"/>
      <c r="AC918" s="343"/>
      <c r="AE918" s="343"/>
      <c r="AF918" s="538"/>
      <c r="AG918" s="343"/>
      <c r="AH918" s="343"/>
      <c r="AI918" s="538"/>
      <c r="AJ918" s="343"/>
      <c r="AK918" s="343"/>
      <c r="AL918" s="538"/>
      <c r="AM918" s="343"/>
      <c r="AN918" s="343"/>
      <c r="AO918" s="538"/>
      <c r="AP918" s="343"/>
      <c r="AQ918" s="343"/>
      <c r="AS918" s="343"/>
      <c r="AT918" s="538"/>
      <c r="AU918" s="343"/>
      <c r="AV918" s="343"/>
      <c r="AW918" s="538"/>
      <c r="AX918" s="343"/>
      <c r="AY918" s="343"/>
      <c r="AZ918" s="538"/>
      <c r="BA918" s="343"/>
      <c r="BB918" s="343"/>
      <c r="BC918" s="538"/>
      <c r="BD918" s="343"/>
      <c r="BE918" s="343"/>
      <c r="BG918" s="644"/>
      <c r="BH918" s="515"/>
      <c r="BI918" s="515"/>
      <c r="BJ918" s="644"/>
      <c r="BK918" s="515"/>
      <c r="BL918" s="515"/>
      <c r="BM918" s="644"/>
      <c r="BN918" s="515"/>
      <c r="BO918" s="515"/>
      <c r="BP918" s="644"/>
      <c r="BQ918" s="515"/>
      <c r="BR918" s="515"/>
    </row>
    <row r="919" spans="4:70" x14ac:dyDescent="0.25">
      <c r="D919" s="538"/>
      <c r="G919" s="538"/>
      <c r="J919" s="538"/>
      <c r="M919" s="538"/>
      <c r="R919" s="538"/>
      <c r="S919" s="343"/>
      <c r="T919" s="343"/>
      <c r="U919" s="538"/>
      <c r="V919" s="343"/>
      <c r="W919" s="343"/>
      <c r="X919" s="538"/>
      <c r="Y919" s="343"/>
      <c r="Z919" s="343"/>
      <c r="AA919" s="538"/>
      <c r="AB919" s="343"/>
      <c r="AC919" s="343"/>
      <c r="AE919" s="343"/>
      <c r="AF919" s="538"/>
      <c r="AG919" s="343"/>
      <c r="AH919" s="343"/>
      <c r="AI919" s="538"/>
      <c r="AJ919" s="343"/>
      <c r="AK919" s="343"/>
      <c r="AL919" s="538"/>
      <c r="AM919" s="343"/>
      <c r="AN919" s="343"/>
      <c r="AO919" s="538"/>
      <c r="AP919" s="343"/>
      <c r="AQ919" s="343"/>
      <c r="AS919" s="343"/>
      <c r="AT919" s="538"/>
      <c r="AU919" s="343"/>
      <c r="AV919" s="343"/>
      <c r="AW919" s="538"/>
      <c r="AX919" s="343"/>
      <c r="AY919" s="343"/>
      <c r="AZ919" s="538"/>
      <c r="BA919" s="343"/>
      <c r="BB919" s="343"/>
      <c r="BC919" s="538"/>
      <c r="BD919" s="343"/>
      <c r="BE919" s="343"/>
      <c r="BG919" s="644"/>
      <c r="BH919" s="515"/>
      <c r="BI919" s="515"/>
      <c r="BJ919" s="644"/>
      <c r="BK919" s="515"/>
      <c r="BL919" s="515"/>
      <c r="BM919" s="644"/>
      <c r="BN919" s="515"/>
      <c r="BO919" s="515"/>
      <c r="BP919" s="644"/>
      <c r="BQ919" s="515"/>
      <c r="BR919" s="515"/>
    </row>
    <row r="920" spans="4:70" x14ac:dyDescent="0.25">
      <c r="D920" s="538"/>
      <c r="G920" s="538"/>
      <c r="J920" s="538"/>
      <c r="M920" s="538"/>
      <c r="R920" s="538"/>
      <c r="S920" s="343"/>
      <c r="T920" s="343"/>
      <c r="U920" s="538"/>
      <c r="V920" s="343"/>
      <c r="W920" s="343"/>
      <c r="X920" s="538"/>
      <c r="Y920" s="343"/>
      <c r="Z920" s="343"/>
      <c r="AA920" s="538"/>
      <c r="AB920" s="343"/>
      <c r="AC920" s="343"/>
      <c r="AE920" s="343"/>
      <c r="AF920" s="538"/>
      <c r="AG920" s="343"/>
      <c r="AH920" s="343"/>
      <c r="AI920" s="538"/>
      <c r="AJ920" s="343"/>
      <c r="AK920" s="343"/>
      <c r="AL920" s="538"/>
      <c r="AM920" s="343"/>
      <c r="AN920" s="343"/>
      <c r="AO920" s="538"/>
      <c r="AP920" s="343"/>
      <c r="AQ920" s="343"/>
      <c r="AS920" s="343"/>
      <c r="AT920" s="538"/>
      <c r="AU920" s="343"/>
      <c r="AV920" s="343"/>
      <c r="AW920" s="538"/>
      <c r="AX920" s="343"/>
      <c r="AY920" s="343"/>
      <c r="AZ920" s="538"/>
      <c r="BA920" s="343"/>
      <c r="BB920" s="343"/>
      <c r="BC920" s="538"/>
      <c r="BD920" s="343"/>
      <c r="BE920" s="343"/>
      <c r="BG920" s="644"/>
      <c r="BH920" s="515"/>
      <c r="BI920" s="515"/>
      <c r="BJ920" s="644"/>
      <c r="BK920" s="515"/>
      <c r="BL920" s="515"/>
      <c r="BM920" s="644"/>
      <c r="BN920" s="515"/>
      <c r="BO920" s="515"/>
      <c r="BP920" s="644"/>
      <c r="BQ920" s="515"/>
      <c r="BR920" s="515"/>
    </row>
    <row r="921" spans="4:70" x14ac:dyDescent="0.25">
      <c r="D921" s="538"/>
      <c r="G921" s="538"/>
      <c r="J921" s="538"/>
      <c r="M921" s="538"/>
      <c r="R921" s="538"/>
      <c r="S921" s="343"/>
      <c r="T921" s="343"/>
      <c r="U921" s="538"/>
      <c r="V921" s="343"/>
      <c r="W921" s="343"/>
      <c r="X921" s="538"/>
      <c r="Y921" s="343"/>
      <c r="Z921" s="343"/>
      <c r="AA921" s="538"/>
      <c r="AB921" s="343"/>
      <c r="AC921" s="343"/>
      <c r="AE921" s="343"/>
      <c r="AF921" s="538"/>
      <c r="AG921" s="343"/>
      <c r="AH921" s="343"/>
      <c r="AI921" s="538"/>
      <c r="AJ921" s="343"/>
      <c r="AK921" s="343"/>
      <c r="AL921" s="538"/>
      <c r="AM921" s="343"/>
      <c r="AN921" s="343"/>
      <c r="AO921" s="538"/>
      <c r="AP921" s="343"/>
      <c r="AQ921" s="343"/>
      <c r="AS921" s="343"/>
      <c r="AT921" s="538"/>
      <c r="AU921" s="343"/>
      <c r="AV921" s="343"/>
      <c r="AW921" s="538"/>
      <c r="AX921" s="343"/>
      <c r="AY921" s="343"/>
      <c r="AZ921" s="538"/>
      <c r="BA921" s="343"/>
      <c r="BB921" s="343"/>
      <c r="BC921" s="538"/>
      <c r="BD921" s="343"/>
      <c r="BE921" s="343"/>
      <c r="BG921" s="644"/>
      <c r="BH921" s="515"/>
      <c r="BI921" s="515"/>
      <c r="BJ921" s="644"/>
      <c r="BK921" s="515"/>
      <c r="BL921" s="515"/>
      <c r="BM921" s="644"/>
      <c r="BN921" s="515"/>
      <c r="BO921" s="515"/>
      <c r="BP921" s="644"/>
      <c r="BQ921" s="515"/>
      <c r="BR921" s="515"/>
    </row>
    <row r="922" spans="4:70" x14ac:dyDescent="0.25">
      <c r="D922" s="538"/>
      <c r="G922" s="538"/>
      <c r="J922" s="538"/>
      <c r="M922" s="538"/>
      <c r="R922" s="538"/>
      <c r="S922" s="343"/>
      <c r="T922" s="343"/>
      <c r="U922" s="538"/>
      <c r="V922" s="343"/>
      <c r="W922" s="343"/>
      <c r="X922" s="538"/>
      <c r="Y922" s="343"/>
      <c r="Z922" s="343"/>
      <c r="AA922" s="538"/>
      <c r="AB922" s="343"/>
      <c r="AC922" s="343"/>
      <c r="AE922" s="343"/>
      <c r="AF922" s="538"/>
      <c r="AG922" s="343"/>
      <c r="AH922" s="343"/>
      <c r="AI922" s="538"/>
      <c r="AJ922" s="343"/>
      <c r="AK922" s="343"/>
      <c r="AL922" s="538"/>
      <c r="AM922" s="343"/>
      <c r="AN922" s="343"/>
      <c r="AO922" s="538"/>
      <c r="AP922" s="343"/>
      <c r="AQ922" s="343"/>
      <c r="AS922" s="343"/>
      <c r="AT922" s="538"/>
      <c r="AU922" s="343"/>
      <c r="AV922" s="343"/>
      <c r="AW922" s="538"/>
      <c r="AX922" s="343"/>
      <c r="AY922" s="343"/>
      <c r="AZ922" s="538"/>
      <c r="BA922" s="343"/>
      <c r="BB922" s="343"/>
      <c r="BC922" s="538"/>
      <c r="BD922" s="343"/>
      <c r="BE922" s="343"/>
      <c r="BG922" s="644"/>
      <c r="BH922" s="515"/>
      <c r="BI922" s="515"/>
      <c r="BJ922" s="644"/>
      <c r="BK922" s="515"/>
      <c r="BL922" s="515"/>
      <c r="BM922" s="644"/>
      <c r="BN922" s="515"/>
      <c r="BO922" s="515"/>
      <c r="BP922" s="644"/>
      <c r="BQ922" s="515"/>
      <c r="BR922" s="515"/>
    </row>
    <row r="923" spans="4:70" x14ac:dyDescent="0.25">
      <c r="D923" s="538"/>
      <c r="G923" s="538"/>
      <c r="J923" s="538"/>
      <c r="M923" s="538"/>
      <c r="R923" s="538"/>
      <c r="S923" s="343"/>
      <c r="T923" s="343"/>
      <c r="U923" s="538"/>
      <c r="V923" s="343"/>
      <c r="W923" s="343"/>
      <c r="X923" s="538"/>
      <c r="Y923" s="343"/>
      <c r="Z923" s="343"/>
      <c r="AA923" s="538"/>
      <c r="AB923" s="343"/>
      <c r="AC923" s="343"/>
      <c r="AE923" s="343"/>
      <c r="AF923" s="538"/>
      <c r="AG923" s="343"/>
      <c r="AH923" s="343"/>
      <c r="AI923" s="538"/>
      <c r="AJ923" s="343"/>
      <c r="AK923" s="343"/>
      <c r="AL923" s="538"/>
      <c r="AM923" s="343"/>
      <c r="AN923" s="343"/>
      <c r="AO923" s="538"/>
      <c r="AP923" s="343"/>
      <c r="AQ923" s="343"/>
      <c r="AS923" s="343"/>
      <c r="AT923" s="538"/>
      <c r="AU923" s="343"/>
      <c r="AV923" s="343"/>
      <c r="AW923" s="538"/>
      <c r="AX923" s="343"/>
      <c r="AY923" s="343"/>
      <c r="AZ923" s="538"/>
      <c r="BA923" s="343"/>
      <c r="BB923" s="343"/>
      <c r="BC923" s="538"/>
      <c r="BD923" s="343"/>
      <c r="BE923" s="343"/>
      <c r="BG923" s="644"/>
      <c r="BH923" s="515"/>
      <c r="BI923" s="515"/>
      <c r="BJ923" s="644"/>
      <c r="BK923" s="515"/>
      <c r="BL923" s="515"/>
      <c r="BM923" s="644"/>
      <c r="BN923" s="515"/>
      <c r="BO923" s="515"/>
      <c r="BP923" s="644"/>
      <c r="BQ923" s="515"/>
      <c r="BR923" s="515"/>
    </row>
    <row r="924" spans="4:70" x14ac:dyDescent="0.25">
      <c r="D924" s="538"/>
      <c r="G924" s="538"/>
      <c r="J924" s="538"/>
      <c r="M924" s="538"/>
      <c r="R924" s="538"/>
      <c r="S924" s="343"/>
      <c r="T924" s="343"/>
      <c r="U924" s="538"/>
      <c r="V924" s="343"/>
      <c r="W924" s="343"/>
      <c r="X924" s="538"/>
      <c r="Y924" s="343"/>
      <c r="Z924" s="343"/>
      <c r="AA924" s="538"/>
      <c r="AB924" s="343"/>
      <c r="AC924" s="343"/>
      <c r="AE924" s="343"/>
      <c r="AF924" s="538"/>
      <c r="AG924" s="343"/>
      <c r="AH924" s="343"/>
      <c r="AI924" s="538"/>
      <c r="AJ924" s="343"/>
      <c r="AK924" s="343"/>
      <c r="AL924" s="538"/>
      <c r="AM924" s="343"/>
      <c r="AN924" s="343"/>
      <c r="AO924" s="538"/>
      <c r="AP924" s="343"/>
      <c r="AQ924" s="343"/>
      <c r="AS924" s="343"/>
      <c r="AT924" s="538"/>
      <c r="AU924" s="343"/>
      <c r="AV924" s="343"/>
      <c r="AW924" s="538"/>
      <c r="AX924" s="343"/>
      <c r="AY924" s="343"/>
      <c r="AZ924" s="538"/>
      <c r="BA924" s="343"/>
      <c r="BB924" s="343"/>
      <c r="BC924" s="538"/>
      <c r="BD924" s="343"/>
      <c r="BE924" s="343"/>
      <c r="BG924" s="644"/>
      <c r="BH924" s="515"/>
      <c r="BI924" s="515"/>
      <c r="BJ924" s="644"/>
      <c r="BK924" s="515"/>
      <c r="BL924" s="515"/>
      <c r="BM924" s="644"/>
      <c r="BN924" s="515"/>
      <c r="BO924" s="515"/>
      <c r="BP924" s="644"/>
      <c r="BQ924" s="515"/>
      <c r="BR924" s="515"/>
    </row>
    <row r="925" spans="4:70" x14ac:dyDescent="0.25">
      <c r="D925" s="538"/>
      <c r="G925" s="538"/>
      <c r="J925" s="538"/>
      <c r="M925" s="538"/>
      <c r="R925" s="538"/>
      <c r="S925" s="343"/>
      <c r="T925" s="343"/>
      <c r="U925" s="538"/>
      <c r="V925" s="343"/>
      <c r="W925" s="343"/>
      <c r="X925" s="538"/>
      <c r="Y925" s="343"/>
      <c r="Z925" s="343"/>
      <c r="AA925" s="538"/>
      <c r="AB925" s="343"/>
      <c r="AC925" s="343"/>
      <c r="AE925" s="343"/>
      <c r="AF925" s="538"/>
      <c r="AG925" s="343"/>
      <c r="AH925" s="343"/>
      <c r="AI925" s="538"/>
      <c r="AJ925" s="343"/>
      <c r="AK925" s="343"/>
      <c r="AL925" s="538"/>
      <c r="AM925" s="343"/>
      <c r="AN925" s="343"/>
      <c r="AO925" s="538"/>
      <c r="AP925" s="343"/>
      <c r="AQ925" s="343"/>
      <c r="AS925" s="343"/>
      <c r="AT925" s="538"/>
      <c r="AU925" s="343"/>
      <c r="AV925" s="343"/>
      <c r="AW925" s="538"/>
      <c r="AX925" s="343"/>
      <c r="AY925" s="343"/>
      <c r="AZ925" s="538"/>
      <c r="BA925" s="343"/>
      <c r="BB925" s="343"/>
      <c r="BC925" s="538"/>
      <c r="BD925" s="343"/>
      <c r="BE925" s="343"/>
      <c r="BG925" s="644"/>
      <c r="BH925" s="515"/>
      <c r="BI925" s="515"/>
      <c r="BJ925" s="644"/>
      <c r="BK925" s="515"/>
      <c r="BL925" s="515"/>
      <c r="BM925" s="644"/>
      <c r="BN925" s="515"/>
      <c r="BO925" s="515"/>
      <c r="BP925" s="644"/>
      <c r="BQ925" s="515"/>
      <c r="BR925" s="515"/>
    </row>
    <row r="926" spans="4:70" x14ac:dyDescent="0.25">
      <c r="D926" s="538"/>
      <c r="G926" s="538"/>
      <c r="J926" s="538"/>
      <c r="M926" s="538"/>
      <c r="R926" s="538"/>
      <c r="S926" s="343"/>
      <c r="T926" s="343"/>
      <c r="U926" s="538"/>
      <c r="V926" s="343"/>
      <c r="W926" s="343"/>
      <c r="X926" s="538"/>
      <c r="Y926" s="343"/>
      <c r="Z926" s="343"/>
      <c r="AA926" s="538"/>
      <c r="AB926" s="343"/>
      <c r="AC926" s="343"/>
      <c r="AE926" s="343"/>
      <c r="AF926" s="538"/>
      <c r="AG926" s="343"/>
      <c r="AH926" s="343"/>
      <c r="AI926" s="538"/>
      <c r="AJ926" s="343"/>
      <c r="AK926" s="343"/>
      <c r="AL926" s="538"/>
      <c r="AM926" s="343"/>
      <c r="AN926" s="343"/>
      <c r="AO926" s="538"/>
      <c r="AP926" s="343"/>
      <c r="AQ926" s="343"/>
      <c r="AS926" s="343"/>
      <c r="AT926" s="538"/>
      <c r="AU926" s="343"/>
      <c r="AV926" s="343"/>
      <c r="AW926" s="538"/>
      <c r="AX926" s="343"/>
      <c r="AY926" s="343"/>
      <c r="AZ926" s="538"/>
      <c r="BA926" s="343"/>
      <c r="BB926" s="343"/>
      <c r="BC926" s="538"/>
      <c r="BD926" s="343"/>
      <c r="BE926" s="343"/>
      <c r="BG926" s="644"/>
      <c r="BH926" s="515"/>
      <c r="BI926" s="515"/>
      <c r="BJ926" s="644"/>
      <c r="BK926" s="515"/>
      <c r="BL926" s="515"/>
      <c r="BM926" s="644"/>
      <c r="BN926" s="515"/>
      <c r="BO926" s="515"/>
      <c r="BP926" s="644"/>
      <c r="BQ926" s="515"/>
      <c r="BR926" s="515"/>
    </row>
    <row r="927" spans="4:70" x14ac:dyDescent="0.25">
      <c r="D927" s="538"/>
      <c r="G927" s="538"/>
      <c r="J927" s="538"/>
      <c r="M927" s="538"/>
      <c r="R927" s="538"/>
      <c r="S927" s="343"/>
      <c r="T927" s="343"/>
      <c r="U927" s="538"/>
      <c r="V927" s="343"/>
      <c r="W927" s="343"/>
      <c r="X927" s="538"/>
      <c r="Y927" s="343"/>
      <c r="Z927" s="343"/>
      <c r="AA927" s="538"/>
      <c r="AB927" s="343"/>
      <c r="AC927" s="343"/>
      <c r="AE927" s="343"/>
      <c r="AF927" s="538"/>
      <c r="AG927" s="343"/>
      <c r="AH927" s="343"/>
      <c r="AI927" s="538"/>
      <c r="AJ927" s="343"/>
      <c r="AK927" s="343"/>
      <c r="AL927" s="538"/>
      <c r="AM927" s="343"/>
      <c r="AN927" s="343"/>
      <c r="AO927" s="538"/>
      <c r="AP927" s="343"/>
      <c r="AQ927" s="343"/>
      <c r="AS927" s="343"/>
      <c r="AT927" s="538"/>
      <c r="AU927" s="343"/>
      <c r="AV927" s="343"/>
      <c r="AW927" s="538"/>
      <c r="AX927" s="343"/>
      <c r="AY927" s="343"/>
      <c r="AZ927" s="538"/>
      <c r="BA927" s="343"/>
      <c r="BB927" s="343"/>
      <c r="BC927" s="538"/>
      <c r="BD927" s="343"/>
      <c r="BE927" s="343"/>
      <c r="BG927" s="644"/>
      <c r="BH927" s="515"/>
      <c r="BI927" s="515"/>
      <c r="BJ927" s="644"/>
      <c r="BK927" s="515"/>
      <c r="BL927" s="515"/>
      <c r="BM927" s="644"/>
      <c r="BN927" s="515"/>
      <c r="BO927" s="515"/>
      <c r="BP927" s="644"/>
      <c r="BQ927" s="515"/>
      <c r="BR927" s="515"/>
    </row>
    <row r="928" spans="4:70" x14ac:dyDescent="0.25">
      <c r="D928" s="538"/>
      <c r="G928" s="538"/>
      <c r="J928" s="538"/>
      <c r="M928" s="538"/>
      <c r="R928" s="538"/>
      <c r="S928" s="343"/>
      <c r="T928" s="343"/>
      <c r="U928" s="538"/>
      <c r="V928" s="343"/>
      <c r="W928" s="343"/>
      <c r="X928" s="538"/>
      <c r="Y928" s="343"/>
      <c r="Z928" s="343"/>
      <c r="AA928" s="538"/>
      <c r="AB928" s="343"/>
      <c r="AC928" s="343"/>
      <c r="AE928" s="343"/>
      <c r="AF928" s="538"/>
      <c r="AG928" s="343"/>
      <c r="AH928" s="343"/>
      <c r="AI928" s="538"/>
      <c r="AJ928" s="343"/>
      <c r="AK928" s="343"/>
      <c r="AL928" s="538"/>
      <c r="AM928" s="343"/>
      <c r="AN928" s="343"/>
      <c r="AO928" s="538"/>
      <c r="AP928" s="343"/>
      <c r="AQ928" s="343"/>
      <c r="AS928" s="343"/>
      <c r="AT928" s="538"/>
      <c r="AU928" s="343"/>
      <c r="AV928" s="343"/>
      <c r="AW928" s="538"/>
      <c r="AX928" s="343"/>
      <c r="AY928" s="343"/>
      <c r="AZ928" s="538"/>
      <c r="BA928" s="343"/>
      <c r="BB928" s="343"/>
      <c r="BC928" s="538"/>
      <c r="BD928" s="343"/>
      <c r="BE928" s="343"/>
      <c r="BG928" s="644"/>
      <c r="BH928" s="515"/>
      <c r="BI928" s="515"/>
      <c r="BJ928" s="644"/>
      <c r="BK928" s="515"/>
      <c r="BL928" s="515"/>
      <c r="BM928" s="644"/>
      <c r="BN928" s="515"/>
      <c r="BO928" s="515"/>
      <c r="BP928" s="644"/>
      <c r="BQ928" s="515"/>
      <c r="BR928" s="515"/>
    </row>
    <row r="929" spans="4:70" x14ac:dyDescent="0.25">
      <c r="D929" s="538"/>
      <c r="G929" s="538"/>
      <c r="J929" s="538"/>
      <c r="M929" s="538"/>
      <c r="R929" s="538"/>
      <c r="S929" s="343"/>
      <c r="T929" s="343"/>
      <c r="U929" s="538"/>
      <c r="V929" s="343"/>
      <c r="W929" s="343"/>
      <c r="X929" s="538"/>
      <c r="Y929" s="343"/>
      <c r="Z929" s="343"/>
      <c r="AA929" s="538"/>
      <c r="AB929" s="343"/>
      <c r="AC929" s="343"/>
      <c r="AE929" s="343"/>
      <c r="AF929" s="538"/>
      <c r="AG929" s="343"/>
      <c r="AH929" s="343"/>
      <c r="AI929" s="538"/>
      <c r="AJ929" s="343"/>
      <c r="AK929" s="343"/>
      <c r="AL929" s="538"/>
      <c r="AM929" s="343"/>
      <c r="AN929" s="343"/>
      <c r="AO929" s="538"/>
      <c r="AP929" s="343"/>
      <c r="AQ929" s="343"/>
      <c r="AS929" s="343"/>
      <c r="AT929" s="538"/>
      <c r="AU929" s="343"/>
      <c r="AV929" s="343"/>
      <c r="AW929" s="538"/>
      <c r="AX929" s="343"/>
      <c r="AY929" s="343"/>
      <c r="AZ929" s="538"/>
      <c r="BA929" s="343"/>
      <c r="BB929" s="343"/>
      <c r="BC929" s="538"/>
      <c r="BD929" s="343"/>
      <c r="BE929" s="343"/>
      <c r="BG929" s="644"/>
      <c r="BH929" s="515"/>
      <c r="BI929" s="515"/>
      <c r="BJ929" s="644"/>
      <c r="BK929" s="515"/>
      <c r="BL929" s="515"/>
      <c r="BM929" s="644"/>
      <c r="BN929" s="515"/>
      <c r="BO929" s="515"/>
      <c r="BP929" s="644"/>
      <c r="BQ929" s="515"/>
      <c r="BR929" s="515"/>
    </row>
    <row r="930" spans="4:70" x14ac:dyDescent="0.25">
      <c r="D930" s="538"/>
      <c r="G930" s="538"/>
      <c r="J930" s="538"/>
      <c r="M930" s="538"/>
      <c r="R930" s="538"/>
      <c r="S930" s="343"/>
      <c r="T930" s="343"/>
      <c r="U930" s="538"/>
      <c r="V930" s="343"/>
      <c r="W930" s="343"/>
      <c r="X930" s="538"/>
      <c r="Y930" s="343"/>
      <c r="Z930" s="343"/>
      <c r="AA930" s="538"/>
      <c r="AB930" s="343"/>
      <c r="AC930" s="343"/>
      <c r="AE930" s="343"/>
      <c r="AF930" s="538"/>
      <c r="AG930" s="343"/>
      <c r="AH930" s="343"/>
      <c r="AI930" s="538"/>
      <c r="AJ930" s="343"/>
      <c r="AK930" s="343"/>
      <c r="AL930" s="538"/>
      <c r="AM930" s="343"/>
      <c r="AN930" s="343"/>
      <c r="AO930" s="538"/>
      <c r="AP930" s="343"/>
      <c r="AQ930" s="343"/>
      <c r="AS930" s="343"/>
      <c r="AT930" s="538"/>
      <c r="AU930" s="343"/>
      <c r="AV930" s="343"/>
      <c r="AW930" s="538"/>
      <c r="AX930" s="343"/>
      <c r="AY930" s="343"/>
      <c r="AZ930" s="538"/>
      <c r="BA930" s="343"/>
      <c r="BB930" s="343"/>
      <c r="BC930" s="538"/>
      <c r="BD930" s="343"/>
      <c r="BE930" s="343"/>
      <c r="BG930" s="644"/>
      <c r="BH930" s="515"/>
      <c r="BI930" s="515"/>
      <c r="BJ930" s="644"/>
      <c r="BK930" s="515"/>
      <c r="BL930" s="515"/>
      <c r="BM930" s="644"/>
      <c r="BN930" s="515"/>
      <c r="BO930" s="515"/>
      <c r="BP930" s="644"/>
      <c r="BQ930" s="515"/>
      <c r="BR930" s="515"/>
    </row>
    <row r="931" spans="4:70" x14ac:dyDescent="0.25">
      <c r="D931" s="538"/>
      <c r="G931" s="538"/>
      <c r="J931" s="538"/>
      <c r="M931" s="538"/>
      <c r="R931" s="538"/>
      <c r="S931" s="343"/>
      <c r="T931" s="343"/>
      <c r="U931" s="538"/>
      <c r="V931" s="343"/>
      <c r="W931" s="343"/>
      <c r="X931" s="538"/>
      <c r="Y931" s="343"/>
      <c r="Z931" s="343"/>
      <c r="AA931" s="538"/>
      <c r="AB931" s="343"/>
      <c r="AC931" s="343"/>
      <c r="AE931" s="343"/>
      <c r="AF931" s="538"/>
      <c r="AG931" s="343"/>
      <c r="AH931" s="343"/>
      <c r="AI931" s="538"/>
      <c r="AJ931" s="343"/>
      <c r="AK931" s="343"/>
      <c r="AL931" s="538"/>
      <c r="AM931" s="343"/>
      <c r="AN931" s="343"/>
      <c r="AO931" s="538"/>
      <c r="AP931" s="343"/>
      <c r="AQ931" s="343"/>
      <c r="AS931" s="343"/>
      <c r="AT931" s="538"/>
      <c r="AU931" s="343"/>
      <c r="AV931" s="343"/>
      <c r="AW931" s="538"/>
      <c r="AX931" s="343"/>
      <c r="AY931" s="343"/>
      <c r="AZ931" s="538"/>
      <c r="BA931" s="343"/>
      <c r="BB931" s="343"/>
      <c r="BC931" s="538"/>
      <c r="BD931" s="343"/>
      <c r="BE931" s="343"/>
      <c r="BG931" s="644"/>
      <c r="BH931" s="515"/>
      <c r="BI931" s="515"/>
      <c r="BJ931" s="644"/>
      <c r="BK931" s="515"/>
      <c r="BL931" s="515"/>
      <c r="BM931" s="644"/>
      <c r="BN931" s="515"/>
      <c r="BO931" s="515"/>
      <c r="BP931" s="644"/>
      <c r="BQ931" s="515"/>
      <c r="BR931" s="515"/>
    </row>
    <row r="932" spans="4:70" x14ac:dyDescent="0.25">
      <c r="D932" s="538"/>
      <c r="G932" s="538"/>
      <c r="J932" s="538"/>
      <c r="M932" s="538"/>
      <c r="R932" s="538"/>
      <c r="S932" s="343"/>
      <c r="T932" s="343"/>
      <c r="U932" s="538"/>
      <c r="V932" s="343"/>
      <c r="W932" s="343"/>
      <c r="X932" s="538"/>
      <c r="Y932" s="343"/>
      <c r="Z932" s="343"/>
      <c r="AA932" s="538"/>
      <c r="AB932" s="343"/>
      <c r="AC932" s="343"/>
      <c r="AE932" s="343"/>
      <c r="AF932" s="538"/>
      <c r="AG932" s="343"/>
      <c r="AH932" s="343"/>
      <c r="AI932" s="538"/>
      <c r="AJ932" s="343"/>
      <c r="AK932" s="343"/>
      <c r="AL932" s="538"/>
      <c r="AM932" s="343"/>
      <c r="AN932" s="343"/>
      <c r="AO932" s="538"/>
      <c r="AP932" s="343"/>
      <c r="AQ932" s="343"/>
      <c r="AS932" s="343"/>
      <c r="AT932" s="538"/>
      <c r="AU932" s="343"/>
      <c r="AV932" s="343"/>
      <c r="AW932" s="538"/>
      <c r="AX932" s="343"/>
      <c r="AY932" s="343"/>
      <c r="AZ932" s="538"/>
      <c r="BA932" s="343"/>
      <c r="BB932" s="343"/>
      <c r="BC932" s="538"/>
      <c r="BD932" s="343"/>
      <c r="BE932" s="343"/>
      <c r="BG932" s="644"/>
      <c r="BH932" s="515"/>
      <c r="BI932" s="515"/>
      <c r="BJ932" s="644"/>
      <c r="BK932" s="515"/>
      <c r="BL932" s="515"/>
      <c r="BM932" s="644"/>
      <c r="BN932" s="515"/>
      <c r="BO932" s="515"/>
      <c r="BP932" s="644"/>
      <c r="BQ932" s="515"/>
      <c r="BR932" s="515"/>
    </row>
    <row r="933" spans="4:70" x14ac:dyDescent="0.25">
      <c r="D933" s="538"/>
      <c r="G933" s="538"/>
      <c r="J933" s="538"/>
      <c r="M933" s="538"/>
      <c r="R933" s="538"/>
      <c r="S933" s="343"/>
      <c r="T933" s="343"/>
      <c r="U933" s="538"/>
      <c r="V933" s="343"/>
      <c r="W933" s="343"/>
      <c r="X933" s="538"/>
      <c r="Y933" s="343"/>
      <c r="Z933" s="343"/>
      <c r="AA933" s="538"/>
      <c r="AB933" s="343"/>
      <c r="AC933" s="343"/>
      <c r="AE933" s="343"/>
      <c r="AF933" s="538"/>
      <c r="AG933" s="343"/>
      <c r="AH933" s="343"/>
      <c r="AI933" s="538"/>
      <c r="AJ933" s="343"/>
      <c r="AK933" s="343"/>
      <c r="AL933" s="538"/>
      <c r="AM933" s="343"/>
      <c r="AN933" s="343"/>
      <c r="AO933" s="538"/>
      <c r="AP933" s="343"/>
      <c r="AQ933" s="343"/>
      <c r="AS933" s="343"/>
      <c r="AT933" s="538"/>
      <c r="AU933" s="343"/>
      <c r="AV933" s="343"/>
      <c r="AW933" s="538"/>
      <c r="AX933" s="343"/>
      <c r="AY933" s="343"/>
      <c r="AZ933" s="538"/>
      <c r="BA933" s="343"/>
      <c r="BB933" s="343"/>
      <c r="BC933" s="538"/>
      <c r="BD933" s="343"/>
      <c r="BE933" s="343"/>
      <c r="BG933" s="644"/>
      <c r="BH933" s="515"/>
      <c r="BI933" s="515"/>
      <c r="BJ933" s="644"/>
      <c r="BK933" s="515"/>
      <c r="BL933" s="515"/>
      <c r="BM933" s="644"/>
      <c r="BN933" s="515"/>
      <c r="BO933" s="515"/>
      <c r="BP933" s="644"/>
      <c r="BQ933" s="515"/>
      <c r="BR933" s="515"/>
    </row>
    <row r="934" spans="4:70" x14ac:dyDescent="0.25">
      <c r="D934" s="538"/>
      <c r="G934" s="538"/>
      <c r="J934" s="538"/>
      <c r="M934" s="538"/>
      <c r="R934" s="538"/>
      <c r="S934" s="343"/>
      <c r="T934" s="343"/>
      <c r="U934" s="538"/>
      <c r="V934" s="343"/>
      <c r="W934" s="343"/>
      <c r="X934" s="538"/>
      <c r="Y934" s="343"/>
      <c r="Z934" s="343"/>
      <c r="AA934" s="538"/>
      <c r="AB934" s="343"/>
      <c r="AC934" s="343"/>
      <c r="AE934" s="343"/>
      <c r="AF934" s="538"/>
      <c r="AG934" s="343"/>
      <c r="AH934" s="343"/>
      <c r="AI934" s="538"/>
      <c r="AJ934" s="343"/>
      <c r="AK934" s="343"/>
      <c r="AL934" s="538"/>
      <c r="AM934" s="343"/>
      <c r="AN934" s="343"/>
      <c r="AO934" s="538"/>
      <c r="AP934" s="343"/>
      <c r="AQ934" s="343"/>
      <c r="AS934" s="343"/>
      <c r="AT934" s="538"/>
      <c r="AU934" s="343"/>
      <c r="AV934" s="343"/>
      <c r="AW934" s="538"/>
      <c r="AX934" s="343"/>
      <c r="AY934" s="343"/>
      <c r="AZ934" s="538"/>
      <c r="BA934" s="343"/>
      <c r="BB934" s="343"/>
      <c r="BC934" s="538"/>
      <c r="BD934" s="343"/>
      <c r="BE934" s="343"/>
      <c r="BG934" s="644"/>
      <c r="BH934" s="515"/>
      <c r="BI934" s="515"/>
      <c r="BJ934" s="644"/>
      <c r="BK934" s="515"/>
      <c r="BL934" s="515"/>
      <c r="BM934" s="644"/>
      <c r="BN934" s="515"/>
      <c r="BO934" s="515"/>
      <c r="BP934" s="644"/>
      <c r="BQ934" s="515"/>
      <c r="BR934" s="515"/>
    </row>
    <row r="935" spans="4:70" x14ac:dyDescent="0.25">
      <c r="D935" s="538"/>
      <c r="G935" s="538"/>
      <c r="J935" s="538"/>
      <c r="M935" s="538"/>
      <c r="R935" s="538"/>
      <c r="S935" s="343"/>
      <c r="T935" s="343"/>
      <c r="U935" s="538"/>
      <c r="V935" s="343"/>
      <c r="W935" s="343"/>
      <c r="X935" s="538"/>
      <c r="Y935" s="343"/>
      <c r="Z935" s="343"/>
      <c r="AA935" s="538"/>
      <c r="AB935" s="343"/>
      <c r="AC935" s="343"/>
      <c r="AE935" s="343"/>
      <c r="AF935" s="538"/>
      <c r="AG935" s="343"/>
      <c r="AH935" s="343"/>
      <c r="AI935" s="538"/>
      <c r="AJ935" s="343"/>
      <c r="AK935" s="343"/>
      <c r="AL935" s="538"/>
      <c r="AM935" s="343"/>
      <c r="AN935" s="343"/>
      <c r="AO935" s="538"/>
      <c r="AP935" s="343"/>
      <c r="AQ935" s="343"/>
      <c r="AS935" s="343"/>
      <c r="AT935" s="538"/>
      <c r="AU935" s="343"/>
      <c r="AV935" s="343"/>
      <c r="AW935" s="538"/>
      <c r="AX935" s="343"/>
      <c r="AY935" s="343"/>
      <c r="AZ935" s="538"/>
      <c r="BA935" s="343"/>
      <c r="BB935" s="343"/>
      <c r="BC935" s="538"/>
      <c r="BD935" s="343"/>
      <c r="BE935" s="343"/>
      <c r="BG935" s="644"/>
      <c r="BH935" s="515"/>
      <c r="BI935" s="515"/>
      <c r="BJ935" s="644"/>
      <c r="BK935" s="515"/>
      <c r="BL935" s="515"/>
      <c r="BM935" s="644"/>
      <c r="BN935" s="515"/>
      <c r="BO935" s="515"/>
      <c r="BP935" s="644"/>
      <c r="BQ935" s="515"/>
      <c r="BR935" s="515"/>
    </row>
    <row r="936" spans="4:70" x14ac:dyDescent="0.25">
      <c r="D936" s="538"/>
      <c r="G936" s="538"/>
      <c r="J936" s="538"/>
      <c r="M936" s="538"/>
      <c r="R936" s="538"/>
      <c r="S936" s="343"/>
      <c r="T936" s="343"/>
      <c r="U936" s="538"/>
      <c r="V936" s="343"/>
      <c r="W936" s="343"/>
      <c r="X936" s="538"/>
      <c r="Y936" s="343"/>
      <c r="Z936" s="343"/>
      <c r="AA936" s="538"/>
      <c r="AB936" s="343"/>
      <c r="AC936" s="343"/>
      <c r="AE936" s="343"/>
      <c r="AF936" s="538"/>
      <c r="AG936" s="343"/>
      <c r="AH936" s="343"/>
      <c r="AI936" s="538"/>
      <c r="AJ936" s="343"/>
      <c r="AK936" s="343"/>
      <c r="AL936" s="538"/>
      <c r="AM936" s="343"/>
      <c r="AN936" s="343"/>
      <c r="AO936" s="538"/>
      <c r="AP936" s="343"/>
      <c r="AQ936" s="343"/>
      <c r="AS936" s="343"/>
      <c r="AT936" s="538"/>
      <c r="AU936" s="343"/>
      <c r="AV936" s="343"/>
      <c r="AW936" s="538"/>
      <c r="AX936" s="343"/>
      <c r="AY936" s="343"/>
      <c r="AZ936" s="538"/>
      <c r="BA936" s="343"/>
      <c r="BB936" s="343"/>
      <c r="BC936" s="538"/>
      <c r="BD936" s="343"/>
      <c r="BE936" s="343"/>
      <c r="BG936" s="644"/>
      <c r="BH936" s="515"/>
      <c r="BI936" s="515"/>
      <c r="BJ936" s="644"/>
      <c r="BK936" s="515"/>
      <c r="BL936" s="515"/>
      <c r="BM936" s="644"/>
      <c r="BN936" s="515"/>
      <c r="BO936" s="515"/>
      <c r="BP936" s="644"/>
      <c r="BQ936" s="515"/>
      <c r="BR936" s="515"/>
    </row>
    <row r="937" spans="4:70" x14ac:dyDescent="0.25">
      <c r="D937" s="538"/>
      <c r="G937" s="538"/>
      <c r="J937" s="538"/>
      <c r="M937" s="538"/>
      <c r="R937" s="538"/>
      <c r="S937" s="343"/>
      <c r="T937" s="343"/>
      <c r="U937" s="538"/>
      <c r="V937" s="343"/>
      <c r="W937" s="343"/>
      <c r="X937" s="538"/>
      <c r="Y937" s="343"/>
      <c r="Z937" s="343"/>
      <c r="AA937" s="538"/>
      <c r="AB937" s="343"/>
      <c r="AC937" s="343"/>
      <c r="AE937" s="343"/>
      <c r="AF937" s="538"/>
      <c r="AG937" s="343"/>
      <c r="AH937" s="343"/>
      <c r="AI937" s="538"/>
      <c r="AJ937" s="343"/>
      <c r="AK937" s="343"/>
      <c r="AL937" s="538"/>
      <c r="AM937" s="343"/>
      <c r="AN937" s="343"/>
      <c r="AO937" s="538"/>
      <c r="AP937" s="343"/>
      <c r="AQ937" s="343"/>
      <c r="AS937" s="343"/>
      <c r="AT937" s="538"/>
      <c r="AU937" s="343"/>
      <c r="AV937" s="343"/>
      <c r="AW937" s="538"/>
      <c r="AX937" s="343"/>
      <c r="AY937" s="343"/>
      <c r="AZ937" s="538"/>
      <c r="BA937" s="343"/>
      <c r="BB937" s="343"/>
      <c r="BC937" s="538"/>
      <c r="BD937" s="343"/>
      <c r="BE937" s="343"/>
      <c r="BG937" s="644"/>
      <c r="BH937" s="515"/>
      <c r="BI937" s="515"/>
      <c r="BJ937" s="644"/>
      <c r="BK937" s="515"/>
      <c r="BL937" s="515"/>
      <c r="BM937" s="644"/>
      <c r="BN937" s="515"/>
      <c r="BO937" s="515"/>
      <c r="BP937" s="644"/>
      <c r="BQ937" s="515"/>
      <c r="BR937" s="515"/>
    </row>
    <row r="938" spans="4:70" x14ac:dyDescent="0.25">
      <c r="D938" s="538"/>
      <c r="G938" s="538"/>
      <c r="J938" s="538"/>
      <c r="M938" s="538"/>
      <c r="R938" s="538"/>
      <c r="S938" s="343"/>
      <c r="T938" s="343"/>
      <c r="U938" s="538"/>
      <c r="V938" s="343"/>
      <c r="W938" s="343"/>
      <c r="X938" s="538"/>
      <c r="Y938" s="343"/>
      <c r="Z938" s="343"/>
      <c r="AA938" s="538"/>
      <c r="AB938" s="343"/>
      <c r="AC938" s="343"/>
      <c r="AE938" s="343"/>
      <c r="AF938" s="538"/>
      <c r="AG938" s="343"/>
      <c r="AH938" s="343"/>
      <c r="AI938" s="538"/>
      <c r="AJ938" s="343"/>
      <c r="AK938" s="343"/>
      <c r="AL938" s="538"/>
      <c r="AM938" s="343"/>
      <c r="AN938" s="343"/>
      <c r="AO938" s="538"/>
      <c r="AP938" s="343"/>
      <c r="AQ938" s="343"/>
      <c r="AS938" s="343"/>
      <c r="AT938" s="538"/>
      <c r="AU938" s="343"/>
      <c r="AV938" s="343"/>
      <c r="AW938" s="538"/>
      <c r="AX938" s="343"/>
      <c r="AY938" s="343"/>
      <c r="AZ938" s="538"/>
      <c r="BA938" s="343"/>
      <c r="BB938" s="343"/>
      <c r="BC938" s="538"/>
      <c r="BD938" s="343"/>
      <c r="BE938" s="343"/>
      <c r="BG938" s="644"/>
      <c r="BH938" s="515"/>
      <c r="BI938" s="515"/>
      <c r="BJ938" s="644"/>
      <c r="BK938" s="515"/>
      <c r="BL938" s="515"/>
      <c r="BM938" s="644"/>
      <c r="BN938" s="515"/>
      <c r="BO938" s="515"/>
      <c r="BP938" s="644"/>
      <c r="BQ938" s="515"/>
      <c r="BR938" s="515"/>
    </row>
    <row r="939" spans="4:70" x14ac:dyDescent="0.25">
      <c r="D939" s="538"/>
      <c r="G939" s="538"/>
      <c r="J939" s="538"/>
      <c r="M939" s="538"/>
      <c r="R939" s="538"/>
      <c r="S939" s="343"/>
      <c r="T939" s="343"/>
      <c r="U939" s="538"/>
      <c r="V939" s="343"/>
      <c r="W939" s="343"/>
      <c r="X939" s="538"/>
      <c r="Y939" s="343"/>
      <c r="Z939" s="343"/>
      <c r="AA939" s="538"/>
      <c r="AB939" s="343"/>
      <c r="AC939" s="343"/>
      <c r="AE939" s="343"/>
      <c r="AF939" s="538"/>
      <c r="AG939" s="343"/>
      <c r="AH939" s="343"/>
      <c r="AI939" s="538"/>
      <c r="AJ939" s="343"/>
      <c r="AK939" s="343"/>
      <c r="AL939" s="538"/>
      <c r="AM939" s="343"/>
      <c r="AN939" s="343"/>
      <c r="AO939" s="538"/>
      <c r="AP939" s="343"/>
      <c r="AQ939" s="343"/>
      <c r="AS939" s="343"/>
      <c r="AT939" s="538"/>
      <c r="AU939" s="343"/>
      <c r="AV939" s="343"/>
      <c r="AW939" s="538"/>
      <c r="AX939" s="343"/>
      <c r="AY939" s="343"/>
      <c r="AZ939" s="538"/>
      <c r="BA939" s="343"/>
      <c r="BB939" s="343"/>
      <c r="BC939" s="538"/>
      <c r="BD939" s="343"/>
      <c r="BE939" s="343"/>
      <c r="BG939" s="644"/>
      <c r="BH939" s="515"/>
      <c r="BI939" s="515"/>
      <c r="BJ939" s="644"/>
      <c r="BK939" s="515"/>
      <c r="BL939" s="515"/>
      <c r="BM939" s="644"/>
      <c r="BN939" s="515"/>
      <c r="BO939" s="515"/>
      <c r="BP939" s="644"/>
      <c r="BQ939" s="515"/>
      <c r="BR939" s="515"/>
    </row>
    <row r="940" spans="4:70" x14ac:dyDescent="0.25">
      <c r="D940" s="538"/>
      <c r="G940" s="538"/>
      <c r="J940" s="538"/>
      <c r="M940" s="538"/>
      <c r="R940" s="538"/>
      <c r="S940" s="343"/>
      <c r="T940" s="343"/>
      <c r="U940" s="538"/>
      <c r="V940" s="343"/>
      <c r="W940" s="343"/>
      <c r="X940" s="538"/>
      <c r="Y940" s="343"/>
      <c r="Z940" s="343"/>
      <c r="AA940" s="538"/>
      <c r="AB940" s="343"/>
      <c r="AC940" s="343"/>
      <c r="AE940" s="343"/>
      <c r="AF940" s="538"/>
      <c r="AG940" s="343"/>
      <c r="AH940" s="343"/>
      <c r="AI940" s="538"/>
      <c r="AJ940" s="343"/>
      <c r="AK940" s="343"/>
      <c r="AL940" s="538"/>
      <c r="AM940" s="343"/>
      <c r="AN940" s="343"/>
      <c r="AO940" s="538"/>
      <c r="AP940" s="343"/>
      <c r="AQ940" s="343"/>
      <c r="AS940" s="343"/>
      <c r="AT940" s="538"/>
      <c r="AU940" s="343"/>
      <c r="AV940" s="343"/>
      <c r="AW940" s="538"/>
      <c r="AX940" s="343"/>
      <c r="AY940" s="343"/>
      <c r="AZ940" s="538"/>
      <c r="BA940" s="343"/>
      <c r="BB940" s="343"/>
      <c r="BC940" s="538"/>
      <c r="BD940" s="343"/>
      <c r="BE940" s="343"/>
      <c r="BG940" s="644"/>
      <c r="BH940" s="515"/>
      <c r="BI940" s="515"/>
      <c r="BJ940" s="644"/>
      <c r="BK940" s="515"/>
      <c r="BL940" s="515"/>
      <c r="BM940" s="644"/>
      <c r="BN940" s="515"/>
      <c r="BO940" s="515"/>
      <c r="BP940" s="644"/>
      <c r="BQ940" s="515"/>
      <c r="BR940" s="515"/>
    </row>
    <row r="941" spans="4:70" x14ac:dyDescent="0.25">
      <c r="D941" s="538"/>
      <c r="G941" s="538"/>
      <c r="J941" s="538"/>
      <c r="M941" s="538"/>
      <c r="R941" s="538"/>
      <c r="S941" s="343"/>
      <c r="T941" s="343"/>
      <c r="U941" s="538"/>
      <c r="V941" s="343"/>
      <c r="W941" s="343"/>
      <c r="X941" s="538"/>
      <c r="Y941" s="343"/>
      <c r="Z941" s="343"/>
      <c r="AA941" s="538"/>
      <c r="AB941" s="343"/>
      <c r="AC941" s="343"/>
      <c r="AE941" s="343"/>
      <c r="AF941" s="538"/>
      <c r="AG941" s="343"/>
      <c r="AH941" s="343"/>
      <c r="AI941" s="538"/>
      <c r="AJ941" s="343"/>
      <c r="AK941" s="343"/>
      <c r="AL941" s="538"/>
      <c r="AM941" s="343"/>
      <c r="AN941" s="343"/>
      <c r="AO941" s="538"/>
      <c r="AP941" s="343"/>
      <c r="AQ941" s="343"/>
      <c r="AS941" s="343"/>
      <c r="AT941" s="538"/>
      <c r="AU941" s="343"/>
      <c r="AV941" s="343"/>
      <c r="AW941" s="538"/>
      <c r="AX941" s="343"/>
      <c r="AY941" s="343"/>
      <c r="AZ941" s="538"/>
      <c r="BA941" s="343"/>
      <c r="BB941" s="343"/>
      <c r="BC941" s="538"/>
      <c r="BD941" s="343"/>
      <c r="BE941" s="343"/>
      <c r="BG941" s="644"/>
      <c r="BH941" s="515"/>
      <c r="BI941" s="515"/>
      <c r="BJ941" s="644"/>
      <c r="BK941" s="515"/>
      <c r="BL941" s="515"/>
      <c r="BM941" s="644"/>
      <c r="BN941" s="515"/>
      <c r="BO941" s="515"/>
      <c r="BP941" s="644"/>
      <c r="BQ941" s="515"/>
      <c r="BR941" s="515"/>
    </row>
    <row r="942" spans="4:70" x14ac:dyDescent="0.25">
      <c r="D942" s="538"/>
      <c r="G942" s="538"/>
      <c r="J942" s="538"/>
      <c r="M942" s="538"/>
      <c r="R942" s="538"/>
      <c r="S942" s="343"/>
      <c r="T942" s="343"/>
      <c r="U942" s="538"/>
      <c r="V942" s="343"/>
      <c r="W942" s="343"/>
      <c r="X942" s="538"/>
      <c r="Y942" s="343"/>
      <c r="Z942" s="343"/>
      <c r="AA942" s="538"/>
      <c r="AB942" s="343"/>
      <c r="AC942" s="343"/>
      <c r="AE942" s="343"/>
      <c r="AF942" s="538"/>
      <c r="AG942" s="343"/>
      <c r="AH942" s="343"/>
      <c r="AI942" s="538"/>
      <c r="AJ942" s="343"/>
      <c r="AK942" s="343"/>
      <c r="AL942" s="538"/>
      <c r="AM942" s="343"/>
      <c r="AN942" s="343"/>
      <c r="AO942" s="538"/>
      <c r="AP942" s="343"/>
      <c r="AQ942" s="343"/>
      <c r="AS942" s="343"/>
      <c r="AT942" s="538"/>
      <c r="AU942" s="343"/>
      <c r="AV942" s="343"/>
      <c r="AW942" s="538"/>
      <c r="AX942" s="343"/>
      <c r="AY942" s="343"/>
      <c r="AZ942" s="538"/>
      <c r="BA942" s="343"/>
      <c r="BB942" s="343"/>
      <c r="BC942" s="538"/>
      <c r="BD942" s="343"/>
      <c r="BE942" s="343"/>
      <c r="BG942" s="644"/>
      <c r="BH942" s="515"/>
      <c r="BI942" s="515"/>
      <c r="BJ942" s="644"/>
      <c r="BK942" s="515"/>
      <c r="BL942" s="515"/>
      <c r="BM942" s="644"/>
      <c r="BN942" s="515"/>
      <c r="BO942" s="515"/>
      <c r="BP942" s="644"/>
      <c r="BQ942" s="515"/>
      <c r="BR942" s="515"/>
    </row>
    <row r="943" spans="4:70" x14ac:dyDescent="0.25">
      <c r="D943" s="538"/>
      <c r="G943" s="538"/>
      <c r="J943" s="538"/>
      <c r="M943" s="538"/>
      <c r="R943" s="538"/>
      <c r="S943" s="343"/>
      <c r="T943" s="343"/>
      <c r="U943" s="538"/>
      <c r="V943" s="343"/>
      <c r="W943" s="343"/>
      <c r="X943" s="538"/>
      <c r="Y943" s="343"/>
      <c r="Z943" s="343"/>
      <c r="AA943" s="538"/>
      <c r="AB943" s="343"/>
      <c r="AC943" s="343"/>
      <c r="AE943" s="343"/>
      <c r="AF943" s="538"/>
      <c r="AG943" s="343"/>
      <c r="AH943" s="343"/>
      <c r="AI943" s="538"/>
      <c r="AJ943" s="343"/>
      <c r="AK943" s="343"/>
      <c r="AL943" s="538"/>
      <c r="AM943" s="343"/>
      <c r="AN943" s="343"/>
      <c r="AO943" s="538"/>
      <c r="AP943" s="343"/>
      <c r="AQ943" s="343"/>
      <c r="AS943" s="343"/>
      <c r="AT943" s="538"/>
      <c r="AU943" s="343"/>
      <c r="AV943" s="343"/>
      <c r="AW943" s="538"/>
      <c r="AX943" s="343"/>
      <c r="AY943" s="343"/>
      <c r="AZ943" s="538"/>
      <c r="BA943" s="343"/>
      <c r="BB943" s="343"/>
      <c r="BC943" s="538"/>
      <c r="BD943" s="343"/>
      <c r="BE943" s="343"/>
      <c r="BG943" s="644"/>
      <c r="BH943" s="515"/>
      <c r="BI943" s="515"/>
      <c r="BJ943" s="644"/>
      <c r="BK943" s="515"/>
      <c r="BL943" s="515"/>
      <c r="BM943" s="644"/>
      <c r="BN943" s="515"/>
      <c r="BO943" s="515"/>
      <c r="BP943" s="644"/>
      <c r="BQ943" s="515"/>
      <c r="BR943" s="515"/>
    </row>
    <row r="944" spans="4:70" x14ac:dyDescent="0.25">
      <c r="D944" s="538"/>
      <c r="G944" s="538"/>
      <c r="J944" s="538"/>
      <c r="M944" s="538"/>
      <c r="R944" s="538"/>
      <c r="S944" s="343"/>
      <c r="T944" s="343"/>
      <c r="U944" s="538"/>
      <c r="V944" s="343"/>
      <c r="W944" s="343"/>
      <c r="X944" s="538"/>
      <c r="Y944" s="343"/>
      <c r="Z944" s="343"/>
      <c r="AA944" s="538"/>
      <c r="AB944" s="343"/>
      <c r="AC944" s="343"/>
      <c r="AE944" s="343"/>
      <c r="AF944" s="538"/>
      <c r="AG944" s="343"/>
      <c r="AH944" s="343"/>
      <c r="AI944" s="538"/>
      <c r="AJ944" s="343"/>
      <c r="AK944" s="343"/>
      <c r="AL944" s="538"/>
      <c r="AM944" s="343"/>
      <c r="AN944" s="343"/>
      <c r="AO944" s="538"/>
      <c r="AP944" s="343"/>
      <c r="AQ944" s="343"/>
      <c r="AS944" s="343"/>
      <c r="AT944" s="538"/>
      <c r="AU944" s="343"/>
      <c r="AV944" s="343"/>
      <c r="AW944" s="538"/>
      <c r="AX944" s="343"/>
      <c r="AY944" s="343"/>
      <c r="AZ944" s="538"/>
      <c r="BA944" s="343"/>
      <c r="BB944" s="343"/>
      <c r="BC944" s="538"/>
      <c r="BD944" s="343"/>
      <c r="BE944" s="343"/>
      <c r="BG944" s="644"/>
      <c r="BH944" s="515"/>
      <c r="BI944" s="515"/>
      <c r="BJ944" s="644"/>
      <c r="BK944" s="515"/>
      <c r="BL944" s="515"/>
      <c r="BM944" s="644"/>
      <c r="BN944" s="515"/>
      <c r="BO944" s="515"/>
      <c r="BP944" s="644"/>
      <c r="BQ944" s="515"/>
      <c r="BR944" s="515"/>
    </row>
    <row r="945" spans="4:70" x14ac:dyDescent="0.25">
      <c r="D945" s="538"/>
      <c r="G945" s="538"/>
      <c r="J945" s="538"/>
      <c r="M945" s="538"/>
      <c r="R945" s="538"/>
      <c r="S945" s="343"/>
      <c r="T945" s="343"/>
      <c r="U945" s="538"/>
      <c r="V945" s="343"/>
      <c r="W945" s="343"/>
      <c r="X945" s="538"/>
      <c r="Y945" s="343"/>
      <c r="Z945" s="343"/>
      <c r="AA945" s="538"/>
      <c r="AB945" s="343"/>
      <c r="AC945" s="343"/>
      <c r="AE945" s="343"/>
      <c r="AF945" s="538"/>
      <c r="AG945" s="343"/>
      <c r="AH945" s="343"/>
      <c r="AI945" s="538"/>
      <c r="AJ945" s="343"/>
      <c r="AK945" s="343"/>
      <c r="AL945" s="538"/>
      <c r="AM945" s="343"/>
      <c r="AN945" s="343"/>
      <c r="AO945" s="538"/>
      <c r="AP945" s="343"/>
      <c r="AQ945" s="343"/>
      <c r="AS945" s="343"/>
      <c r="AT945" s="538"/>
      <c r="AU945" s="343"/>
      <c r="AV945" s="343"/>
      <c r="AW945" s="538"/>
      <c r="AX945" s="343"/>
      <c r="AY945" s="343"/>
      <c r="AZ945" s="538"/>
      <c r="BA945" s="343"/>
      <c r="BB945" s="343"/>
      <c r="BC945" s="538"/>
      <c r="BD945" s="343"/>
      <c r="BE945" s="343"/>
      <c r="BG945" s="644"/>
      <c r="BH945" s="515"/>
      <c r="BI945" s="515"/>
      <c r="BJ945" s="644"/>
      <c r="BK945" s="515"/>
      <c r="BL945" s="515"/>
      <c r="BM945" s="644"/>
      <c r="BN945" s="515"/>
      <c r="BO945" s="515"/>
      <c r="BP945" s="644"/>
      <c r="BQ945" s="515"/>
      <c r="BR945" s="515"/>
    </row>
    <row r="946" spans="4:70" x14ac:dyDescent="0.25">
      <c r="D946" s="538"/>
      <c r="G946" s="538"/>
      <c r="J946" s="538"/>
      <c r="M946" s="538"/>
      <c r="R946" s="538"/>
      <c r="S946" s="343"/>
      <c r="T946" s="343"/>
      <c r="U946" s="538"/>
      <c r="V946" s="343"/>
      <c r="W946" s="343"/>
      <c r="X946" s="538"/>
      <c r="Y946" s="343"/>
      <c r="Z946" s="343"/>
      <c r="AA946" s="538"/>
      <c r="AB946" s="343"/>
      <c r="AC946" s="343"/>
      <c r="AE946" s="343"/>
      <c r="AF946" s="538"/>
      <c r="AG946" s="343"/>
      <c r="AH946" s="343"/>
      <c r="AI946" s="538"/>
      <c r="AJ946" s="343"/>
      <c r="AK946" s="343"/>
      <c r="AL946" s="538"/>
      <c r="AM946" s="343"/>
      <c r="AN946" s="343"/>
      <c r="AO946" s="538"/>
      <c r="AP946" s="343"/>
      <c r="AQ946" s="343"/>
      <c r="AS946" s="343"/>
      <c r="AT946" s="538"/>
      <c r="AU946" s="343"/>
      <c r="AV946" s="343"/>
      <c r="AW946" s="538"/>
      <c r="AX946" s="343"/>
      <c r="AY946" s="343"/>
      <c r="AZ946" s="538"/>
      <c r="BA946" s="343"/>
      <c r="BB946" s="343"/>
      <c r="BC946" s="538"/>
      <c r="BD946" s="343"/>
      <c r="BE946" s="343"/>
      <c r="BG946" s="644"/>
      <c r="BH946" s="515"/>
      <c r="BI946" s="515"/>
      <c r="BJ946" s="644"/>
      <c r="BK946" s="515"/>
      <c r="BL946" s="515"/>
      <c r="BM946" s="644"/>
      <c r="BN946" s="515"/>
      <c r="BO946" s="515"/>
      <c r="BP946" s="644"/>
      <c r="BQ946" s="515"/>
      <c r="BR946" s="515"/>
    </row>
    <row r="947" spans="4:70" x14ac:dyDescent="0.25">
      <c r="D947" s="538"/>
      <c r="G947" s="538"/>
      <c r="J947" s="538"/>
      <c r="M947" s="538"/>
      <c r="R947" s="538"/>
      <c r="S947" s="343"/>
      <c r="T947" s="343"/>
      <c r="U947" s="538"/>
      <c r="V947" s="343"/>
      <c r="W947" s="343"/>
      <c r="X947" s="538"/>
      <c r="Y947" s="343"/>
      <c r="Z947" s="343"/>
      <c r="AA947" s="538"/>
      <c r="AB947" s="343"/>
      <c r="AC947" s="343"/>
      <c r="AE947" s="343"/>
      <c r="AF947" s="538"/>
      <c r="AG947" s="343"/>
      <c r="AH947" s="343"/>
      <c r="AI947" s="538"/>
      <c r="AJ947" s="343"/>
      <c r="AK947" s="343"/>
      <c r="AL947" s="538"/>
      <c r="AM947" s="343"/>
      <c r="AN947" s="343"/>
      <c r="AO947" s="538"/>
      <c r="AP947" s="343"/>
      <c r="AQ947" s="343"/>
      <c r="AS947" s="343"/>
      <c r="AT947" s="538"/>
      <c r="AU947" s="343"/>
      <c r="AV947" s="343"/>
      <c r="AW947" s="538"/>
      <c r="AX947" s="343"/>
      <c r="AY947" s="343"/>
      <c r="AZ947" s="538"/>
      <c r="BA947" s="343"/>
      <c r="BB947" s="343"/>
      <c r="BC947" s="538"/>
      <c r="BD947" s="343"/>
      <c r="BE947" s="343"/>
      <c r="BG947" s="644"/>
      <c r="BH947" s="515"/>
      <c r="BI947" s="515"/>
      <c r="BJ947" s="644"/>
      <c r="BK947" s="515"/>
      <c r="BL947" s="515"/>
      <c r="BM947" s="644"/>
      <c r="BN947" s="515"/>
      <c r="BO947" s="515"/>
      <c r="BP947" s="644"/>
      <c r="BQ947" s="515"/>
      <c r="BR947" s="515"/>
    </row>
    <row r="948" spans="4:70" x14ac:dyDescent="0.25">
      <c r="D948" s="538"/>
      <c r="G948" s="538"/>
      <c r="J948" s="538"/>
      <c r="M948" s="538"/>
      <c r="R948" s="538"/>
      <c r="S948" s="343"/>
      <c r="T948" s="343"/>
      <c r="U948" s="538"/>
      <c r="V948" s="343"/>
      <c r="W948" s="343"/>
      <c r="X948" s="538"/>
      <c r="Y948" s="343"/>
      <c r="Z948" s="343"/>
      <c r="AA948" s="538"/>
      <c r="AB948" s="343"/>
      <c r="AC948" s="343"/>
      <c r="AE948" s="343"/>
      <c r="AF948" s="538"/>
      <c r="AG948" s="343"/>
      <c r="AH948" s="343"/>
      <c r="AI948" s="538"/>
      <c r="AJ948" s="343"/>
      <c r="AK948" s="343"/>
      <c r="AL948" s="538"/>
      <c r="AM948" s="343"/>
      <c r="AN948" s="343"/>
      <c r="AO948" s="538"/>
      <c r="AP948" s="343"/>
      <c r="AQ948" s="343"/>
      <c r="AS948" s="343"/>
      <c r="AT948" s="538"/>
      <c r="AU948" s="343"/>
      <c r="AV948" s="343"/>
      <c r="AW948" s="538"/>
      <c r="AX948" s="343"/>
      <c r="AY948" s="343"/>
      <c r="AZ948" s="538"/>
      <c r="BA948" s="343"/>
      <c r="BB948" s="343"/>
      <c r="BC948" s="538"/>
      <c r="BD948" s="343"/>
      <c r="BE948" s="343"/>
      <c r="BG948" s="644"/>
      <c r="BH948" s="515"/>
      <c r="BI948" s="515"/>
      <c r="BJ948" s="644"/>
      <c r="BK948" s="515"/>
      <c r="BL948" s="515"/>
      <c r="BM948" s="644"/>
      <c r="BN948" s="515"/>
      <c r="BO948" s="515"/>
      <c r="BP948" s="644"/>
      <c r="BQ948" s="515"/>
      <c r="BR948" s="515"/>
    </row>
    <row r="949" spans="4:70" x14ac:dyDescent="0.25">
      <c r="D949" s="538"/>
      <c r="G949" s="538"/>
      <c r="J949" s="538"/>
      <c r="M949" s="538"/>
      <c r="R949" s="538"/>
      <c r="S949" s="343"/>
      <c r="T949" s="343"/>
      <c r="U949" s="538"/>
      <c r="V949" s="343"/>
      <c r="W949" s="343"/>
      <c r="X949" s="538"/>
      <c r="Y949" s="343"/>
      <c r="Z949" s="343"/>
      <c r="AA949" s="538"/>
      <c r="AB949" s="343"/>
      <c r="AC949" s="343"/>
      <c r="AE949" s="343"/>
      <c r="AF949" s="538"/>
      <c r="AG949" s="343"/>
      <c r="AH949" s="343"/>
      <c r="AI949" s="538"/>
      <c r="AJ949" s="343"/>
      <c r="AK949" s="343"/>
      <c r="AL949" s="538"/>
      <c r="AM949" s="343"/>
      <c r="AN949" s="343"/>
      <c r="AO949" s="538"/>
      <c r="AP949" s="343"/>
      <c r="AQ949" s="343"/>
      <c r="AS949" s="343"/>
      <c r="AT949" s="538"/>
      <c r="AU949" s="343"/>
      <c r="AV949" s="343"/>
      <c r="AW949" s="538"/>
      <c r="AX949" s="343"/>
      <c r="AY949" s="343"/>
      <c r="AZ949" s="538"/>
      <c r="BA949" s="343"/>
      <c r="BB949" s="343"/>
      <c r="BC949" s="538"/>
      <c r="BD949" s="343"/>
      <c r="BE949" s="343"/>
      <c r="BG949" s="644"/>
      <c r="BH949" s="515"/>
      <c r="BI949" s="515"/>
      <c r="BJ949" s="644"/>
      <c r="BK949" s="515"/>
      <c r="BL949" s="515"/>
      <c r="BM949" s="644"/>
      <c r="BN949" s="515"/>
      <c r="BO949" s="515"/>
      <c r="BP949" s="644"/>
      <c r="BQ949" s="515"/>
      <c r="BR949" s="515"/>
    </row>
    <row r="950" spans="4:70" x14ac:dyDescent="0.25">
      <c r="D950" s="538"/>
      <c r="G950" s="538"/>
      <c r="J950" s="538"/>
      <c r="M950" s="538"/>
      <c r="R950" s="538"/>
      <c r="S950" s="343"/>
      <c r="T950" s="343"/>
      <c r="U950" s="538"/>
      <c r="V950" s="343"/>
      <c r="W950" s="343"/>
      <c r="X950" s="538"/>
      <c r="Y950" s="343"/>
      <c r="Z950" s="343"/>
      <c r="AA950" s="538"/>
      <c r="AB950" s="343"/>
      <c r="AC950" s="343"/>
      <c r="AE950" s="343"/>
      <c r="AF950" s="538"/>
      <c r="AG950" s="343"/>
      <c r="AH950" s="343"/>
      <c r="AI950" s="538"/>
      <c r="AJ950" s="343"/>
      <c r="AK950" s="343"/>
      <c r="AL950" s="538"/>
      <c r="AM950" s="343"/>
      <c r="AN950" s="343"/>
      <c r="AO950" s="538"/>
      <c r="AP950" s="343"/>
      <c r="AQ950" s="343"/>
      <c r="AS950" s="343"/>
      <c r="AT950" s="538"/>
      <c r="AU950" s="343"/>
      <c r="AV950" s="343"/>
      <c r="AW950" s="538"/>
      <c r="AX950" s="343"/>
      <c r="AY950" s="343"/>
      <c r="AZ950" s="538"/>
      <c r="BA950" s="343"/>
      <c r="BB950" s="343"/>
      <c r="BC950" s="538"/>
      <c r="BD950" s="343"/>
      <c r="BE950" s="343"/>
      <c r="BG950" s="644"/>
      <c r="BH950" s="515"/>
      <c r="BI950" s="515"/>
      <c r="BJ950" s="644"/>
      <c r="BK950" s="515"/>
      <c r="BL950" s="515"/>
      <c r="BM950" s="644"/>
      <c r="BN950" s="515"/>
      <c r="BO950" s="515"/>
      <c r="BP950" s="644"/>
      <c r="BQ950" s="515"/>
      <c r="BR950" s="515"/>
    </row>
    <row r="951" spans="4:70" x14ac:dyDescent="0.25">
      <c r="D951" s="538"/>
      <c r="G951" s="538"/>
      <c r="J951" s="538"/>
      <c r="M951" s="538"/>
      <c r="R951" s="538"/>
      <c r="S951" s="343"/>
      <c r="T951" s="343"/>
      <c r="U951" s="538"/>
      <c r="V951" s="343"/>
      <c r="W951" s="343"/>
      <c r="X951" s="538"/>
      <c r="Y951" s="343"/>
      <c r="Z951" s="343"/>
      <c r="AA951" s="538"/>
      <c r="AB951" s="343"/>
      <c r="AC951" s="343"/>
      <c r="AE951" s="343"/>
      <c r="AF951" s="538"/>
      <c r="AG951" s="343"/>
      <c r="AH951" s="343"/>
      <c r="AI951" s="538"/>
      <c r="AJ951" s="343"/>
      <c r="AK951" s="343"/>
      <c r="AL951" s="538"/>
      <c r="AM951" s="343"/>
      <c r="AN951" s="343"/>
      <c r="AO951" s="538"/>
      <c r="AP951" s="343"/>
      <c r="AQ951" s="343"/>
      <c r="AS951" s="343"/>
      <c r="AT951" s="538"/>
      <c r="AU951" s="343"/>
      <c r="AV951" s="343"/>
      <c r="AW951" s="538"/>
      <c r="AX951" s="343"/>
      <c r="AY951" s="343"/>
      <c r="AZ951" s="538"/>
      <c r="BA951" s="343"/>
      <c r="BB951" s="343"/>
      <c r="BC951" s="538"/>
      <c r="BD951" s="343"/>
      <c r="BE951" s="343"/>
      <c r="BG951" s="644"/>
      <c r="BH951" s="515"/>
      <c r="BI951" s="515"/>
      <c r="BJ951" s="644"/>
      <c r="BK951" s="515"/>
      <c r="BL951" s="515"/>
      <c r="BM951" s="644"/>
      <c r="BN951" s="515"/>
      <c r="BO951" s="515"/>
      <c r="BP951" s="644"/>
      <c r="BQ951" s="515"/>
      <c r="BR951" s="515"/>
    </row>
    <row r="952" spans="4:70" x14ac:dyDescent="0.25">
      <c r="D952" s="538"/>
      <c r="G952" s="538"/>
      <c r="J952" s="538"/>
      <c r="M952" s="538"/>
      <c r="R952" s="538"/>
      <c r="S952" s="343"/>
      <c r="T952" s="343"/>
      <c r="U952" s="538"/>
      <c r="V952" s="343"/>
      <c r="W952" s="343"/>
      <c r="X952" s="538"/>
      <c r="Y952" s="343"/>
      <c r="Z952" s="343"/>
      <c r="AA952" s="538"/>
      <c r="AB952" s="343"/>
      <c r="AC952" s="343"/>
      <c r="AE952" s="343"/>
      <c r="AF952" s="538"/>
      <c r="AG952" s="343"/>
      <c r="AH952" s="343"/>
      <c r="AI952" s="538"/>
      <c r="AJ952" s="343"/>
      <c r="AK952" s="343"/>
      <c r="AL952" s="538"/>
      <c r="AM952" s="343"/>
      <c r="AN952" s="343"/>
      <c r="AO952" s="538"/>
      <c r="AP952" s="343"/>
      <c r="AQ952" s="343"/>
      <c r="AS952" s="343"/>
      <c r="AT952" s="538"/>
      <c r="AU952" s="343"/>
      <c r="AV952" s="343"/>
      <c r="AW952" s="538"/>
      <c r="AX952" s="343"/>
      <c r="AY952" s="343"/>
      <c r="AZ952" s="538"/>
      <c r="BA952" s="343"/>
      <c r="BB952" s="343"/>
      <c r="BC952" s="538"/>
      <c r="BD952" s="343"/>
      <c r="BE952" s="343"/>
      <c r="BG952" s="644"/>
      <c r="BH952" s="515"/>
      <c r="BI952" s="515"/>
      <c r="BJ952" s="644"/>
      <c r="BK952" s="515"/>
      <c r="BL952" s="515"/>
      <c r="BM952" s="644"/>
      <c r="BN952" s="515"/>
      <c r="BO952" s="515"/>
      <c r="BP952" s="644"/>
      <c r="BQ952" s="515"/>
      <c r="BR952" s="515"/>
    </row>
    <row r="953" spans="4:70" x14ac:dyDescent="0.25">
      <c r="D953" s="538"/>
      <c r="G953" s="538"/>
      <c r="J953" s="538"/>
      <c r="M953" s="538"/>
      <c r="R953" s="538"/>
      <c r="S953" s="343"/>
      <c r="T953" s="343"/>
      <c r="U953" s="538"/>
      <c r="V953" s="343"/>
      <c r="W953" s="343"/>
      <c r="X953" s="538"/>
      <c r="Y953" s="343"/>
      <c r="Z953" s="343"/>
      <c r="AA953" s="538"/>
      <c r="AB953" s="343"/>
      <c r="AC953" s="343"/>
      <c r="AE953" s="343"/>
      <c r="AF953" s="538"/>
      <c r="AG953" s="343"/>
      <c r="AH953" s="343"/>
      <c r="AI953" s="538"/>
      <c r="AJ953" s="343"/>
      <c r="AK953" s="343"/>
      <c r="AL953" s="538"/>
      <c r="AM953" s="343"/>
      <c r="AN953" s="343"/>
      <c r="AO953" s="538"/>
      <c r="AP953" s="343"/>
      <c r="AQ953" s="343"/>
      <c r="AS953" s="343"/>
      <c r="AT953" s="538"/>
      <c r="AU953" s="343"/>
      <c r="AV953" s="343"/>
      <c r="AW953" s="538"/>
      <c r="AX953" s="343"/>
      <c r="AY953" s="343"/>
      <c r="AZ953" s="538"/>
      <c r="BA953" s="343"/>
      <c r="BB953" s="343"/>
      <c r="BC953" s="538"/>
      <c r="BD953" s="343"/>
      <c r="BE953" s="343"/>
      <c r="BG953" s="644"/>
      <c r="BH953" s="515"/>
      <c r="BI953" s="515"/>
      <c r="BJ953" s="644"/>
      <c r="BK953" s="515"/>
      <c r="BL953" s="515"/>
      <c r="BM953" s="644"/>
      <c r="BN953" s="515"/>
      <c r="BO953" s="515"/>
      <c r="BP953" s="644"/>
      <c r="BQ953" s="515"/>
      <c r="BR953" s="515"/>
    </row>
    <row r="954" spans="4:70" x14ac:dyDescent="0.25">
      <c r="D954" s="538"/>
      <c r="G954" s="538"/>
      <c r="J954" s="538"/>
      <c r="M954" s="538"/>
      <c r="R954" s="538"/>
      <c r="S954" s="343"/>
      <c r="T954" s="343"/>
      <c r="U954" s="538"/>
      <c r="V954" s="343"/>
      <c r="W954" s="343"/>
      <c r="X954" s="538"/>
      <c r="Y954" s="343"/>
      <c r="Z954" s="343"/>
      <c r="AA954" s="538"/>
      <c r="AB954" s="343"/>
      <c r="AC954" s="343"/>
      <c r="AE954" s="343"/>
      <c r="AF954" s="538"/>
      <c r="AG954" s="343"/>
      <c r="AH954" s="343"/>
      <c r="AI954" s="538"/>
      <c r="AJ954" s="343"/>
      <c r="AK954" s="343"/>
      <c r="AL954" s="538"/>
      <c r="AM954" s="343"/>
      <c r="AN954" s="343"/>
      <c r="AO954" s="538"/>
      <c r="AP954" s="343"/>
      <c r="AQ954" s="343"/>
      <c r="AS954" s="343"/>
      <c r="AT954" s="538"/>
      <c r="AU954" s="343"/>
      <c r="AV954" s="343"/>
      <c r="AW954" s="538"/>
      <c r="AX954" s="343"/>
      <c r="AY954" s="343"/>
      <c r="AZ954" s="538"/>
      <c r="BA954" s="343"/>
      <c r="BB954" s="343"/>
      <c r="BC954" s="538"/>
      <c r="BD954" s="343"/>
      <c r="BE954" s="343"/>
      <c r="BG954" s="644"/>
      <c r="BH954" s="515"/>
      <c r="BI954" s="515"/>
      <c r="BJ954" s="644"/>
      <c r="BK954" s="515"/>
      <c r="BL954" s="515"/>
      <c r="BM954" s="644"/>
      <c r="BN954" s="515"/>
      <c r="BO954" s="515"/>
      <c r="BP954" s="644"/>
      <c r="BQ954" s="515"/>
      <c r="BR954" s="515"/>
    </row>
    <row r="955" spans="4:70" x14ac:dyDescent="0.25">
      <c r="D955" s="538"/>
      <c r="G955" s="538"/>
      <c r="J955" s="538"/>
      <c r="M955" s="538"/>
      <c r="R955" s="538"/>
      <c r="S955" s="343"/>
      <c r="T955" s="343"/>
      <c r="U955" s="538"/>
      <c r="V955" s="343"/>
      <c r="W955" s="343"/>
      <c r="X955" s="538"/>
      <c r="Y955" s="343"/>
      <c r="Z955" s="343"/>
      <c r="AA955" s="538"/>
      <c r="AB955" s="343"/>
      <c r="AC955" s="343"/>
      <c r="AE955" s="343"/>
      <c r="AF955" s="538"/>
      <c r="AG955" s="343"/>
      <c r="AH955" s="343"/>
      <c r="AI955" s="538"/>
      <c r="AJ955" s="343"/>
      <c r="AK955" s="343"/>
      <c r="AL955" s="538"/>
      <c r="AM955" s="343"/>
      <c r="AN955" s="343"/>
      <c r="AO955" s="538"/>
      <c r="AP955" s="343"/>
      <c r="AQ955" s="343"/>
      <c r="AS955" s="343"/>
      <c r="AT955" s="538"/>
      <c r="AU955" s="343"/>
      <c r="AV955" s="343"/>
      <c r="AW955" s="538"/>
      <c r="AX955" s="343"/>
      <c r="AY955" s="343"/>
      <c r="AZ955" s="538"/>
      <c r="BA955" s="343"/>
      <c r="BB955" s="343"/>
      <c r="BC955" s="538"/>
      <c r="BD955" s="343"/>
      <c r="BE955" s="343"/>
      <c r="BG955" s="644"/>
      <c r="BH955" s="515"/>
      <c r="BI955" s="515"/>
      <c r="BJ955" s="644"/>
      <c r="BK955" s="515"/>
      <c r="BL955" s="515"/>
      <c r="BM955" s="644"/>
      <c r="BN955" s="515"/>
      <c r="BO955" s="515"/>
      <c r="BP955" s="644"/>
      <c r="BQ955" s="515"/>
      <c r="BR955" s="515"/>
    </row>
    <row r="956" spans="4:70" x14ac:dyDescent="0.25">
      <c r="D956" s="538"/>
      <c r="G956" s="538"/>
      <c r="J956" s="538"/>
      <c r="M956" s="538"/>
      <c r="R956" s="538"/>
      <c r="S956" s="343"/>
      <c r="T956" s="343"/>
      <c r="U956" s="538"/>
      <c r="V956" s="343"/>
      <c r="W956" s="343"/>
      <c r="X956" s="538"/>
      <c r="Y956" s="343"/>
      <c r="Z956" s="343"/>
      <c r="AA956" s="538"/>
      <c r="AB956" s="343"/>
      <c r="AC956" s="343"/>
      <c r="AE956" s="343"/>
      <c r="AF956" s="538"/>
      <c r="AG956" s="343"/>
      <c r="AH956" s="343"/>
      <c r="AI956" s="538"/>
      <c r="AJ956" s="343"/>
      <c r="AK956" s="343"/>
      <c r="AL956" s="538"/>
      <c r="AM956" s="343"/>
      <c r="AN956" s="343"/>
      <c r="AO956" s="538"/>
      <c r="AP956" s="343"/>
      <c r="AQ956" s="343"/>
      <c r="AS956" s="343"/>
      <c r="AT956" s="538"/>
      <c r="AU956" s="343"/>
      <c r="AV956" s="343"/>
      <c r="AW956" s="538"/>
      <c r="AX956" s="343"/>
      <c r="AY956" s="343"/>
      <c r="AZ956" s="538"/>
      <c r="BA956" s="343"/>
      <c r="BB956" s="343"/>
      <c r="BC956" s="538"/>
      <c r="BD956" s="343"/>
      <c r="BE956" s="343"/>
      <c r="BG956" s="644"/>
      <c r="BH956" s="515"/>
      <c r="BI956" s="515"/>
      <c r="BJ956" s="644"/>
      <c r="BK956" s="515"/>
      <c r="BL956" s="515"/>
      <c r="BM956" s="644"/>
      <c r="BN956" s="515"/>
      <c r="BO956" s="515"/>
      <c r="BP956" s="644"/>
      <c r="BQ956" s="515"/>
      <c r="BR956" s="515"/>
    </row>
    <row r="957" spans="4:70" x14ac:dyDescent="0.25">
      <c r="D957" s="538"/>
      <c r="G957" s="538"/>
      <c r="J957" s="538"/>
      <c r="M957" s="538"/>
      <c r="R957" s="538"/>
      <c r="S957" s="343"/>
      <c r="T957" s="343"/>
      <c r="U957" s="538"/>
      <c r="V957" s="343"/>
      <c r="W957" s="343"/>
      <c r="X957" s="538"/>
      <c r="Y957" s="343"/>
      <c r="Z957" s="343"/>
      <c r="AA957" s="538"/>
      <c r="AB957" s="343"/>
      <c r="AC957" s="343"/>
      <c r="AE957" s="343"/>
      <c r="AF957" s="538"/>
      <c r="AG957" s="343"/>
      <c r="AH957" s="343"/>
      <c r="AI957" s="538"/>
      <c r="AJ957" s="343"/>
      <c r="AK957" s="343"/>
      <c r="AL957" s="538"/>
      <c r="AM957" s="343"/>
      <c r="AN957" s="343"/>
      <c r="AO957" s="538"/>
      <c r="AP957" s="343"/>
      <c r="AQ957" s="343"/>
      <c r="AS957" s="343"/>
      <c r="AT957" s="538"/>
      <c r="AU957" s="343"/>
      <c r="AV957" s="343"/>
      <c r="AW957" s="538"/>
      <c r="AX957" s="343"/>
      <c r="AY957" s="343"/>
      <c r="AZ957" s="538"/>
      <c r="BA957" s="343"/>
      <c r="BB957" s="343"/>
      <c r="BC957" s="538"/>
      <c r="BD957" s="343"/>
      <c r="BE957" s="343"/>
      <c r="BG957" s="644"/>
      <c r="BH957" s="515"/>
      <c r="BI957" s="515"/>
      <c r="BJ957" s="644"/>
      <c r="BK957" s="515"/>
      <c r="BL957" s="515"/>
      <c r="BM957" s="644"/>
      <c r="BN957" s="515"/>
      <c r="BO957" s="515"/>
      <c r="BP957" s="644"/>
      <c r="BQ957" s="515"/>
      <c r="BR957" s="515"/>
    </row>
    <row r="958" spans="4:70" x14ac:dyDescent="0.25">
      <c r="D958" s="538"/>
      <c r="G958" s="538"/>
      <c r="J958" s="538"/>
      <c r="M958" s="538"/>
      <c r="R958" s="538"/>
      <c r="S958" s="343"/>
      <c r="T958" s="343"/>
      <c r="U958" s="538"/>
      <c r="V958" s="343"/>
      <c r="W958" s="343"/>
      <c r="X958" s="538"/>
      <c r="Y958" s="343"/>
      <c r="Z958" s="343"/>
      <c r="AA958" s="538"/>
      <c r="AB958" s="343"/>
      <c r="AC958" s="343"/>
      <c r="AE958" s="343"/>
      <c r="AF958" s="538"/>
      <c r="AG958" s="343"/>
      <c r="AH958" s="343"/>
      <c r="AI958" s="538"/>
      <c r="AJ958" s="343"/>
      <c r="AK958" s="343"/>
      <c r="AL958" s="538"/>
      <c r="AM958" s="343"/>
      <c r="AN958" s="343"/>
      <c r="AO958" s="538"/>
      <c r="AP958" s="343"/>
      <c r="AQ958" s="343"/>
      <c r="AS958" s="343"/>
      <c r="AT958" s="538"/>
      <c r="AU958" s="343"/>
      <c r="AV958" s="343"/>
      <c r="AW958" s="538"/>
      <c r="AX958" s="343"/>
      <c r="AY958" s="343"/>
      <c r="AZ958" s="538"/>
      <c r="BA958" s="343"/>
      <c r="BB958" s="343"/>
      <c r="BC958" s="538"/>
      <c r="BD958" s="343"/>
      <c r="BE958" s="343"/>
      <c r="BG958" s="644"/>
      <c r="BH958" s="515"/>
      <c r="BI958" s="515"/>
      <c r="BJ958" s="644"/>
      <c r="BK958" s="515"/>
      <c r="BL958" s="515"/>
      <c r="BM958" s="644"/>
      <c r="BN958" s="515"/>
      <c r="BO958" s="515"/>
      <c r="BP958" s="644"/>
      <c r="BQ958" s="515"/>
      <c r="BR958" s="515"/>
    </row>
    <row r="959" spans="4:70" x14ac:dyDescent="0.25">
      <c r="D959" s="538"/>
      <c r="G959" s="538"/>
      <c r="J959" s="538"/>
      <c r="M959" s="538"/>
      <c r="R959" s="538"/>
      <c r="S959" s="343"/>
      <c r="T959" s="343"/>
      <c r="U959" s="538"/>
      <c r="V959" s="343"/>
      <c r="W959" s="343"/>
      <c r="X959" s="538"/>
      <c r="Y959" s="343"/>
      <c r="Z959" s="343"/>
      <c r="AA959" s="538"/>
      <c r="AB959" s="343"/>
      <c r="AC959" s="343"/>
      <c r="AE959" s="343"/>
      <c r="AF959" s="538"/>
      <c r="AG959" s="343"/>
      <c r="AH959" s="343"/>
      <c r="AI959" s="538"/>
      <c r="AJ959" s="343"/>
      <c r="AK959" s="343"/>
      <c r="AL959" s="538"/>
      <c r="AM959" s="343"/>
      <c r="AN959" s="343"/>
      <c r="AO959" s="538"/>
      <c r="AP959" s="343"/>
      <c r="AQ959" s="343"/>
      <c r="AS959" s="343"/>
      <c r="AT959" s="538"/>
      <c r="AU959" s="343"/>
      <c r="AV959" s="343"/>
      <c r="AW959" s="538"/>
      <c r="AX959" s="343"/>
      <c r="AY959" s="343"/>
      <c r="AZ959" s="538"/>
      <c r="BA959" s="343"/>
      <c r="BB959" s="343"/>
      <c r="BC959" s="538"/>
      <c r="BD959" s="343"/>
      <c r="BE959" s="343"/>
      <c r="BG959" s="644"/>
      <c r="BH959" s="515"/>
      <c r="BI959" s="515"/>
      <c r="BJ959" s="644"/>
      <c r="BK959" s="515"/>
      <c r="BL959" s="515"/>
      <c r="BM959" s="644"/>
      <c r="BN959" s="515"/>
      <c r="BO959" s="515"/>
      <c r="BP959" s="644"/>
      <c r="BQ959" s="515"/>
      <c r="BR959" s="515"/>
    </row>
    <row r="960" spans="4:70" x14ac:dyDescent="0.25">
      <c r="D960" s="538"/>
      <c r="G960" s="538"/>
      <c r="J960" s="538"/>
      <c r="M960" s="538"/>
      <c r="R960" s="538"/>
      <c r="S960" s="343"/>
      <c r="T960" s="343"/>
      <c r="U960" s="538"/>
      <c r="V960" s="343"/>
      <c r="W960" s="343"/>
      <c r="X960" s="538"/>
      <c r="Y960" s="343"/>
      <c r="Z960" s="343"/>
      <c r="AA960" s="538"/>
      <c r="AB960" s="343"/>
      <c r="AC960" s="343"/>
      <c r="AE960" s="343"/>
      <c r="AF960" s="538"/>
      <c r="AG960" s="343"/>
      <c r="AH960" s="343"/>
      <c r="AI960" s="538"/>
      <c r="AJ960" s="343"/>
      <c r="AK960" s="343"/>
      <c r="AL960" s="538"/>
      <c r="AM960" s="343"/>
      <c r="AN960" s="343"/>
      <c r="AO960" s="538"/>
      <c r="AP960" s="343"/>
      <c r="AQ960" s="343"/>
      <c r="AS960" s="343"/>
      <c r="AT960" s="538"/>
      <c r="AU960" s="343"/>
      <c r="AV960" s="343"/>
      <c r="AW960" s="538"/>
      <c r="AX960" s="343"/>
      <c r="AY960" s="343"/>
      <c r="AZ960" s="538"/>
      <c r="BA960" s="343"/>
      <c r="BB960" s="343"/>
      <c r="BC960" s="538"/>
      <c r="BD960" s="343"/>
      <c r="BE960" s="343"/>
      <c r="BG960" s="644"/>
      <c r="BH960" s="515"/>
      <c r="BI960" s="515"/>
      <c r="BJ960" s="644"/>
      <c r="BK960" s="515"/>
      <c r="BL960" s="515"/>
      <c r="BM960" s="644"/>
      <c r="BN960" s="515"/>
      <c r="BO960" s="515"/>
      <c r="BP960" s="644"/>
      <c r="BQ960" s="515"/>
      <c r="BR960" s="515"/>
    </row>
    <row r="961" spans="4:70" x14ac:dyDescent="0.25">
      <c r="D961" s="538"/>
      <c r="G961" s="538"/>
      <c r="J961" s="538"/>
      <c r="M961" s="538"/>
      <c r="R961" s="538"/>
      <c r="S961" s="343"/>
      <c r="T961" s="343"/>
      <c r="U961" s="538"/>
      <c r="V961" s="343"/>
      <c r="W961" s="343"/>
      <c r="X961" s="538"/>
      <c r="Y961" s="343"/>
      <c r="Z961" s="343"/>
      <c r="AA961" s="538"/>
      <c r="AB961" s="343"/>
      <c r="AC961" s="343"/>
      <c r="AE961" s="343"/>
      <c r="AF961" s="538"/>
      <c r="AG961" s="343"/>
      <c r="AH961" s="343"/>
      <c r="AI961" s="538"/>
      <c r="AJ961" s="343"/>
      <c r="AK961" s="343"/>
      <c r="AL961" s="538"/>
      <c r="AM961" s="343"/>
      <c r="AN961" s="343"/>
      <c r="AO961" s="538"/>
      <c r="AP961" s="343"/>
      <c r="AQ961" s="343"/>
      <c r="AS961" s="343"/>
      <c r="AT961" s="538"/>
      <c r="AU961" s="343"/>
      <c r="AV961" s="343"/>
      <c r="AW961" s="538"/>
      <c r="AX961" s="343"/>
      <c r="AY961" s="343"/>
      <c r="AZ961" s="538"/>
      <c r="BA961" s="343"/>
      <c r="BB961" s="343"/>
      <c r="BC961" s="538"/>
      <c r="BD961" s="343"/>
      <c r="BE961" s="343"/>
      <c r="BG961" s="644"/>
      <c r="BH961" s="515"/>
      <c r="BI961" s="515"/>
      <c r="BJ961" s="644"/>
      <c r="BK961" s="515"/>
      <c r="BL961" s="515"/>
      <c r="BM961" s="644"/>
      <c r="BN961" s="515"/>
      <c r="BO961" s="515"/>
      <c r="BP961" s="644"/>
      <c r="BQ961" s="515"/>
      <c r="BR961" s="515"/>
    </row>
    <row r="962" spans="4:70" x14ac:dyDescent="0.25">
      <c r="D962" s="538"/>
      <c r="G962" s="538"/>
      <c r="J962" s="538"/>
      <c r="M962" s="538"/>
      <c r="R962" s="538"/>
      <c r="S962" s="343"/>
      <c r="T962" s="343"/>
      <c r="U962" s="538"/>
      <c r="V962" s="343"/>
      <c r="W962" s="343"/>
      <c r="X962" s="538"/>
      <c r="Y962" s="343"/>
      <c r="Z962" s="343"/>
      <c r="AA962" s="538"/>
      <c r="AB962" s="343"/>
      <c r="AC962" s="343"/>
      <c r="AE962" s="343"/>
      <c r="AF962" s="538"/>
      <c r="AG962" s="343"/>
      <c r="AH962" s="343"/>
      <c r="AI962" s="538"/>
      <c r="AJ962" s="343"/>
      <c r="AK962" s="343"/>
      <c r="AL962" s="538"/>
      <c r="AM962" s="343"/>
      <c r="AN962" s="343"/>
      <c r="AO962" s="538"/>
      <c r="AP962" s="343"/>
      <c r="AQ962" s="343"/>
      <c r="AS962" s="343"/>
      <c r="AT962" s="538"/>
      <c r="AU962" s="343"/>
      <c r="AV962" s="343"/>
      <c r="AW962" s="538"/>
      <c r="AX962" s="343"/>
      <c r="AY962" s="343"/>
      <c r="AZ962" s="538"/>
      <c r="BA962" s="343"/>
      <c r="BB962" s="343"/>
      <c r="BC962" s="538"/>
      <c r="BD962" s="343"/>
      <c r="BE962" s="343"/>
      <c r="BG962" s="644"/>
      <c r="BH962" s="515"/>
      <c r="BI962" s="515"/>
      <c r="BJ962" s="644"/>
      <c r="BK962" s="515"/>
      <c r="BL962" s="515"/>
      <c r="BM962" s="644"/>
      <c r="BN962" s="515"/>
      <c r="BO962" s="515"/>
      <c r="BP962" s="644"/>
      <c r="BQ962" s="515"/>
      <c r="BR962" s="515"/>
    </row>
    <row r="963" spans="4:70" x14ac:dyDescent="0.25">
      <c r="D963" s="538"/>
      <c r="G963" s="538"/>
      <c r="J963" s="538"/>
      <c r="M963" s="538"/>
      <c r="R963" s="538"/>
      <c r="S963" s="343"/>
      <c r="T963" s="343"/>
      <c r="U963" s="538"/>
      <c r="V963" s="343"/>
      <c r="W963" s="343"/>
      <c r="X963" s="538"/>
      <c r="Y963" s="343"/>
      <c r="Z963" s="343"/>
      <c r="AA963" s="538"/>
      <c r="AB963" s="343"/>
      <c r="AC963" s="343"/>
      <c r="AE963" s="343"/>
      <c r="AF963" s="538"/>
      <c r="AG963" s="343"/>
      <c r="AH963" s="343"/>
      <c r="AI963" s="538"/>
      <c r="AJ963" s="343"/>
      <c r="AK963" s="343"/>
      <c r="AL963" s="538"/>
      <c r="AM963" s="343"/>
      <c r="AN963" s="343"/>
      <c r="AO963" s="538"/>
      <c r="AP963" s="343"/>
      <c r="AQ963" s="343"/>
      <c r="AS963" s="343"/>
      <c r="AT963" s="538"/>
      <c r="AU963" s="343"/>
      <c r="AV963" s="343"/>
      <c r="AW963" s="538"/>
      <c r="AX963" s="343"/>
      <c r="AY963" s="343"/>
      <c r="AZ963" s="538"/>
      <c r="BA963" s="343"/>
      <c r="BB963" s="343"/>
      <c r="BC963" s="538"/>
      <c r="BD963" s="343"/>
      <c r="BE963" s="343"/>
      <c r="BG963" s="644"/>
      <c r="BH963" s="515"/>
      <c r="BI963" s="515"/>
      <c r="BJ963" s="644"/>
      <c r="BK963" s="515"/>
      <c r="BL963" s="515"/>
      <c r="BM963" s="644"/>
      <c r="BN963" s="515"/>
      <c r="BO963" s="515"/>
      <c r="BP963" s="644"/>
      <c r="BQ963" s="515"/>
      <c r="BR963" s="515"/>
    </row>
    <row r="964" spans="4:70" x14ac:dyDescent="0.25">
      <c r="D964" s="538"/>
      <c r="G964" s="538"/>
      <c r="J964" s="538"/>
      <c r="M964" s="538"/>
      <c r="R964" s="538"/>
      <c r="S964" s="343"/>
      <c r="T964" s="343"/>
      <c r="U964" s="538"/>
      <c r="V964" s="343"/>
      <c r="W964" s="343"/>
      <c r="X964" s="538"/>
      <c r="Y964" s="343"/>
      <c r="Z964" s="343"/>
      <c r="AA964" s="538"/>
      <c r="AB964" s="343"/>
      <c r="AC964" s="343"/>
      <c r="AE964" s="343"/>
      <c r="AF964" s="538"/>
      <c r="AG964" s="343"/>
      <c r="AH964" s="343"/>
      <c r="AI964" s="538"/>
      <c r="AJ964" s="343"/>
      <c r="AK964" s="343"/>
      <c r="AL964" s="538"/>
      <c r="AM964" s="343"/>
      <c r="AN964" s="343"/>
      <c r="AO964" s="538"/>
      <c r="AP964" s="343"/>
      <c r="AQ964" s="343"/>
      <c r="AS964" s="343"/>
      <c r="AT964" s="538"/>
      <c r="AU964" s="343"/>
      <c r="AV964" s="343"/>
      <c r="AW964" s="538"/>
      <c r="AX964" s="343"/>
      <c r="AY964" s="343"/>
      <c r="AZ964" s="538"/>
      <c r="BA964" s="343"/>
      <c r="BB964" s="343"/>
      <c r="BC964" s="538"/>
      <c r="BD964" s="343"/>
      <c r="BE964" s="343"/>
      <c r="BG964" s="644"/>
      <c r="BH964" s="515"/>
      <c r="BI964" s="515"/>
      <c r="BJ964" s="644"/>
      <c r="BK964" s="515"/>
      <c r="BL964" s="515"/>
      <c r="BM964" s="644"/>
      <c r="BN964" s="515"/>
      <c r="BO964" s="515"/>
      <c r="BP964" s="644"/>
      <c r="BQ964" s="515"/>
      <c r="BR964" s="515"/>
    </row>
    <row r="965" spans="4:70" x14ac:dyDescent="0.25">
      <c r="D965" s="538"/>
      <c r="G965" s="538"/>
      <c r="J965" s="538"/>
      <c r="M965" s="538"/>
      <c r="R965" s="538"/>
      <c r="S965" s="343"/>
      <c r="T965" s="343"/>
      <c r="U965" s="538"/>
      <c r="V965" s="343"/>
      <c r="W965" s="343"/>
      <c r="X965" s="538"/>
      <c r="Y965" s="343"/>
      <c r="Z965" s="343"/>
      <c r="AA965" s="538"/>
      <c r="AB965" s="343"/>
      <c r="AC965" s="343"/>
      <c r="AE965" s="343"/>
      <c r="AF965" s="538"/>
      <c r="AG965" s="343"/>
      <c r="AH965" s="343"/>
      <c r="AI965" s="538"/>
      <c r="AJ965" s="343"/>
      <c r="AK965" s="343"/>
      <c r="AL965" s="538"/>
      <c r="AM965" s="343"/>
      <c r="AN965" s="343"/>
      <c r="AO965" s="538"/>
      <c r="AP965" s="343"/>
      <c r="AQ965" s="343"/>
      <c r="AS965" s="343"/>
      <c r="AT965" s="538"/>
      <c r="AU965" s="343"/>
      <c r="AV965" s="343"/>
      <c r="AW965" s="538"/>
      <c r="AX965" s="343"/>
      <c r="AY965" s="343"/>
      <c r="AZ965" s="538"/>
      <c r="BA965" s="343"/>
      <c r="BB965" s="343"/>
      <c r="BC965" s="538"/>
      <c r="BD965" s="343"/>
      <c r="BE965" s="343"/>
      <c r="BG965" s="644"/>
      <c r="BH965" s="515"/>
      <c r="BI965" s="515"/>
      <c r="BJ965" s="644"/>
      <c r="BK965" s="515"/>
      <c r="BL965" s="515"/>
      <c r="BM965" s="644"/>
      <c r="BN965" s="515"/>
      <c r="BO965" s="515"/>
      <c r="BP965" s="644"/>
      <c r="BQ965" s="515"/>
      <c r="BR965" s="515"/>
    </row>
    <row r="966" spans="4:70" x14ac:dyDescent="0.25">
      <c r="D966" s="538"/>
      <c r="G966" s="538"/>
      <c r="J966" s="538"/>
      <c r="M966" s="538"/>
      <c r="R966" s="538"/>
      <c r="S966" s="343"/>
      <c r="T966" s="343"/>
      <c r="U966" s="538"/>
      <c r="V966" s="343"/>
      <c r="W966" s="343"/>
      <c r="X966" s="538"/>
      <c r="Y966" s="343"/>
      <c r="Z966" s="343"/>
      <c r="AA966" s="538"/>
      <c r="AB966" s="343"/>
      <c r="AC966" s="343"/>
      <c r="AE966" s="343"/>
      <c r="AF966" s="538"/>
      <c r="AG966" s="343"/>
      <c r="AH966" s="343"/>
      <c r="AI966" s="538"/>
      <c r="AJ966" s="343"/>
      <c r="AK966" s="343"/>
      <c r="AL966" s="538"/>
      <c r="AM966" s="343"/>
      <c r="AN966" s="343"/>
      <c r="AO966" s="538"/>
      <c r="AP966" s="343"/>
      <c r="AQ966" s="343"/>
      <c r="AS966" s="343"/>
      <c r="AT966" s="538"/>
      <c r="AU966" s="343"/>
      <c r="AV966" s="343"/>
      <c r="AW966" s="538"/>
      <c r="AX966" s="343"/>
      <c r="AY966" s="343"/>
      <c r="AZ966" s="538"/>
      <c r="BA966" s="343"/>
      <c r="BB966" s="343"/>
      <c r="BC966" s="538"/>
      <c r="BD966" s="343"/>
      <c r="BE966" s="343"/>
      <c r="BG966" s="644"/>
      <c r="BH966" s="515"/>
      <c r="BI966" s="515"/>
      <c r="BJ966" s="644"/>
      <c r="BK966" s="515"/>
      <c r="BL966" s="515"/>
      <c r="BM966" s="644"/>
      <c r="BN966" s="515"/>
      <c r="BO966" s="515"/>
      <c r="BP966" s="644"/>
      <c r="BQ966" s="515"/>
      <c r="BR966" s="515"/>
    </row>
    <row r="967" spans="4:70" x14ac:dyDescent="0.25">
      <c r="D967" s="538"/>
      <c r="G967" s="538"/>
      <c r="J967" s="538"/>
      <c r="M967" s="538"/>
      <c r="R967" s="538"/>
      <c r="S967" s="343"/>
      <c r="T967" s="343"/>
      <c r="U967" s="538"/>
      <c r="V967" s="343"/>
      <c r="W967" s="343"/>
      <c r="X967" s="538"/>
      <c r="Y967" s="343"/>
      <c r="Z967" s="343"/>
      <c r="AA967" s="538"/>
      <c r="AB967" s="343"/>
      <c r="AC967" s="343"/>
      <c r="AE967" s="343"/>
      <c r="AF967" s="538"/>
      <c r="AG967" s="343"/>
      <c r="AH967" s="343"/>
      <c r="AI967" s="538"/>
      <c r="AJ967" s="343"/>
      <c r="AK967" s="343"/>
      <c r="AL967" s="538"/>
      <c r="AM967" s="343"/>
      <c r="AN967" s="343"/>
      <c r="AO967" s="538"/>
      <c r="AP967" s="343"/>
      <c r="AQ967" s="343"/>
      <c r="AS967" s="343"/>
      <c r="AT967" s="538"/>
      <c r="AU967" s="343"/>
      <c r="AV967" s="343"/>
      <c r="AW967" s="538"/>
      <c r="AX967" s="343"/>
      <c r="AY967" s="343"/>
      <c r="AZ967" s="538"/>
      <c r="BA967" s="343"/>
      <c r="BB967" s="343"/>
      <c r="BC967" s="538"/>
      <c r="BD967" s="343"/>
      <c r="BE967" s="343"/>
      <c r="BG967" s="644"/>
      <c r="BH967" s="515"/>
      <c r="BI967" s="515"/>
      <c r="BJ967" s="644"/>
      <c r="BK967" s="515"/>
      <c r="BL967" s="515"/>
      <c r="BM967" s="644"/>
      <c r="BN967" s="515"/>
      <c r="BO967" s="515"/>
      <c r="BP967" s="644"/>
      <c r="BQ967" s="515"/>
      <c r="BR967" s="515"/>
    </row>
    <row r="968" spans="4:70" x14ac:dyDescent="0.25">
      <c r="D968" s="538"/>
      <c r="G968" s="538"/>
      <c r="J968" s="538"/>
      <c r="M968" s="538"/>
      <c r="R968" s="538"/>
      <c r="S968" s="343"/>
      <c r="T968" s="343"/>
      <c r="U968" s="538"/>
      <c r="V968" s="343"/>
      <c r="W968" s="343"/>
      <c r="X968" s="538"/>
      <c r="Y968" s="343"/>
      <c r="Z968" s="343"/>
      <c r="AA968" s="538"/>
      <c r="AB968" s="343"/>
      <c r="AC968" s="343"/>
      <c r="AE968" s="343"/>
      <c r="AF968" s="538"/>
      <c r="AG968" s="343"/>
      <c r="AH968" s="343"/>
      <c r="AI968" s="538"/>
      <c r="AJ968" s="343"/>
      <c r="AK968" s="343"/>
      <c r="AL968" s="538"/>
      <c r="AM968" s="343"/>
      <c r="AN968" s="343"/>
      <c r="AO968" s="538"/>
      <c r="AP968" s="343"/>
      <c r="AQ968" s="343"/>
      <c r="AS968" s="343"/>
      <c r="AT968" s="538"/>
      <c r="AU968" s="343"/>
      <c r="AV968" s="343"/>
      <c r="AW968" s="538"/>
      <c r="AX968" s="343"/>
      <c r="AY968" s="343"/>
      <c r="AZ968" s="538"/>
      <c r="BA968" s="343"/>
      <c r="BB968" s="343"/>
      <c r="BC968" s="538"/>
      <c r="BD968" s="343"/>
      <c r="BE968" s="343"/>
      <c r="BG968" s="644"/>
      <c r="BH968" s="515"/>
      <c r="BI968" s="515"/>
      <c r="BJ968" s="644"/>
      <c r="BK968" s="515"/>
      <c r="BL968" s="515"/>
      <c r="BM968" s="644"/>
      <c r="BN968" s="515"/>
      <c r="BO968" s="515"/>
      <c r="BP968" s="644"/>
      <c r="BQ968" s="515"/>
      <c r="BR968" s="515"/>
    </row>
    <row r="969" spans="4:70" x14ac:dyDescent="0.25">
      <c r="D969" s="538"/>
      <c r="G969" s="538"/>
      <c r="J969" s="538"/>
      <c r="M969" s="538"/>
      <c r="R969" s="538"/>
      <c r="S969" s="343"/>
      <c r="T969" s="343"/>
      <c r="U969" s="538"/>
      <c r="V969" s="343"/>
      <c r="W969" s="343"/>
      <c r="X969" s="538"/>
      <c r="Y969" s="343"/>
      <c r="Z969" s="343"/>
      <c r="AA969" s="538"/>
      <c r="AB969" s="343"/>
      <c r="AC969" s="343"/>
      <c r="AE969" s="343"/>
      <c r="AF969" s="538"/>
      <c r="AG969" s="343"/>
      <c r="AH969" s="343"/>
      <c r="AI969" s="538"/>
      <c r="AJ969" s="343"/>
      <c r="AK969" s="343"/>
      <c r="AL969" s="538"/>
      <c r="AM969" s="343"/>
      <c r="AN969" s="343"/>
      <c r="AO969" s="538"/>
      <c r="AP969" s="343"/>
      <c r="AQ969" s="343"/>
      <c r="AS969" s="343"/>
      <c r="AT969" s="538"/>
      <c r="AU969" s="343"/>
      <c r="AV969" s="343"/>
      <c r="AW969" s="538"/>
      <c r="AX969" s="343"/>
      <c r="AY969" s="343"/>
      <c r="AZ969" s="538"/>
      <c r="BA969" s="343"/>
      <c r="BB969" s="343"/>
      <c r="BC969" s="538"/>
      <c r="BD969" s="343"/>
      <c r="BE969" s="343"/>
      <c r="BG969" s="644"/>
      <c r="BH969" s="515"/>
      <c r="BI969" s="515"/>
      <c r="BJ969" s="644"/>
      <c r="BK969" s="515"/>
      <c r="BL969" s="515"/>
      <c r="BM969" s="644"/>
      <c r="BN969" s="515"/>
      <c r="BO969" s="515"/>
      <c r="BP969" s="644"/>
      <c r="BQ969" s="515"/>
      <c r="BR969" s="515"/>
    </row>
    <row r="970" spans="4:70" x14ac:dyDescent="0.25">
      <c r="D970" s="538"/>
      <c r="G970" s="538"/>
      <c r="J970" s="538"/>
      <c r="M970" s="538"/>
      <c r="R970" s="538"/>
      <c r="S970" s="343"/>
      <c r="T970" s="343"/>
      <c r="U970" s="538"/>
      <c r="V970" s="343"/>
      <c r="W970" s="343"/>
      <c r="X970" s="538"/>
      <c r="Y970" s="343"/>
      <c r="Z970" s="343"/>
      <c r="AA970" s="538"/>
      <c r="AB970" s="343"/>
      <c r="AC970" s="343"/>
      <c r="AE970" s="343"/>
      <c r="AF970" s="538"/>
      <c r="AG970" s="343"/>
      <c r="AH970" s="343"/>
      <c r="AI970" s="538"/>
      <c r="AJ970" s="343"/>
      <c r="AK970" s="343"/>
      <c r="AL970" s="538"/>
      <c r="AM970" s="343"/>
      <c r="AN970" s="343"/>
      <c r="AO970" s="538"/>
      <c r="AP970" s="343"/>
      <c r="AQ970" s="343"/>
      <c r="AS970" s="343"/>
      <c r="AT970" s="538"/>
      <c r="AU970" s="343"/>
      <c r="AV970" s="343"/>
      <c r="AW970" s="538"/>
      <c r="AX970" s="343"/>
      <c r="AY970" s="343"/>
      <c r="AZ970" s="538"/>
      <c r="BA970" s="343"/>
      <c r="BB970" s="343"/>
      <c r="BC970" s="538"/>
      <c r="BD970" s="343"/>
      <c r="BE970" s="343"/>
      <c r="BG970" s="644"/>
      <c r="BH970" s="515"/>
      <c r="BI970" s="515"/>
      <c r="BJ970" s="644"/>
      <c r="BK970" s="515"/>
      <c r="BL970" s="515"/>
      <c r="BM970" s="644"/>
      <c r="BN970" s="515"/>
      <c r="BO970" s="515"/>
      <c r="BP970" s="644"/>
      <c r="BQ970" s="515"/>
      <c r="BR970" s="515"/>
    </row>
    <row r="971" spans="4:70" x14ac:dyDescent="0.25">
      <c r="D971" s="538"/>
      <c r="G971" s="538"/>
      <c r="J971" s="538"/>
      <c r="M971" s="538"/>
      <c r="R971" s="538"/>
      <c r="S971" s="343"/>
      <c r="T971" s="343"/>
      <c r="U971" s="538"/>
      <c r="V971" s="343"/>
      <c r="W971" s="343"/>
      <c r="X971" s="538"/>
      <c r="Y971" s="343"/>
      <c r="Z971" s="343"/>
      <c r="AA971" s="538"/>
      <c r="AB971" s="343"/>
      <c r="AC971" s="343"/>
      <c r="AE971" s="343"/>
      <c r="AF971" s="538"/>
      <c r="AG971" s="343"/>
      <c r="AH971" s="343"/>
      <c r="AI971" s="538"/>
      <c r="AJ971" s="343"/>
      <c r="AK971" s="343"/>
      <c r="AL971" s="538"/>
      <c r="AM971" s="343"/>
      <c r="AN971" s="343"/>
      <c r="AO971" s="538"/>
      <c r="AP971" s="343"/>
      <c r="AQ971" s="343"/>
      <c r="AS971" s="343"/>
      <c r="AT971" s="538"/>
      <c r="AU971" s="343"/>
      <c r="AV971" s="343"/>
      <c r="AW971" s="538"/>
      <c r="AX971" s="343"/>
      <c r="AY971" s="343"/>
      <c r="AZ971" s="538"/>
      <c r="BA971" s="343"/>
      <c r="BB971" s="343"/>
      <c r="BC971" s="538"/>
      <c r="BD971" s="343"/>
      <c r="BE971" s="343"/>
      <c r="BG971" s="644"/>
      <c r="BH971" s="515"/>
      <c r="BI971" s="515"/>
      <c r="BJ971" s="644"/>
      <c r="BK971" s="515"/>
      <c r="BL971" s="515"/>
      <c r="BM971" s="644"/>
      <c r="BN971" s="515"/>
      <c r="BO971" s="515"/>
      <c r="BP971" s="644"/>
      <c r="BQ971" s="515"/>
      <c r="BR971" s="515"/>
    </row>
    <row r="972" spans="4:70" x14ac:dyDescent="0.25">
      <c r="D972" s="538"/>
      <c r="G972" s="538"/>
      <c r="J972" s="538"/>
      <c r="M972" s="538"/>
      <c r="R972" s="538"/>
      <c r="S972" s="343"/>
      <c r="T972" s="343"/>
      <c r="U972" s="538"/>
      <c r="V972" s="343"/>
      <c r="W972" s="343"/>
      <c r="X972" s="538"/>
      <c r="Y972" s="343"/>
      <c r="Z972" s="343"/>
      <c r="AA972" s="538"/>
      <c r="AB972" s="343"/>
      <c r="AC972" s="343"/>
      <c r="AE972" s="343"/>
      <c r="AF972" s="538"/>
      <c r="AG972" s="343"/>
      <c r="AH972" s="343"/>
      <c r="AI972" s="538"/>
      <c r="AJ972" s="343"/>
      <c r="AK972" s="343"/>
      <c r="AL972" s="538"/>
      <c r="AM972" s="343"/>
      <c r="AN972" s="343"/>
      <c r="AO972" s="538"/>
      <c r="AP972" s="343"/>
      <c r="AQ972" s="343"/>
      <c r="AS972" s="343"/>
      <c r="AT972" s="538"/>
      <c r="AU972" s="343"/>
      <c r="AV972" s="343"/>
      <c r="AW972" s="538"/>
      <c r="AX972" s="343"/>
      <c r="AY972" s="343"/>
      <c r="AZ972" s="538"/>
      <c r="BA972" s="343"/>
      <c r="BB972" s="343"/>
      <c r="BC972" s="538"/>
      <c r="BD972" s="343"/>
      <c r="BE972" s="343"/>
      <c r="BG972" s="644"/>
      <c r="BH972" s="515"/>
      <c r="BI972" s="515"/>
      <c r="BJ972" s="644"/>
      <c r="BK972" s="515"/>
      <c r="BL972" s="515"/>
      <c r="BM972" s="644"/>
      <c r="BN972" s="515"/>
      <c r="BO972" s="515"/>
      <c r="BP972" s="644"/>
      <c r="BQ972" s="515"/>
      <c r="BR972" s="515"/>
    </row>
    <row r="973" spans="4:70" x14ac:dyDescent="0.25">
      <c r="D973" s="538"/>
      <c r="G973" s="538"/>
      <c r="J973" s="538"/>
      <c r="M973" s="538"/>
      <c r="R973" s="538"/>
      <c r="S973" s="343"/>
      <c r="T973" s="343"/>
      <c r="U973" s="538"/>
      <c r="V973" s="343"/>
      <c r="W973" s="343"/>
      <c r="X973" s="538"/>
      <c r="Y973" s="343"/>
      <c r="Z973" s="343"/>
      <c r="AA973" s="538"/>
      <c r="AB973" s="343"/>
      <c r="AC973" s="343"/>
      <c r="AE973" s="343"/>
      <c r="AF973" s="538"/>
      <c r="AG973" s="343"/>
      <c r="AH973" s="343"/>
      <c r="AI973" s="538"/>
      <c r="AJ973" s="343"/>
      <c r="AK973" s="343"/>
      <c r="AL973" s="538"/>
      <c r="AM973" s="343"/>
      <c r="AN973" s="343"/>
      <c r="AO973" s="538"/>
      <c r="AP973" s="343"/>
      <c r="AQ973" s="343"/>
      <c r="AS973" s="343"/>
      <c r="AT973" s="538"/>
      <c r="AU973" s="343"/>
      <c r="AV973" s="343"/>
      <c r="AW973" s="538"/>
      <c r="AX973" s="343"/>
      <c r="AY973" s="343"/>
      <c r="AZ973" s="538"/>
      <c r="BA973" s="343"/>
      <c r="BB973" s="343"/>
      <c r="BC973" s="538"/>
      <c r="BD973" s="343"/>
      <c r="BE973" s="343"/>
      <c r="BG973" s="644"/>
      <c r="BH973" s="515"/>
      <c r="BI973" s="515"/>
      <c r="BJ973" s="644"/>
      <c r="BK973" s="515"/>
      <c r="BL973" s="515"/>
      <c r="BM973" s="644"/>
      <c r="BN973" s="515"/>
      <c r="BO973" s="515"/>
      <c r="BP973" s="644"/>
      <c r="BQ973" s="515"/>
      <c r="BR973" s="515"/>
    </row>
    <row r="974" spans="4:70" x14ac:dyDescent="0.25">
      <c r="D974" s="538"/>
      <c r="G974" s="538"/>
      <c r="J974" s="538"/>
      <c r="M974" s="538"/>
      <c r="R974" s="538"/>
      <c r="S974" s="343"/>
      <c r="T974" s="343"/>
      <c r="U974" s="538"/>
      <c r="V974" s="343"/>
      <c r="W974" s="343"/>
      <c r="X974" s="538"/>
      <c r="Y974" s="343"/>
      <c r="Z974" s="343"/>
      <c r="AA974" s="538"/>
      <c r="AB974" s="343"/>
      <c r="AC974" s="343"/>
      <c r="AE974" s="343"/>
      <c r="AF974" s="538"/>
      <c r="AG974" s="343"/>
      <c r="AH974" s="343"/>
      <c r="AI974" s="538"/>
      <c r="AJ974" s="343"/>
      <c r="AK974" s="343"/>
      <c r="AL974" s="538"/>
      <c r="AM974" s="343"/>
      <c r="AN974" s="343"/>
      <c r="AO974" s="538"/>
      <c r="AP974" s="343"/>
      <c r="AQ974" s="343"/>
      <c r="AS974" s="343"/>
      <c r="AT974" s="538"/>
      <c r="AU974" s="343"/>
      <c r="AV974" s="343"/>
      <c r="AW974" s="538"/>
      <c r="AX974" s="343"/>
      <c r="AY974" s="343"/>
      <c r="AZ974" s="538"/>
      <c r="BA974" s="343"/>
      <c r="BB974" s="343"/>
      <c r="BC974" s="538"/>
      <c r="BD974" s="343"/>
      <c r="BE974" s="343"/>
      <c r="BG974" s="644"/>
      <c r="BH974" s="515"/>
      <c r="BI974" s="515"/>
      <c r="BJ974" s="644"/>
      <c r="BK974" s="515"/>
      <c r="BL974" s="515"/>
      <c r="BM974" s="644"/>
      <c r="BN974" s="515"/>
      <c r="BO974" s="515"/>
      <c r="BP974" s="644"/>
      <c r="BQ974" s="515"/>
      <c r="BR974" s="515"/>
    </row>
    <row r="975" spans="4:70" x14ac:dyDescent="0.25">
      <c r="D975" s="538"/>
      <c r="G975" s="538"/>
      <c r="J975" s="538"/>
      <c r="M975" s="538"/>
      <c r="R975" s="538"/>
      <c r="S975" s="343"/>
      <c r="T975" s="343"/>
      <c r="U975" s="538"/>
      <c r="V975" s="343"/>
      <c r="W975" s="343"/>
      <c r="X975" s="538"/>
      <c r="Y975" s="343"/>
      <c r="Z975" s="343"/>
      <c r="AA975" s="538"/>
      <c r="AB975" s="343"/>
      <c r="AC975" s="343"/>
      <c r="AE975" s="343"/>
      <c r="AF975" s="538"/>
      <c r="AG975" s="343"/>
      <c r="AH975" s="343"/>
      <c r="AI975" s="538"/>
      <c r="AJ975" s="343"/>
      <c r="AK975" s="343"/>
      <c r="AL975" s="538"/>
      <c r="AM975" s="343"/>
      <c r="AN975" s="343"/>
      <c r="AO975" s="538"/>
      <c r="AP975" s="343"/>
      <c r="AQ975" s="343"/>
      <c r="AS975" s="343"/>
      <c r="AT975" s="538"/>
      <c r="AU975" s="343"/>
      <c r="AV975" s="343"/>
      <c r="AW975" s="538"/>
      <c r="AX975" s="343"/>
      <c r="AY975" s="343"/>
      <c r="AZ975" s="538"/>
      <c r="BA975" s="343"/>
      <c r="BB975" s="343"/>
      <c r="BC975" s="538"/>
      <c r="BD975" s="343"/>
      <c r="BE975" s="343"/>
      <c r="BG975" s="644"/>
      <c r="BH975" s="515"/>
      <c r="BI975" s="515"/>
      <c r="BJ975" s="644"/>
      <c r="BK975" s="515"/>
      <c r="BL975" s="515"/>
      <c r="BM975" s="644"/>
      <c r="BN975" s="515"/>
      <c r="BO975" s="515"/>
      <c r="BP975" s="644"/>
      <c r="BQ975" s="515"/>
      <c r="BR975" s="515"/>
    </row>
    <row r="976" spans="4:70" x14ac:dyDescent="0.25">
      <c r="D976" s="538"/>
      <c r="G976" s="538"/>
      <c r="J976" s="538"/>
      <c r="M976" s="538"/>
      <c r="R976" s="538"/>
      <c r="S976" s="343"/>
      <c r="T976" s="343"/>
      <c r="U976" s="538"/>
      <c r="V976" s="343"/>
      <c r="W976" s="343"/>
      <c r="X976" s="538"/>
      <c r="Y976" s="343"/>
      <c r="Z976" s="343"/>
      <c r="AA976" s="538"/>
      <c r="AB976" s="343"/>
      <c r="AC976" s="343"/>
      <c r="AE976" s="343"/>
      <c r="AF976" s="538"/>
      <c r="AG976" s="343"/>
      <c r="AH976" s="343"/>
      <c r="AI976" s="538"/>
      <c r="AJ976" s="343"/>
      <c r="AK976" s="343"/>
      <c r="AL976" s="538"/>
      <c r="AM976" s="343"/>
      <c r="AN976" s="343"/>
      <c r="AO976" s="538"/>
      <c r="AP976" s="343"/>
      <c r="AQ976" s="343"/>
      <c r="AS976" s="343"/>
      <c r="AT976" s="538"/>
      <c r="AU976" s="343"/>
      <c r="AV976" s="343"/>
      <c r="AW976" s="538"/>
      <c r="AX976" s="343"/>
      <c r="AY976" s="343"/>
      <c r="AZ976" s="538"/>
      <c r="BA976" s="343"/>
      <c r="BB976" s="343"/>
      <c r="BC976" s="538"/>
      <c r="BD976" s="343"/>
      <c r="BE976" s="343"/>
      <c r="BG976" s="644"/>
      <c r="BH976" s="515"/>
      <c r="BI976" s="515"/>
      <c r="BJ976" s="644"/>
      <c r="BK976" s="515"/>
      <c r="BL976" s="515"/>
      <c r="BM976" s="644"/>
      <c r="BN976" s="515"/>
      <c r="BO976" s="515"/>
      <c r="BP976" s="644"/>
      <c r="BQ976" s="515"/>
      <c r="BR976" s="515"/>
    </row>
    <row r="977" spans="4:70" x14ac:dyDescent="0.25">
      <c r="D977" s="538"/>
      <c r="G977" s="538"/>
      <c r="J977" s="538"/>
      <c r="M977" s="538"/>
      <c r="R977" s="538"/>
      <c r="S977" s="343"/>
      <c r="T977" s="343"/>
      <c r="U977" s="538"/>
      <c r="V977" s="343"/>
      <c r="W977" s="343"/>
      <c r="X977" s="538"/>
      <c r="Y977" s="343"/>
      <c r="Z977" s="343"/>
      <c r="AA977" s="538"/>
      <c r="AB977" s="343"/>
      <c r="AC977" s="343"/>
      <c r="AE977" s="343"/>
      <c r="AF977" s="538"/>
      <c r="AG977" s="343"/>
      <c r="AH977" s="343"/>
      <c r="AI977" s="538"/>
      <c r="AJ977" s="343"/>
      <c r="AK977" s="343"/>
      <c r="AL977" s="538"/>
      <c r="AM977" s="343"/>
      <c r="AN977" s="343"/>
      <c r="AO977" s="538"/>
      <c r="AP977" s="343"/>
      <c r="AQ977" s="343"/>
      <c r="AS977" s="343"/>
      <c r="AT977" s="538"/>
      <c r="AU977" s="343"/>
      <c r="AV977" s="343"/>
      <c r="AW977" s="538"/>
      <c r="AX977" s="343"/>
      <c r="AY977" s="343"/>
      <c r="AZ977" s="538"/>
      <c r="BA977" s="343"/>
      <c r="BB977" s="343"/>
      <c r="BC977" s="538"/>
      <c r="BD977" s="343"/>
      <c r="BE977" s="343"/>
      <c r="BG977" s="644"/>
      <c r="BH977" s="515"/>
      <c r="BI977" s="515"/>
      <c r="BJ977" s="644"/>
      <c r="BK977" s="515"/>
      <c r="BL977" s="515"/>
      <c r="BM977" s="644"/>
      <c r="BN977" s="515"/>
      <c r="BO977" s="515"/>
      <c r="BP977" s="644"/>
      <c r="BQ977" s="515"/>
      <c r="BR977" s="515"/>
    </row>
    <row r="978" spans="4:70" x14ac:dyDescent="0.25">
      <c r="D978" s="538"/>
      <c r="G978" s="538"/>
      <c r="J978" s="538"/>
      <c r="M978" s="538"/>
      <c r="R978" s="538"/>
      <c r="S978" s="343"/>
      <c r="T978" s="343"/>
      <c r="U978" s="538"/>
      <c r="V978" s="343"/>
      <c r="W978" s="343"/>
      <c r="X978" s="538"/>
      <c r="Y978" s="343"/>
      <c r="Z978" s="343"/>
      <c r="AA978" s="538"/>
      <c r="AB978" s="343"/>
      <c r="AC978" s="343"/>
      <c r="AE978" s="343"/>
      <c r="AF978" s="538"/>
      <c r="AG978" s="343"/>
      <c r="AH978" s="343"/>
      <c r="AI978" s="538"/>
      <c r="AJ978" s="343"/>
      <c r="AK978" s="343"/>
      <c r="AL978" s="538"/>
      <c r="AM978" s="343"/>
      <c r="AN978" s="343"/>
      <c r="AO978" s="538"/>
      <c r="AP978" s="343"/>
      <c r="AQ978" s="343"/>
      <c r="AS978" s="343"/>
      <c r="AT978" s="538"/>
      <c r="AU978" s="343"/>
      <c r="AV978" s="343"/>
      <c r="AW978" s="538"/>
      <c r="AX978" s="343"/>
      <c r="AY978" s="343"/>
      <c r="AZ978" s="538"/>
      <c r="BA978" s="343"/>
      <c r="BB978" s="343"/>
      <c r="BC978" s="538"/>
      <c r="BD978" s="343"/>
      <c r="BE978" s="343"/>
      <c r="BG978" s="644"/>
      <c r="BH978" s="515"/>
      <c r="BI978" s="515"/>
      <c r="BJ978" s="644"/>
      <c r="BK978" s="515"/>
      <c r="BL978" s="515"/>
      <c r="BM978" s="644"/>
      <c r="BN978" s="515"/>
      <c r="BO978" s="515"/>
      <c r="BP978" s="644"/>
      <c r="BQ978" s="515"/>
      <c r="BR978" s="515"/>
    </row>
    <row r="979" spans="4:70" x14ac:dyDescent="0.25">
      <c r="D979" s="538"/>
      <c r="G979" s="538"/>
      <c r="J979" s="538"/>
      <c r="M979" s="538"/>
      <c r="R979" s="538"/>
      <c r="S979" s="343"/>
      <c r="T979" s="343"/>
      <c r="U979" s="538"/>
      <c r="V979" s="343"/>
      <c r="W979" s="343"/>
      <c r="X979" s="538"/>
      <c r="Y979" s="343"/>
      <c r="Z979" s="343"/>
      <c r="AA979" s="538"/>
      <c r="AB979" s="343"/>
      <c r="AC979" s="343"/>
      <c r="AE979" s="343"/>
      <c r="AF979" s="538"/>
      <c r="AG979" s="343"/>
      <c r="AH979" s="343"/>
      <c r="AI979" s="538"/>
      <c r="AJ979" s="343"/>
      <c r="AK979" s="343"/>
      <c r="AL979" s="538"/>
      <c r="AM979" s="343"/>
      <c r="AN979" s="343"/>
      <c r="AO979" s="538"/>
      <c r="AP979" s="343"/>
      <c r="AQ979" s="343"/>
      <c r="AS979" s="343"/>
      <c r="AT979" s="538"/>
      <c r="AU979" s="343"/>
      <c r="AV979" s="343"/>
      <c r="AW979" s="538"/>
      <c r="AX979" s="343"/>
      <c r="AY979" s="343"/>
      <c r="AZ979" s="538"/>
      <c r="BA979" s="343"/>
      <c r="BB979" s="343"/>
      <c r="BC979" s="538"/>
      <c r="BD979" s="343"/>
      <c r="BE979" s="343"/>
      <c r="BG979" s="644"/>
      <c r="BH979" s="515"/>
      <c r="BI979" s="515"/>
      <c r="BJ979" s="644"/>
      <c r="BK979" s="515"/>
      <c r="BL979" s="515"/>
      <c r="BM979" s="644"/>
      <c r="BN979" s="515"/>
      <c r="BO979" s="515"/>
      <c r="BP979" s="644"/>
      <c r="BQ979" s="515"/>
      <c r="BR979" s="515"/>
    </row>
    <row r="980" spans="4:70" x14ac:dyDescent="0.25">
      <c r="D980" s="538"/>
      <c r="G980" s="538"/>
      <c r="J980" s="538"/>
      <c r="M980" s="538"/>
      <c r="R980" s="538"/>
      <c r="S980" s="343"/>
      <c r="T980" s="343"/>
      <c r="U980" s="538"/>
      <c r="V980" s="343"/>
      <c r="W980" s="343"/>
      <c r="X980" s="538"/>
      <c r="Y980" s="343"/>
      <c r="Z980" s="343"/>
      <c r="AA980" s="538"/>
      <c r="AB980" s="343"/>
      <c r="AC980" s="343"/>
      <c r="AE980" s="343"/>
      <c r="AF980" s="538"/>
      <c r="AG980" s="343"/>
      <c r="AH980" s="343"/>
      <c r="AI980" s="538"/>
      <c r="AJ980" s="343"/>
      <c r="AK980" s="343"/>
      <c r="AL980" s="538"/>
      <c r="AM980" s="343"/>
      <c r="AN980" s="343"/>
      <c r="AO980" s="538"/>
      <c r="AP980" s="343"/>
      <c r="AQ980" s="343"/>
      <c r="AS980" s="343"/>
      <c r="AT980" s="538"/>
      <c r="AU980" s="343"/>
      <c r="AV980" s="343"/>
      <c r="AW980" s="538"/>
      <c r="AX980" s="343"/>
      <c r="AY980" s="343"/>
      <c r="AZ980" s="538"/>
      <c r="BA980" s="343"/>
      <c r="BB980" s="343"/>
      <c r="BC980" s="538"/>
      <c r="BD980" s="343"/>
      <c r="BE980" s="343"/>
      <c r="BG980" s="644"/>
      <c r="BH980" s="515"/>
      <c r="BI980" s="515"/>
      <c r="BJ980" s="644"/>
      <c r="BK980" s="515"/>
      <c r="BL980" s="515"/>
      <c r="BM980" s="644"/>
      <c r="BN980" s="515"/>
      <c r="BO980" s="515"/>
      <c r="BP980" s="644"/>
      <c r="BQ980" s="515"/>
      <c r="BR980" s="515"/>
    </row>
    <row r="981" spans="4:70" x14ac:dyDescent="0.25">
      <c r="D981" s="538"/>
      <c r="G981" s="538"/>
      <c r="J981" s="538"/>
      <c r="M981" s="538"/>
      <c r="R981" s="538"/>
      <c r="S981" s="343"/>
      <c r="T981" s="343"/>
      <c r="U981" s="538"/>
      <c r="V981" s="343"/>
      <c r="W981" s="343"/>
      <c r="X981" s="538"/>
      <c r="Y981" s="343"/>
      <c r="Z981" s="343"/>
      <c r="AA981" s="538"/>
      <c r="AB981" s="343"/>
      <c r="AC981" s="343"/>
      <c r="AE981" s="343"/>
      <c r="AF981" s="538"/>
      <c r="AG981" s="343"/>
      <c r="AH981" s="343"/>
      <c r="AI981" s="538"/>
      <c r="AJ981" s="343"/>
      <c r="AK981" s="343"/>
      <c r="AL981" s="538"/>
      <c r="AM981" s="343"/>
      <c r="AN981" s="343"/>
      <c r="AO981" s="538"/>
      <c r="AP981" s="343"/>
      <c r="AQ981" s="343"/>
      <c r="AS981" s="343"/>
      <c r="AT981" s="538"/>
      <c r="AU981" s="343"/>
      <c r="AV981" s="343"/>
      <c r="AW981" s="538"/>
      <c r="AX981" s="343"/>
      <c r="AY981" s="343"/>
      <c r="AZ981" s="538"/>
      <c r="BA981" s="343"/>
      <c r="BB981" s="343"/>
      <c r="BC981" s="538"/>
      <c r="BD981" s="343"/>
      <c r="BE981" s="343"/>
      <c r="BG981" s="644"/>
      <c r="BH981" s="515"/>
      <c r="BI981" s="515"/>
      <c r="BJ981" s="644"/>
      <c r="BK981" s="515"/>
      <c r="BL981" s="515"/>
      <c r="BM981" s="644"/>
      <c r="BN981" s="515"/>
      <c r="BO981" s="515"/>
      <c r="BP981" s="644"/>
      <c r="BQ981" s="515"/>
      <c r="BR981" s="515"/>
    </row>
    <row r="982" spans="4:70" x14ac:dyDescent="0.25">
      <c r="D982" s="538"/>
      <c r="G982" s="538"/>
      <c r="J982" s="538"/>
      <c r="M982" s="538"/>
      <c r="R982" s="538"/>
      <c r="S982" s="343"/>
      <c r="T982" s="343"/>
      <c r="U982" s="538"/>
      <c r="V982" s="343"/>
      <c r="W982" s="343"/>
      <c r="X982" s="538"/>
      <c r="Y982" s="343"/>
      <c r="Z982" s="343"/>
      <c r="AA982" s="538"/>
      <c r="AB982" s="343"/>
      <c r="AC982" s="343"/>
      <c r="AE982" s="343"/>
      <c r="AF982" s="538"/>
      <c r="AG982" s="343"/>
      <c r="AH982" s="343"/>
      <c r="AI982" s="538"/>
      <c r="AJ982" s="343"/>
      <c r="AK982" s="343"/>
      <c r="AL982" s="538"/>
      <c r="AM982" s="343"/>
      <c r="AN982" s="343"/>
      <c r="AO982" s="538"/>
      <c r="AP982" s="343"/>
      <c r="AQ982" s="343"/>
      <c r="AS982" s="343"/>
      <c r="AT982" s="538"/>
      <c r="AU982" s="343"/>
      <c r="AV982" s="343"/>
      <c r="AW982" s="538"/>
      <c r="AX982" s="343"/>
      <c r="AY982" s="343"/>
      <c r="AZ982" s="538"/>
      <c r="BA982" s="343"/>
      <c r="BB982" s="343"/>
      <c r="BC982" s="538"/>
      <c r="BD982" s="343"/>
      <c r="BE982" s="343"/>
      <c r="BG982" s="644"/>
      <c r="BH982" s="515"/>
      <c r="BI982" s="515"/>
      <c r="BJ982" s="644"/>
      <c r="BK982" s="515"/>
      <c r="BL982" s="515"/>
      <c r="BM982" s="644"/>
      <c r="BN982" s="515"/>
      <c r="BO982" s="515"/>
      <c r="BP982" s="644"/>
      <c r="BQ982" s="515"/>
      <c r="BR982" s="515"/>
    </row>
    <row r="983" spans="4:70" x14ac:dyDescent="0.25">
      <c r="D983" s="538"/>
      <c r="G983" s="538"/>
      <c r="J983" s="538"/>
      <c r="M983" s="538"/>
      <c r="R983" s="538"/>
      <c r="S983" s="343"/>
      <c r="T983" s="343"/>
      <c r="U983" s="538"/>
      <c r="V983" s="343"/>
      <c r="W983" s="343"/>
      <c r="X983" s="538"/>
      <c r="Y983" s="343"/>
      <c r="Z983" s="343"/>
      <c r="AA983" s="538"/>
      <c r="AB983" s="343"/>
      <c r="AC983" s="343"/>
      <c r="AE983" s="343"/>
      <c r="AF983" s="538"/>
      <c r="AG983" s="343"/>
      <c r="AH983" s="343"/>
      <c r="AI983" s="538"/>
      <c r="AJ983" s="343"/>
      <c r="AK983" s="343"/>
      <c r="AL983" s="538"/>
      <c r="AM983" s="343"/>
      <c r="AN983" s="343"/>
      <c r="AO983" s="538"/>
      <c r="AP983" s="343"/>
      <c r="AQ983" s="343"/>
      <c r="AS983" s="343"/>
      <c r="AT983" s="538"/>
      <c r="AU983" s="343"/>
      <c r="AV983" s="343"/>
      <c r="AW983" s="538"/>
      <c r="AX983" s="343"/>
      <c r="AY983" s="343"/>
      <c r="AZ983" s="538"/>
      <c r="BA983" s="343"/>
      <c r="BB983" s="343"/>
      <c r="BC983" s="538"/>
      <c r="BD983" s="343"/>
      <c r="BE983" s="343"/>
      <c r="BG983" s="644"/>
      <c r="BH983" s="515"/>
      <c r="BI983" s="515"/>
      <c r="BJ983" s="644"/>
      <c r="BK983" s="515"/>
      <c r="BL983" s="515"/>
      <c r="BM983" s="644"/>
      <c r="BN983" s="515"/>
      <c r="BO983" s="515"/>
      <c r="BP983" s="644"/>
      <c r="BQ983" s="515"/>
      <c r="BR983" s="515"/>
    </row>
    <row r="984" spans="4:70" x14ac:dyDescent="0.25">
      <c r="D984" s="538"/>
      <c r="G984" s="538"/>
      <c r="J984" s="538"/>
      <c r="M984" s="538"/>
      <c r="R984" s="538"/>
      <c r="S984" s="343"/>
      <c r="T984" s="343"/>
      <c r="U984" s="538"/>
      <c r="V984" s="343"/>
      <c r="W984" s="343"/>
      <c r="X984" s="538"/>
      <c r="Y984" s="343"/>
      <c r="Z984" s="343"/>
      <c r="AA984" s="538"/>
      <c r="AB984" s="343"/>
      <c r="AC984" s="343"/>
      <c r="AE984" s="343"/>
      <c r="AF984" s="538"/>
      <c r="AG984" s="343"/>
      <c r="AH984" s="343"/>
      <c r="AI984" s="538"/>
      <c r="AJ984" s="343"/>
      <c r="AK984" s="343"/>
      <c r="AL984" s="538"/>
      <c r="AM984" s="343"/>
      <c r="AN984" s="343"/>
      <c r="AO984" s="538"/>
      <c r="AP984" s="343"/>
      <c r="AQ984" s="343"/>
      <c r="AS984" s="343"/>
      <c r="AT984" s="538"/>
      <c r="AU984" s="343"/>
      <c r="AV984" s="343"/>
      <c r="AW984" s="538"/>
      <c r="AX984" s="343"/>
      <c r="AY984" s="343"/>
      <c r="AZ984" s="538"/>
      <c r="BA984" s="343"/>
      <c r="BB984" s="343"/>
      <c r="BC984" s="538"/>
      <c r="BD984" s="343"/>
      <c r="BE984" s="343"/>
      <c r="BG984" s="644"/>
      <c r="BH984" s="515"/>
      <c r="BI984" s="515"/>
      <c r="BJ984" s="644"/>
      <c r="BK984" s="515"/>
      <c r="BL984" s="515"/>
      <c r="BM984" s="644"/>
      <c r="BN984" s="515"/>
      <c r="BO984" s="515"/>
      <c r="BP984" s="644"/>
      <c r="BQ984" s="515"/>
      <c r="BR984" s="515"/>
    </row>
    <row r="985" spans="4:70" x14ac:dyDescent="0.25">
      <c r="D985" s="538"/>
      <c r="G985" s="538"/>
      <c r="J985" s="538"/>
      <c r="M985" s="538"/>
      <c r="R985" s="538"/>
      <c r="S985" s="343"/>
      <c r="T985" s="343"/>
      <c r="U985" s="538"/>
      <c r="V985" s="343"/>
      <c r="W985" s="343"/>
      <c r="X985" s="538"/>
      <c r="Y985" s="343"/>
      <c r="Z985" s="343"/>
      <c r="AA985" s="538"/>
      <c r="AB985" s="343"/>
      <c r="AC985" s="343"/>
      <c r="AE985" s="343"/>
      <c r="AF985" s="538"/>
      <c r="AG985" s="343"/>
      <c r="AH985" s="343"/>
      <c r="AI985" s="538"/>
      <c r="AJ985" s="343"/>
      <c r="AK985" s="343"/>
      <c r="AL985" s="538"/>
      <c r="AM985" s="343"/>
      <c r="AN985" s="343"/>
      <c r="AO985" s="538"/>
      <c r="AP985" s="343"/>
      <c r="AQ985" s="343"/>
      <c r="AS985" s="343"/>
      <c r="AT985" s="538"/>
      <c r="AU985" s="343"/>
      <c r="AV985" s="343"/>
      <c r="AW985" s="538"/>
      <c r="AX985" s="343"/>
      <c r="AY985" s="343"/>
      <c r="AZ985" s="538"/>
      <c r="BA985" s="343"/>
      <c r="BB985" s="343"/>
      <c r="BC985" s="538"/>
      <c r="BD985" s="343"/>
      <c r="BE985" s="343"/>
      <c r="BG985" s="644"/>
      <c r="BH985" s="515"/>
      <c r="BI985" s="515"/>
      <c r="BJ985" s="644"/>
      <c r="BK985" s="515"/>
      <c r="BL985" s="515"/>
      <c r="BM985" s="644"/>
      <c r="BN985" s="515"/>
      <c r="BO985" s="515"/>
      <c r="BP985" s="644"/>
      <c r="BQ985" s="515"/>
      <c r="BR985" s="515"/>
    </row>
    <row r="986" spans="4:70" x14ac:dyDescent="0.25">
      <c r="D986" s="538"/>
      <c r="G986" s="538"/>
      <c r="J986" s="538"/>
      <c r="M986" s="538"/>
      <c r="R986" s="538"/>
      <c r="S986" s="343"/>
      <c r="T986" s="343"/>
      <c r="U986" s="538"/>
      <c r="V986" s="343"/>
      <c r="W986" s="343"/>
      <c r="X986" s="538"/>
      <c r="Y986" s="343"/>
      <c r="Z986" s="343"/>
      <c r="AA986" s="538"/>
      <c r="AB986" s="343"/>
      <c r="AC986" s="343"/>
      <c r="AE986" s="343"/>
      <c r="AF986" s="538"/>
      <c r="AG986" s="343"/>
      <c r="AH986" s="343"/>
      <c r="AI986" s="538"/>
      <c r="AJ986" s="343"/>
      <c r="AK986" s="343"/>
      <c r="AL986" s="538"/>
      <c r="AM986" s="343"/>
      <c r="AN986" s="343"/>
      <c r="AO986" s="538"/>
      <c r="AP986" s="343"/>
      <c r="AQ986" s="343"/>
      <c r="AS986" s="343"/>
      <c r="AT986" s="538"/>
      <c r="AU986" s="343"/>
      <c r="AV986" s="343"/>
      <c r="AW986" s="538"/>
      <c r="AX986" s="343"/>
      <c r="AY986" s="343"/>
      <c r="AZ986" s="538"/>
      <c r="BA986" s="343"/>
      <c r="BB986" s="343"/>
      <c r="BC986" s="538"/>
      <c r="BD986" s="343"/>
      <c r="BE986" s="343"/>
      <c r="BG986" s="644"/>
      <c r="BH986" s="515"/>
      <c r="BI986" s="515"/>
      <c r="BJ986" s="644"/>
      <c r="BK986" s="515"/>
      <c r="BL986" s="515"/>
      <c r="BM986" s="644"/>
      <c r="BN986" s="515"/>
      <c r="BO986" s="515"/>
      <c r="BP986" s="644"/>
      <c r="BQ986" s="515"/>
      <c r="BR986" s="515"/>
    </row>
    <row r="987" spans="4:70" x14ac:dyDescent="0.25">
      <c r="D987" s="538"/>
      <c r="G987" s="538"/>
      <c r="J987" s="538"/>
      <c r="M987" s="538"/>
      <c r="R987" s="538"/>
      <c r="S987" s="343"/>
      <c r="T987" s="343"/>
      <c r="U987" s="538"/>
      <c r="V987" s="343"/>
      <c r="W987" s="343"/>
      <c r="X987" s="538"/>
      <c r="Y987" s="343"/>
      <c r="Z987" s="343"/>
      <c r="AA987" s="538"/>
      <c r="AB987" s="343"/>
      <c r="AC987" s="343"/>
      <c r="AE987" s="343"/>
      <c r="AF987" s="538"/>
      <c r="AG987" s="343"/>
      <c r="AH987" s="343"/>
      <c r="AI987" s="538"/>
      <c r="AJ987" s="343"/>
      <c r="AK987" s="343"/>
      <c r="AL987" s="538"/>
      <c r="AM987" s="343"/>
      <c r="AN987" s="343"/>
      <c r="AO987" s="538"/>
      <c r="AP987" s="343"/>
      <c r="AQ987" s="343"/>
      <c r="AS987" s="343"/>
      <c r="AT987" s="538"/>
      <c r="AU987" s="343"/>
      <c r="AV987" s="343"/>
      <c r="AW987" s="538"/>
      <c r="AX987" s="343"/>
      <c r="AY987" s="343"/>
      <c r="AZ987" s="538"/>
      <c r="BA987" s="343"/>
      <c r="BB987" s="343"/>
      <c r="BC987" s="538"/>
      <c r="BD987" s="343"/>
      <c r="BE987" s="343"/>
      <c r="BG987" s="644"/>
      <c r="BH987" s="515"/>
      <c r="BI987" s="515"/>
      <c r="BJ987" s="644"/>
      <c r="BK987" s="515"/>
      <c r="BL987" s="515"/>
      <c r="BM987" s="644"/>
      <c r="BN987" s="515"/>
      <c r="BO987" s="515"/>
      <c r="BP987" s="644"/>
      <c r="BQ987" s="515"/>
      <c r="BR987" s="515"/>
    </row>
    <row r="988" spans="4:70" x14ac:dyDescent="0.25">
      <c r="D988" s="538"/>
      <c r="G988" s="538"/>
      <c r="J988" s="538"/>
      <c r="M988" s="538"/>
      <c r="R988" s="538"/>
      <c r="S988" s="343"/>
      <c r="T988" s="343"/>
      <c r="U988" s="538"/>
      <c r="V988" s="343"/>
      <c r="W988" s="343"/>
      <c r="X988" s="538"/>
      <c r="Y988" s="343"/>
      <c r="Z988" s="343"/>
      <c r="AA988" s="538"/>
      <c r="AB988" s="343"/>
      <c r="AC988" s="343"/>
      <c r="AE988" s="343"/>
      <c r="AF988" s="538"/>
      <c r="AG988" s="343"/>
      <c r="AH988" s="343"/>
      <c r="AI988" s="538"/>
      <c r="AJ988" s="343"/>
      <c r="AK988" s="343"/>
      <c r="AL988" s="538"/>
      <c r="AM988" s="343"/>
      <c r="AN988" s="343"/>
      <c r="AO988" s="538"/>
      <c r="AP988" s="343"/>
      <c r="AQ988" s="343"/>
      <c r="AS988" s="343"/>
      <c r="AT988" s="538"/>
      <c r="AU988" s="343"/>
      <c r="AV988" s="343"/>
      <c r="AW988" s="538"/>
      <c r="AX988" s="343"/>
      <c r="AY988" s="343"/>
      <c r="AZ988" s="538"/>
      <c r="BA988" s="343"/>
      <c r="BB988" s="343"/>
      <c r="BC988" s="538"/>
      <c r="BD988" s="343"/>
      <c r="BE988" s="343"/>
      <c r="BG988" s="644"/>
      <c r="BH988" s="515"/>
      <c r="BI988" s="515"/>
      <c r="BJ988" s="644"/>
      <c r="BK988" s="515"/>
      <c r="BL988" s="515"/>
      <c r="BM988" s="644"/>
      <c r="BN988" s="515"/>
      <c r="BO988" s="515"/>
      <c r="BP988" s="644"/>
      <c r="BQ988" s="515"/>
      <c r="BR988" s="515"/>
    </row>
    <row r="989" spans="4:70" x14ac:dyDescent="0.25">
      <c r="D989" s="538"/>
      <c r="G989" s="538"/>
      <c r="J989" s="538"/>
      <c r="M989" s="538"/>
      <c r="R989" s="538"/>
      <c r="S989" s="343"/>
      <c r="T989" s="343"/>
      <c r="U989" s="538"/>
      <c r="V989" s="343"/>
      <c r="W989" s="343"/>
      <c r="X989" s="538"/>
      <c r="Y989" s="343"/>
      <c r="Z989" s="343"/>
      <c r="AA989" s="538"/>
      <c r="AB989" s="343"/>
      <c r="AC989" s="343"/>
      <c r="AE989" s="343"/>
      <c r="AF989" s="538"/>
      <c r="AG989" s="343"/>
      <c r="AH989" s="343"/>
      <c r="AI989" s="538"/>
      <c r="AJ989" s="343"/>
      <c r="AK989" s="343"/>
      <c r="AL989" s="538"/>
      <c r="AM989" s="343"/>
      <c r="AN989" s="343"/>
      <c r="AO989" s="538"/>
      <c r="AP989" s="343"/>
      <c r="AQ989" s="343"/>
      <c r="AS989" s="343"/>
      <c r="AT989" s="538"/>
      <c r="AU989" s="343"/>
      <c r="AV989" s="343"/>
      <c r="AW989" s="538"/>
      <c r="AX989" s="343"/>
      <c r="AY989" s="343"/>
      <c r="AZ989" s="538"/>
      <c r="BA989" s="343"/>
      <c r="BB989" s="343"/>
      <c r="BC989" s="538"/>
      <c r="BD989" s="343"/>
      <c r="BE989" s="343"/>
      <c r="BG989" s="644"/>
      <c r="BH989" s="515"/>
      <c r="BI989" s="515"/>
      <c r="BJ989" s="644"/>
      <c r="BK989" s="515"/>
      <c r="BL989" s="515"/>
      <c r="BM989" s="644"/>
      <c r="BN989" s="515"/>
      <c r="BO989" s="515"/>
      <c r="BP989" s="644"/>
      <c r="BQ989" s="515"/>
      <c r="BR989" s="515"/>
    </row>
    <row r="990" spans="4:70" x14ac:dyDescent="0.25">
      <c r="D990" s="538"/>
      <c r="G990" s="538"/>
      <c r="J990" s="538"/>
      <c r="M990" s="538"/>
      <c r="R990" s="538"/>
      <c r="S990" s="343"/>
      <c r="T990" s="343"/>
      <c r="U990" s="538"/>
      <c r="V990" s="343"/>
      <c r="W990" s="343"/>
      <c r="X990" s="538"/>
      <c r="Y990" s="343"/>
      <c r="Z990" s="343"/>
      <c r="AA990" s="538"/>
      <c r="AB990" s="343"/>
      <c r="AC990" s="343"/>
      <c r="AE990" s="343"/>
      <c r="AF990" s="538"/>
      <c r="AG990" s="343"/>
      <c r="AH990" s="343"/>
      <c r="AI990" s="538"/>
      <c r="AJ990" s="343"/>
      <c r="AK990" s="343"/>
      <c r="AL990" s="538"/>
      <c r="AM990" s="343"/>
      <c r="AN990" s="343"/>
      <c r="AO990" s="538"/>
      <c r="AP990" s="343"/>
      <c r="AQ990" s="343"/>
      <c r="AS990" s="343"/>
      <c r="AT990" s="538"/>
      <c r="AU990" s="343"/>
      <c r="AV990" s="343"/>
      <c r="AW990" s="538"/>
      <c r="AX990" s="343"/>
      <c r="AY990" s="343"/>
      <c r="AZ990" s="538"/>
      <c r="BA990" s="343"/>
      <c r="BB990" s="343"/>
      <c r="BC990" s="538"/>
      <c r="BD990" s="343"/>
      <c r="BE990" s="343"/>
      <c r="BG990" s="644"/>
      <c r="BH990" s="515"/>
      <c r="BI990" s="515"/>
      <c r="BJ990" s="644"/>
      <c r="BK990" s="515"/>
      <c r="BL990" s="515"/>
      <c r="BM990" s="644"/>
      <c r="BN990" s="515"/>
      <c r="BO990" s="515"/>
      <c r="BP990" s="644"/>
      <c r="BQ990" s="515"/>
      <c r="BR990" s="515"/>
    </row>
    <row r="991" spans="4:70" x14ac:dyDescent="0.25">
      <c r="D991" s="538"/>
      <c r="G991" s="538"/>
      <c r="J991" s="538"/>
      <c r="M991" s="538"/>
      <c r="R991" s="538"/>
      <c r="S991" s="343"/>
      <c r="T991" s="343"/>
      <c r="U991" s="538"/>
      <c r="V991" s="343"/>
      <c r="W991" s="343"/>
      <c r="X991" s="538"/>
      <c r="Y991" s="343"/>
      <c r="Z991" s="343"/>
      <c r="AA991" s="538"/>
      <c r="AB991" s="343"/>
      <c r="AC991" s="343"/>
      <c r="AE991" s="343"/>
      <c r="AF991" s="538"/>
      <c r="AG991" s="343"/>
      <c r="AH991" s="343"/>
      <c r="AI991" s="538"/>
      <c r="AJ991" s="343"/>
      <c r="AK991" s="343"/>
      <c r="AL991" s="538"/>
      <c r="AM991" s="343"/>
      <c r="AN991" s="343"/>
      <c r="AO991" s="538"/>
      <c r="AP991" s="343"/>
      <c r="AQ991" s="343"/>
      <c r="AS991" s="343"/>
      <c r="AT991" s="538"/>
      <c r="AU991" s="343"/>
      <c r="AV991" s="343"/>
      <c r="AW991" s="538"/>
      <c r="AX991" s="343"/>
      <c r="AY991" s="343"/>
      <c r="AZ991" s="538"/>
      <c r="BA991" s="343"/>
      <c r="BB991" s="343"/>
      <c r="BC991" s="538"/>
      <c r="BD991" s="343"/>
      <c r="BE991" s="343"/>
      <c r="BG991" s="644"/>
      <c r="BH991" s="515"/>
      <c r="BI991" s="515"/>
      <c r="BJ991" s="644"/>
      <c r="BK991" s="515"/>
      <c r="BL991" s="515"/>
      <c r="BM991" s="644"/>
      <c r="BN991" s="515"/>
      <c r="BO991" s="515"/>
      <c r="BP991" s="644"/>
      <c r="BQ991" s="515"/>
      <c r="BR991" s="515"/>
    </row>
    <row r="992" spans="4:70" x14ac:dyDescent="0.25">
      <c r="D992" s="538"/>
      <c r="G992" s="538"/>
      <c r="J992" s="538"/>
      <c r="M992" s="538"/>
      <c r="R992" s="538"/>
      <c r="S992" s="343"/>
      <c r="T992" s="343"/>
      <c r="U992" s="538"/>
      <c r="V992" s="343"/>
      <c r="W992" s="343"/>
      <c r="X992" s="538"/>
      <c r="Y992" s="343"/>
      <c r="Z992" s="343"/>
      <c r="AA992" s="538"/>
      <c r="AB992" s="343"/>
      <c r="AC992" s="343"/>
      <c r="AE992" s="343"/>
      <c r="AF992" s="538"/>
      <c r="AG992" s="343"/>
      <c r="AH992" s="343"/>
      <c r="AI992" s="538"/>
      <c r="AJ992" s="343"/>
      <c r="AK992" s="343"/>
      <c r="AL992" s="538"/>
      <c r="AM992" s="343"/>
      <c r="AN992" s="343"/>
      <c r="AO992" s="538"/>
      <c r="AP992" s="343"/>
      <c r="AQ992" s="343"/>
      <c r="AS992" s="343"/>
      <c r="AT992" s="538"/>
      <c r="AU992" s="343"/>
      <c r="AV992" s="343"/>
      <c r="AW992" s="538"/>
      <c r="AX992" s="343"/>
      <c r="AY992" s="343"/>
      <c r="AZ992" s="538"/>
      <c r="BA992" s="343"/>
      <c r="BB992" s="343"/>
      <c r="BC992" s="538"/>
      <c r="BD992" s="343"/>
      <c r="BE992" s="343"/>
      <c r="BG992" s="644"/>
      <c r="BH992" s="515"/>
      <c r="BI992" s="515"/>
      <c r="BJ992" s="644"/>
      <c r="BK992" s="515"/>
      <c r="BL992" s="515"/>
      <c r="BM992" s="644"/>
      <c r="BN992" s="515"/>
      <c r="BO992" s="515"/>
      <c r="BP992" s="644"/>
      <c r="BQ992" s="515"/>
      <c r="BR992" s="515"/>
    </row>
    <row r="993" spans="4:70" x14ac:dyDescent="0.25">
      <c r="D993" s="538"/>
      <c r="G993" s="538"/>
      <c r="J993" s="538"/>
      <c r="M993" s="538"/>
      <c r="R993" s="538"/>
      <c r="S993" s="343"/>
      <c r="T993" s="343"/>
      <c r="U993" s="538"/>
      <c r="V993" s="343"/>
      <c r="W993" s="343"/>
      <c r="X993" s="538"/>
      <c r="Y993" s="343"/>
      <c r="Z993" s="343"/>
      <c r="AA993" s="538"/>
      <c r="AB993" s="343"/>
      <c r="AC993" s="343"/>
      <c r="AE993" s="343"/>
      <c r="AF993" s="538"/>
      <c r="AG993" s="343"/>
      <c r="AH993" s="343"/>
      <c r="AI993" s="538"/>
      <c r="AJ993" s="343"/>
      <c r="AK993" s="343"/>
      <c r="AL993" s="538"/>
      <c r="AM993" s="343"/>
      <c r="AN993" s="343"/>
      <c r="AO993" s="538"/>
      <c r="AP993" s="343"/>
      <c r="AQ993" s="343"/>
      <c r="AS993" s="343"/>
      <c r="AT993" s="538"/>
      <c r="AU993" s="343"/>
      <c r="AV993" s="343"/>
      <c r="AW993" s="538"/>
      <c r="AX993" s="343"/>
      <c r="AY993" s="343"/>
      <c r="AZ993" s="538"/>
      <c r="BA993" s="343"/>
      <c r="BB993" s="343"/>
      <c r="BC993" s="538"/>
      <c r="BD993" s="343"/>
      <c r="BE993" s="343"/>
      <c r="BG993" s="644"/>
      <c r="BH993" s="515"/>
      <c r="BI993" s="515"/>
      <c r="BJ993" s="644"/>
      <c r="BK993" s="515"/>
      <c r="BL993" s="515"/>
      <c r="BM993" s="644"/>
      <c r="BN993" s="515"/>
      <c r="BO993" s="515"/>
      <c r="BP993" s="644"/>
      <c r="BQ993" s="515"/>
      <c r="BR993" s="515"/>
    </row>
    <row r="994" spans="4:70" x14ac:dyDescent="0.25">
      <c r="D994" s="538"/>
      <c r="G994" s="538"/>
      <c r="J994" s="538"/>
      <c r="M994" s="538"/>
      <c r="R994" s="538"/>
      <c r="S994" s="343"/>
      <c r="T994" s="343"/>
      <c r="U994" s="538"/>
      <c r="V994" s="343"/>
      <c r="W994" s="343"/>
      <c r="X994" s="538"/>
      <c r="Y994" s="343"/>
      <c r="Z994" s="343"/>
      <c r="AA994" s="538"/>
      <c r="AB994" s="343"/>
      <c r="AC994" s="343"/>
      <c r="AE994" s="343"/>
      <c r="AF994" s="538"/>
      <c r="AG994" s="343"/>
      <c r="AH994" s="343"/>
      <c r="AI994" s="538"/>
      <c r="AJ994" s="343"/>
      <c r="AK994" s="343"/>
      <c r="AL994" s="538"/>
      <c r="AM994" s="343"/>
      <c r="AN994" s="343"/>
      <c r="AO994" s="538"/>
      <c r="AP994" s="343"/>
      <c r="AQ994" s="343"/>
      <c r="AS994" s="343"/>
      <c r="AT994" s="538"/>
      <c r="AU994" s="343"/>
      <c r="AV994" s="343"/>
      <c r="AW994" s="538"/>
      <c r="AX994" s="343"/>
      <c r="AY994" s="343"/>
      <c r="AZ994" s="538"/>
      <c r="BA994" s="343"/>
      <c r="BB994" s="343"/>
      <c r="BC994" s="538"/>
      <c r="BD994" s="343"/>
      <c r="BE994" s="343"/>
      <c r="BG994" s="644"/>
      <c r="BH994" s="515"/>
      <c r="BI994" s="515"/>
      <c r="BJ994" s="644"/>
      <c r="BK994" s="515"/>
      <c r="BL994" s="515"/>
      <c r="BM994" s="644"/>
      <c r="BN994" s="515"/>
      <c r="BO994" s="515"/>
      <c r="BP994" s="644"/>
      <c r="BQ994" s="515"/>
      <c r="BR994" s="515"/>
    </row>
    <row r="995" spans="4:70" x14ac:dyDescent="0.25">
      <c r="D995" s="538"/>
      <c r="G995" s="538"/>
      <c r="J995" s="538"/>
      <c r="M995" s="538"/>
      <c r="R995" s="538"/>
      <c r="S995" s="343"/>
      <c r="T995" s="343"/>
      <c r="U995" s="538"/>
      <c r="V995" s="343"/>
      <c r="W995" s="343"/>
      <c r="X995" s="538"/>
      <c r="Y995" s="343"/>
      <c r="Z995" s="343"/>
      <c r="AA995" s="538"/>
      <c r="AB995" s="343"/>
      <c r="AC995" s="343"/>
      <c r="AE995" s="343"/>
      <c r="AF995" s="538"/>
      <c r="AG995" s="343"/>
      <c r="AH995" s="343"/>
      <c r="AI995" s="538"/>
      <c r="AJ995" s="343"/>
      <c r="AK995" s="343"/>
      <c r="AL995" s="538"/>
      <c r="AM995" s="343"/>
      <c r="AN995" s="343"/>
      <c r="AO995" s="538"/>
      <c r="AP995" s="343"/>
      <c r="AQ995" s="343"/>
      <c r="AS995" s="343"/>
      <c r="AT995" s="538"/>
      <c r="AU995" s="343"/>
      <c r="AV995" s="343"/>
      <c r="AW995" s="538"/>
      <c r="AX995" s="343"/>
      <c r="AY995" s="343"/>
      <c r="AZ995" s="538"/>
      <c r="BA995" s="343"/>
      <c r="BB995" s="343"/>
      <c r="BC995" s="538"/>
      <c r="BD995" s="343"/>
      <c r="BE995" s="343"/>
      <c r="BG995" s="644"/>
      <c r="BH995" s="515"/>
      <c r="BI995" s="515"/>
      <c r="BJ995" s="644"/>
      <c r="BK995" s="515"/>
      <c r="BL995" s="515"/>
      <c r="BM995" s="644"/>
      <c r="BN995" s="515"/>
      <c r="BO995" s="515"/>
      <c r="BP995" s="644"/>
      <c r="BQ995" s="515"/>
      <c r="BR995" s="515"/>
    </row>
    <row r="996" spans="4:70" x14ac:dyDescent="0.25">
      <c r="D996" s="538"/>
      <c r="G996" s="538"/>
      <c r="J996" s="538"/>
      <c r="M996" s="538"/>
      <c r="R996" s="538"/>
      <c r="S996" s="343"/>
      <c r="T996" s="343"/>
      <c r="U996" s="538"/>
      <c r="V996" s="343"/>
      <c r="W996" s="343"/>
      <c r="X996" s="538"/>
      <c r="Y996" s="343"/>
      <c r="Z996" s="343"/>
      <c r="AA996" s="538"/>
      <c r="AB996" s="343"/>
      <c r="AC996" s="343"/>
      <c r="AE996" s="343"/>
      <c r="AF996" s="538"/>
      <c r="AG996" s="343"/>
      <c r="AH996" s="343"/>
      <c r="AI996" s="538"/>
      <c r="AJ996" s="343"/>
      <c r="AK996" s="343"/>
      <c r="AL996" s="538"/>
      <c r="AM996" s="343"/>
      <c r="AN996" s="343"/>
      <c r="AO996" s="538"/>
      <c r="AP996" s="343"/>
      <c r="AQ996" s="343"/>
      <c r="AS996" s="343"/>
      <c r="AT996" s="538"/>
      <c r="AU996" s="343"/>
      <c r="AV996" s="343"/>
      <c r="AW996" s="538"/>
      <c r="AX996" s="343"/>
      <c r="AY996" s="343"/>
      <c r="AZ996" s="538"/>
      <c r="BA996" s="343"/>
      <c r="BB996" s="343"/>
      <c r="BC996" s="538"/>
      <c r="BD996" s="343"/>
      <c r="BE996" s="343"/>
      <c r="BG996" s="644"/>
      <c r="BH996" s="515"/>
      <c r="BI996" s="515"/>
      <c r="BJ996" s="644"/>
      <c r="BK996" s="515"/>
      <c r="BL996" s="515"/>
      <c r="BM996" s="644"/>
      <c r="BN996" s="515"/>
      <c r="BO996" s="515"/>
      <c r="BP996" s="644"/>
      <c r="BQ996" s="515"/>
      <c r="BR996" s="515"/>
    </row>
    <row r="997" spans="4:70" x14ac:dyDescent="0.25">
      <c r="D997" s="538"/>
      <c r="G997" s="538"/>
      <c r="J997" s="538"/>
      <c r="M997" s="538"/>
      <c r="R997" s="538"/>
      <c r="S997" s="343"/>
      <c r="T997" s="343"/>
      <c r="U997" s="538"/>
      <c r="V997" s="343"/>
      <c r="W997" s="343"/>
      <c r="X997" s="538"/>
      <c r="Y997" s="343"/>
      <c r="Z997" s="343"/>
      <c r="AA997" s="538"/>
      <c r="AB997" s="343"/>
      <c r="AC997" s="343"/>
      <c r="AE997" s="343"/>
      <c r="AF997" s="538"/>
      <c r="AG997" s="343"/>
      <c r="AH997" s="343"/>
      <c r="AI997" s="538"/>
      <c r="AJ997" s="343"/>
      <c r="AK997" s="343"/>
      <c r="AL997" s="538"/>
      <c r="AM997" s="343"/>
      <c r="AN997" s="343"/>
      <c r="AO997" s="538"/>
      <c r="AP997" s="343"/>
      <c r="AQ997" s="343"/>
      <c r="AS997" s="343"/>
      <c r="AT997" s="538"/>
      <c r="AU997" s="343"/>
      <c r="AV997" s="343"/>
      <c r="AW997" s="538"/>
      <c r="AX997" s="343"/>
      <c r="AY997" s="343"/>
      <c r="AZ997" s="538"/>
      <c r="BA997" s="343"/>
      <c r="BB997" s="343"/>
      <c r="BC997" s="538"/>
      <c r="BD997" s="343"/>
      <c r="BE997" s="343"/>
      <c r="BG997" s="644"/>
      <c r="BH997" s="515"/>
      <c r="BI997" s="515"/>
      <c r="BJ997" s="644"/>
      <c r="BK997" s="515"/>
      <c r="BL997" s="515"/>
      <c r="BM997" s="644"/>
      <c r="BN997" s="515"/>
      <c r="BO997" s="515"/>
      <c r="BP997" s="644"/>
      <c r="BQ997" s="515"/>
      <c r="BR997" s="515"/>
    </row>
    <row r="998" spans="4:70" x14ac:dyDescent="0.25">
      <c r="D998" s="538"/>
      <c r="G998" s="538"/>
      <c r="J998" s="538"/>
      <c r="M998" s="538"/>
      <c r="R998" s="538"/>
      <c r="S998" s="343"/>
      <c r="T998" s="343"/>
      <c r="U998" s="538"/>
      <c r="V998" s="343"/>
      <c r="W998" s="343"/>
      <c r="X998" s="538"/>
      <c r="Y998" s="343"/>
      <c r="Z998" s="343"/>
      <c r="AA998" s="538"/>
      <c r="AB998" s="343"/>
      <c r="AC998" s="343"/>
      <c r="AE998" s="343"/>
      <c r="AF998" s="538"/>
      <c r="AG998" s="343"/>
      <c r="AH998" s="343"/>
      <c r="AI998" s="538"/>
      <c r="AJ998" s="343"/>
      <c r="AK998" s="343"/>
      <c r="AL998" s="538"/>
      <c r="AM998" s="343"/>
      <c r="AN998" s="343"/>
      <c r="AO998" s="538"/>
      <c r="AP998" s="343"/>
      <c r="AQ998" s="343"/>
      <c r="AS998" s="343"/>
      <c r="AT998" s="538"/>
      <c r="AU998" s="343"/>
      <c r="AV998" s="343"/>
      <c r="AW998" s="538"/>
      <c r="AX998" s="343"/>
      <c r="AY998" s="343"/>
      <c r="AZ998" s="538"/>
      <c r="BA998" s="343"/>
      <c r="BB998" s="343"/>
      <c r="BC998" s="538"/>
      <c r="BD998" s="343"/>
      <c r="BE998" s="343"/>
      <c r="BG998" s="644"/>
      <c r="BH998" s="515"/>
      <c r="BI998" s="515"/>
      <c r="BJ998" s="644"/>
      <c r="BK998" s="515"/>
      <c r="BL998" s="515"/>
      <c r="BM998" s="644"/>
      <c r="BN998" s="515"/>
      <c r="BO998" s="515"/>
      <c r="BP998" s="644"/>
      <c r="BQ998" s="515"/>
      <c r="BR998" s="515"/>
    </row>
    <row r="999" spans="4:70" x14ac:dyDescent="0.25">
      <c r="D999" s="538"/>
      <c r="G999" s="538"/>
      <c r="J999" s="538"/>
      <c r="M999" s="538"/>
      <c r="R999" s="538"/>
      <c r="S999" s="343"/>
      <c r="T999" s="343"/>
      <c r="U999" s="538"/>
      <c r="V999" s="343"/>
      <c r="W999" s="343"/>
      <c r="X999" s="538"/>
      <c r="Y999" s="343"/>
      <c r="Z999" s="343"/>
      <c r="AA999" s="538"/>
      <c r="AB999" s="343"/>
      <c r="AC999" s="343"/>
      <c r="AE999" s="343"/>
      <c r="AF999" s="538"/>
      <c r="AG999" s="343"/>
      <c r="AH999" s="343"/>
      <c r="AI999" s="538"/>
      <c r="AJ999" s="343"/>
      <c r="AK999" s="343"/>
      <c r="AL999" s="538"/>
      <c r="AM999" s="343"/>
      <c r="AN999" s="343"/>
      <c r="AO999" s="538"/>
      <c r="AP999" s="343"/>
      <c r="AQ999" s="343"/>
      <c r="AS999" s="343"/>
      <c r="AT999" s="538"/>
      <c r="AU999" s="343"/>
      <c r="AV999" s="343"/>
      <c r="AW999" s="538"/>
      <c r="AX999" s="343"/>
      <c r="AY999" s="343"/>
      <c r="AZ999" s="538"/>
      <c r="BA999" s="343"/>
      <c r="BB999" s="343"/>
      <c r="BC999" s="538"/>
      <c r="BD999" s="343"/>
      <c r="BE999" s="343"/>
      <c r="BG999" s="644"/>
      <c r="BH999" s="515"/>
      <c r="BI999" s="515"/>
      <c r="BJ999" s="644"/>
      <c r="BK999" s="515"/>
      <c r="BL999" s="515"/>
      <c r="BM999" s="644"/>
      <c r="BN999" s="515"/>
      <c r="BO999" s="515"/>
      <c r="BP999" s="644"/>
      <c r="BQ999" s="515"/>
      <c r="BR999" s="515"/>
    </row>
    <row r="1000" spans="4:70" x14ac:dyDescent="0.25">
      <c r="D1000" s="538"/>
      <c r="G1000" s="538"/>
      <c r="J1000" s="538"/>
      <c r="M1000" s="538"/>
      <c r="R1000" s="538"/>
      <c r="S1000" s="343"/>
      <c r="T1000" s="343"/>
      <c r="U1000" s="538"/>
      <c r="V1000" s="343"/>
      <c r="W1000" s="343"/>
      <c r="X1000" s="538"/>
      <c r="Y1000" s="343"/>
      <c r="Z1000" s="343"/>
      <c r="AA1000" s="538"/>
      <c r="AB1000" s="343"/>
      <c r="AC1000" s="343"/>
      <c r="AE1000" s="343"/>
      <c r="AF1000" s="538"/>
      <c r="AG1000" s="343"/>
      <c r="AH1000" s="343"/>
      <c r="AI1000" s="538"/>
      <c r="AJ1000" s="343"/>
      <c r="AK1000" s="343"/>
      <c r="AL1000" s="538"/>
      <c r="AM1000" s="343"/>
      <c r="AN1000" s="343"/>
      <c r="AO1000" s="538"/>
      <c r="AP1000" s="343"/>
      <c r="AQ1000" s="343"/>
      <c r="AS1000" s="343"/>
      <c r="AT1000" s="538"/>
      <c r="AU1000" s="343"/>
      <c r="AV1000" s="343"/>
      <c r="AW1000" s="538"/>
      <c r="AX1000" s="343"/>
      <c r="AY1000" s="343"/>
      <c r="AZ1000" s="538"/>
      <c r="BA1000" s="343"/>
      <c r="BB1000" s="343"/>
      <c r="BC1000" s="538"/>
      <c r="BD1000" s="343"/>
      <c r="BE1000" s="343"/>
      <c r="BG1000" s="644"/>
      <c r="BH1000" s="515"/>
      <c r="BI1000" s="515"/>
      <c r="BJ1000" s="644"/>
      <c r="BK1000" s="515"/>
      <c r="BL1000" s="515"/>
      <c r="BM1000" s="644"/>
      <c r="BN1000" s="515"/>
      <c r="BO1000" s="515"/>
      <c r="BP1000" s="644"/>
      <c r="BQ1000" s="515"/>
      <c r="BR1000" s="515"/>
    </row>
    <row r="1001" spans="4:70" x14ac:dyDescent="0.25">
      <c r="D1001" s="538"/>
      <c r="G1001" s="538"/>
      <c r="J1001" s="538"/>
      <c r="M1001" s="538"/>
      <c r="R1001" s="538"/>
      <c r="S1001" s="343"/>
      <c r="T1001" s="343"/>
      <c r="U1001" s="538"/>
      <c r="V1001" s="343"/>
      <c r="W1001" s="343"/>
      <c r="X1001" s="538"/>
      <c r="Y1001" s="343"/>
      <c r="Z1001" s="343"/>
      <c r="AA1001" s="538"/>
      <c r="AB1001" s="343"/>
      <c r="AC1001" s="343"/>
      <c r="AE1001" s="343"/>
      <c r="AF1001" s="538"/>
      <c r="AG1001" s="343"/>
      <c r="AH1001" s="343"/>
      <c r="AI1001" s="538"/>
      <c r="AJ1001" s="343"/>
      <c r="AK1001" s="343"/>
      <c r="AL1001" s="538"/>
      <c r="AM1001" s="343"/>
      <c r="AN1001" s="343"/>
      <c r="AO1001" s="538"/>
      <c r="AP1001" s="343"/>
      <c r="AQ1001" s="343"/>
      <c r="AS1001" s="343"/>
      <c r="AT1001" s="538"/>
      <c r="AU1001" s="343"/>
      <c r="AV1001" s="343"/>
      <c r="AW1001" s="538"/>
      <c r="AX1001" s="343"/>
      <c r="AY1001" s="343"/>
      <c r="AZ1001" s="538"/>
      <c r="BA1001" s="343"/>
      <c r="BB1001" s="343"/>
      <c r="BC1001" s="538"/>
      <c r="BD1001" s="343"/>
      <c r="BE1001" s="343"/>
      <c r="BG1001" s="644"/>
      <c r="BH1001" s="515"/>
      <c r="BI1001" s="515"/>
      <c r="BJ1001" s="644"/>
      <c r="BK1001" s="515"/>
      <c r="BL1001" s="515"/>
      <c r="BM1001" s="644"/>
      <c r="BN1001" s="515"/>
      <c r="BO1001" s="515"/>
      <c r="BP1001" s="644"/>
      <c r="BQ1001" s="515"/>
      <c r="BR1001" s="515"/>
    </row>
    <row r="1002" spans="4:70" x14ac:dyDescent="0.25">
      <c r="D1002" s="538"/>
      <c r="G1002" s="538"/>
      <c r="J1002" s="538"/>
      <c r="M1002" s="538"/>
      <c r="R1002" s="538"/>
      <c r="S1002" s="343"/>
      <c r="T1002" s="343"/>
      <c r="U1002" s="538"/>
      <c r="V1002" s="343"/>
      <c r="W1002" s="343"/>
      <c r="X1002" s="538"/>
      <c r="Y1002" s="343"/>
      <c r="Z1002" s="343"/>
      <c r="AA1002" s="538"/>
      <c r="AB1002" s="343"/>
      <c r="AC1002" s="343"/>
      <c r="AE1002" s="343"/>
      <c r="AF1002" s="538"/>
      <c r="AG1002" s="343"/>
      <c r="AH1002" s="343"/>
      <c r="AI1002" s="538"/>
      <c r="AJ1002" s="343"/>
      <c r="AK1002" s="343"/>
      <c r="AL1002" s="538"/>
      <c r="AM1002" s="343"/>
      <c r="AN1002" s="343"/>
      <c r="AO1002" s="538"/>
      <c r="AP1002" s="343"/>
      <c r="AQ1002" s="343"/>
      <c r="AS1002" s="343"/>
      <c r="AT1002" s="538"/>
      <c r="AU1002" s="343"/>
      <c r="AV1002" s="343"/>
      <c r="AW1002" s="538"/>
      <c r="AX1002" s="343"/>
      <c r="AY1002" s="343"/>
      <c r="AZ1002" s="538"/>
      <c r="BA1002" s="343"/>
      <c r="BB1002" s="343"/>
      <c r="BC1002" s="538"/>
      <c r="BD1002" s="343"/>
      <c r="BE1002" s="343"/>
      <c r="BG1002" s="644"/>
      <c r="BH1002" s="515"/>
      <c r="BI1002" s="515"/>
      <c r="BJ1002" s="644"/>
      <c r="BK1002" s="515"/>
      <c r="BL1002" s="515"/>
      <c r="BM1002" s="644"/>
      <c r="BN1002" s="515"/>
      <c r="BO1002" s="515"/>
      <c r="BP1002" s="644"/>
      <c r="BQ1002" s="515"/>
      <c r="BR1002" s="515"/>
    </row>
    <row r="1003" spans="4:70" x14ac:dyDescent="0.25">
      <c r="D1003" s="538"/>
      <c r="G1003" s="538"/>
      <c r="J1003" s="538"/>
      <c r="M1003" s="538"/>
      <c r="R1003" s="538"/>
      <c r="S1003" s="343"/>
      <c r="T1003" s="343"/>
      <c r="U1003" s="538"/>
      <c r="V1003" s="343"/>
      <c r="W1003" s="343"/>
      <c r="X1003" s="538"/>
      <c r="Y1003" s="343"/>
      <c r="Z1003" s="343"/>
      <c r="AA1003" s="538"/>
      <c r="AB1003" s="343"/>
      <c r="AC1003" s="343"/>
      <c r="AE1003" s="343"/>
      <c r="AF1003" s="538"/>
      <c r="AG1003" s="343"/>
      <c r="AH1003" s="343"/>
      <c r="AI1003" s="538"/>
      <c r="AJ1003" s="343"/>
      <c r="AK1003" s="343"/>
      <c r="AL1003" s="538"/>
      <c r="AM1003" s="343"/>
      <c r="AN1003" s="343"/>
      <c r="AO1003" s="538"/>
      <c r="AP1003" s="343"/>
      <c r="AQ1003" s="343"/>
      <c r="AS1003" s="343"/>
      <c r="AT1003" s="538"/>
      <c r="AU1003" s="343"/>
      <c r="AV1003" s="343"/>
      <c r="AW1003" s="538"/>
      <c r="AX1003" s="343"/>
      <c r="AY1003" s="343"/>
      <c r="AZ1003" s="538"/>
      <c r="BA1003" s="343"/>
      <c r="BB1003" s="343"/>
      <c r="BC1003" s="538"/>
      <c r="BD1003" s="343"/>
      <c r="BE1003" s="343"/>
      <c r="BG1003" s="644"/>
      <c r="BH1003" s="515"/>
      <c r="BI1003" s="515"/>
      <c r="BJ1003" s="644"/>
      <c r="BK1003" s="515"/>
      <c r="BL1003" s="515"/>
      <c r="BM1003" s="644"/>
      <c r="BN1003" s="515"/>
      <c r="BO1003" s="515"/>
      <c r="BP1003" s="644"/>
      <c r="BQ1003" s="515"/>
      <c r="BR1003" s="515"/>
    </row>
    <row r="1004" spans="4:70" x14ac:dyDescent="0.25">
      <c r="D1004" s="538"/>
      <c r="G1004" s="538"/>
      <c r="J1004" s="538"/>
      <c r="M1004" s="538"/>
      <c r="R1004" s="538"/>
      <c r="S1004" s="343"/>
      <c r="T1004" s="343"/>
      <c r="U1004" s="538"/>
      <c r="V1004" s="343"/>
      <c r="W1004" s="343"/>
      <c r="X1004" s="538"/>
      <c r="Y1004" s="343"/>
      <c r="Z1004" s="343"/>
      <c r="AA1004" s="538"/>
      <c r="AB1004" s="343"/>
      <c r="AC1004" s="343"/>
      <c r="AE1004" s="343"/>
      <c r="AF1004" s="538"/>
      <c r="AG1004" s="343"/>
      <c r="AH1004" s="343"/>
      <c r="AI1004" s="538"/>
      <c r="AJ1004" s="343"/>
      <c r="AK1004" s="343"/>
      <c r="AL1004" s="538"/>
      <c r="AM1004" s="343"/>
      <c r="AN1004" s="343"/>
      <c r="AO1004" s="538"/>
      <c r="AP1004" s="343"/>
      <c r="AQ1004" s="343"/>
      <c r="AS1004" s="343"/>
      <c r="AT1004" s="538"/>
      <c r="AU1004" s="343"/>
      <c r="AV1004" s="343"/>
      <c r="AW1004" s="538"/>
      <c r="AX1004" s="343"/>
      <c r="AY1004" s="343"/>
      <c r="AZ1004" s="538"/>
      <c r="BA1004" s="343"/>
      <c r="BB1004" s="343"/>
      <c r="BC1004" s="538"/>
      <c r="BD1004" s="343"/>
      <c r="BE1004" s="343"/>
      <c r="BG1004" s="644"/>
      <c r="BH1004" s="515"/>
      <c r="BI1004" s="515"/>
      <c r="BJ1004" s="644"/>
      <c r="BK1004" s="515"/>
      <c r="BL1004" s="515"/>
      <c r="BM1004" s="644"/>
      <c r="BN1004" s="515"/>
      <c r="BO1004" s="515"/>
      <c r="BP1004" s="644"/>
      <c r="BQ1004" s="515"/>
      <c r="BR1004" s="515"/>
    </row>
    <row r="1005" spans="4:70" x14ac:dyDescent="0.25">
      <c r="D1005" s="538"/>
      <c r="G1005" s="538"/>
      <c r="J1005" s="538"/>
      <c r="M1005" s="538"/>
      <c r="R1005" s="538"/>
      <c r="S1005" s="343"/>
      <c r="T1005" s="343"/>
      <c r="U1005" s="538"/>
      <c r="V1005" s="343"/>
      <c r="W1005" s="343"/>
      <c r="X1005" s="538"/>
      <c r="Y1005" s="343"/>
      <c r="Z1005" s="343"/>
      <c r="AA1005" s="538"/>
      <c r="AB1005" s="343"/>
      <c r="AC1005" s="343"/>
      <c r="AE1005" s="343"/>
      <c r="AF1005" s="538"/>
      <c r="AG1005" s="343"/>
      <c r="AH1005" s="343"/>
      <c r="AI1005" s="538"/>
      <c r="AJ1005" s="343"/>
      <c r="AK1005" s="343"/>
      <c r="AL1005" s="538"/>
      <c r="AM1005" s="343"/>
      <c r="AN1005" s="343"/>
      <c r="AO1005" s="538"/>
      <c r="AP1005" s="343"/>
      <c r="AQ1005" s="343"/>
      <c r="AS1005" s="343"/>
      <c r="AT1005" s="538"/>
      <c r="AU1005" s="343"/>
      <c r="AV1005" s="343"/>
      <c r="AW1005" s="538"/>
      <c r="AX1005" s="343"/>
      <c r="AY1005" s="343"/>
      <c r="AZ1005" s="538"/>
      <c r="BA1005" s="343"/>
      <c r="BB1005" s="343"/>
      <c r="BC1005" s="538"/>
      <c r="BD1005" s="343"/>
      <c r="BE1005" s="343"/>
      <c r="BG1005" s="644"/>
      <c r="BH1005" s="515"/>
      <c r="BI1005" s="515"/>
      <c r="BJ1005" s="644"/>
      <c r="BK1005" s="515"/>
      <c r="BL1005" s="515"/>
      <c r="BM1005" s="644"/>
      <c r="BN1005" s="515"/>
      <c r="BO1005" s="515"/>
      <c r="BP1005" s="644"/>
      <c r="BQ1005" s="515"/>
      <c r="BR1005" s="515"/>
    </row>
    <row r="1006" spans="4:70" x14ac:dyDescent="0.25">
      <c r="D1006" s="538"/>
      <c r="G1006" s="538"/>
      <c r="J1006" s="538"/>
      <c r="M1006" s="538"/>
      <c r="R1006" s="538"/>
      <c r="S1006" s="343"/>
      <c r="T1006" s="343"/>
      <c r="U1006" s="538"/>
      <c r="V1006" s="343"/>
      <c r="W1006" s="343"/>
      <c r="X1006" s="538"/>
      <c r="Y1006" s="343"/>
      <c r="Z1006" s="343"/>
      <c r="AA1006" s="538"/>
      <c r="AB1006" s="343"/>
      <c r="AC1006" s="343"/>
      <c r="AE1006" s="343"/>
      <c r="AF1006" s="538"/>
      <c r="AG1006" s="343"/>
      <c r="AH1006" s="343"/>
      <c r="AI1006" s="538"/>
      <c r="AJ1006" s="343"/>
      <c r="AK1006" s="343"/>
      <c r="AL1006" s="538"/>
      <c r="AM1006" s="343"/>
      <c r="AN1006" s="343"/>
      <c r="AO1006" s="538"/>
      <c r="AP1006" s="343"/>
      <c r="AQ1006" s="343"/>
      <c r="AS1006" s="343"/>
      <c r="AT1006" s="538"/>
      <c r="AU1006" s="343"/>
      <c r="AV1006" s="343"/>
      <c r="AW1006" s="538"/>
      <c r="AX1006" s="343"/>
      <c r="AY1006" s="343"/>
      <c r="AZ1006" s="538"/>
      <c r="BA1006" s="343"/>
      <c r="BB1006" s="343"/>
      <c r="BC1006" s="538"/>
      <c r="BD1006" s="343"/>
      <c r="BE1006" s="343"/>
      <c r="BG1006" s="644"/>
      <c r="BH1006" s="515"/>
      <c r="BI1006" s="515"/>
      <c r="BJ1006" s="644"/>
      <c r="BK1006" s="515"/>
      <c r="BL1006" s="515"/>
      <c r="BM1006" s="644"/>
      <c r="BN1006" s="515"/>
      <c r="BO1006" s="515"/>
      <c r="BP1006" s="644"/>
      <c r="BQ1006" s="515"/>
      <c r="BR1006" s="515"/>
    </row>
    <row r="1007" spans="4:70" x14ac:dyDescent="0.25">
      <c r="D1007" s="538"/>
      <c r="G1007" s="538"/>
      <c r="J1007" s="538"/>
      <c r="M1007" s="538"/>
      <c r="R1007" s="538"/>
      <c r="S1007" s="343"/>
      <c r="T1007" s="343"/>
      <c r="U1007" s="538"/>
      <c r="V1007" s="343"/>
      <c r="W1007" s="343"/>
      <c r="X1007" s="538"/>
      <c r="Y1007" s="343"/>
      <c r="Z1007" s="343"/>
      <c r="AA1007" s="538"/>
      <c r="AB1007" s="343"/>
      <c r="AC1007" s="343"/>
      <c r="AE1007" s="343"/>
      <c r="AF1007" s="538"/>
      <c r="AG1007" s="343"/>
      <c r="AH1007" s="343"/>
      <c r="AI1007" s="538"/>
      <c r="AJ1007" s="343"/>
      <c r="AK1007" s="343"/>
      <c r="AL1007" s="538"/>
      <c r="AM1007" s="343"/>
      <c r="AN1007" s="343"/>
      <c r="AO1007" s="538"/>
      <c r="AP1007" s="343"/>
      <c r="AQ1007" s="343"/>
      <c r="AS1007" s="343"/>
      <c r="AT1007" s="538"/>
      <c r="AU1007" s="343"/>
      <c r="AV1007" s="343"/>
      <c r="AW1007" s="538"/>
      <c r="AX1007" s="343"/>
      <c r="AY1007" s="343"/>
      <c r="AZ1007" s="538"/>
      <c r="BA1007" s="343"/>
      <c r="BB1007" s="343"/>
      <c r="BC1007" s="538"/>
      <c r="BD1007" s="343"/>
      <c r="BE1007" s="343"/>
      <c r="BG1007" s="644"/>
      <c r="BH1007" s="515"/>
      <c r="BI1007" s="515"/>
      <c r="BJ1007" s="644"/>
      <c r="BK1007" s="515"/>
      <c r="BL1007" s="515"/>
      <c r="BM1007" s="644"/>
      <c r="BN1007" s="515"/>
      <c r="BO1007" s="515"/>
      <c r="BP1007" s="644"/>
      <c r="BQ1007" s="515"/>
      <c r="BR1007" s="515"/>
    </row>
    <row r="1008" spans="4:70" x14ac:dyDescent="0.25">
      <c r="D1008" s="538"/>
      <c r="G1008" s="538"/>
      <c r="J1008" s="538"/>
      <c r="M1008" s="538"/>
      <c r="R1008" s="538"/>
      <c r="S1008" s="343"/>
      <c r="T1008" s="343"/>
      <c r="U1008" s="538"/>
      <c r="V1008" s="343"/>
      <c r="W1008" s="343"/>
      <c r="X1008" s="538"/>
      <c r="Y1008" s="343"/>
      <c r="Z1008" s="343"/>
      <c r="AA1008" s="538"/>
      <c r="AB1008" s="343"/>
      <c r="AC1008" s="343"/>
      <c r="AE1008" s="343"/>
      <c r="AF1008" s="538"/>
      <c r="AG1008" s="343"/>
      <c r="AH1008" s="343"/>
      <c r="AI1008" s="538"/>
      <c r="AJ1008" s="343"/>
      <c r="AK1008" s="343"/>
      <c r="AL1008" s="538"/>
      <c r="AM1008" s="343"/>
      <c r="AN1008" s="343"/>
      <c r="AO1008" s="538"/>
      <c r="AP1008" s="343"/>
      <c r="AQ1008" s="343"/>
      <c r="AS1008" s="343"/>
      <c r="AT1008" s="538"/>
      <c r="AU1008" s="343"/>
      <c r="AV1008" s="343"/>
      <c r="AW1008" s="538"/>
      <c r="AX1008" s="343"/>
      <c r="AY1008" s="343"/>
      <c r="AZ1008" s="538"/>
      <c r="BA1008" s="343"/>
      <c r="BB1008" s="343"/>
      <c r="BC1008" s="538"/>
      <c r="BD1008" s="343"/>
      <c r="BE1008" s="343"/>
      <c r="BG1008" s="644"/>
      <c r="BH1008" s="515"/>
      <c r="BI1008" s="515"/>
      <c r="BJ1008" s="644"/>
      <c r="BK1008" s="515"/>
      <c r="BL1008" s="515"/>
      <c r="BM1008" s="644"/>
      <c r="BN1008" s="515"/>
      <c r="BO1008" s="515"/>
      <c r="BP1008" s="644"/>
      <c r="BQ1008" s="515"/>
      <c r="BR1008" s="515"/>
    </row>
    <row r="1009" spans="4:70" x14ac:dyDescent="0.25">
      <c r="D1009" s="538"/>
      <c r="G1009" s="538"/>
      <c r="J1009" s="538"/>
      <c r="M1009" s="538"/>
      <c r="R1009" s="538"/>
      <c r="S1009" s="343"/>
      <c r="T1009" s="343"/>
      <c r="U1009" s="538"/>
      <c r="V1009" s="343"/>
      <c r="W1009" s="343"/>
      <c r="X1009" s="538"/>
      <c r="Y1009" s="343"/>
      <c r="Z1009" s="343"/>
      <c r="AA1009" s="538"/>
      <c r="AB1009" s="343"/>
      <c r="AC1009" s="343"/>
      <c r="AE1009" s="343"/>
      <c r="AF1009" s="538"/>
      <c r="AG1009" s="343"/>
      <c r="AH1009" s="343"/>
      <c r="AI1009" s="538"/>
      <c r="AJ1009" s="343"/>
      <c r="AK1009" s="343"/>
      <c r="AL1009" s="538"/>
      <c r="AM1009" s="343"/>
      <c r="AN1009" s="343"/>
      <c r="AO1009" s="538"/>
      <c r="AP1009" s="343"/>
      <c r="AQ1009" s="343"/>
      <c r="AS1009" s="343"/>
      <c r="AT1009" s="538"/>
      <c r="AU1009" s="343"/>
      <c r="AV1009" s="343"/>
      <c r="AW1009" s="538"/>
      <c r="AX1009" s="343"/>
      <c r="AY1009" s="343"/>
      <c r="AZ1009" s="538"/>
      <c r="BA1009" s="343"/>
      <c r="BB1009" s="343"/>
      <c r="BC1009" s="538"/>
      <c r="BD1009" s="343"/>
      <c r="BE1009" s="343"/>
      <c r="BG1009" s="644"/>
      <c r="BH1009" s="515"/>
      <c r="BI1009" s="515"/>
      <c r="BJ1009" s="644"/>
      <c r="BK1009" s="515"/>
      <c r="BL1009" s="515"/>
      <c r="BM1009" s="644"/>
      <c r="BN1009" s="515"/>
      <c r="BO1009" s="515"/>
      <c r="BP1009" s="644"/>
      <c r="BQ1009" s="515"/>
      <c r="BR1009" s="515"/>
    </row>
    <row r="1010" spans="4:70" x14ac:dyDescent="0.25">
      <c r="D1010" s="538"/>
      <c r="G1010" s="538"/>
      <c r="J1010" s="538"/>
      <c r="M1010" s="538"/>
      <c r="R1010" s="538"/>
      <c r="S1010" s="343"/>
      <c r="T1010" s="343"/>
      <c r="U1010" s="538"/>
      <c r="V1010" s="343"/>
      <c r="W1010" s="343"/>
      <c r="X1010" s="538"/>
      <c r="Y1010" s="343"/>
      <c r="Z1010" s="343"/>
      <c r="AA1010" s="538"/>
      <c r="AB1010" s="343"/>
      <c r="AC1010" s="343"/>
      <c r="AE1010" s="343"/>
      <c r="AF1010" s="538"/>
      <c r="AG1010" s="343"/>
      <c r="AH1010" s="343"/>
      <c r="AI1010" s="538"/>
      <c r="AJ1010" s="343"/>
      <c r="AK1010" s="343"/>
      <c r="AL1010" s="538"/>
      <c r="AM1010" s="343"/>
      <c r="AN1010" s="343"/>
      <c r="AO1010" s="538"/>
      <c r="AP1010" s="343"/>
      <c r="AQ1010" s="343"/>
      <c r="AS1010" s="343"/>
      <c r="AT1010" s="538"/>
      <c r="AU1010" s="343"/>
      <c r="AV1010" s="343"/>
      <c r="AW1010" s="538"/>
      <c r="AX1010" s="343"/>
      <c r="AY1010" s="343"/>
      <c r="AZ1010" s="538"/>
      <c r="BA1010" s="343"/>
      <c r="BB1010" s="343"/>
      <c r="BC1010" s="538"/>
      <c r="BD1010" s="343"/>
      <c r="BE1010" s="343"/>
      <c r="BG1010" s="644"/>
      <c r="BH1010" s="515"/>
      <c r="BI1010" s="515"/>
      <c r="BJ1010" s="644"/>
      <c r="BK1010" s="515"/>
      <c r="BL1010" s="515"/>
      <c r="BM1010" s="644"/>
      <c r="BN1010" s="515"/>
      <c r="BO1010" s="515"/>
      <c r="BP1010" s="644"/>
      <c r="BQ1010" s="515"/>
      <c r="BR1010" s="515"/>
    </row>
    <row r="1011" spans="4:70" x14ac:dyDescent="0.25">
      <c r="D1011" s="538"/>
      <c r="G1011" s="538"/>
      <c r="J1011" s="538"/>
      <c r="M1011" s="538"/>
      <c r="R1011" s="538"/>
      <c r="S1011" s="343"/>
      <c r="T1011" s="343"/>
      <c r="U1011" s="538"/>
      <c r="V1011" s="343"/>
      <c r="W1011" s="343"/>
      <c r="X1011" s="538"/>
      <c r="Y1011" s="343"/>
      <c r="Z1011" s="343"/>
      <c r="AA1011" s="538"/>
      <c r="AB1011" s="343"/>
      <c r="AC1011" s="343"/>
      <c r="AE1011" s="343"/>
      <c r="AF1011" s="538"/>
      <c r="AG1011" s="343"/>
      <c r="AH1011" s="343"/>
      <c r="AI1011" s="538"/>
      <c r="AJ1011" s="343"/>
      <c r="AK1011" s="343"/>
      <c r="AL1011" s="538"/>
      <c r="AM1011" s="343"/>
      <c r="AN1011" s="343"/>
      <c r="AO1011" s="538"/>
      <c r="AP1011" s="343"/>
      <c r="AQ1011" s="343"/>
      <c r="AS1011" s="343"/>
      <c r="AT1011" s="538"/>
      <c r="AU1011" s="343"/>
      <c r="AV1011" s="343"/>
      <c r="AW1011" s="538"/>
      <c r="AX1011" s="343"/>
      <c r="AY1011" s="343"/>
      <c r="AZ1011" s="538"/>
      <c r="BA1011" s="343"/>
      <c r="BB1011" s="343"/>
      <c r="BC1011" s="538"/>
      <c r="BD1011" s="343"/>
      <c r="BE1011" s="343"/>
      <c r="BG1011" s="644"/>
      <c r="BH1011" s="515"/>
      <c r="BI1011" s="515"/>
      <c r="BJ1011" s="644"/>
      <c r="BK1011" s="515"/>
      <c r="BL1011" s="515"/>
      <c r="BM1011" s="644"/>
      <c r="BN1011" s="515"/>
      <c r="BO1011" s="515"/>
      <c r="BP1011" s="644"/>
      <c r="BQ1011" s="515"/>
      <c r="BR1011" s="515"/>
    </row>
    <row r="1012" spans="4:70" x14ac:dyDescent="0.25">
      <c r="D1012" s="538"/>
      <c r="G1012" s="538"/>
      <c r="J1012" s="538"/>
      <c r="M1012" s="538"/>
      <c r="R1012" s="538"/>
      <c r="S1012" s="343"/>
      <c r="T1012" s="343"/>
      <c r="U1012" s="538"/>
      <c r="V1012" s="343"/>
      <c r="W1012" s="343"/>
      <c r="X1012" s="538"/>
      <c r="Y1012" s="343"/>
      <c r="Z1012" s="343"/>
      <c r="AA1012" s="538"/>
      <c r="AB1012" s="343"/>
      <c r="AC1012" s="343"/>
      <c r="AE1012" s="343"/>
      <c r="AF1012" s="538"/>
      <c r="AG1012" s="343"/>
      <c r="AH1012" s="343"/>
      <c r="AI1012" s="538"/>
      <c r="AJ1012" s="343"/>
      <c r="AK1012" s="343"/>
      <c r="AL1012" s="538"/>
      <c r="AM1012" s="343"/>
      <c r="AN1012" s="343"/>
      <c r="AO1012" s="538"/>
      <c r="AP1012" s="343"/>
      <c r="AQ1012" s="343"/>
      <c r="AS1012" s="343"/>
      <c r="AT1012" s="538"/>
      <c r="AU1012" s="343"/>
      <c r="AV1012" s="343"/>
      <c r="AW1012" s="538"/>
      <c r="AX1012" s="343"/>
      <c r="AY1012" s="343"/>
      <c r="AZ1012" s="538"/>
      <c r="BA1012" s="343"/>
      <c r="BB1012" s="343"/>
      <c r="BC1012" s="538"/>
      <c r="BD1012" s="343"/>
      <c r="BE1012" s="343"/>
      <c r="BG1012" s="644"/>
      <c r="BH1012" s="515"/>
      <c r="BI1012" s="515"/>
      <c r="BJ1012" s="644"/>
      <c r="BK1012" s="515"/>
      <c r="BL1012" s="515"/>
      <c r="BM1012" s="644"/>
      <c r="BN1012" s="515"/>
      <c r="BO1012" s="515"/>
      <c r="BP1012" s="644"/>
      <c r="BQ1012" s="515"/>
      <c r="BR1012" s="515"/>
    </row>
    <row r="1013" spans="4:70" x14ac:dyDescent="0.25">
      <c r="D1013" s="538"/>
      <c r="G1013" s="538"/>
      <c r="J1013" s="538"/>
      <c r="M1013" s="538"/>
      <c r="R1013" s="538"/>
      <c r="S1013" s="343"/>
      <c r="T1013" s="343"/>
      <c r="U1013" s="538"/>
      <c r="V1013" s="343"/>
      <c r="W1013" s="343"/>
      <c r="X1013" s="538"/>
      <c r="Y1013" s="343"/>
      <c r="Z1013" s="343"/>
      <c r="AA1013" s="538"/>
      <c r="AB1013" s="343"/>
      <c r="AC1013" s="343"/>
      <c r="AE1013" s="343"/>
      <c r="AF1013" s="538"/>
      <c r="AG1013" s="343"/>
      <c r="AH1013" s="343"/>
      <c r="AI1013" s="538"/>
      <c r="AJ1013" s="343"/>
      <c r="AK1013" s="343"/>
      <c r="AL1013" s="538"/>
      <c r="AM1013" s="343"/>
      <c r="AN1013" s="343"/>
      <c r="AO1013" s="538"/>
      <c r="AP1013" s="343"/>
      <c r="AQ1013" s="343"/>
      <c r="AS1013" s="343"/>
      <c r="AT1013" s="538"/>
      <c r="AU1013" s="343"/>
      <c r="AV1013" s="343"/>
      <c r="AW1013" s="538"/>
      <c r="AX1013" s="343"/>
      <c r="AY1013" s="343"/>
      <c r="AZ1013" s="538"/>
      <c r="BA1013" s="343"/>
      <c r="BB1013" s="343"/>
      <c r="BC1013" s="538"/>
      <c r="BD1013" s="343"/>
      <c r="BE1013" s="343"/>
      <c r="BG1013" s="644"/>
      <c r="BH1013" s="515"/>
      <c r="BI1013" s="515"/>
      <c r="BJ1013" s="644"/>
      <c r="BK1013" s="515"/>
      <c r="BL1013" s="515"/>
      <c r="BM1013" s="644"/>
      <c r="BN1013" s="515"/>
      <c r="BO1013" s="515"/>
      <c r="BP1013" s="644"/>
      <c r="BQ1013" s="515"/>
      <c r="BR1013" s="515"/>
    </row>
    <row r="1014" spans="4:70" x14ac:dyDescent="0.25">
      <c r="D1014" s="538"/>
      <c r="G1014" s="538"/>
      <c r="J1014" s="538"/>
      <c r="M1014" s="538"/>
      <c r="R1014" s="538"/>
      <c r="S1014" s="343"/>
      <c r="T1014" s="343"/>
      <c r="U1014" s="538"/>
      <c r="V1014" s="343"/>
      <c r="W1014" s="343"/>
      <c r="X1014" s="538"/>
      <c r="Y1014" s="343"/>
      <c r="Z1014" s="343"/>
      <c r="AA1014" s="538"/>
      <c r="AB1014" s="343"/>
      <c r="AC1014" s="343"/>
      <c r="AE1014" s="343"/>
      <c r="AF1014" s="538"/>
      <c r="AG1014" s="343"/>
      <c r="AH1014" s="343"/>
      <c r="AI1014" s="538"/>
      <c r="AJ1014" s="343"/>
      <c r="AK1014" s="343"/>
      <c r="AL1014" s="538"/>
      <c r="AM1014" s="343"/>
      <c r="AN1014" s="343"/>
      <c r="AO1014" s="538"/>
      <c r="AP1014" s="343"/>
      <c r="AQ1014" s="343"/>
      <c r="AS1014" s="343"/>
      <c r="AT1014" s="538"/>
      <c r="AU1014" s="343"/>
      <c r="AV1014" s="343"/>
      <c r="AW1014" s="538"/>
      <c r="AX1014" s="343"/>
      <c r="AY1014" s="343"/>
      <c r="AZ1014" s="538"/>
      <c r="BA1014" s="343"/>
      <c r="BB1014" s="343"/>
      <c r="BC1014" s="538"/>
      <c r="BD1014" s="343"/>
      <c r="BE1014" s="343"/>
      <c r="BG1014" s="644"/>
      <c r="BH1014" s="515"/>
      <c r="BI1014" s="515"/>
      <c r="BJ1014" s="644"/>
      <c r="BK1014" s="515"/>
      <c r="BL1014" s="515"/>
      <c r="BM1014" s="644"/>
      <c r="BN1014" s="515"/>
      <c r="BO1014" s="515"/>
      <c r="BP1014" s="644"/>
      <c r="BQ1014" s="515"/>
      <c r="BR1014" s="515"/>
    </row>
    <row r="1015" spans="4:70" x14ac:dyDescent="0.25">
      <c r="D1015" s="538"/>
      <c r="G1015" s="538"/>
      <c r="J1015" s="538"/>
      <c r="M1015" s="538"/>
      <c r="R1015" s="538"/>
      <c r="S1015" s="343"/>
      <c r="T1015" s="343"/>
      <c r="U1015" s="538"/>
      <c r="V1015" s="343"/>
      <c r="W1015" s="343"/>
      <c r="X1015" s="538"/>
      <c r="Y1015" s="343"/>
      <c r="Z1015" s="343"/>
      <c r="AA1015" s="538"/>
      <c r="AB1015" s="343"/>
      <c r="AC1015" s="343"/>
      <c r="AE1015" s="343"/>
      <c r="AF1015" s="538"/>
      <c r="AG1015" s="343"/>
      <c r="AH1015" s="343"/>
      <c r="AI1015" s="538"/>
      <c r="AJ1015" s="343"/>
      <c r="AK1015" s="343"/>
      <c r="AL1015" s="538"/>
      <c r="AM1015" s="343"/>
      <c r="AN1015" s="343"/>
      <c r="AO1015" s="538"/>
      <c r="AP1015" s="343"/>
      <c r="AQ1015" s="343"/>
      <c r="AS1015" s="343"/>
      <c r="AT1015" s="538"/>
      <c r="AU1015" s="343"/>
      <c r="AV1015" s="343"/>
      <c r="AW1015" s="538"/>
      <c r="AX1015" s="343"/>
      <c r="AY1015" s="343"/>
      <c r="AZ1015" s="538"/>
      <c r="BA1015" s="343"/>
      <c r="BB1015" s="343"/>
      <c r="BC1015" s="538"/>
      <c r="BD1015" s="343"/>
      <c r="BE1015" s="343"/>
      <c r="BG1015" s="644"/>
      <c r="BH1015" s="515"/>
      <c r="BI1015" s="515"/>
      <c r="BJ1015" s="644"/>
      <c r="BK1015" s="515"/>
      <c r="BL1015" s="515"/>
      <c r="BM1015" s="644"/>
      <c r="BN1015" s="515"/>
      <c r="BO1015" s="515"/>
      <c r="BP1015" s="644"/>
      <c r="BQ1015" s="515"/>
      <c r="BR1015" s="515"/>
    </row>
    <row r="1016" spans="4:70" x14ac:dyDescent="0.25">
      <c r="D1016" s="538"/>
      <c r="G1016" s="538"/>
      <c r="J1016" s="538"/>
      <c r="M1016" s="538"/>
      <c r="R1016" s="538"/>
      <c r="S1016" s="343"/>
      <c r="T1016" s="343"/>
      <c r="U1016" s="538"/>
      <c r="V1016" s="343"/>
      <c r="W1016" s="343"/>
      <c r="X1016" s="538"/>
      <c r="Y1016" s="343"/>
      <c r="Z1016" s="343"/>
      <c r="AA1016" s="538"/>
      <c r="AB1016" s="343"/>
      <c r="AC1016" s="343"/>
      <c r="AE1016" s="343"/>
      <c r="AF1016" s="538"/>
      <c r="AG1016" s="343"/>
      <c r="AH1016" s="343"/>
      <c r="AI1016" s="538"/>
      <c r="AJ1016" s="343"/>
      <c r="AK1016" s="343"/>
      <c r="AL1016" s="538"/>
      <c r="AM1016" s="343"/>
      <c r="AN1016" s="343"/>
      <c r="AO1016" s="538"/>
      <c r="AP1016" s="343"/>
      <c r="AQ1016" s="343"/>
      <c r="AS1016" s="343"/>
      <c r="AT1016" s="538"/>
      <c r="AU1016" s="343"/>
      <c r="AV1016" s="343"/>
      <c r="AW1016" s="538"/>
      <c r="AX1016" s="343"/>
      <c r="AY1016" s="343"/>
      <c r="AZ1016" s="538"/>
      <c r="BA1016" s="343"/>
      <c r="BB1016" s="343"/>
      <c r="BC1016" s="538"/>
      <c r="BD1016" s="343"/>
      <c r="BE1016" s="343"/>
      <c r="BG1016" s="644"/>
      <c r="BH1016" s="515"/>
      <c r="BI1016" s="515"/>
      <c r="BJ1016" s="644"/>
      <c r="BK1016" s="515"/>
      <c r="BL1016" s="515"/>
      <c r="BM1016" s="644"/>
      <c r="BN1016" s="515"/>
      <c r="BO1016" s="515"/>
      <c r="BP1016" s="644"/>
      <c r="BQ1016" s="515"/>
      <c r="BR1016" s="515"/>
    </row>
    <row r="1017" spans="4:70" x14ac:dyDescent="0.25">
      <c r="D1017" s="538"/>
      <c r="G1017" s="538"/>
      <c r="J1017" s="538"/>
      <c r="M1017" s="538"/>
      <c r="R1017" s="538"/>
      <c r="S1017" s="343"/>
      <c r="T1017" s="343"/>
      <c r="U1017" s="538"/>
      <c r="V1017" s="343"/>
      <c r="W1017" s="343"/>
      <c r="X1017" s="538"/>
      <c r="Y1017" s="343"/>
      <c r="Z1017" s="343"/>
      <c r="AA1017" s="538"/>
      <c r="AB1017" s="343"/>
      <c r="AC1017" s="343"/>
      <c r="AE1017" s="343"/>
      <c r="AF1017" s="538"/>
      <c r="AG1017" s="343"/>
      <c r="AH1017" s="343"/>
      <c r="AI1017" s="538"/>
      <c r="AJ1017" s="343"/>
      <c r="AK1017" s="343"/>
      <c r="AL1017" s="538"/>
      <c r="AM1017" s="343"/>
      <c r="AN1017" s="343"/>
      <c r="AO1017" s="538"/>
      <c r="AP1017" s="343"/>
      <c r="AQ1017" s="343"/>
      <c r="AS1017" s="343"/>
      <c r="AT1017" s="538"/>
      <c r="AU1017" s="343"/>
      <c r="AV1017" s="343"/>
      <c r="AW1017" s="538"/>
      <c r="AX1017" s="343"/>
      <c r="AY1017" s="343"/>
      <c r="AZ1017" s="538"/>
      <c r="BA1017" s="343"/>
      <c r="BB1017" s="343"/>
      <c r="BC1017" s="538"/>
      <c r="BD1017" s="343"/>
      <c r="BE1017" s="343"/>
      <c r="BG1017" s="644"/>
      <c r="BH1017" s="515"/>
      <c r="BI1017" s="515"/>
      <c r="BJ1017" s="644"/>
      <c r="BK1017" s="515"/>
      <c r="BL1017" s="515"/>
      <c r="BM1017" s="644"/>
      <c r="BN1017" s="515"/>
      <c r="BO1017" s="515"/>
      <c r="BP1017" s="644"/>
      <c r="BQ1017" s="515"/>
      <c r="BR1017" s="515"/>
    </row>
    <row r="1018" spans="4:70" x14ac:dyDescent="0.25">
      <c r="D1018" s="538"/>
      <c r="G1018" s="538"/>
      <c r="J1018" s="538"/>
      <c r="M1018" s="538"/>
      <c r="R1018" s="538"/>
      <c r="S1018" s="343"/>
      <c r="T1018" s="343"/>
      <c r="U1018" s="538"/>
      <c r="V1018" s="343"/>
      <c r="W1018" s="343"/>
      <c r="X1018" s="538"/>
      <c r="Y1018" s="343"/>
      <c r="Z1018" s="343"/>
      <c r="AA1018" s="538"/>
      <c r="AB1018" s="343"/>
      <c r="AC1018" s="343"/>
      <c r="AE1018" s="343"/>
      <c r="AF1018" s="538"/>
      <c r="AG1018" s="343"/>
      <c r="AH1018" s="343"/>
      <c r="AI1018" s="538"/>
      <c r="AJ1018" s="343"/>
      <c r="AK1018" s="343"/>
      <c r="AL1018" s="538"/>
      <c r="AM1018" s="343"/>
      <c r="AN1018" s="343"/>
      <c r="AO1018" s="538"/>
      <c r="AP1018" s="343"/>
      <c r="AQ1018" s="343"/>
      <c r="AS1018" s="343"/>
      <c r="AT1018" s="538"/>
      <c r="AU1018" s="343"/>
      <c r="AV1018" s="343"/>
      <c r="AW1018" s="538"/>
      <c r="AX1018" s="343"/>
      <c r="AY1018" s="343"/>
      <c r="AZ1018" s="538"/>
      <c r="BA1018" s="343"/>
      <c r="BB1018" s="343"/>
      <c r="BC1018" s="538"/>
      <c r="BD1018" s="343"/>
      <c r="BE1018" s="343"/>
      <c r="BG1018" s="644"/>
      <c r="BH1018" s="515"/>
      <c r="BI1018" s="515"/>
      <c r="BJ1018" s="644"/>
      <c r="BK1018" s="515"/>
      <c r="BL1018" s="515"/>
      <c r="BM1018" s="644"/>
      <c r="BN1018" s="515"/>
      <c r="BO1018" s="515"/>
      <c r="BP1018" s="644"/>
      <c r="BQ1018" s="515"/>
      <c r="BR1018" s="515"/>
    </row>
    <row r="1019" spans="4:70" x14ac:dyDescent="0.25">
      <c r="D1019" s="538"/>
      <c r="G1019" s="538"/>
      <c r="J1019" s="538"/>
      <c r="M1019" s="538"/>
      <c r="R1019" s="538"/>
      <c r="S1019" s="343"/>
      <c r="T1019" s="343"/>
      <c r="U1019" s="538"/>
      <c r="V1019" s="343"/>
      <c r="W1019" s="343"/>
      <c r="X1019" s="538"/>
      <c r="Y1019" s="343"/>
      <c r="Z1019" s="343"/>
      <c r="AA1019" s="538"/>
      <c r="AB1019" s="343"/>
      <c r="AC1019" s="343"/>
      <c r="AE1019" s="343"/>
      <c r="AF1019" s="538"/>
      <c r="AG1019" s="343"/>
      <c r="AH1019" s="343"/>
      <c r="AI1019" s="538"/>
      <c r="AJ1019" s="343"/>
      <c r="AK1019" s="343"/>
      <c r="AL1019" s="538"/>
      <c r="AM1019" s="343"/>
      <c r="AN1019" s="343"/>
      <c r="AO1019" s="538"/>
      <c r="AP1019" s="343"/>
      <c r="AQ1019" s="343"/>
      <c r="AS1019" s="343"/>
      <c r="AT1019" s="538"/>
      <c r="AU1019" s="343"/>
      <c r="AV1019" s="343"/>
      <c r="AW1019" s="538"/>
      <c r="AX1019" s="343"/>
      <c r="AY1019" s="343"/>
      <c r="AZ1019" s="538"/>
      <c r="BA1019" s="343"/>
      <c r="BB1019" s="343"/>
      <c r="BC1019" s="538"/>
      <c r="BD1019" s="343"/>
      <c r="BE1019" s="343"/>
      <c r="BG1019" s="644"/>
      <c r="BH1019" s="515"/>
      <c r="BI1019" s="515"/>
      <c r="BJ1019" s="644"/>
      <c r="BK1019" s="515"/>
      <c r="BL1019" s="515"/>
      <c r="BM1019" s="644"/>
      <c r="BN1019" s="515"/>
      <c r="BO1019" s="515"/>
      <c r="BP1019" s="644"/>
      <c r="BQ1019" s="515"/>
      <c r="BR1019" s="515"/>
    </row>
    <row r="1020" spans="4:70" x14ac:dyDescent="0.25">
      <c r="D1020" s="538"/>
      <c r="G1020" s="538"/>
      <c r="J1020" s="538"/>
      <c r="M1020" s="538"/>
      <c r="R1020" s="538"/>
      <c r="S1020" s="343"/>
      <c r="T1020" s="343"/>
      <c r="U1020" s="538"/>
      <c r="V1020" s="343"/>
      <c r="W1020" s="343"/>
      <c r="X1020" s="538"/>
      <c r="Y1020" s="343"/>
      <c r="Z1020" s="343"/>
      <c r="AA1020" s="538"/>
      <c r="AB1020" s="343"/>
      <c r="AC1020" s="343"/>
      <c r="AE1020" s="343"/>
      <c r="AF1020" s="538"/>
      <c r="AG1020" s="343"/>
      <c r="AH1020" s="343"/>
      <c r="AI1020" s="538"/>
      <c r="AJ1020" s="343"/>
      <c r="AK1020" s="343"/>
      <c r="AL1020" s="538"/>
      <c r="AM1020" s="343"/>
      <c r="AN1020" s="343"/>
      <c r="AO1020" s="538"/>
      <c r="AP1020" s="343"/>
      <c r="AQ1020" s="343"/>
      <c r="AS1020" s="343"/>
      <c r="AT1020" s="538"/>
      <c r="AU1020" s="343"/>
      <c r="AV1020" s="343"/>
      <c r="AW1020" s="538"/>
      <c r="AX1020" s="343"/>
      <c r="AY1020" s="343"/>
      <c r="AZ1020" s="538"/>
      <c r="BA1020" s="343"/>
      <c r="BB1020" s="343"/>
      <c r="BC1020" s="538"/>
      <c r="BD1020" s="343"/>
      <c r="BE1020" s="343"/>
      <c r="BG1020" s="644"/>
      <c r="BH1020" s="515"/>
      <c r="BI1020" s="515"/>
      <c r="BJ1020" s="644"/>
      <c r="BK1020" s="515"/>
      <c r="BL1020" s="515"/>
      <c r="BM1020" s="644"/>
      <c r="BN1020" s="515"/>
      <c r="BO1020" s="515"/>
      <c r="BP1020" s="644"/>
      <c r="BQ1020" s="515"/>
      <c r="BR1020" s="515"/>
    </row>
    <row r="1021" spans="4:70" x14ac:dyDescent="0.25">
      <c r="D1021" s="538"/>
      <c r="G1021" s="538"/>
      <c r="J1021" s="538"/>
      <c r="M1021" s="538"/>
      <c r="R1021" s="538"/>
      <c r="S1021" s="343"/>
      <c r="T1021" s="343"/>
      <c r="U1021" s="538"/>
      <c r="V1021" s="343"/>
      <c r="W1021" s="343"/>
      <c r="X1021" s="538"/>
      <c r="Y1021" s="343"/>
      <c r="Z1021" s="343"/>
      <c r="AA1021" s="538"/>
      <c r="AB1021" s="343"/>
      <c r="AC1021" s="343"/>
      <c r="AE1021" s="343"/>
      <c r="AF1021" s="538"/>
      <c r="AG1021" s="343"/>
      <c r="AH1021" s="343"/>
      <c r="AI1021" s="538"/>
      <c r="AJ1021" s="343"/>
      <c r="AK1021" s="343"/>
      <c r="AL1021" s="538"/>
      <c r="AM1021" s="343"/>
      <c r="AN1021" s="343"/>
      <c r="AO1021" s="538"/>
      <c r="AP1021" s="343"/>
      <c r="AQ1021" s="343"/>
      <c r="AS1021" s="343"/>
      <c r="AT1021" s="538"/>
      <c r="AU1021" s="343"/>
      <c r="AV1021" s="343"/>
      <c r="AW1021" s="538"/>
      <c r="AX1021" s="343"/>
      <c r="AY1021" s="343"/>
      <c r="AZ1021" s="538"/>
      <c r="BA1021" s="343"/>
      <c r="BB1021" s="343"/>
      <c r="BC1021" s="538"/>
      <c r="BD1021" s="343"/>
      <c r="BE1021" s="343"/>
      <c r="BG1021" s="644"/>
      <c r="BH1021" s="515"/>
      <c r="BI1021" s="515"/>
      <c r="BJ1021" s="644"/>
      <c r="BK1021" s="515"/>
      <c r="BL1021" s="515"/>
      <c r="BM1021" s="644"/>
      <c r="BN1021" s="515"/>
      <c r="BO1021" s="515"/>
      <c r="BP1021" s="644"/>
      <c r="BQ1021" s="515"/>
      <c r="BR1021" s="515"/>
    </row>
    <row r="1022" spans="4:70" x14ac:dyDescent="0.25">
      <c r="D1022" s="538"/>
      <c r="G1022" s="538"/>
      <c r="J1022" s="538"/>
      <c r="M1022" s="538"/>
      <c r="R1022" s="538"/>
      <c r="S1022" s="343"/>
      <c r="T1022" s="343"/>
      <c r="U1022" s="538"/>
      <c r="V1022" s="343"/>
      <c r="W1022" s="343"/>
      <c r="X1022" s="538"/>
      <c r="Y1022" s="343"/>
      <c r="Z1022" s="343"/>
      <c r="AA1022" s="538"/>
      <c r="AB1022" s="343"/>
      <c r="AC1022" s="343"/>
      <c r="AE1022" s="343"/>
      <c r="AF1022" s="538"/>
      <c r="AG1022" s="343"/>
      <c r="AH1022" s="343"/>
      <c r="AI1022" s="538"/>
      <c r="AJ1022" s="343"/>
      <c r="AK1022" s="343"/>
      <c r="AL1022" s="538"/>
      <c r="AM1022" s="343"/>
      <c r="AN1022" s="343"/>
      <c r="AO1022" s="538"/>
      <c r="AP1022" s="343"/>
      <c r="AQ1022" s="343"/>
      <c r="AS1022" s="343"/>
      <c r="AT1022" s="538"/>
      <c r="AU1022" s="343"/>
      <c r="AV1022" s="343"/>
      <c r="AW1022" s="538"/>
      <c r="AX1022" s="343"/>
      <c r="AY1022" s="343"/>
      <c r="AZ1022" s="538"/>
      <c r="BA1022" s="343"/>
      <c r="BB1022" s="343"/>
      <c r="BC1022" s="538"/>
      <c r="BD1022" s="343"/>
      <c r="BE1022" s="343"/>
      <c r="BG1022" s="644"/>
      <c r="BH1022" s="515"/>
      <c r="BI1022" s="515"/>
      <c r="BJ1022" s="644"/>
      <c r="BK1022" s="515"/>
      <c r="BL1022" s="515"/>
      <c r="BM1022" s="644"/>
      <c r="BN1022" s="515"/>
      <c r="BO1022" s="515"/>
      <c r="BP1022" s="644"/>
      <c r="BQ1022" s="515"/>
      <c r="BR1022" s="515"/>
    </row>
    <row r="1023" spans="4:70" x14ac:dyDescent="0.25">
      <c r="D1023" s="538"/>
      <c r="G1023" s="538"/>
      <c r="J1023" s="538"/>
      <c r="M1023" s="538"/>
      <c r="R1023" s="538"/>
      <c r="S1023" s="343"/>
      <c r="T1023" s="343"/>
      <c r="U1023" s="538"/>
      <c r="V1023" s="343"/>
      <c r="W1023" s="343"/>
      <c r="X1023" s="538"/>
      <c r="Y1023" s="343"/>
      <c r="Z1023" s="343"/>
      <c r="AA1023" s="538"/>
      <c r="AB1023" s="343"/>
      <c r="AC1023" s="343"/>
      <c r="AE1023" s="343"/>
      <c r="AF1023" s="538"/>
      <c r="AG1023" s="343"/>
      <c r="AH1023" s="343"/>
      <c r="AI1023" s="538"/>
      <c r="AJ1023" s="343"/>
      <c r="AK1023" s="343"/>
      <c r="AL1023" s="538"/>
      <c r="AM1023" s="343"/>
      <c r="AN1023" s="343"/>
      <c r="AO1023" s="538"/>
      <c r="AP1023" s="343"/>
      <c r="AQ1023" s="343"/>
      <c r="AS1023" s="343"/>
      <c r="AT1023" s="538"/>
      <c r="AU1023" s="343"/>
      <c r="AV1023" s="343"/>
      <c r="AW1023" s="538"/>
      <c r="AX1023" s="343"/>
      <c r="AY1023" s="343"/>
      <c r="AZ1023" s="538"/>
      <c r="BA1023" s="343"/>
      <c r="BB1023" s="343"/>
      <c r="BC1023" s="538"/>
      <c r="BD1023" s="343"/>
      <c r="BE1023" s="343"/>
      <c r="BG1023" s="644"/>
      <c r="BH1023" s="515"/>
      <c r="BI1023" s="515"/>
      <c r="BJ1023" s="644"/>
      <c r="BK1023" s="515"/>
      <c r="BL1023" s="515"/>
      <c r="BM1023" s="644"/>
      <c r="BN1023" s="515"/>
      <c r="BO1023" s="515"/>
      <c r="BP1023" s="644"/>
      <c r="BQ1023" s="515"/>
      <c r="BR1023" s="515"/>
    </row>
    <row r="1024" spans="4:70" x14ac:dyDescent="0.25">
      <c r="D1024" s="538"/>
      <c r="G1024" s="538"/>
      <c r="J1024" s="538"/>
      <c r="M1024" s="538"/>
      <c r="R1024" s="538"/>
      <c r="S1024" s="343"/>
      <c r="T1024" s="343"/>
      <c r="U1024" s="538"/>
      <c r="V1024" s="343"/>
      <c r="W1024" s="343"/>
      <c r="X1024" s="538"/>
      <c r="Y1024" s="343"/>
      <c r="Z1024" s="343"/>
      <c r="AA1024" s="538"/>
      <c r="AB1024" s="343"/>
      <c r="AC1024" s="343"/>
      <c r="AE1024" s="343"/>
      <c r="AF1024" s="538"/>
      <c r="AG1024" s="343"/>
      <c r="AH1024" s="343"/>
      <c r="AI1024" s="538"/>
      <c r="AJ1024" s="343"/>
      <c r="AK1024" s="343"/>
      <c r="AL1024" s="538"/>
      <c r="AM1024" s="343"/>
      <c r="AN1024" s="343"/>
      <c r="AO1024" s="538"/>
      <c r="AP1024" s="343"/>
      <c r="AQ1024" s="343"/>
      <c r="AS1024" s="343"/>
      <c r="AT1024" s="538"/>
      <c r="AU1024" s="343"/>
      <c r="AV1024" s="343"/>
      <c r="AW1024" s="538"/>
      <c r="AX1024" s="343"/>
      <c r="AY1024" s="343"/>
      <c r="AZ1024" s="538"/>
      <c r="BA1024" s="343"/>
      <c r="BB1024" s="343"/>
      <c r="BC1024" s="538"/>
      <c r="BD1024" s="343"/>
      <c r="BE1024" s="343"/>
      <c r="BG1024" s="644"/>
      <c r="BH1024" s="515"/>
      <c r="BI1024" s="515"/>
      <c r="BJ1024" s="644"/>
      <c r="BK1024" s="515"/>
      <c r="BL1024" s="515"/>
      <c r="BM1024" s="644"/>
      <c r="BN1024" s="515"/>
      <c r="BO1024" s="515"/>
      <c r="BP1024" s="644"/>
      <c r="BQ1024" s="515"/>
      <c r="BR1024" s="515"/>
    </row>
    <row r="1025" spans="4:70" x14ac:dyDescent="0.25">
      <c r="D1025" s="538"/>
      <c r="G1025" s="538"/>
      <c r="J1025" s="538"/>
      <c r="M1025" s="538"/>
      <c r="R1025" s="538"/>
      <c r="S1025" s="343"/>
      <c r="T1025" s="343"/>
      <c r="U1025" s="538"/>
      <c r="V1025" s="343"/>
      <c r="W1025" s="343"/>
      <c r="X1025" s="538"/>
      <c r="Y1025" s="343"/>
      <c r="Z1025" s="343"/>
      <c r="AA1025" s="538"/>
      <c r="AB1025" s="343"/>
      <c r="AC1025" s="343"/>
      <c r="AE1025" s="343"/>
      <c r="AF1025" s="538"/>
      <c r="AG1025" s="343"/>
      <c r="AH1025" s="343"/>
      <c r="AI1025" s="538"/>
      <c r="AJ1025" s="343"/>
      <c r="AK1025" s="343"/>
      <c r="AL1025" s="538"/>
      <c r="AM1025" s="343"/>
      <c r="AN1025" s="343"/>
      <c r="AO1025" s="538"/>
      <c r="AP1025" s="343"/>
      <c r="AQ1025" s="343"/>
      <c r="AS1025" s="343"/>
      <c r="AT1025" s="538"/>
      <c r="AU1025" s="343"/>
      <c r="AV1025" s="343"/>
      <c r="AW1025" s="538"/>
      <c r="AX1025" s="343"/>
      <c r="AY1025" s="343"/>
      <c r="AZ1025" s="538"/>
      <c r="BA1025" s="343"/>
      <c r="BB1025" s="343"/>
      <c r="BC1025" s="538"/>
      <c r="BD1025" s="343"/>
      <c r="BE1025" s="343"/>
      <c r="BG1025" s="644"/>
      <c r="BH1025" s="515"/>
      <c r="BI1025" s="515"/>
      <c r="BJ1025" s="644"/>
      <c r="BK1025" s="515"/>
      <c r="BL1025" s="515"/>
      <c r="BM1025" s="644"/>
      <c r="BN1025" s="515"/>
      <c r="BO1025" s="515"/>
      <c r="BP1025" s="644"/>
      <c r="BQ1025" s="515"/>
      <c r="BR1025" s="515"/>
    </row>
    <row r="1026" spans="4:70" x14ac:dyDescent="0.25">
      <c r="D1026" s="538"/>
      <c r="G1026" s="538"/>
      <c r="J1026" s="538"/>
      <c r="M1026" s="538"/>
      <c r="R1026" s="538"/>
      <c r="S1026" s="343"/>
      <c r="T1026" s="343"/>
      <c r="U1026" s="538"/>
      <c r="V1026" s="343"/>
      <c r="W1026" s="343"/>
      <c r="X1026" s="538"/>
      <c r="Y1026" s="343"/>
      <c r="Z1026" s="343"/>
      <c r="AA1026" s="538"/>
      <c r="AB1026" s="343"/>
      <c r="AC1026" s="343"/>
      <c r="AE1026" s="343"/>
      <c r="AF1026" s="538"/>
      <c r="AG1026" s="343"/>
      <c r="AH1026" s="343"/>
      <c r="AI1026" s="538"/>
      <c r="AJ1026" s="343"/>
      <c r="AK1026" s="343"/>
      <c r="AL1026" s="538"/>
      <c r="AM1026" s="343"/>
      <c r="AN1026" s="343"/>
      <c r="AO1026" s="538"/>
      <c r="AP1026" s="343"/>
      <c r="AQ1026" s="343"/>
      <c r="AS1026" s="343"/>
      <c r="AT1026" s="538"/>
      <c r="AU1026" s="343"/>
      <c r="AV1026" s="343"/>
      <c r="AW1026" s="538"/>
      <c r="AX1026" s="343"/>
      <c r="AY1026" s="343"/>
      <c r="AZ1026" s="538"/>
      <c r="BA1026" s="343"/>
      <c r="BB1026" s="343"/>
      <c r="BC1026" s="538"/>
      <c r="BD1026" s="343"/>
      <c r="BE1026" s="343"/>
      <c r="BG1026" s="644"/>
      <c r="BH1026" s="515"/>
      <c r="BI1026" s="515"/>
      <c r="BJ1026" s="644"/>
      <c r="BK1026" s="515"/>
      <c r="BL1026" s="515"/>
      <c r="BM1026" s="644"/>
      <c r="BN1026" s="515"/>
      <c r="BO1026" s="515"/>
      <c r="BP1026" s="644"/>
      <c r="BQ1026" s="515"/>
      <c r="BR1026" s="515"/>
    </row>
    <row r="1027" spans="4:70" x14ac:dyDescent="0.25">
      <c r="D1027" s="538"/>
      <c r="G1027" s="538"/>
      <c r="J1027" s="538"/>
      <c r="M1027" s="538"/>
      <c r="R1027" s="538"/>
      <c r="S1027" s="343"/>
      <c r="T1027" s="343"/>
      <c r="U1027" s="538"/>
      <c r="V1027" s="343"/>
      <c r="W1027" s="343"/>
      <c r="X1027" s="538"/>
      <c r="Y1027" s="343"/>
      <c r="Z1027" s="343"/>
      <c r="AA1027" s="538"/>
      <c r="AB1027" s="343"/>
      <c r="AC1027" s="343"/>
      <c r="AE1027" s="343"/>
      <c r="AF1027" s="538"/>
      <c r="AG1027" s="343"/>
      <c r="AH1027" s="343"/>
      <c r="AI1027" s="538"/>
      <c r="AJ1027" s="343"/>
      <c r="AK1027" s="343"/>
      <c r="AL1027" s="538"/>
      <c r="AM1027" s="343"/>
      <c r="AN1027" s="343"/>
      <c r="AO1027" s="538"/>
      <c r="AP1027" s="343"/>
      <c r="AQ1027" s="343"/>
      <c r="AS1027" s="343"/>
      <c r="AT1027" s="538"/>
      <c r="AU1027" s="343"/>
      <c r="AV1027" s="343"/>
      <c r="AW1027" s="538"/>
      <c r="AX1027" s="343"/>
      <c r="AY1027" s="343"/>
      <c r="AZ1027" s="538"/>
      <c r="BA1027" s="343"/>
      <c r="BB1027" s="343"/>
      <c r="BC1027" s="538"/>
      <c r="BD1027" s="343"/>
      <c r="BE1027" s="343"/>
      <c r="BG1027" s="644"/>
      <c r="BH1027" s="515"/>
      <c r="BI1027" s="515"/>
      <c r="BJ1027" s="644"/>
      <c r="BK1027" s="515"/>
      <c r="BL1027" s="515"/>
      <c r="BM1027" s="644"/>
      <c r="BN1027" s="515"/>
      <c r="BO1027" s="515"/>
      <c r="BP1027" s="644"/>
      <c r="BQ1027" s="515"/>
      <c r="BR1027" s="515"/>
    </row>
    <row r="1028" spans="4:70" x14ac:dyDescent="0.25">
      <c r="D1028" s="538"/>
      <c r="G1028" s="538"/>
      <c r="J1028" s="538"/>
      <c r="M1028" s="538"/>
      <c r="R1028" s="538"/>
      <c r="S1028" s="343"/>
      <c r="T1028" s="343"/>
      <c r="U1028" s="538"/>
      <c r="V1028" s="343"/>
      <c r="W1028" s="343"/>
      <c r="X1028" s="538"/>
      <c r="Y1028" s="343"/>
      <c r="Z1028" s="343"/>
      <c r="AA1028" s="538"/>
      <c r="AB1028" s="343"/>
      <c r="AC1028" s="343"/>
      <c r="AE1028" s="343"/>
      <c r="AF1028" s="538"/>
      <c r="AG1028" s="343"/>
      <c r="AH1028" s="343"/>
      <c r="AI1028" s="538"/>
      <c r="AJ1028" s="343"/>
      <c r="AK1028" s="343"/>
      <c r="AL1028" s="538"/>
      <c r="AM1028" s="343"/>
      <c r="AN1028" s="343"/>
      <c r="AO1028" s="538"/>
      <c r="AP1028" s="343"/>
      <c r="AQ1028" s="343"/>
      <c r="AS1028" s="343"/>
      <c r="AT1028" s="538"/>
      <c r="AU1028" s="343"/>
      <c r="AV1028" s="343"/>
      <c r="AW1028" s="538"/>
      <c r="AX1028" s="343"/>
      <c r="AY1028" s="343"/>
      <c r="AZ1028" s="538"/>
      <c r="BA1028" s="343"/>
      <c r="BB1028" s="343"/>
      <c r="BC1028" s="538"/>
      <c r="BD1028" s="343"/>
      <c r="BE1028" s="343"/>
      <c r="BG1028" s="644"/>
      <c r="BH1028" s="515"/>
      <c r="BI1028" s="515"/>
      <c r="BJ1028" s="644"/>
      <c r="BK1028" s="515"/>
      <c r="BL1028" s="515"/>
      <c r="BM1028" s="644"/>
      <c r="BN1028" s="515"/>
      <c r="BO1028" s="515"/>
      <c r="BP1028" s="644"/>
      <c r="BQ1028" s="515"/>
      <c r="BR1028" s="515"/>
    </row>
    <row r="1029" spans="4:70" x14ac:dyDescent="0.25">
      <c r="D1029" s="538"/>
      <c r="G1029" s="538"/>
      <c r="J1029" s="538"/>
      <c r="M1029" s="538"/>
      <c r="R1029" s="538"/>
      <c r="S1029" s="343"/>
      <c r="T1029" s="343"/>
      <c r="U1029" s="538"/>
      <c r="V1029" s="343"/>
      <c r="W1029" s="343"/>
      <c r="X1029" s="538"/>
      <c r="Y1029" s="343"/>
      <c r="Z1029" s="343"/>
      <c r="AA1029" s="538"/>
      <c r="AB1029" s="343"/>
      <c r="AC1029" s="343"/>
      <c r="AE1029" s="343"/>
      <c r="AF1029" s="538"/>
      <c r="AG1029" s="343"/>
      <c r="AH1029" s="343"/>
      <c r="AI1029" s="538"/>
      <c r="AJ1029" s="343"/>
      <c r="AK1029" s="343"/>
      <c r="AL1029" s="538"/>
      <c r="AM1029" s="343"/>
      <c r="AN1029" s="343"/>
      <c r="AO1029" s="538"/>
      <c r="AP1029" s="343"/>
      <c r="AQ1029" s="343"/>
      <c r="AS1029" s="343"/>
      <c r="AT1029" s="538"/>
      <c r="AU1029" s="343"/>
      <c r="AV1029" s="343"/>
      <c r="AW1029" s="538"/>
      <c r="AX1029" s="343"/>
      <c r="AY1029" s="343"/>
      <c r="AZ1029" s="538"/>
      <c r="BA1029" s="343"/>
      <c r="BB1029" s="343"/>
      <c r="BC1029" s="538"/>
      <c r="BD1029" s="343"/>
      <c r="BE1029" s="343"/>
      <c r="BG1029" s="644"/>
      <c r="BH1029" s="515"/>
      <c r="BI1029" s="515"/>
      <c r="BJ1029" s="644"/>
      <c r="BK1029" s="515"/>
      <c r="BL1029" s="515"/>
      <c r="BM1029" s="644"/>
      <c r="BN1029" s="515"/>
      <c r="BO1029" s="515"/>
      <c r="BP1029" s="644"/>
      <c r="BQ1029" s="515"/>
      <c r="BR1029" s="515"/>
    </row>
    <row r="1030" spans="4:70" x14ac:dyDescent="0.25">
      <c r="D1030" s="538"/>
      <c r="G1030" s="538"/>
      <c r="J1030" s="538"/>
      <c r="M1030" s="538"/>
      <c r="R1030" s="538"/>
      <c r="S1030" s="343"/>
      <c r="T1030" s="343"/>
      <c r="U1030" s="538"/>
      <c r="V1030" s="343"/>
      <c r="W1030" s="343"/>
      <c r="X1030" s="538"/>
      <c r="Y1030" s="343"/>
      <c r="Z1030" s="343"/>
      <c r="AA1030" s="538"/>
      <c r="AB1030" s="343"/>
      <c r="AC1030" s="343"/>
      <c r="AE1030" s="343"/>
      <c r="AF1030" s="538"/>
      <c r="AG1030" s="343"/>
      <c r="AH1030" s="343"/>
      <c r="AI1030" s="538"/>
      <c r="AJ1030" s="343"/>
      <c r="AK1030" s="343"/>
      <c r="AL1030" s="538"/>
      <c r="AM1030" s="343"/>
      <c r="AN1030" s="343"/>
      <c r="AO1030" s="538"/>
      <c r="AP1030" s="343"/>
      <c r="AQ1030" s="343"/>
      <c r="AS1030" s="343"/>
      <c r="AT1030" s="538"/>
      <c r="AU1030" s="343"/>
      <c r="AV1030" s="343"/>
      <c r="AW1030" s="538"/>
      <c r="AX1030" s="343"/>
      <c r="AY1030" s="343"/>
      <c r="AZ1030" s="538"/>
      <c r="BA1030" s="343"/>
      <c r="BB1030" s="343"/>
      <c r="BC1030" s="538"/>
      <c r="BD1030" s="343"/>
      <c r="BE1030" s="343"/>
      <c r="BG1030" s="644"/>
      <c r="BH1030" s="515"/>
      <c r="BI1030" s="515"/>
      <c r="BJ1030" s="644"/>
      <c r="BK1030" s="515"/>
      <c r="BL1030" s="515"/>
      <c r="BM1030" s="644"/>
      <c r="BN1030" s="515"/>
      <c r="BO1030" s="515"/>
      <c r="BP1030" s="644"/>
      <c r="BQ1030" s="515"/>
      <c r="BR1030" s="515"/>
    </row>
    <row r="1031" spans="4:70" x14ac:dyDescent="0.25">
      <c r="D1031" s="538"/>
      <c r="G1031" s="538"/>
      <c r="J1031" s="538"/>
      <c r="M1031" s="538"/>
      <c r="R1031" s="538"/>
      <c r="S1031" s="343"/>
      <c r="T1031" s="343"/>
      <c r="U1031" s="538"/>
      <c r="V1031" s="343"/>
      <c r="W1031" s="343"/>
      <c r="X1031" s="538"/>
      <c r="Y1031" s="343"/>
      <c r="Z1031" s="343"/>
      <c r="AA1031" s="538"/>
      <c r="AB1031" s="343"/>
      <c r="AC1031" s="343"/>
      <c r="AE1031" s="343"/>
      <c r="AF1031" s="538"/>
      <c r="AG1031" s="343"/>
      <c r="AH1031" s="343"/>
      <c r="AI1031" s="538"/>
      <c r="AJ1031" s="343"/>
      <c r="AK1031" s="343"/>
      <c r="AL1031" s="538"/>
      <c r="AM1031" s="343"/>
      <c r="AN1031" s="343"/>
      <c r="AO1031" s="538"/>
      <c r="AP1031" s="343"/>
      <c r="AQ1031" s="343"/>
      <c r="AS1031" s="343"/>
      <c r="AT1031" s="538"/>
      <c r="AU1031" s="343"/>
      <c r="AV1031" s="343"/>
      <c r="AW1031" s="538"/>
      <c r="AX1031" s="343"/>
      <c r="AY1031" s="343"/>
      <c r="AZ1031" s="538"/>
      <c r="BA1031" s="343"/>
      <c r="BB1031" s="343"/>
      <c r="BC1031" s="538"/>
      <c r="BD1031" s="343"/>
      <c r="BE1031" s="343"/>
      <c r="BG1031" s="644"/>
      <c r="BH1031" s="515"/>
      <c r="BI1031" s="515"/>
      <c r="BJ1031" s="644"/>
      <c r="BK1031" s="515"/>
      <c r="BL1031" s="515"/>
      <c r="BM1031" s="644"/>
      <c r="BN1031" s="515"/>
      <c r="BO1031" s="515"/>
      <c r="BP1031" s="644"/>
      <c r="BQ1031" s="515"/>
      <c r="BR1031" s="515"/>
    </row>
    <row r="1032" spans="4:70" x14ac:dyDescent="0.25">
      <c r="D1032" s="538"/>
      <c r="G1032" s="538"/>
      <c r="J1032" s="538"/>
      <c r="M1032" s="538"/>
      <c r="R1032" s="538"/>
      <c r="S1032" s="343"/>
      <c r="T1032" s="343"/>
      <c r="U1032" s="538"/>
      <c r="V1032" s="343"/>
      <c r="W1032" s="343"/>
      <c r="X1032" s="538"/>
      <c r="Y1032" s="343"/>
      <c r="Z1032" s="343"/>
      <c r="AA1032" s="538"/>
      <c r="AB1032" s="343"/>
      <c r="AC1032" s="343"/>
      <c r="AE1032" s="343"/>
      <c r="AF1032" s="538"/>
      <c r="AG1032" s="343"/>
      <c r="AH1032" s="343"/>
      <c r="AI1032" s="538"/>
      <c r="AJ1032" s="343"/>
      <c r="AK1032" s="343"/>
      <c r="AL1032" s="538"/>
      <c r="AM1032" s="343"/>
      <c r="AN1032" s="343"/>
      <c r="AO1032" s="538"/>
      <c r="AP1032" s="343"/>
      <c r="AQ1032" s="343"/>
      <c r="AS1032" s="343"/>
      <c r="AT1032" s="538"/>
      <c r="AU1032" s="343"/>
      <c r="AV1032" s="343"/>
      <c r="AW1032" s="538"/>
      <c r="AX1032" s="343"/>
      <c r="AY1032" s="343"/>
      <c r="AZ1032" s="538"/>
      <c r="BA1032" s="343"/>
      <c r="BB1032" s="343"/>
      <c r="BC1032" s="538"/>
      <c r="BD1032" s="343"/>
      <c r="BE1032" s="343"/>
      <c r="BG1032" s="644"/>
      <c r="BH1032" s="515"/>
      <c r="BI1032" s="515"/>
      <c r="BJ1032" s="644"/>
      <c r="BK1032" s="515"/>
      <c r="BL1032" s="515"/>
      <c r="BM1032" s="644"/>
      <c r="BN1032" s="515"/>
      <c r="BO1032" s="515"/>
      <c r="BP1032" s="644"/>
      <c r="BQ1032" s="515"/>
      <c r="BR1032" s="515"/>
    </row>
    <row r="1033" spans="4:70" x14ac:dyDescent="0.25">
      <c r="D1033" s="538"/>
      <c r="G1033" s="538"/>
      <c r="J1033" s="538"/>
      <c r="M1033" s="538"/>
      <c r="R1033" s="538"/>
      <c r="S1033" s="343"/>
      <c r="T1033" s="343"/>
      <c r="U1033" s="538"/>
      <c r="V1033" s="343"/>
      <c r="W1033" s="343"/>
      <c r="X1033" s="538"/>
      <c r="Y1033" s="343"/>
      <c r="Z1033" s="343"/>
      <c r="AA1033" s="538"/>
      <c r="AB1033" s="343"/>
      <c r="AC1033" s="343"/>
      <c r="AE1033" s="343"/>
      <c r="AF1033" s="538"/>
      <c r="AG1033" s="343"/>
      <c r="AH1033" s="343"/>
      <c r="AI1033" s="538"/>
      <c r="AJ1033" s="343"/>
      <c r="AK1033" s="343"/>
      <c r="AL1033" s="538"/>
      <c r="AM1033" s="343"/>
      <c r="AN1033" s="343"/>
      <c r="AO1033" s="538"/>
      <c r="AP1033" s="343"/>
      <c r="AQ1033" s="343"/>
      <c r="AS1033" s="343"/>
      <c r="AT1033" s="538"/>
      <c r="AU1033" s="343"/>
      <c r="AV1033" s="343"/>
      <c r="AW1033" s="538"/>
      <c r="AX1033" s="343"/>
      <c r="AY1033" s="343"/>
      <c r="AZ1033" s="538"/>
      <c r="BA1033" s="343"/>
      <c r="BB1033" s="343"/>
      <c r="BC1033" s="538"/>
      <c r="BD1033" s="343"/>
      <c r="BE1033" s="343"/>
      <c r="BG1033" s="644"/>
      <c r="BH1033" s="515"/>
      <c r="BI1033" s="515"/>
      <c r="BJ1033" s="644"/>
      <c r="BK1033" s="515"/>
      <c r="BL1033" s="515"/>
      <c r="BM1033" s="644"/>
      <c r="BN1033" s="515"/>
      <c r="BO1033" s="515"/>
      <c r="BP1033" s="644"/>
      <c r="BQ1033" s="515"/>
      <c r="BR1033" s="515"/>
    </row>
    <row r="1034" spans="4:70" x14ac:dyDescent="0.25">
      <c r="D1034" s="538"/>
      <c r="G1034" s="538"/>
      <c r="J1034" s="538"/>
      <c r="M1034" s="538"/>
      <c r="R1034" s="538"/>
      <c r="S1034" s="343"/>
      <c r="T1034" s="343"/>
      <c r="U1034" s="538"/>
      <c r="V1034" s="343"/>
      <c r="W1034" s="343"/>
      <c r="X1034" s="538"/>
      <c r="Y1034" s="343"/>
      <c r="Z1034" s="343"/>
      <c r="AA1034" s="538"/>
      <c r="AB1034" s="343"/>
      <c r="AC1034" s="343"/>
      <c r="AE1034" s="343"/>
      <c r="AF1034" s="538"/>
      <c r="AG1034" s="343"/>
      <c r="AH1034" s="343"/>
      <c r="AI1034" s="538"/>
      <c r="AJ1034" s="343"/>
      <c r="AK1034" s="343"/>
      <c r="AL1034" s="538"/>
      <c r="AM1034" s="343"/>
      <c r="AN1034" s="343"/>
      <c r="AO1034" s="538"/>
      <c r="AP1034" s="343"/>
      <c r="AQ1034" s="343"/>
      <c r="AS1034" s="343"/>
      <c r="AT1034" s="538"/>
      <c r="AU1034" s="343"/>
      <c r="AV1034" s="343"/>
      <c r="AW1034" s="538"/>
      <c r="AX1034" s="343"/>
      <c r="AY1034" s="343"/>
      <c r="AZ1034" s="538"/>
      <c r="BA1034" s="343"/>
      <c r="BB1034" s="343"/>
      <c r="BC1034" s="538"/>
      <c r="BD1034" s="343"/>
      <c r="BE1034" s="343"/>
      <c r="BG1034" s="644"/>
      <c r="BH1034" s="515"/>
      <c r="BI1034" s="515"/>
      <c r="BJ1034" s="644"/>
      <c r="BK1034" s="515"/>
      <c r="BL1034" s="515"/>
      <c r="BM1034" s="644"/>
      <c r="BN1034" s="515"/>
      <c r="BO1034" s="515"/>
      <c r="BP1034" s="644"/>
      <c r="BQ1034" s="515"/>
      <c r="BR1034" s="515"/>
    </row>
    <row r="1035" spans="4:70" x14ac:dyDescent="0.25">
      <c r="D1035" s="538"/>
      <c r="G1035" s="538"/>
      <c r="J1035" s="538"/>
      <c r="M1035" s="538"/>
      <c r="R1035" s="538"/>
      <c r="S1035" s="343"/>
      <c r="T1035" s="343"/>
      <c r="U1035" s="538"/>
      <c r="V1035" s="343"/>
      <c r="W1035" s="343"/>
      <c r="X1035" s="538"/>
      <c r="Y1035" s="343"/>
      <c r="Z1035" s="343"/>
      <c r="AA1035" s="538"/>
      <c r="AB1035" s="343"/>
      <c r="AC1035" s="343"/>
      <c r="AE1035" s="343"/>
      <c r="AF1035" s="538"/>
      <c r="AG1035" s="343"/>
      <c r="AH1035" s="343"/>
      <c r="AI1035" s="538"/>
      <c r="AJ1035" s="343"/>
      <c r="AK1035" s="343"/>
      <c r="AL1035" s="538"/>
      <c r="AM1035" s="343"/>
      <c r="AN1035" s="343"/>
      <c r="AO1035" s="538"/>
      <c r="AP1035" s="343"/>
      <c r="AQ1035" s="343"/>
      <c r="AS1035" s="343"/>
      <c r="AT1035" s="538"/>
      <c r="AU1035" s="343"/>
      <c r="AV1035" s="343"/>
      <c r="AW1035" s="538"/>
      <c r="AX1035" s="343"/>
      <c r="AY1035" s="343"/>
      <c r="AZ1035" s="538"/>
      <c r="BA1035" s="343"/>
      <c r="BB1035" s="343"/>
      <c r="BC1035" s="538"/>
      <c r="BD1035" s="343"/>
      <c r="BE1035" s="343"/>
      <c r="BG1035" s="644"/>
      <c r="BH1035" s="515"/>
      <c r="BI1035" s="515"/>
      <c r="BJ1035" s="644"/>
      <c r="BK1035" s="515"/>
      <c r="BL1035" s="515"/>
      <c r="BM1035" s="644"/>
      <c r="BN1035" s="515"/>
      <c r="BO1035" s="515"/>
      <c r="BP1035" s="644"/>
      <c r="BQ1035" s="515"/>
      <c r="BR1035" s="515"/>
    </row>
    <row r="1036" spans="4:70" x14ac:dyDescent="0.25">
      <c r="D1036" s="538"/>
      <c r="G1036" s="538"/>
      <c r="J1036" s="538"/>
      <c r="M1036" s="538"/>
      <c r="R1036" s="538"/>
      <c r="S1036" s="343"/>
      <c r="T1036" s="343"/>
      <c r="U1036" s="538"/>
      <c r="V1036" s="343"/>
      <c r="W1036" s="343"/>
      <c r="X1036" s="538"/>
      <c r="Y1036" s="343"/>
      <c r="Z1036" s="343"/>
      <c r="AA1036" s="538"/>
      <c r="AB1036" s="343"/>
      <c r="AC1036" s="343"/>
      <c r="AE1036" s="343"/>
      <c r="AF1036" s="538"/>
      <c r="AG1036" s="343"/>
      <c r="AH1036" s="343"/>
      <c r="AI1036" s="538"/>
      <c r="AJ1036" s="343"/>
      <c r="AK1036" s="343"/>
      <c r="AL1036" s="538"/>
      <c r="AM1036" s="343"/>
      <c r="AN1036" s="343"/>
      <c r="AO1036" s="538"/>
      <c r="AP1036" s="343"/>
      <c r="AQ1036" s="343"/>
      <c r="AS1036" s="343"/>
      <c r="AT1036" s="538"/>
      <c r="AU1036" s="343"/>
      <c r="AV1036" s="343"/>
      <c r="AW1036" s="538"/>
      <c r="AX1036" s="343"/>
      <c r="AY1036" s="343"/>
      <c r="AZ1036" s="538"/>
      <c r="BA1036" s="343"/>
      <c r="BB1036" s="343"/>
      <c r="BC1036" s="538"/>
      <c r="BD1036" s="343"/>
      <c r="BE1036" s="343"/>
      <c r="BG1036" s="644"/>
      <c r="BH1036" s="515"/>
      <c r="BI1036" s="515"/>
      <c r="BJ1036" s="644"/>
      <c r="BK1036" s="515"/>
      <c r="BL1036" s="515"/>
      <c r="BM1036" s="644"/>
      <c r="BN1036" s="515"/>
      <c r="BO1036" s="515"/>
      <c r="BP1036" s="644"/>
      <c r="BQ1036" s="515"/>
      <c r="BR1036" s="515"/>
    </row>
    <row r="1037" spans="4:70" x14ac:dyDescent="0.25">
      <c r="D1037" s="538"/>
      <c r="G1037" s="538"/>
      <c r="J1037" s="538"/>
      <c r="M1037" s="538"/>
      <c r="R1037" s="538"/>
      <c r="S1037" s="343"/>
      <c r="T1037" s="343"/>
      <c r="U1037" s="538"/>
      <c r="V1037" s="343"/>
      <c r="W1037" s="343"/>
      <c r="X1037" s="538"/>
      <c r="Y1037" s="343"/>
      <c r="Z1037" s="343"/>
      <c r="AA1037" s="538"/>
      <c r="AB1037" s="343"/>
      <c r="AC1037" s="343"/>
      <c r="AE1037" s="343"/>
      <c r="AF1037" s="538"/>
      <c r="AG1037" s="343"/>
      <c r="AH1037" s="343"/>
      <c r="AI1037" s="538"/>
      <c r="AJ1037" s="343"/>
      <c r="AK1037" s="343"/>
      <c r="AL1037" s="538"/>
      <c r="AM1037" s="343"/>
      <c r="AN1037" s="343"/>
      <c r="AO1037" s="538"/>
      <c r="AP1037" s="343"/>
      <c r="AQ1037" s="343"/>
      <c r="AS1037" s="343"/>
      <c r="AT1037" s="538"/>
      <c r="AU1037" s="343"/>
      <c r="AV1037" s="343"/>
      <c r="AW1037" s="538"/>
      <c r="AX1037" s="343"/>
      <c r="AY1037" s="343"/>
      <c r="AZ1037" s="538"/>
      <c r="BA1037" s="343"/>
      <c r="BB1037" s="343"/>
      <c r="BC1037" s="538"/>
      <c r="BD1037" s="343"/>
      <c r="BE1037" s="343"/>
      <c r="BG1037" s="644"/>
      <c r="BH1037" s="515"/>
      <c r="BI1037" s="515"/>
      <c r="BJ1037" s="644"/>
      <c r="BK1037" s="515"/>
      <c r="BL1037" s="515"/>
      <c r="BM1037" s="644"/>
      <c r="BN1037" s="515"/>
      <c r="BO1037" s="515"/>
      <c r="BP1037" s="644"/>
      <c r="BQ1037" s="515"/>
      <c r="BR1037" s="515"/>
    </row>
    <row r="1038" spans="4:70" x14ac:dyDescent="0.25">
      <c r="D1038" s="538"/>
      <c r="G1038" s="538"/>
      <c r="J1038" s="538"/>
      <c r="M1038" s="538"/>
      <c r="R1038" s="538"/>
      <c r="S1038" s="343"/>
      <c r="T1038" s="343"/>
      <c r="U1038" s="538"/>
      <c r="V1038" s="343"/>
      <c r="W1038" s="343"/>
      <c r="X1038" s="538"/>
      <c r="Y1038" s="343"/>
      <c r="Z1038" s="343"/>
      <c r="AA1038" s="538"/>
      <c r="AB1038" s="343"/>
      <c r="AC1038" s="343"/>
      <c r="AE1038" s="343"/>
      <c r="AF1038" s="538"/>
      <c r="AG1038" s="343"/>
      <c r="AH1038" s="343"/>
      <c r="AI1038" s="538"/>
      <c r="AJ1038" s="343"/>
      <c r="AK1038" s="343"/>
      <c r="AL1038" s="538"/>
      <c r="AM1038" s="343"/>
      <c r="AN1038" s="343"/>
      <c r="AO1038" s="538"/>
      <c r="AP1038" s="343"/>
      <c r="AQ1038" s="343"/>
      <c r="AS1038" s="343"/>
      <c r="AT1038" s="538"/>
      <c r="AU1038" s="343"/>
      <c r="AV1038" s="343"/>
      <c r="AW1038" s="538"/>
      <c r="AX1038" s="343"/>
      <c r="AY1038" s="343"/>
      <c r="AZ1038" s="538"/>
      <c r="BA1038" s="343"/>
      <c r="BB1038" s="343"/>
      <c r="BC1038" s="538"/>
      <c r="BD1038" s="343"/>
      <c r="BE1038" s="343"/>
      <c r="BG1038" s="644"/>
      <c r="BH1038" s="515"/>
      <c r="BI1038" s="515"/>
      <c r="BJ1038" s="644"/>
      <c r="BK1038" s="515"/>
      <c r="BL1038" s="515"/>
      <c r="BM1038" s="644"/>
      <c r="BN1038" s="515"/>
      <c r="BO1038" s="515"/>
      <c r="BP1038" s="644"/>
      <c r="BQ1038" s="515"/>
      <c r="BR1038" s="515"/>
    </row>
    <row r="1039" spans="4:70" x14ac:dyDescent="0.25">
      <c r="D1039" s="538"/>
      <c r="G1039" s="538"/>
      <c r="J1039" s="538"/>
      <c r="M1039" s="538"/>
      <c r="R1039" s="538"/>
      <c r="S1039" s="343"/>
      <c r="T1039" s="343"/>
      <c r="U1039" s="538"/>
      <c r="V1039" s="343"/>
      <c r="W1039" s="343"/>
      <c r="X1039" s="538"/>
      <c r="Y1039" s="343"/>
      <c r="Z1039" s="343"/>
      <c r="AA1039" s="538"/>
      <c r="AB1039" s="343"/>
      <c r="AC1039" s="343"/>
      <c r="AE1039" s="343"/>
      <c r="AF1039" s="538"/>
      <c r="AG1039" s="343"/>
      <c r="AH1039" s="343"/>
      <c r="AI1039" s="538"/>
      <c r="AJ1039" s="343"/>
      <c r="AK1039" s="343"/>
      <c r="AL1039" s="538"/>
      <c r="AM1039" s="343"/>
      <c r="AN1039" s="343"/>
      <c r="AO1039" s="538"/>
      <c r="AP1039" s="343"/>
      <c r="AQ1039" s="343"/>
      <c r="AS1039" s="343"/>
      <c r="AT1039" s="538"/>
      <c r="AU1039" s="343"/>
      <c r="AV1039" s="343"/>
      <c r="AW1039" s="538"/>
      <c r="AX1039" s="343"/>
      <c r="AY1039" s="343"/>
      <c r="AZ1039" s="538"/>
      <c r="BA1039" s="343"/>
      <c r="BB1039" s="343"/>
      <c r="BC1039" s="538"/>
      <c r="BD1039" s="343"/>
      <c r="BE1039" s="343"/>
      <c r="BG1039" s="644"/>
      <c r="BH1039" s="515"/>
      <c r="BI1039" s="515"/>
      <c r="BJ1039" s="644"/>
      <c r="BK1039" s="515"/>
      <c r="BL1039" s="515"/>
      <c r="BM1039" s="644"/>
      <c r="BN1039" s="515"/>
      <c r="BO1039" s="515"/>
      <c r="BP1039" s="644"/>
      <c r="BQ1039" s="515"/>
      <c r="BR1039" s="515"/>
    </row>
    <row r="1040" spans="4:70" x14ac:dyDescent="0.25">
      <c r="D1040" s="538"/>
      <c r="G1040" s="538"/>
      <c r="J1040" s="538"/>
      <c r="M1040" s="538"/>
      <c r="R1040" s="538"/>
      <c r="S1040" s="343"/>
      <c r="T1040" s="343"/>
      <c r="U1040" s="538"/>
      <c r="V1040" s="343"/>
      <c r="W1040" s="343"/>
      <c r="X1040" s="538"/>
      <c r="Y1040" s="343"/>
      <c r="Z1040" s="343"/>
      <c r="AA1040" s="538"/>
      <c r="AB1040" s="343"/>
      <c r="AC1040" s="343"/>
      <c r="AE1040" s="343"/>
      <c r="AF1040" s="538"/>
      <c r="AG1040" s="343"/>
      <c r="AH1040" s="343"/>
      <c r="AI1040" s="538"/>
      <c r="AJ1040" s="343"/>
      <c r="AK1040" s="343"/>
      <c r="AL1040" s="538"/>
      <c r="AM1040" s="343"/>
      <c r="AN1040" s="343"/>
      <c r="AO1040" s="538"/>
      <c r="AP1040" s="343"/>
      <c r="AQ1040" s="343"/>
      <c r="AS1040" s="343"/>
      <c r="AT1040" s="538"/>
      <c r="AU1040" s="343"/>
      <c r="AV1040" s="343"/>
      <c r="AW1040" s="538"/>
      <c r="AX1040" s="343"/>
      <c r="AY1040" s="343"/>
      <c r="AZ1040" s="538"/>
      <c r="BA1040" s="343"/>
      <c r="BB1040" s="343"/>
      <c r="BC1040" s="538"/>
      <c r="BD1040" s="343"/>
      <c r="BE1040" s="343"/>
      <c r="BG1040" s="644"/>
      <c r="BH1040" s="515"/>
      <c r="BI1040" s="515"/>
      <c r="BJ1040" s="644"/>
      <c r="BK1040" s="515"/>
      <c r="BL1040" s="515"/>
      <c r="BM1040" s="644"/>
      <c r="BN1040" s="515"/>
      <c r="BO1040" s="515"/>
      <c r="BP1040" s="644"/>
      <c r="BQ1040" s="515"/>
      <c r="BR1040" s="515"/>
    </row>
    <row r="1041" spans="4:70" x14ac:dyDescent="0.25">
      <c r="D1041" s="538"/>
      <c r="G1041" s="538"/>
      <c r="J1041" s="538"/>
      <c r="M1041" s="538"/>
      <c r="R1041" s="538"/>
      <c r="S1041" s="343"/>
      <c r="T1041" s="343"/>
      <c r="U1041" s="538"/>
      <c r="V1041" s="343"/>
      <c r="W1041" s="343"/>
      <c r="X1041" s="538"/>
      <c r="Y1041" s="343"/>
      <c r="Z1041" s="343"/>
      <c r="AA1041" s="538"/>
      <c r="AB1041" s="343"/>
      <c r="AC1041" s="343"/>
      <c r="AE1041" s="343"/>
      <c r="AF1041" s="538"/>
      <c r="AG1041" s="343"/>
      <c r="AH1041" s="343"/>
      <c r="AI1041" s="538"/>
      <c r="AJ1041" s="343"/>
      <c r="AK1041" s="343"/>
      <c r="AL1041" s="538"/>
      <c r="AM1041" s="343"/>
      <c r="AN1041" s="343"/>
      <c r="AO1041" s="538"/>
      <c r="AP1041" s="343"/>
      <c r="AQ1041" s="343"/>
      <c r="AS1041" s="343"/>
      <c r="AT1041" s="538"/>
      <c r="AU1041" s="343"/>
      <c r="AV1041" s="343"/>
      <c r="AW1041" s="538"/>
      <c r="AX1041" s="343"/>
      <c r="AY1041" s="343"/>
      <c r="AZ1041" s="538"/>
      <c r="BA1041" s="343"/>
      <c r="BB1041" s="343"/>
      <c r="BC1041" s="538"/>
      <c r="BD1041" s="343"/>
      <c r="BE1041" s="343"/>
      <c r="BG1041" s="644"/>
      <c r="BH1041" s="515"/>
      <c r="BI1041" s="515"/>
      <c r="BJ1041" s="644"/>
      <c r="BK1041" s="515"/>
      <c r="BL1041" s="515"/>
      <c r="BM1041" s="644"/>
      <c r="BN1041" s="515"/>
      <c r="BO1041" s="515"/>
      <c r="BP1041" s="644"/>
      <c r="BQ1041" s="515"/>
      <c r="BR1041" s="515"/>
    </row>
    <row r="1042" spans="4:70" x14ac:dyDescent="0.25">
      <c r="D1042" s="538"/>
      <c r="G1042" s="538"/>
      <c r="J1042" s="538"/>
      <c r="M1042" s="538"/>
      <c r="R1042" s="538"/>
      <c r="S1042" s="343"/>
      <c r="T1042" s="343"/>
      <c r="U1042" s="538"/>
      <c r="V1042" s="343"/>
      <c r="W1042" s="343"/>
      <c r="X1042" s="538"/>
      <c r="Y1042" s="343"/>
      <c r="Z1042" s="343"/>
      <c r="AA1042" s="538"/>
      <c r="AB1042" s="343"/>
      <c r="AC1042" s="343"/>
      <c r="AE1042" s="343"/>
      <c r="AF1042" s="538"/>
      <c r="AG1042" s="343"/>
      <c r="AH1042" s="343"/>
      <c r="AI1042" s="538"/>
      <c r="AJ1042" s="343"/>
      <c r="AK1042" s="343"/>
      <c r="AL1042" s="538"/>
      <c r="AM1042" s="343"/>
      <c r="AN1042" s="343"/>
      <c r="AO1042" s="538"/>
      <c r="AP1042" s="343"/>
      <c r="AQ1042" s="343"/>
      <c r="AS1042" s="343"/>
      <c r="AT1042" s="538"/>
      <c r="AU1042" s="343"/>
      <c r="AV1042" s="343"/>
      <c r="AW1042" s="538"/>
      <c r="AX1042" s="343"/>
      <c r="AY1042" s="343"/>
      <c r="AZ1042" s="538"/>
      <c r="BA1042" s="343"/>
      <c r="BB1042" s="343"/>
      <c r="BC1042" s="538"/>
      <c r="BD1042" s="343"/>
      <c r="BE1042" s="343"/>
      <c r="BG1042" s="644"/>
      <c r="BH1042" s="515"/>
      <c r="BI1042" s="515"/>
      <c r="BJ1042" s="644"/>
      <c r="BK1042" s="515"/>
      <c r="BL1042" s="515"/>
      <c r="BM1042" s="644"/>
      <c r="BN1042" s="515"/>
      <c r="BO1042" s="515"/>
      <c r="BP1042" s="644"/>
      <c r="BQ1042" s="515"/>
      <c r="BR1042" s="515"/>
    </row>
    <row r="1043" spans="4:70" x14ac:dyDescent="0.25">
      <c r="D1043" s="538"/>
      <c r="G1043" s="538"/>
      <c r="J1043" s="538"/>
      <c r="M1043" s="538"/>
      <c r="R1043" s="538"/>
      <c r="S1043" s="343"/>
      <c r="T1043" s="343"/>
      <c r="U1043" s="538"/>
      <c r="V1043" s="343"/>
      <c r="W1043" s="343"/>
      <c r="X1043" s="538"/>
      <c r="Y1043" s="343"/>
      <c r="Z1043" s="343"/>
      <c r="AA1043" s="538"/>
      <c r="AB1043" s="343"/>
      <c r="AC1043" s="343"/>
      <c r="AE1043" s="343"/>
      <c r="AF1043" s="538"/>
      <c r="AG1043" s="343"/>
      <c r="AH1043" s="343"/>
      <c r="AI1043" s="538"/>
      <c r="AJ1043" s="343"/>
      <c r="AK1043" s="343"/>
      <c r="AL1043" s="538"/>
      <c r="AM1043" s="343"/>
      <c r="AN1043" s="343"/>
      <c r="AO1043" s="538"/>
      <c r="AP1043" s="343"/>
      <c r="AQ1043" s="343"/>
      <c r="AS1043" s="343"/>
      <c r="AT1043" s="538"/>
      <c r="AU1043" s="343"/>
      <c r="AV1043" s="343"/>
      <c r="AW1043" s="538"/>
      <c r="AX1043" s="343"/>
      <c r="AY1043" s="343"/>
      <c r="AZ1043" s="538"/>
      <c r="BA1043" s="343"/>
      <c r="BB1043" s="343"/>
      <c r="BC1043" s="538"/>
      <c r="BD1043" s="343"/>
      <c r="BE1043" s="343"/>
      <c r="BG1043" s="644"/>
      <c r="BH1043" s="515"/>
      <c r="BI1043" s="515"/>
      <c r="BJ1043" s="644"/>
      <c r="BK1043" s="515"/>
      <c r="BL1043" s="515"/>
      <c r="BM1043" s="644"/>
      <c r="BN1043" s="515"/>
      <c r="BO1043" s="515"/>
      <c r="BP1043" s="644"/>
      <c r="BQ1043" s="515"/>
      <c r="BR1043" s="515"/>
    </row>
    <row r="1044" spans="4:70" x14ac:dyDescent="0.25">
      <c r="D1044" s="538"/>
      <c r="G1044" s="538"/>
      <c r="J1044" s="538"/>
      <c r="M1044" s="538"/>
      <c r="R1044" s="538"/>
      <c r="S1044" s="343"/>
      <c r="T1044" s="343"/>
      <c r="U1044" s="538"/>
      <c r="V1044" s="343"/>
      <c r="W1044" s="343"/>
      <c r="X1044" s="538"/>
      <c r="Y1044" s="343"/>
      <c r="Z1044" s="343"/>
      <c r="AA1044" s="538"/>
      <c r="AB1044" s="343"/>
      <c r="AC1044" s="343"/>
      <c r="AE1044" s="343"/>
      <c r="AF1044" s="538"/>
      <c r="AG1044" s="343"/>
      <c r="AH1044" s="343"/>
      <c r="AI1044" s="538"/>
      <c r="AJ1044" s="343"/>
      <c r="AK1044" s="343"/>
      <c r="AL1044" s="538"/>
      <c r="AM1044" s="343"/>
      <c r="AN1044" s="343"/>
      <c r="AO1044" s="538"/>
      <c r="AP1044" s="343"/>
      <c r="AQ1044" s="343"/>
      <c r="AS1044" s="343"/>
      <c r="AT1044" s="538"/>
      <c r="AU1044" s="343"/>
      <c r="AV1044" s="343"/>
      <c r="AW1044" s="538"/>
      <c r="AX1044" s="343"/>
      <c r="AY1044" s="343"/>
      <c r="AZ1044" s="538"/>
      <c r="BA1044" s="343"/>
      <c r="BB1044" s="343"/>
      <c r="BC1044" s="538"/>
      <c r="BD1044" s="343"/>
      <c r="BE1044" s="343"/>
      <c r="BG1044" s="644"/>
      <c r="BH1044" s="515"/>
      <c r="BI1044" s="515"/>
      <c r="BJ1044" s="644"/>
      <c r="BK1044" s="515"/>
      <c r="BL1044" s="515"/>
      <c r="BM1044" s="644"/>
      <c r="BN1044" s="515"/>
      <c r="BO1044" s="515"/>
      <c r="BP1044" s="644"/>
      <c r="BQ1044" s="515"/>
      <c r="BR1044" s="515"/>
    </row>
    <row r="1045" spans="4:70" x14ac:dyDescent="0.25">
      <c r="D1045" s="538"/>
      <c r="G1045" s="538"/>
      <c r="J1045" s="538"/>
      <c r="M1045" s="538"/>
      <c r="R1045" s="538"/>
      <c r="S1045" s="343"/>
      <c r="T1045" s="343"/>
      <c r="U1045" s="538"/>
      <c r="V1045" s="343"/>
      <c r="W1045" s="343"/>
      <c r="X1045" s="538"/>
      <c r="Y1045" s="343"/>
      <c r="Z1045" s="343"/>
      <c r="AA1045" s="538"/>
      <c r="AB1045" s="343"/>
      <c r="AC1045" s="343"/>
      <c r="AE1045" s="343"/>
      <c r="AF1045" s="538"/>
      <c r="AG1045" s="343"/>
      <c r="AH1045" s="343"/>
      <c r="AI1045" s="538"/>
      <c r="AJ1045" s="343"/>
      <c r="AK1045" s="343"/>
      <c r="AL1045" s="538"/>
      <c r="AM1045" s="343"/>
      <c r="AN1045" s="343"/>
      <c r="AO1045" s="538"/>
      <c r="AP1045" s="343"/>
      <c r="AQ1045" s="343"/>
      <c r="AS1045" s="343"/>
      <c r="AT1045" s="538"/>
      <c r="AU1045" s="343"/>
      <c r="AV1045" s="343"/>
      <c r="AW1045" s="538"/>
      <c r="AX1045" s="343"/>
      <c r="AY1045" s="343"/>
      <c r="AZ1045" s="538"/>
      <c r="BA1045" s="343"/>
      <c r="BB1045" s="343"/>
      <c r="BC1045" s="538"/>
      <c r="BD1045" s="343"/>
      <c r="BE1045" s="343"/>
      <c r="BG1045" s="644"/>
      <c r="BH1045" s="515"/>
      <c r="BI1045" s="515"/>
      <c r="BJ1045" s="644"/>
      <c r="BK1045" s="515"/>
      <c r="BL1045" s="515"/>
      <c r="BM1045" s="644"/>
      <c r="BN1045" s="515"/>
      <c r="BO1045" s="515"/>
      <c r="BP1045" s="644"/>
      <c r="BQ1045" s="515"/>
      <c r="BR1045" s="515"/>
    </row>
    <row r="1046" spans="4:70" x14ac:dyDescent="0.25">
      <c r="D1046" s="538"/>
      <c r="G1046" s="538"/>
      <c r="J1046" s="538"/>
      <c r="M1046" s="538"/>
      <c r="R1046" s="538"/>
      <c r="S1046" s="343"/>
      <c r="T1046" s="343"/>
      <c r="U1046" s="538"/>
      <c r="V1046" s="343"/>
      <c r="W1046" s="343"/>
      <c r="X1046" s="538"/>
      <c r="Y1046" s="343"/>
      <c r="Z1046" s="343"/>
      <c r="AA1046" s="538"/>
      <c r="AB1046" s="343"/>
      <c r="AC1046" s="343"/>
      <c r="AE1046" s="343"/>
      <c r="AF1046" s="538"/>
      <c r="AG1046" s="343"/>
      <c r="AH1046" s="343"/>
      <c r="AI1046" s="538"/>
      <c r="AJ1046" s="343"/>
      <c r="AK1046" s="343"/>
      <c r="AL1046" s="538"/>
      <c r="AM1046" s="343"/>
      <c r="AN1046" s="343"/>
      <c r="AO1046" s="538"/>
      <c r="AP1046" s="343"/>
      <c r="AQ1046" s="343"/>
      <c r="AS1046" s="343"/>
      <c r="AT1046" s="538"/>
      <c r="AU1046" s="343"/>
      <c r="AV1046" s="343"/>
      <c r="AW1046" s="538"/>
      <c r="AX1046" s="343"/>
      <c r="AY1046" s="343"/>
      <c r="AZ1046" s="538"/>
      <c r="BA1046" s="343"/>
      <c r="BB1046" s="343"/>
      <c r="BC1046" s="538"/>
      <c r="BD1046" s="343"/>
      <c r="BE1046" s="343"/>
      <c r="BG1046" s="644"/>
      <c r="BH1046" s="515"/>
      <c r="BI1046" s="515"/>
      <c r="BJ1046" s="644"/>
      <c r="BK1046" s="515"/>
      <c r="BL1046" s="515"/>
      <c r="BM1046" s="644"/>
      <c r="BN1046" s="515"/>
      <c r="BO1046" s="515"/>
      <c r="BP1046" s="644"/>
      <c r="BQ1046" s="515"/>
      <c r="BR1046" s="515"/>
    </row>
    <row r="1047" spans="4:70" x14ac:dyDescent="0.25">
      <c r="D1047" s="538"/>
      <c r="G1047" s="538"/>
      <c r="J1047" s="538"/>
      <c r="M1047" s="538"/>
      <c r="R1047" s="538"/>
      <c r="S1047" s="343"/>
      <c r="T1047" s="343"/>
      <c r="U1047" s="538"/>
      <c r="V1047" s="343"/>
      <c r="W1047" s="343"/>
      <c r="X1047" s="538"/>
      <c r="Y1047" s="343"/>
      <c r="Z1047" s="343"/>
      <c r="AA1047" s="538"/>
      <c r="AB1047" s="343"/>
      <c r="AC1047" s="343"/>
      <c r="AE1047" s="343"/>
      <c r="AF1047" s="538"/>
      <c r="AG1047" s="343"/>
      <c r="AH1047" s="343"/>
      <c r="AI1047" s="538"/>
      <c r="AJ1047" s="343"/>
      <c r="AK1047" s="343"/>
      <c r="AL1047" s="538"/>
      <c r="AM1047" s="343"/>
      <c r="AN1047" s="343"/>
      <c r="AO1047" s="538"/>
      <c r="AP1047" s="343"/>
      <c r="AQ1047" s="343"/>
      <c r="AS1047" s="343"/>
      <c r="AT1047" s="538"/>
      <c r="AU1047" s="343"/>
      <c r="AV1047" s="343"/>
      <c r="AW1047" s="538"/>
      <c r="AX1047" s="343"/>
      <c r="AY1047" s="343"/>
      <c r="AZ1047" s="538"/>
      <c r="BA1047" s="343"/>
      <c r="BB1047" s="343"/>
      <c r="BC1047" s="538"/>
      <c r="BD1047" s="343"/>
      <c r="BE1047" s="343"/>
      <c r="BG1047" s="644"/>
      <c r="BH1047" s="515"/>
      <c r="BI1047" s="515"/>
      <c r="BJ1047" s="644"/>
      <c r="BK1047" s="515"/>
      <c r="BL1047" s="515"/>
      <c r="BM1047" s="644"/>
      <c r="BN1047" s="515"/>
      <c r="BO1047" s="515"/>
      <c r="BP1047" s="644"/>
      <c r="BQ1047" s="515"/>
      <c r="BR1047" s="515"/>
    </row>
    <row r="1048" spans="4:70" x14ac:dyDescent="0.25">
      <c r="D1048" s="538"/>
      <c r="G1048" s="538"/>
      <c r="J1048" s="538"/>
      <c r="M1048" s="538"/>
      <c r="R1048" s="538"/>
      <c r="S1048" s="343"/>
      <c r="T1048" s="343"/>
      <c r="U1048" s="538"/>
      <c r="V1048" s="343"/>
      <c r="W1048" s="343"/>
      <c r="X1048" s="538"/>
      <c r="Y1048" s="343"/>
      <c r="Z1048" s="343"/>
      <c r="AA1048" s="538"/>
      <c r="AB1048" s="343"/>
      <c r="AC1048" s="343"/>
      <c r="AE1048" s="343"/>
      <c r="AF1048" s="538"/>
      <c r="AG1048" s="343"/>
      <c r="AH1048" s="343"/>
      <c r="AI1048" s="538"/>
      <c r="AJ1048" s="343"/>
      <c r="AK1048" s="343"/>
      <c r="AL1048" s="538"/>
      <c r="AM1048" s="343"/>
      <c r="AN1048" s="343"/>
      <c r="AO1048" s="538"/>
      <c r="AP1048" s="343"/>
      <c r="AQ1048" s="343"/>
      <c r="AS1048" s="343"/>
      <c r="AT1048" s="538"/>
      <c r="AU1048" s="343"/>
      <c r="AV1048" s="343"/>
      <c r="AW1048" s="538"/>
      <c r="AX1048" s="343"/>
      <c r="AY1048" s="343"/>
      <c r="AZ1048" s="538"/>
      <c r="BA1048" s="343"/>
      <c r="BB1048" s="343"/>
      <c r="BC1048" s="538"/>
      <c r="BD1048" s="343"/>
      <c r="BE1048" s="343"/>
      <c r="BG1048" s="644"/>
      <c r="BH1048" s="515"/>
      <c r="BI1048" s="515"/>
      <c r="BJ1048" s="644"/>
      <c r="BK1048" s="515"/>
      <c r="BL1048" s="515"/>
      <c r="BM1048" s="644"/>
      <c r="BN1048" s="515"/>
      <c r="BO1048" s="515"/>
      <c r="BP1048" s="644"/>
      <c r="BQ1048" s="515"/>
      <c r="BR1048" s="515"/>
    </row>
    <row r="1049" spans="4:70" x14ac:dyDescent="0.25">
      <c r="D1049" s="538"/>
      <c r="G1049" s="538"/>
      <c r="J1049" s="538"/>
      <c r="M1049" s="538"/>
      <c r="R1049" s="538"/>
      <c r="S1049" s="343"/>
      <c r="T1049" s="343"/>
      <c r="U1049" s="538"/>
      <c r="V1049" s="343"/>
      <c r="W1049" s="343"/>
      <c r="X1049" s="538"/>
      <c r="Y1049" s="343"/>
      <c r="Z1049" s="343"/>
      <c r="AA1049" s="538"/>
      <c r="AB1049" s="343"/>
      <c r="AC1049" s="343"/>
      <c r="AE1049" s="343"/>
      <c r="AF1049" s="538"/>
      <c r="AG1049" s="343"/>
      <c r="AH1049" s="343"/>
      <c r="AI1049" s="538"/>
      <c r="AJ1049" s="343"/>
      <c r="AK1049" s="343"/>
      <c r="AL1049" s="538"/>
      <c r="AM1049" s="343"/>
      <c r="AN1049" s="343"/>
      <c r="AO1049" s="538"/>
      <c r="AP1049" s="343"/>
      <c r="AQ1049" s="343"/>
      <c r="AS1049" s="343"/>
      <c r="AT1049" s="538"/>
      <c r="AU1049" s="343"/>
      <c r="AV1049" s="343"/>
      <c r="AW1049" s="538"/>
      <c r="AX1049" s="343"/>
      <c r="AY1049" s="343"/>
      <c r="AZ1049" s="538"/>
      <c r="BA1049" s="343"/>
      <c r="BB1049" s="343"/>
      <c r="BC1049" s="538"/>
      <c r="BD1049" s="343"/>
      <c r="BE1049" s="343"/>
      <c r="BG1049" s="644"/>
      <c r="BH1049" s="515"/>
      <c r="BI1049" s="515"/>
      <c r="BJ1049" s="644"/>
      <c r="BK1049" s="515"/>
      <c r="BL1049" s="515"/>
      <c r="BM1049" s="644"/>
      <c r="BN1049" s="515"/>
      <c r="BO1049" s="515"/>
      <c r="BP1049" s="644"/>
      <c r="BQ1049" s="515"/>
      <c r="BR1049" s="515"/>
    </row>
    <row r="1050" spans="4:70" x14ac:dyDescent="0.25">
      <c r="D1050" s="538"/>
      <c r="G1050" s="538"/>
      <c r="J1050" s="538"/>
      <c r="M1050" s="538"/>
      <c r="R1050" s="538"/>
      <c r="S1050" s="343"/>
      <c r="T1050" s="343"/>
      <c r="U1050" s="538"/>
      <c r="V1050" s="343"/>
      <c r="W1050" s="343"/>
      <c r="X1050" s="538"/>
      <c r="Y1050" s="343"/>
      <c r="Z1050" s="343"/>
      <c r="AA1050" s="538"/>
      <c r="AB1050" s="343"/>
      <c r="AC1050" s="343"/>
      <c r="AE1050" s="343"/>
      <c r="AF1050" s="538"/>
      <c r="AG1050" s="343"/>
      <c r="AH1050" s="343"/>
      <c r="AI1050" s="538"/>
      <c r="AJ1050" s="343"/>
      <c r="AK1050" s="343"/>
      <c r="AL1050" s="538"/>
      <c r="AM1050" s="343"/>
      <c r="AN1050" s="343"/>
      <c r="AO1050" s="538"/>
      <c r="AP1050" s="343"/>
      <c r="AQ1050" s="343"/>
      <c r="AS1050" s="343"/>
      <c r="AT1050" s="538"/>
      <c r="AU1050" s="343"/>
      <c r="AV1050" s="343"/>
      <c r="AW1050" s="538"/>
      <c r="AX1050" s="343"/>
      <c r="AY1050" s="343"/>
      <c r="AZ1050" s="538"/>
      <c r="BA1050" s="343"/>
      <c r="BB1050" s="343"/>
      <c r="BC1050" s="538"/>
      <c r="BD1050" s="343"/>
      <c r="BE1050" s="343"/>
      <c r="BG1050" s="644"/>
      <c r="BH1050" s="515"/>
      <c r="BI1050" s="515"/>
      <c r="BJ1050" s="644"/>
      <c r="BK1050" s="515"/>
      <c r="BL1050" s="515"/>
      <c r="BM1050" s="644"/>
      <c r="BN1050" s="515"/>
      <c r="BO1050" s="515"/>
      <c r="BP1050" s="644"/>
      <c r="BQ1050" s="515"/>
      <c r="BR1050" s="515"/>
    </row>
    <row r="1051" spans="4:70" x14ac:dyDescent="0.25">
      <c r="D1051" s="538"/>
      <c r="G1051" s="538"/>
      <c r="J1051" s="538"/>
      <c r="M1051" s="538"/>
      <c r="R1051" s="538"/>
      <c r="S1051" s="343"/>
      <c r="T1051" s="343"/>
      <c r="U1051" s="538"/>
      <c r="V1051" s="343"/>
      <c r="W1051" s="343"/>
      <c r="X1051" s="538"/>
      <c r="Y1051" s="343"/>
      <c r="Z1051" s="343"/>
      <c r="AA1051" s="538"/>
      <c r="AB1051" s="343"/>
      <c r="AC1051" s="343"/>
      <c r="AE1051" s="343"/>
      <c r="AF1051" s="538"/>
      <c r="AG1051" s="343"/>
      <c r="AH1051" s="343"/>
      <c r="AI1051" s="538"/>
      <c r="AJ1051" s="343"/>
      <c r="AK1051" s="343"/>
      <c r="AL1051" s="538"/>
      <c r="AM1051" s="343"/>
      <c r="AN1051" s="343"/>
      <c r="AO1051" s="538"/>
      <c r="AP1051" s="343"/>
      <c r="AQ1051" s="343"/>
      <c r="AS1051" s="343"/>
      <c r="AT1051" s="538"/>
      <c r="AU1051" s="343"/>
      <c r="AV1051" s="343"/>
      <c r="AW1051" s="538"/>
      <c r="AX1051" s="343"/>
      <c r="AY1051" s="343"/>
      <c r="AZ1051" s="538"/>
      <c r="BA1051" s="343"/>
      <c r="BB1051" s="343"/>
      <c r="BC1051" s="538"/>
      <c r="BD1051" s="343"/>
      <c r="BE1051" s="343"/>
      <c r="BG1051" s="644"/>
      <c r="BH1051" s="515"/>
      <c r="BI1051" s="515"/>
      <c r="BJ1051" s="644"/>
      <c r="BK1051" s="515"/>
      <c r="BL1051" s="515"/>
      <c r="BM1051" s="644"/>
      <c r="BN1051" s="515"/>
      <c r="BO1051" s="515"/>
      <c r="BP1051" s="644"/>
      <c r="BQ1051" s="515"/>
      <c r="BR1051" s="515"/>
    </row>
    <row r="1052" spans="4:70" x14ac:dyDescent="0.25">
      <c r="D1052" s="538"/>
      <c r="G1052" s="538"/>
      <c r="J1052" s="538"/>
      <c r="M1052" s="538"/>
      <c r="R1052" s="538"/>
      <c r="S1052" s="343"/>
      <c r="T1052" s="343"/>
      <c r="U1052" s="538"/>
      <c r="V1052" s="343"/>
      <c r="W1052" s="343"/>
      <c r="X1052" s="538"/>
      <c r="Y1052" s="343"/>
      <c r="Z1052" s="343"/>
      <c r="AA1052" s="538"/>
      <c r="AB1052" s="343"/>
      <c r="AC1052" s="343"/>
      <c r="AE1052" s="343"/>
      <c r="AF1052" s="538"/>
      <c r="AG1052" s="343"/>
      <c r="AH1052" s="343"/>
      <c r="AI1052" s="538"/>
      <c r="AJ1052" s="343"/>
      <c r="AK1052" s="343"/>
      <c r="AL1052" s="538"/>
      <c r="AM1052" s="343"/>
      <c r="AN1052" s="343"/>
      <c r="AO1052" s="538"/>
      <c r="AP1052" s="343"/>
      <c r="AQ1052" s="343"/>
      <c r="AS1052" s="343"/>
      <c r="AT1052" s="538"/>
      <c r="AU1052" s="343"/>
      <c r="AV1052" s="343"/>
      <c r="AW1052" s="538"/>
      <c r="AX1052" s="343"/>
      <c r="AY1052" s="343"/>
      <c r="AZ1052" s="538"/>
      <c r="BA1052" s="343"/>
      <c r="BB1052" s="343"/>
      <c r="BC1052" s="538"/>
      <c r="BD1052" s="343"/>
      <c r="BE1052" s="343"/>
      <c r="BG1052" s="644"/>
      <c r="BH1052" s="515"/>
      <c r="BI1052" s="515"/>
      <c r="BJ1052" s="644"/>
      <c r="BK1052" s="515"/>
      <c r="BL1052" s="515"/>
      <c r="BM1052" s="644"/>
      <c r="BN1052" s="515"/>
      <c r="BO1052" s="515"/>
      <c r="BP1052" s="644"/>
      <c r="BQ1052" s="515"/>
      <c r="BR1052" s="515"/>
    </row>
    <row r="1053" spans="4:70" x14ac:dyDescent="0.25">
      <c r="D1053" s="538"/>
      <c r="G1053" s="538"/>
      <c r="J1053" s="538"/>
      <c r="M1053" s="538"/>
      <c r="R1053" s="538"/>
      <c r="S1053" s="343"/>
      <c r="T1053" s="343"/>
      <c r="U1053" s="538"/>
      <c r="V1053" s="343"/>
      <c r="W1053" s="343"/>
      <c r="X1053" s="538"/>
      <c r="Y1053" s="343"/>
      <c r="Z1053" s="343"/>
      <c r="AA1053" s="538"/>
      <c r="AB1053" s="343"/>
      <c r="AC1053" s="343"/>
      <c r="AE1053" s="343"/>
      <c r="AF1053" s="538"/>
      <c r="AG1053" s="343"/>
      <c r="AH1053" s="343"/>
      <c r="AI1053" s="538"/>
      <c r="AJ1053" s="343"/>
      <c r="AK1053" s="343"/>
      <c r="AL1053" s="538"/>
      <c r="AM1053" s="343"/>
      <c r="AN1053" s="343"/>
      <c r="AO1053" s="538"/>
      <c r="AP1053" s="343"/>
      <c r="AQ1053" s="343"/>
      <c r="AS1053" s="343"/>
      <c r="AT1053" s="538"/>
      <c r="AU1053" s="343"/>
      <c r="AV1053" s="343"/>
      <c r="AW1053" s="538"/>
      <c r="AX1053" s="343"/>
      <c r="AY1053" s="343"/>
      <c r="AZ1053" s="538"/>
      <c r="BA1053" s="343"/>
      <c r="BB1053" s="343"/>
      <c r="BC1053" s="538"/>
      <c r="BD1053" s="343"/>
      <c r="BE1053" s="343"/>
      <c r="BG1053" s="644"/>
      <c r="BH1053" s="515"/>
      <c r="BI1053" s="515"/>
      <c r="BJ1053" s="644"/>
      <c r="BK1053" s="515"/>
      <c r="BL1053" s="515"/>
      <c r="BM1053" s="644"/>
      <c r="BN1053" s="515"/>
      <c r="BO1053" s="515"/>
      <c r="BP1053" s="644"/>
      <c r="BQ1053" s="515"/>
      <c r="BR1053" s="515"/>
    </row>
    <row r="1054" spans="4:70" x14ac:dyDescent="0.25">
      <c r="D1054" s="538"/>
      <c r="G1054" s="538"/>
      <c r="J1054" s="538"/>
      <c r="M1054" s="538"/>
      <c r="R1054" s="538"/>
      <c r="S1054" s="343"/>
      <c r="T1054" s="343"/>
      <c r="U1054" s="538"/>
      <c r="V1054" s="343"/>
      <c r="W1054" s="343"/>
      <c r="X1054" s="538"/>
      <c r="Y1054" s="343"/>
      <c r="Z1054" s="343"/>
      <c r="AA1054" s="538"/>
      <c r="AB1054" s="343"/>
      <c r="AC1054" s="343"/>
      <c r="AE1054" s="343"/>
      <c r="AF1054" s="538"/>
      <c r="AG1054" s="343"/>
      <c r="AH1054" s="343"/>
      <c r="AI1054" s="538"/>
      <c r="AJ1054" s="343"/>
      <c r="AK1054" s="343"/>
      <c r="AL1054" s="538"/>
      <c r="AM1054" s="343"/>
      <c r="AN1054" s="343"/>
      <c r="AO1054" s="538"/>
      <c r="AP1054" s="343"/>
      <c r="AQ1054" s="343"/>
      <c r="AS1054" s="343"/>
      <c r="AT1054" s="538"/>
      <c r="AU1054" s="343"/>
      <c r="AV1054" s="343"/>
      <c r="AW1054" s="538"/>
      <c r="AX1054" s="343"/>
      <c r="AY1054" s="343"/>
      <c r="AZ1054" s="538"/>
      <c r="BA1054" s="343"/>
      <c r="BB1054" s="343"/>
      <c r="BC1054" s="538"/>
      <c r="BD1054" s="343"/>
      <c r="BE1054" s="343"/>
      <c r="BG1054" s="644"/>
      <c r="BH1054" s="515"/>
      <c r="BI1054" s="515"/>
      <c r="BJ1054" s="644"/>
      <c r="BK1054" s="515"/>
      <c r="BL1054" s="515"/>
      <c r="BM1054" s="644"/>
      <c r="BN1054" s="515"/>
      <c r="BO1054" s="515"/>
      <c r="BP1054" s="644"/>
      <c r="BQ1054" s="515"/>
      <c r="BR1054" s="515"/>
    </row>
    <row r="1055" spans="4:70" x14ac:dyDescent="0.25">
      <c r="D1055" s="538"/>
      <c r="G1055" s="538"/>
      <c r="J1055" s="538"/>
      <c r="M1055" s="538"/>
      <c r="R1055" s="538"/>
      <c r="S1055" s="343"/>
      <c r="T1055" s="343"/>
      <c r="U1055" s="538"/>
      <c r="V1055" s="343"/>
      <c r="W1055" s="343"/>
      <c r="X1055" s="538"/>
      <c r="Y1055" s="343"/>
      <c r="Z1055" s="343"/>
      <c r="AA1055" s="538"/>
      <c r="AB1055" s="343"/>
      <c r="AC1055" s="343"/>
      <c r="AE1055" s="343"/>
      <c r="AF1055" s="538"/>
      <c r="AG1055" s="343"/>
      <c r="AH1055" s="343"/>
      <c r="AI1055" s="538"/>
      <c r="AJ1055" s="343"/>
      <c r="AK1055" s="343"/>
      <c r="AL1055" s="538"/>
      <c r="AM1055" s="343"/>
      <c r="AN1055" s="343"/>
      <c r="AO1055" s="538"/>
      <c r="AP1055" s="343"/>
      <c r="AQ1055" s="343"/>
      <c r="AS1055" s="343"/>
      <c r="AT1055" s="538"/>
      <c r="AU1055" s="343"/>
      <c r="AV1055" s="343"/>
      <c r="AW1055" s="538"/>
      <c r="AX1055" s="343"/>
      <c r="AY1055" s="343"/>
      <c r="AZ1055" s="538"/>
      <c r="BA1055" s="343"/>
      <c r="BB1055" s="343"/>
      <c r="BC1055" s="538"/>
      <c r="BD1055" s="343"/>
      <c r="BE1055" s="343"/>
      <c r="BG1055" s="644"/>
      <c r="BH1055" s="515"/>
      <c r="BI1055" s="515"/>
      <c r="BJ1055" s="644"/>
      <c r="BK1055" s="515"/>
      <c r="BL1055" s="515"/>
      <c r="BM1055" s="644"/>
      <c r="BN1055" s="515"/>
      <c r="BO1055" s="515"/>
      <c r="BP1055" s="644"/>
      <c r="BQ1055" s="515"/>
      <c r="BR1055" s="515"/>
    </row>
    <row r="1056" spans="4:70" x14ac:dyDescent="0.25">
      <c r="D1056" s="538"/>
      <c r="G1056" s="538"/>
      <c r="J1056" s="538"/>
      <c r="M1056" s="538"/>
      <c r="R1056" s="538"/>
      <c r="S1056" s="343"/>
      <c r="T1056" s="343"/>
      <c r="U1056" s="538"/>
      <c r="V1056" s="343"/>
      <c r="W1056" s="343"/>
      <c r="X1056" s="538"/>
      <c r="Y1056" s="343"/>
      <c r="Z1056" s="343"/>
      <c r="AA1056" s="538"/>
      <c r="AB1056" s="343"/>
      <c r="AC1056" s="343"/>
      <c r="AE1056" s="343"/>
      <c r="AF1056" s="538"/>
      <c r="AG1056" s="343"/>
      <c r="AH1056" s="343"/>
      <c r="AI1056" s="538"/>
      <c r="AJ1056" s="343"/>
      <c r="AK1056" s="343"/>
      <c r="AL1056" s="538"/>
      <c r="AM1056" s="343"/>
      <c r="AN1056" s="343"/>
      <c r="AO1056" s="538"/>
      <c r="AP1056" s="343"/>
      <c r="AQ1056" s="343"/>
      <c r="AS1056" s="343"/>
      <c r="AT1056" s="538"/>
      <c r="AU1056" s="343"/>
      <c r="AV1056" s="343"/>
      <c r="AW1056" s="538"/>
      <c r="AX1056" s="343"/>
      <c r="AY1056" s="343"/>
      <c r="AZ1056" s="538"/>
      <c r="BA1056" s="343"/>
      <c r="BB1056" s="343"/>
      <c r="BC1056" s="538"/>
      <c r="BD1056" s="343"/>
      <c r="BE1056" s="343"/>
      <c r="BG1056" s="644"/>
      <c r="BH1056" s="515"/>
      <c r="BI1056" s="515"/>
      <c r="BJ1056" s="644"/>
      <c r="BK1056" s="515"/>
      <c r="BL1056" s="515"/>
      <c r="BM1056" s="644"/>
      <c r="BN1056" s="515"/>
      <c r="BO1056" s="515"/>
      <c r="BP1056" s="644"/>
      <c r="BQ1056" s="515"/>
      <c r="BR1056" s="515"/>
    </row>
    <row r="1057" spans="4:70" x14ac:dyDescent="0.25">
      <c r="D1057" s="538"/>
      <c r="G1057" s="538"/>
      <c r="J1057" s="538"/>
      <c r="M1057" s="538"/>
      <c r="R1057" s="538"/>
      <c r="S1057" s="343"/>
      <c r="T1057" s="343"/>
      <c r="U1057" s="538"/>
      <c r="V1057" s="343"/>
      <c r="W1057" s="343"/>
      <c r="X1057" s="538"/>
      <c r="Y1057" s="343"/>
      <c r="Z1057" s="343"/>
      <c r="AA1057" s="538"/>
      <c r="AB1057" s="343"/>
      <c r="AC1057" s="343"/>
      <c r="AE1057" s="343"/>
      <c r="AF1057" s="538"/>
      <c r="AG1057" s="343"/>
      <c r="AH1057" s="343"/>
      <c r="AI1057" s="538"/>
      <c r="AJ1057" s="343"/>
      <c r="AK1057" s="343"/>
      <c r="AL1057" s="538"/>
      <c r="AM1057" s="343"/>
      <c r="AN1057" s="343"/>
      <c r="AO1057" s="538"/>
      <c r="AP1057" s="343"/>
      <c r="AQ1057" s="343"/>
      <c r="AS1057" s="343"/>
      <c r="AT1057" s="538"/>
      <c r="AU1057" s="343"/>
      <c r="AV1057" s="343"/>
      <c r="AW1057" s="538"/>
      <c r="AX1057" s="343"/>
      <c r="AY1057" s="343"/>
      <c r="AZ1057" s="538"/>
      <c r="BA1057" s="343"/>
      <c r="BB1057" s="343"/>
      <c r="BC1057" s="538"/>
      <c r="BD1057" s="343"/>
      <c r="BE1057" s="343"/>
      <c r="BG1057" s="644"/>
      <c r="BH1057" s="515"/>
      <c r="BI1057" s="515"/>
      <c r="BJ1057" s="644"/>
      <c r="BK1057" s="515"/>
      <c r="BL1057" s="515"/>
      <c r="BM1057" s="644"/>
      <c r="BN1057" s="515"/>
      <c r="BO1057" s="515"/>
      <c r="BP1057" s="644"/>
      <c r="BQ1057" s="515"/>
      <c r="BR1057" s="515"/>
    </row>
    <row r="1058" spans="4:70" x14ac:dyDescent="0.25">
      <c r="D1058" s="538"/>
      <c r="G1058" s="538"/>
      <c r="J1058" s="538"/>
      <c r="M1058" s="538"/>
      <c r="R1058" s="538"/>
      <c r="S1058" s="343"/>
      <c r="T1058" s="343"/>
      <c r="U1058" s="538"/>
      <c r="V1058" s="343"/>
      <c r="W1058" s="343"/>
      <c r="X1058" s="538"/>
      <c r="Y1058" s="343"/>
      <c r="Z1058" s="343"/>
      <c r="AA1058" s="538"/>
      <c r="AB1058" s="343"/>
      <c r="AC1058" s="343"/>
      <c r="AE1058" s="343"/>
      <c r="AF1058" s="538"/>
      <c r="AG1058" s="343"/>
      <c r="AH1058" s="343"/>
      <c r="AI1058" s="538"/>
      <c r="AJ1058" s="343"/>
      <c r="AK1058" s="343"/>
      <c r="AL1058" s="538"/>
      <c r="AM1058" s="343"/>
      <c r="AN1058" s="343"/>
      <c r="AO1058" s="538"/>
      <c r="AP1058" s="343"/>
      <c r="AQ1058" s="343"/>
      <c r="AS1058" s="343"/>
      <c r="AT1058" s="538"/>
      <c r="AU1058" s="343"/>
      <c r="AV1058" s="343"/>
      <c r="AW1058" s="538"/>
      <c r="AX1058" s="343"/>
      <c r="AY1058" s="343"/>
      <c r="AZ1058" s="538"/>
      <c r="BA1058" s="343"/>
      <c r="BB1058" s="343"/>
      <c r="BC1058" s="538"/>
      <c r="BD1058" s="343"/>
      <c r="BE1058" s="343"/>
      <c r="BG1058" s="644"/>
      <c r="BH1058" s="515"/>
      <c r="BI1058" s="515"/>
      <c r="BJ1058" s="644"/>
      <c r="BK1058" s="515"/>
      <c r="BL1058" s="515"/>
      <c r="BM1058" s="644"/>
      <c r="BN1058" s="515"/>
      <c r="BO1058" s="515"/>
      <c r="BP1058" s="644"/>
      <c r="BQ1058" s="515"/>
      <c r="BR1058" s="515"/>
    </row>
    <row r="1059" spans="4:70" x14ac:dyDescent="0.25">
      <c r="D1059" s="538"/>
      <c r="G1059" s="538"/>
      <c r="J1059" s="538"/>
      <c r="M1059" s="538"/>
      <c r="R1059" s="538"/>
      <c r="S1059" s="343"/>
      <c r="T1059" s="343"/>
      <c r="U1059" s="538"/>
      <c r="V1059" s="343"/>
      <c r="W1059" s="343"/>
      <c r="X1059" s="538"/>
      <c r="Y1059" s="343"/>
      <c r="Z1059" s="343"/>
      <c r="AA1059" s="538"/>
      <c r="AB1059" s="343"/>
      <c r="AC1059" s="343"/>
      <c r="AE1059" s="343"/>
      <c r="AF1059" s="538"/>
      <c r="AG1059" s="343"/>
      <c r="AH1059" s="343"/>
      <c r="AI1059" s="538"/>
      <c r="AJ1059" s="343"/>
      <c r="AK1059" s="343"/>
      <c r="AL1059" s="538"/>
      <c r="AM1059" s="343"/>
      <c r="AN1059" s="343"/>
      <c r="AO1059" s="538"/>
      <c r="AP1059" s="343"/>
      <c r="AQ1059" s="343"/>
      <c r="AS1059" s="343"/>
      <c r="AT1059" s="538"/>
      <c r="AU1059" s="343"/>
      <c r="AV1059" s="343"/>
      <c r="AW1059" s="538"/>
      <c r="AX1059" s="343"/>
      <c r="AY1059" s="343"/>
      <c r="AZ1059" s="538"/>
      <c r="BA1059" s="343"/>
      <c r="BB1059" s="343"/>
      <c r="BC1059" s="538"/>
      <c r="BD1059" s="343"/>
      <c r="BE1059" s="343"/>
      <c r="BG1059" s="644"/>
      <c r="BH1059" s="515"/>
      <c r="BI1059" s="515"/>
      <c r="BJ1059" s="644"/>
      <c r="BK1059" s="515"/>
      <c r="BL1059" s="515"/>
      <c r="BM1059" s="644"/>
      <c r="BN1059" s="515"/>
      <c r="BO1059" s="515"/>
      <c r="BP1059" s="644"/>
      <c r="BQ1059" s="515"/>
      <c r="BR1059" s="515"/>
    </row>
    <row r="1060" spans="4:70" x14ac:dyDescent="0.25">
      <c r="D1060" s="538"/>
      <c r="G1060" s="538"/>
      <c r="J1060" s="538"/>
      <c r="M1060" s="538"/>
      <c r="R1060" s="538"/>
      <c r="S1060" s="343"/>
      <c r="T1060" s="343"/>
      <c r="U1060" s="538"/>
      <c r="V1060" s="343"/>
      <c r="W1060" s="343"/>
      <c r="X1060" s="538"/>
      <c r="Y1060" s="343"/>
      <c r="Z1060" s="343"/>
      <c r="AA1060" s="538"/>
      <c r="AB1060" s="343"/>
      <c r="AC1060" s="343"/>
      <c r="AE1060" s="343"/>
      <c r="AF1060" s="538"/>
      <c r="AG1060" s="343"/>
      <c r="AH1060" s="343"/>
      <c r="AI1060" s="538"/>
      <c r="AJ1060" s="343"/>
      <c r="AK1060" s="343"/>
      <c r="AL1060" s="538"/>
      <c r="AM1060" s="343"/>
      <c r="AN1060" s="343"/>
      <c r="AO1060" s="538"/>
      <c r="AP1060" s="343"/>
      <c r="AQ1060" s="343"/>
      <c r="AS1060" s="343"/>
      <c r="AT1060" s="538"/>
      <c r="AU1060" s="343"/>
      <c r="AV1060" s="343"/>
      <c r="AW1060" s="538"/>
      <c r="AX1060" s="343"/>
      <c r="AY1060" s="343"/>
      <c r="AZ1060" s="538"/>
      <c r="BA1060" s="343"/>
      <c r="BB1060" s="343"/>
      <c r="BC1060" s="538"/>
      <c r="BD1060" s="343"/>
      <c r="BE1060" s="343"/>
      <c r="BG1060" s="644"/>
      <c r="BH1060" s="515"/>
      <c r="BI1060" s="515"/>
      <c r="BJ1060" s="644"/>
      <c r="BK1060" s="515"/>
      <c r="BL1060" s="515"/>
      <c r="BM1060" s="644"/>
      <c r="BN1060" s="515"/>
      <c r="BO1060" s="515"/>
      <c r="BP1060" s="644"/>
      <c r="BQ1060" s="515"/>
      <c r="BR1060" s="515"/>
    </row>
    <row r="1061" spans="4:70" x14ac:dyDescent="0.25">
      <c r="D1061" s="538"/>
      <c r="G1061" s="538"/>
      <c r="J1061" s="538"/>
      <c r="M1061" s="538"/>
      <c r="R1061" s="538"/>
      <c r="S1061" s="343"/>
      <c r="T1061" s="343"/>
      <c r="U1061" s="538"/>
      <c r="V1061" s="343"/>
      <c r="W1061" s="343"/>
      <c r="X1061" s="538"/>
      <c r="Y1061" s="343"/>
      <c r="Z1061" s="343"/>
      <c r="AA1061" s="538"/>
      <c r="AB1061" s="343"/>
      <c r="AC1061" s="343"/>
      <c r="AE1061" s="343"/>
      <c r="AF1061" s="538"/>
      <c r="AG1061" s="343"/>
      <c r="AH1061" s="343"/>
      <c r="AI1061" s="538"/>
      <c r="AJ1061" s="343"/>
      <c r="AK1061" s="343"/>
      <c r="AL1061" s="538"/>
      <c r="AM1061" s="343"/>
      <c r="AN1061" s="343"/>
      <c r="AO1061" s="538"/>
      <c r="AP1061" s="343"/>
      <c r="AQ1061" s="343"/>
      <c r="AS1061" s="343"/>
      <c r="AT1061" s="538"/>
      <c r="AU1061" s="343"/>
      <c r="AV1061" s="343"/>
      <c r="AW1061" s="538"/>
      <c r="AX1061" s="343"/>
      <c r="AY1061" s="343"/>
      <c r="AZ1061" s="538"/>
      <c r="BA1061" s="343"/>
      <c r="BB1061" s="343"/>
      <c r="BC1061" s="538"/>
      <c r="BD1061" s="343"/>
      <c r="BE1061" s="343"/>
      <c r="BG1061" s="644"/>
      <c r="BH1061" s="515"/>
      <c r="BI1061" s="515"/>
      <c r="BJ1061" s="644"/>
      <c r="BK1061" s="515"/>
      <c r="BL1061" s="515"/>
      <c r="BM1061" s="644"/>
      <c r="BN1061" s="515"/>
      <c r="BO1061" s="515"/>
      <c r="BP1061" s="644"/>
      <c r="BQ1061" s="515"/>
      <c r="BR1061" s="515"/>
    </row>
    <row r="1062" spans="4:70" x14ac:dyDescent="0.25">
      <c r="D1062" s="538"/>
      <c r="G1062" s="538"/>
      <c r="J1062" s="538"/>
      <c r="M1062" s="538"/>
      <c r="R1062" s="538"/>
      <c r="S1062" s="343"/>
      <c r="T1062" s="343"/>
      <c r="U1062" s="538"/>
      <c r="V1062" s="343"/>
      <c r="W1062" s="343"/>
      <c r="X1062" s="538"/>
      <c r="Y1062" s="343"/>
      <c r="Z1062" s="343"/>
      <c r="AA1062" s="538"/>
      <c r="AB1062" s="343"/>
      <c r="AC1062" s="343"/>
      <c r="AE1062" s="343"/>
      <c r="AF1062" s="538"/>
      <c r="AG1062" s="343"/>
      <c r="AH1062" s="343"/>
      <c r="AI1062" s="538"/>
      <c r="AJ1062" s="343"/>
      <c r="AK1062" s="343"/>
      <c r="AL1062" s="538"/>
      <c r="AM1062" s="343"/>
      <c r="AN1062" s="343"/>
      <c r="AO1062" s="538"/>
      <c r="AP1062" s="343"/>
      <c r="AQ1062" s="343"/>
      <c r="AS1062" s="343"/>
      <c r="AT1062" s="538"/>
      <c r="AU1062" s="343"/>
      <c r="AV1062" s="343"/>
      <c r="AW1062" s="538"/>
      <c r="AX1062" s="343"/>
      <c r="AY1062" s="343"/>
      <c r="AZ1062" s="538"/>
      <c r="BA1062" s="343"/>
      <c r="BB1062" s="343"/>
      <c r="BC1062" s="538"/>
      <c r="BD1062" s="343"/>
      <c r="BE1062" s="343"/>
      <c r="BG1062" s="644"/>
      <c r="BH1062" s="515"/>
      <c r="BI1062" s="515"/>
      <c r="BJ1062" s="644"/>
      <c r="BK1062" s="515"/>
      <c r="BL1062" s="515"/>
      <c r="BM1062" s="644"/>
      <c r="BN1062" s="515"/>
      <c r="BO1062" s="515"/>
      <c r="BP1062" s="644"/>
      <c r="BQ1062" s="515"/>
      <c r="BR1062" s="515"/>
    </row>
    <row r="1063" spans="4:70" x14ac:dyDescent="0.25">
      <c r="D1063" s="538"/>
      <c r="G1063" s="538"/>
      <c r="J1063" s="538"/>
      <c r="M1063" s="538"/>
      <c r="R1063" s="538"/>
      <c r="S1063" s="343"/>
      <c r="T1063" s="343"/>
      <c r="U1063" s="538"/>
      <c r="V1063" s="343"/>
      <c r="W1063" s="343"/>
      <c r="X1063" s="538"/>
      <c r="Y1063" s="343"/>
      <c r="Z1063" s="343"/>
      <c r="AA1063" s="538"/>
      <c r="AB1063" s="343"/>
      <c r="AC1063" s="343"/>
      <c r="AE1063" s="343"/>
      <c r="AF1063" s="538"/>
      <c r="AG1063" s="343"/>
      <c r="AH1063" s="343"/>
      <c r="AI1063" s="538"/>
      <c r="AJ1063" s="343"/>
      <c r="AK1063" s="343"/>
      <c r="AL1063" s="538"/>
      <c r="AM1063" s="343"/>
      <c r="AN1063" s="343"/>
      <c r="AO1063" s="538"/>
      <c r="AP1063" s="343"/>
      <c r="AQ1063" s="343"/>
      <c r="AS1063" s="343"/>
      <c r="AT1063" s="538"/>
      <c r="AU1063" s="343"/>
      <c r="AV1063" s="343"/>
      <c r="AW1063" s="538"/>
      <c r="AX1063" s="343"/>
      <c r="AY1063" s="343"/>
      <c r="AZ1063" s="538"/>
      <c r="BA1063" s="343"/>
      <c r="BB1063" s="343"/>
      <c r="BC1063" s="538"/>
      <c r="BD1063" s="343"/>
      <c r="BE1063" s="343"/>
      <c r="BG1063" s="644"/>
      <c r="BH1063" s="515"/>
      <c r="BI1063" s="515"/>
      <c r="BJ1063" s="644"/>
      <c r="BK1063" s="515"/>
      <c r="BL1063" s="515"/>
      <c r="BM1063" s="644"/>
      <c r="BN1063" s="515"/>
      <c r="BO1063" s="515"/>
      <c r="BP1063" s="644"/>
      <c r="BQ1063" s="515"/>
      <c r="BR1063" s="515"/>
    </row>
    <row r="1064" spans="4:70" x14ac:dyDescent="0.25">
      <c r="D1064" s="538"/>
      <c r="G1064" s="538"/>
      <c r="J1064" s="538"/>
      <c r="M1064" s="538"/>
      <c r="R1064" s="538"/>
      <c r="S1064" s="343"/>
      <c r="T1064" s="343"/>
      <c r="U1064" s="538"/>
      <c r="V1064" s="343"/>
      <c r="W1064" s="343"/>
      <c r="X1064" s="538"/>
      <c r="Y1064" s="343"/>
      <c r="Z1064" s="343"/>
      <c r="AA1064" s="538"/>
      <c r="AB1064" s="343"/>
      <c r="AC1064" s="343"/>
      <c r="AE1064" s="343"/>
      <c r="AF1064" s="538"/>
      <c r="AG1064" s="343"/>
      <c r="AH1064" s="343"/>
      <c r="AI1064" s="538"/>
      <c r="AJ1064" s="343"/>
      <c r="AK1064" s="343"/>
      <c r="AL1064" s="538"/>
      <c r="AM1064" s="343"/>
      <c r="AN1064" s="343"/>
      <c r="AO1064" s="538"/>
      <c r="AP1064" s="343"/>
      <c r="AQ1064" s="343"/>
      <c r="AS1064" s="343"/>
      <c r="AT1064" s="538"/>
      <c r="AU1064" s="343"/>
      <c r="AV1064" s="343"/>
      <c r="AW1064" s="538"/>
      <c r="AX1064" s="343"/>
      <c r="AY1064" s="343"/>
      <c r="AZ1064" s="538"/>
      <c r="BA1064" s="343"/>
      <c r="BB1064" s="343"/>
      <c r="BC1064" s="538"/>
      <c r="BD1064" s="343"/>
      <c r="BE1064" s="343"/>
      <c r="BG1064" s="644"/>
      <c r="BH1064" s="515"/>
      <c r="BI1064" s="515"/>
      <c r="BJ1064" s="644"/>
      <c r="BK1064" s="515"/>
      <c r="BL1064" s="515"/>
      <c r="BM1064" s="644"/>
      <c r="BN1064" s="515"/>
      <c r="BO1064" s="515"/>
      <c r="BP1064" s="644"/>
      <c r="BQ1064" s="515"/>
      <c r="BR1064" s="515"/>
    </row>
    <row r="1065" spans="4:70" x14ac:dyDescent="0.25">
      <c r="D1065" s="538"/>
      <c r="G1065" s="538"/>
      <c r="J1065" s="538"/>
      <c r="M1065" s="538"/>
      <c r="R1065" s="538"/>
      <c r="S1065" s="343"/>
      <c r="T1065" s="343"/>
      <c r="U1065" s="538"/>
      <c r="V1065" s="343"/>
      <c r="W1065" s="343"/>
      <c r="X1065" s="538"/>
      <c r="Y1065" s="343"/>
      <c r="Z1065" s="343"/>
      <c r="AA1065" s="538"/>
      <c r="AB1065" s="343"/>
      <c r="AC1065" s="343"/>
      <c r="AE1065" s="343"/>
      <c r="AF1065" s="538"/>
      <c r="AG1065" s="343"/>
      <c r="AH1065" s="343"/>
      <c r="AI1065" s="538"/>
      <c r="AJ1065" s="343"/>
      <c r="AK1065" s="343"/>
      <c r="AL1065" s="538"/>
      <c r="AM1065" s="343"/>
      <c r="AN1065" s="343"/>
      <c r="AO1065" s="538"/>
      <c r="AP1065" s="343"/>
      <c r="AQ1065" s="343"/>
      <c r="AS1065" s="343"/>
      <c r="AT1065" s="538"/>
      <c r="AU1065" s="343"/>
      <c r="AV1065" s="343"/>
      <c r="AW1065" s="538"/>
      <c r="AX1065" s="343"/>
      <c r="AY1065" s="343"/>
      <c r="AZ1065" s="538"/>
      <c r="BA1065" s="343"/>
      <c r="BB1065" s="343"/>
      <c r="BC1065" s="538"/>
      <c r="BD1065" s="343"/>
      <c r="BE1065" s="343"/>
      <c r="BG1065" s="644"/>
      <c r="BH1065" s="515"/>
      <c r="BI1065" s="515"/>
      <c r="BJ1065" s="644"/>
      <c r="BK1065" s="515"/>
      <c r="BL1065" s="515"/>
      <c r="BM1065" s="644"/>
      <c r="BN1065" s="515"/>
      <c r="BO1065" s="515"/>
      <c r="BP1065" s="644"/>
      <c r="BQ1065" s="515"/>
      <c r="BR1065" s="515"/>
    </row>
    <row r="1066" spans="4:70" x14ac:dyDescent="0.25">
      <c r="D1066" s="538"/>
      <c r="G1066" s="538"/>
      <c r="J1066" s="538"/>
      <c r="M1066" s="538"/>
      <c r="R1066" s="538"/>
      <c r="S1066" s="343"/>
      <c r="T1066" s="343"/>
      <c r="U1066" s="538"/>
      <c r="V1066" s="343"/>
      <c r="W1066" s="343"/>
      <c r="X1066" s="538"/>
      <c r="Y1066" s="343"/>
      <c r="Z1066" s="343"/>
      <c r="AA1066" s="538"/>
      <c r="AB1066" s="343"/>
      <c r="AC1066" s="343"/>
      <c r="AE1066" s="343"/>
      <c r="AF1066" s="538"/>
      <c r="AG1066" s="343"/>
      <c r="AH1066" s="343"/>
      <c r="AI1066" s="538"/>
      <c r="AJ1066" s="343"/>
      <c r="AK1066" s="343"/>
      <c r="AL1066" s="538"/>
      <c r="AM1066" s="343"/>
      <c r="AN1066" s="343"/>
      <c r="AO1066" s="538"/>
      <c r="AP1066" s="343"/>
      <c r="AQ1066" s="343"/>
      <c r="AS1066" s="343"/>
      <c r="AT1066" s="538"/>
      <c r="AU1066" s="343"/>
      <c r="AV1066" s="343"/>
      <c r="AW1066" s="538"/>
      <c r="AX1066" s="343"/>
      <c r="AY1066" s="343"/>
      <c r="AZ1066" s="538"/>
      <c r="BA1066" s="343"/>
      <c r="BB1066" s="343"/>
      <c r="BC1066" s="538"/>
      <c r="BD1066" s="343"/>
      <c r="BE1066" s="343"/>
      <c r="BG1066" s="644"/>
      <c r="BH1066" s="515"/>
      <c r="BI1066" s="515"/>
      <c r="BJ1066" s="644"/>
      <c r="BK1066" s="515"/>
      <c r="BL1066" s="515"/>
      <c r="BM1066" s="644"/>
      <c r="BN1066" s="515"/>
      <c r="BO1066" s="515"/>
      <c r="BP1066" s="644"/>
      <c r="BQ1066" s="515"/>
      <c r="BR1066" s="515"/>
    </row>
    <row r="1067" spans="4:70" x14ac:dyDescent="0.25">
      <c r="D1067" s="538"/>
      <c r="G1067" s="538"/>
      <c r="J1067" s="538"/>
      <c r="M1067" s="538"/>
      <c r="R1067" s="538"/>
      <c r="S1067" s="343"/>
      <c r="T1067" s="343"/>
      <c r="U1067" s="538"/>
      <c r="V1067" s="343"/>
      <c r="W1067" s="343"/>
      <c r="X1067" s="538"/>
      <c r="Y1067" s="343"/>
      <c r="Z1067" s="343"/>
      <c r="AA1067" s="538"/>
      <c r="AB1067" s="343"/>
      <c r="AC1067" s="343"/>
      <c r="AE1067" s="343"/>
      <c r="AF1067" s="538"/>
      <c r="AG1067" s="343"/>
      <c r="AH1067" s="343"/>
      <c r="AI1067" s="538"/>
      <c r="AJ1067" s="343"/>
      <c r="AK1067" s="343"/>
      <c r="AL1067" s="538"/>
      <c r="AM1067" s="343"/>
      <c r="AN1067" s="343"/>
      <c r="AO1067" s="538"/>
      <c r="AP1067" s="343"/>
      <c r="AQ1067" s="343"/>
      <c r="AS1067" s="343"/>
      <c r="AT1067" s="538"/>
      <c r="AU1067" s="343"/>
      <c r="AV1067" s="343"/>
      <c r="AW1067" s="538"/>
      <c r="AX1067" s="343"/>
      <c r="AY1067" s="343"/>
      <c r="AZ1067" s="538"/>
      <c r="BA1067" s="343"/>
      <c r="BB1067" s="343"/>
      <c r="BC1067" s="538"/>
      <c r="BD1067" s="343"/>
      <c r="BE1067" s="343"/>
      <c r="BG1067" s="644"/>
      <c r="BH1067" s="515"/>
      <c r="BI1067" s="515"/>
      <c r="BJ1067" s="644"/>
      <c r="BK1067" s="515"/>
      <c r="BL1067" s="515"/>
      <c r="BM1067" s="644"/>
      <c r="BN1067" s="515"/>
      <c r="BO1067" s="515"/>
      <c r="BP1067" s="644"/>
      <c r="BQ1067" s="515"/>
      <c r="BR1067" s="515"/>
    </row>
    <row r="1068" spans="4:70" x14ac:dyDescent="0.25">
      <c r="D1068" s="538"/>
      <c r="G1068" s="538"/>
      <c r="J1068" s="538"/>
      <c r="M1068" s="538"/>
      <c r="R1068" s="538"/>
      <c r="S1068" s="343"/>
      <c r="T1068" s="343"/>
      <c r="U1068" s="538"/>
      <c r="V1068" s="343"/>
      <c r="W1068" s="343"/>
      <c r="X1068" s="538"/>
      <c r="Y1068" s="343"/>
      <c r="Z1068" s="343"/>
      <c r="AA1068" s="538"/>
      <c r="AB1068" s="343"/>
      <c r="AC1068" s="343"/>
      <c r="AE1068" s="343"/>
      <c r="AF1068" s="538"/>
      <c r="AG1068" s="343"/>
      <c r="AH1068" s="343"/>
      <c r="AI1068" s="538"/>
      <c r="AJ1068" s="343"/>
      <c r="AK1068" s="343"/>
      <c r="AL1068" s="538"/>
      <c r="AM1068" s="343"/>
      <c r="AN1068" s="343"/>
      <c r="AO1068" s="538"/>
      <c r="AP1068" s="343"/>
      <c r="AQ1068" s="343"/>
      <c r="AS1068" s="343"/>
      <c r="AT1068" s="538"/>
      <c r="AU1068" s="343"/>
      <c r="AV1068" s="343"/>
      <c r="AW1068" s="538"/>
      <c r="AX1068" s="343"/>
      <c r="AY1068" s="343"/>
      <c r="AZ1068" s="538"/>
      <c r="BA1068" s="343"/>
      <c r="BB1068" s="343"/>
      <c r="BC1068" s="538"/>
      <c r="BD1068" s="343"/>
      <c r="BE1068" s="343"/>
      <c r="BG1068" s="644"/>
      <c r="BH1068" s="515"/>
      <c r="BI1068" s="515"/>
      <c r="BJ1068" s="644"/>
      <c r="BK1068" s="515"/>
      <c r="BL1068" s="515"/>
      <c r="BM1068" s="644"/>
      <c r="BN1068" s="515"/>
      <c r="BO1068" s="515"/>
      <c r="BP1068" s="644"/>
      <c r="BQ1068" s="515"/>
      <c r="BR1068" s="515"/>
    </row>
    <row r="1069" spans="4:70" x14ac:dyDescent="0.25">
      <c r="D1069" s="538"/>
      <c r="G1069" s="538"/>
      <c r="J1069" s="538"/>
      <c r="M1069" s="538"/>
      <c r="R1069" s="538"/>
      <c r="S1069" s="343"/>
      <c r="T1069" s="343"/>
      <c r="U1069" s="538"/>
      <c r="V1069" s="343"/>
      <c r="W1069" s="343"/>
      <c r="X1069" s="538"/>
      <c r="Y1069" s="343"/>
      <c r="Z1069" s="343"/>
      <c r="AA1069" s="538"/>
      <c r="AB1069" s="343"/>
      <c r="AC1069" s="343"/>
      <c r="AE1069" s="343"/>
      <c r="AF1069" s="538"/>
      <c r="AG1069" s="343"/>
      <c r="AH1069" s="343"/>
      <c r="AI1069" s="538"/>
      <c r="AJ1069" s="343"/>
      <c r="AK1069" s="343"/>
      <c r="AL1069" s="538"/>
      <c r="AM1069" s="343"/>
      <c r="AN1069" s="343"/>
      <c r="AO1069" s="538"/>
      <c r="AP1069" s="343"/>
      <c r="AQ1069" s="343"/>
      <c r="AS1069" s="343"/>
      <c r="AT1069" s="538"/>
      <c r="AU1069" s="343"/>
      <c r="AV1069" s="343"/>
      <c r="AW1069" s="538"/>
      <c r="AX1069" s="343"/>
      <c r="AY1069" s="343"/>
      <c r="AZ1069" s="538"/>
      <c r="BA1069" s="343"/>
      <c r="BB1069" s="343"/>
      <c r="BC1069" s="538"/>
      <c r="BD1069" s="343"/>
      <c r="BE1069" s="343"/>
      <c r="BG1069" s="644"/>
      <c r="BH1069" s="515"/>
      <c r="BI1069" s="515"/>
      <c r="BJ1069" s="644"/>
      <c r="BK1069" s="515"/>
      <c r="BL1069" s="515"/>
      <c r="BM1069" s="644"/>
      <c r="BN1069" s="515"/>
      <c r="BO1069" s="515"/>
      <c r="BP1069" s="644"/>
      <c r="BQ1069" s="515"/>
      <c r="BR1069" s="515"/>
    </row>
    <row r="1070" spans="4:70" x14ac:dyDescent="0.25">
      <c r="D1070" s="538"/>
      <c r="G1070" s="538"/>
      <c r="J1070" s="538"/>
      <c r="M1070" s="538"/>
      <c r="R1070" s="538"/>
      <c r="S1070" s="343"/>
      <c r="T1070" s="343"/>
      <c r="U1070" s="538"/>
      <c r="V1070" s="343"/>
      <c r="W1070" s="343"/>
      <c r="X1070" s="538"/>
      <c r="Y1070" s="343"/>
      <c r="Z1070" s="343"/>
      <c r="AA1070" s="538"/>
      <c r="AB1070" s="343"/>
      <c r="AC1070" s="343"/>
      <c r="AE1070" s="343"/>
      <c r="AF1070" s="538"/>
      <c r="AG1070" s="343"/>
      <c r="AH1070" s="343"/>
      <c r="AI1070" s="538"/>
      <c r="AJ1070" s="343"/>
      <c r="AK1070" s="343"/>
      <c r="AL1070" s="538"/>
      <c r="AM1070" s="343"/>
      <c r="AN1070" s="343"/>
      <c r="AO1070" s="538"/>
      <c r="AP1070" s="343"/>
      <c r="AQ1070" s="343"/>
      <c r="AS1070" s="343"/>
      <c r="AT1070" s="538"/>
      <c r="AU1070" s="343"/>
      <c r="AV1070" s="343"/>
      <c r="AW1070" s="538"/>
      <c r="AX1070" s="343"/>
      <c r="AY1070" s="343"/>
      <c r="AZ1070" s="538"/>
      <c r="BA1070" s="343"/>
      <c r="BB1070" s="343"/>
      <c r="BC1070" s="538"/>
      <c r="BD1070" s="343"/>
      <c r="BE1070" s="343"/>
      <c r="BG1070" s="644"/>
      <c r="BH1070" s="515"/>
      <c r="BI1070" s="515"/>
      <c r="BJ1070" s="644"/>
      <c r="BK1070" s="515"/>
      <c r="BL1070" s="515"/>
      <c r="BM1070" s="644"/>
      <c r="BN1070" s="515"/>
      <c r="BO1070" s="515"/>
      <c r="BP1070" s="644"/>
      <c r="BQ1070" s="515"/>
      <c r="BR1070" s="515"/>
    </row>
    <row r="1071" spans="4:70" x14ac:dyDescent="0.25">
      <c r="D1071" s="538"/>
      <c r="G1071" s="538"/>
      <c r="J1071" s="538"/>
      <c r="M1071" s="538"/>
      <c r="R1071" s="538"/>
      <c r="S1071" s="343"/>
      <c r="T1071" s="343"/>
      <c r="U1071" s="538"/>
      <c r="V1071" s="343"/>
      <c r="W1071" s="343"/>
      <c r="X1071" s="538"/>
      <c r="Y1071" s="343"/>
      <c r="Z1071" s="343"/>
      <c r="AA1071" s="538"/>
      <c r="AB1071" s="343"/>
      <c r="AC1071" s="343"/>
      <c r="AE1071" s="343"/>
      <c r="AF1071" s="538"/>
      <c r="AG1071" s="343"/>
      <c r="AH1071" s="343"/>
      <c r="AI1071" s="538"/>
      <c r="AJ1071" s="343"/>
      <c r="AK1071" s="343"/>
      <c r="AL1071" s="538"/>
      <c r="AM1071" s="343"/>
      <c r="AN1071" s="343"/>
      <c r="AO1071" s="538"/>
      <c r="AP1071" s="343"/>
      <c r="AQ1071" s="343"/>
      <c r="AS1071" s="343"/>
      <c r="AT1071" s="538"/>
      <c r="AU1071" s="343"/>
      <c r="AV1071" s="343"/>
      <c r="AW1071" s="538"/>
      <c r="AX1071" s="343"/>
      <c r="AY1071" s="343"/>
      <c r="AZ1071" s="538"/>
      <c r="BA1071" s="343"/>
      <c r="BB1071" s="343"/>
      <c r="BC1071" s="538"/>
      <c r="BD1071" s="343"/>
      <c r="BE1071" s="343"/>
      <c r="BG1071" s="644"/>
      <c r="BH1071" s="515"/>
      <c r="BI1071" s="515"/>
      <c r="BJ1071" s="644"/>
      <c r="BK1071" s="515"/>
      <c r="BL1071" s="515"/>
      <c r="BM1071" s="644"/>
      <c r="BN1071" s="515"/>
      <c r="BO1071" s="515"/>
      <c r="BP1071" s="644"/>
      <c r="BQ1071" s="515"/>
      <c r="BR1071" s="515"/>
    </row>
    <row r="1072" spans="4:70" x14ac:dyDescent="0.25">
      <c r="D1072" s="538"/>
      <c r="G1072" s="538"/>
      <c r="J1072" s="538"/>
      <c r="M1072" s="538"/>
      <c r="R1072" s="538"/>
      <c r="S1072" s="343"/>
      <c r="T1072" s="343"/>
      <c r="U1072" s="538"/>
      <c r="V1072" s="343"/>
      <c r="W1072" s="343"/>
      <c r="X1072" s="538"/>
      <c r="Y1072" s="343"/>
      <c r="Z1072" s="343"/>
      <c r="AA1072" s="538"/>
      <c r="AB1072" s="343"/>
      <c r="AC1072" s="343"/>
      <c r="AE1072" s="343"/>
      <c r="AF1072" s="538"/>
      <c r="AG1072" s="343"/>
      <c r="AH1072" s="343"/>
      <c r="AI1072" s="538"/>
      <c r="AJ1072" s="343"/>
      <c r="AK1072" s="343"/>
      <c r="AL1072" s="538"/>
      <c r="AM1072" s="343"/>
      <c r="AN1072" s="343"/>
      <c r="AO1072" s="538"/>
      <c r="AP1072" s="343"/>
      <c r="AQ1072" s="343"/>
      <c r="AS1072" s="343"/>
      <c r="AT1072" s="538"/>
      <c r="AU1072" s="343"/>
      <c r="AV1072" s="343"/>
      <c r="AW1072" s="538"/>
      <c r="AX1072" s="343"/>
      <c r="AY1072" s="343"/>
      <c r="AZ1072" s="538"/>
      <c r="BA1072" s="343"/>
      <c r="BB1072" s="343"/>
      <c r="BC1072" s="538"/>
      <c r="BD1072" s="343"/>
      <c r="BE1072" s="343"/>
      <c r="BG1072" s="644"/>
      <c r="BH1072" s="515"/>
      <c r="BI1072" s="515"/>
      <c r="BJ1072" s="644"/>
      <c r="BK1072" s="515"/>
      <c r="BL1072" s="515"/>
      <c r="BM1072" s="644"/>
      <c r="BN1072" s="515"/>
      <c r="BO1072" s="515"/>
      <c r="BP1072" s="644"/>
      <c r="BQ1072" s="515"/>
      <c r="BR1072" s="515"/>
    </row>
    <row r="1073" spans="4:70" x14ac:dyDescent="0.25">
      <c r="D1073" s="538"/>
      <c r="G1073" s="538"/>
      <c r="J1073" s="538"/>
      <c r="M1073" s="538"/>
      <c r="R1073" s="538"/>
      <c r="S1073" s="343"/>
      <c r="T1073" s="343"/>
      <c r="U1073" s="538"/>
      <c r="V1073" s="343"/>
      <c r="W1073" s="343"/>
      <c r="X1073" s="538"/>
      <c r="Y1073" s="343"/>
      <c r="Z1073" s="343"/>
      <c r="AA1073" s="538"/>
      <c r="AB1073" s="343"/>
      <c r="AC1073" s="343"/>
      <c r="AE1073" s="343"/>
      <c r="AF1073" s="538"/>
      <c r="AG1073" s="343"/>
      <c r="AH1073" s="343"/>
      <c r="AI1073" s="538"/>
      <c r="AJ1073" s="343"/>
      <c r="AK1073" s="343"/>
      <c r="AL1073" s="538"/>
      <c r="AM1073" s="343"/>
      <c r="AN1073" s="343"/>
      <c r="AO1073" s="538"/>
      <c r="AP1073" s="343"/>
      <c r="AQ1073" s="343"/>
      <c r="AS1073" s="343"/>
      <c r="AT1073" s="538"/>
      <c r="AU1073" s="343"/>
      <c r="AV1073" s="343"/>
      <c r="AW1073" s="538"/>
      <c r="AX1073" s="343"/>
      <c r="AY1073" s="343"/>
      <c r="AZ1073" s="538"/>
      <c r="BA1073" s="343"/>
      <c r="BB1073" s="343"/>
      <c r="BC1073" s="538"/>
      <c r="BD1073" s="343"/>
      <c r="BE1073" s="343"/>
      <c r="BG1073" s="644"/>
      <c r="BH1073" s="515"/>
      <c r="BI1073" s="515"/>
      <c r="BJ1073" s="644"/>
      <c r="BK1073" s="515"/>
      <c r="BL1073" s="515"/>
      <c r="BM1073" s="644"/>
      <c r="BN1073" s="515"/>
      <c r="BO1073" s="515"/>
      <c r="BP1073" s="644"/>
      <c r="BQ1073" s="515"/>
      <c r="BR1073" s="515"/>
    </row>
    <row r="1074" spans="4:70" x14ac:dyDescent="0.25">
      <c r="D1074" s="538"/>
      <c r="G1074" s="538"/>
      <c r="J1074" s="538"/>
      <c r="M1074" s="538"/>
      <c r="R1074" s="538"/>
      <c r="S1074" s="343"/>
      <c r="T1074" s="343"/>
      <c r="U1074" s="538"/>
      <c r="V1074" s="343"/>
      <c r="W1074" s="343"/>
      <c r="X1074" s="538"/>
      <c r="Y1074" s="343"/>
      <c r="Z1074" s="343"/>
      <c r="AA1074" s="538"/>
      <c r="AB1074" s="343"/>
      <c r="AC1074" s="343"/>
      <c r="AE1074" s="343"/>
      <c r="AF1074" s="538"/>
      <c r="AG1074" s="343"/>
      <c r="AH1074" s="343"/>
      <c r="AI1074" s="538"/>
      <c r="AJ1074" s="343"/>
      <c r="AK1074" s="343"/>
      <c r="AL1074" s="538"/>
      <c r="AM1074" s="343"/>
      <c r="AN1074" s="343"/>
      <c r="AO1074" s="538"/>
      <c r="AP1074" s="343"/>
      <c r="AQ1074" s="343"/>
      <c r="AS1074" s="343"/>
      <c r="AT1074" s="538"/>
      <c r="AU1074" s="343"/>
      <c r="AV1074" s="343"/>
      <c r="AW1074" s="538"/>
      <c r="AX1074" s="343"/>
      <c r="AY1074" s="343"/>
      <c r="AZ1074" s="538"/>
      <c r="BA1074" s="343"/>
      <c r="BB1074" s="343"/>
      <c r="BC1074" s="538"/>
      <c r="BD1074" s="343"/>
      <c r="BE1074" s="343"/>
      <c r="BG1074" s="644"/>
      <c r="BH1074" s="515"/>
      <c r="BI1074" s="515"/>
      <c r="BJ1074" s="644"/>
      <c r="BK1074" s="515"/>
      <c r="BL1074" s="515"/>
      <c r="BM1074" s="644"/>
      <c r="BN1074" s="515"/>
      <c r="BO1074" s="515"/>
      <c r="BP1074" s="644"/>
      <c r="BQ1074" s="515"/>
      <c r="BR1074" s="515"/>
    </row>
    <row r="1075" spans="4:70" x14ac:dyDescent="0.25">
      <c r="D1075" s="538"/>
      <c r="G1075" s="538"/>
      <c r="J1075" s="538"/>
      <c r="M1075" s="538"/>
      <c r="R1075" s="538"/>
      <c r="S1075" s="343"/>
      <c r="T1075" s="343"/>
      <c r="U1075" s="538"/>
      <c r="V1075" s="343"/>
      <c r="W1075" s="343"/>
      <c r="X1075" s="538"/>
      <c r="Y1075" s="343"/>
      <c r="Z1075" s="343"/>
      <c r="AA1075" s="538"/>
      <c r="AB1075" s="343"/>
      <c r="AC1075" s="343"/>
      <c r="AE1075" s="343"/>
      <c r="AF1075" s="538"/>
      <c r="AG1075" s="343"/>
      <c r="AH1075" s="343"/>
      <c r="AI1075" s="538"/>
      <c r="AJ1075" s="343"/>
      <c r="AK1075" s="343"/>
      <c r="AL1075" s="538"/>
      <c r="AM1075" s="343"/>
      <c r="AN1075" s="343"/>
      <c r="AO1075" s="538"/>
      <c r="AP1075" s="343"/>
      <c r="AQ1075" s="343"/>
      <c r="AS1075" s="343"/>
      <c r="AT1075" s="538"/>
      <c r="AU1075" s="343"/>
      <c r="AV1075" s="343"/>
      <c r="AW1075" s="538"/>
      <c r="AX1075" s="343"/>
      <c r="AY1075" s="343"/>
      <c r="AZ1075" s="538"/>
      <c r="BA1075" s="343"/>
      <c r="BB1075" s="343"/>
      <c r="BC1075" s="538"/>
      <c r="BD1075" s="343"/>
      <c r="BE1075" s="343"/>
      <c r="BG1075" s="644"/>
      <c r="BH1075" s="515"/>
      <c r="BI1075" s="515"/>
      <c r="BJ1075" s="644"/>
      <c r="BK1075" s="515"/>
      <c r="BL1075" s="515"/>
      <c r="BM1075" s="644"/>
      <c r="BN1075" s="515"/>
      <c r="BO1075" s="515"/>
      <c r="BP1075" s="644"/>
      <c r="BQ1075" s="515"/>
      <c r="BR1075" s="515"/>
    </row>
    <row r="1076" spans="4:70" x14ac:dyDescent="0.25">
      <c r="D1076" s="538"/>
      <c r="G1076" s="538"/>
      <c r="J1076" s="538"/>
      <c r="M1076" s="538"/>
      <c r="R1076" s="538"/>
      <c r="S1076" s="343"/>
      <c r="T1076" s="343"/>
      <c r="U1076" s="538"/>
      <c r="V1076" s="343"/>
      <c r="W1076" s="343"/>
      <c r="X1076" s="538"/>
      <c r="Y1076" s="343"/>
      <c r="Z1076" s="343"/>
      <c r="AA1076" s="538"/>
      <c r="AB1076" s="343"/>
      <c r="AC1076" s="343"/>
      <c r="AE1076" s="343"/>
      <c r="AF1076" s="538"/>
      <c r="AG1076" s="343"/>
      <c r="AH1076" s="343"/>
      <c r="AI1076" s="538"/>
      <c r="AJ1076" s="343"/>
      <c r="AK1076" s="343"/>
      <c r="AL1076" s="538"/>
      <c r="AM1076" s="343"/>
      <c r="AN1076" s="343"/>
      <c r="AO1076" s="538"/>
      <c r="AP1076" s="343"/>
      <c r="AQ1076" s="343"/>
      <c r="AS1076" s="343"/>
      <c r="AT1076" s="538"/>
      <c r="AU1076" s="343"/>
      <c r="AV1076" s="343"/>
      <c r="AW1076" s="538"/>
      <c r="AX1076" s="343"/>
      <c r="AY1076" s="343"/>
      <c r="AZ1076" s="538"/>
      <c r="BA1076" s="343"/>
      <c r="BB1076" s="343"/>
      <c r="BC1076" s="538"/>
      <c r="BD1076" s="343"/>
      <c r="BE1076" s="343"/>
      <c r="BG1076" s="644"/>
      <c r="BH1076" s="515"/>
      <c r="BI1076" s="515"/>
      <c r="BJ1076" s="644"/>
      <c r="BK1076" s="515"/>
      <c r="BL1076" s="515"/>
      <c r="BM1076" s="644"/>
      <c r="BN1076" s="515"/>
      <c r="BO1076" s="515"/>
      <c r="BP1076" s="644"/>
      <c r="BQ1076" s="515"/>
      <c r="BR1076" s="515"/>
    </row>
    <row r="1077" spans="4:70" x14ac:dyDescent="0.25">
      <c r="D1077" s="538"/>
      <c r="G1077" s="538"/>
      <c r="J1077" s="538"/>
      <c r="M1077" s="538"/>
      <c r="R1077" s="538"/>
      <c r="S1077" s="343"/>
      <c r="T1077" s="343"/>
      <c r="U1077" s="538"/>
      <c r="V1077" s="343"/>
      <c r="W1077" s="343"/>
      <c r="X1077" s="538"/>
      <c r="Y1077" s="343"/>
      <c r="Z1077" s="343"/>
      <c r="AA1077" s="538"/>
      <c r="AB1077" s="343"/>
      <c r="AC1077" s="343"/>
      <c r="AE1077" s="343"/>
      <c r="AF1077" s="538"/>
      <c r="AG1077" s="343"/>
      <c r="AH1077" s="343"/>
      <c r="AI1077" s="538"/>
      <c r="AJ1077" s="343"/>
      <c r="AK1077" s="343"/>
      <c r="AL1077" s="538"/>
      <c r="AM1077" s="343"/>
      <c r="AN1077" s="343"/>
      <c r="AO1077" s="538"/>
      <c r="AP1077" s="343"/>
      <c r="AQ1077" s="343"/>
      <c r="AS1077" s="343"/>
      <c r="AT1077" s="538"/>
      <c r="AU1077" s="343"/>
      <c r="AV1077" s="343"/>
      <c r="AW1077" s="538"/>
      <c r="AX1077" s="343"/>
      <c r="AY1077" s="343"/>
      <c r="AZ1077" s="538"/>
      <c r="BA1077" s="343"/>
      <c r="BB1077" s="343"/>
      <c r="BC1077" s="538"/>
      <c r="BD1077" s="343"/>
      <c r="BE1077" s="343"/>
      <c r="BG1077" s="644"/>
      <c r="BH1077" s="515"/>
      <c r="BI1077" s="515"/>
      <c r="BJ1077" s="644"/>
      <c r="BK1077" s="515"/>
      <c r="BL1077" s="515"/>
      <c r="BM1077" s="644"/>
      <c r="BN1077" s="515"/>
      <c r="BO1077" s="515"/>
      <c r="BP1077" s="644"/>
      <c r="BQ1077" s="515"/>
      <c r="BR1077" s="515"/>
    </row>
    <row r="1078" spans="4:70" x14ac:dyDescent="0.25">
      <c r="D1078" s="538"/>
      <c r="G1078" s="538"/>
      <c r="J1078" s="538"/>
      <c r="M1078" s="538"/>
      <c r="R1078" s="538"/>
      <c r="S1078" s="343"/>
      <c r="T1078" s="343"/>
      <c r="U1078" s="538"/>
      <c r="V1078" s="343"/>
      <c r="W1078" s="343"/>
      <c r="X1078" s="538"/>
      <c r="Y1078" s="343"/>
      <c r="Z1078" s="343"/>
      <c r="AA1078" s="538"/>
      <c r="AB1078" s="343"/>
      <c r="AC1078" s="343"/>
      <c r="AE1078" s="343"/>
      <c r="AF1078" s="538"/>
      <c r="AG1078" s="343"/>
      <c r="AH1078" s="343"/>
      <c r="AI1078" s="538"/>
      <c r="AJ1078" s="343"/>
      <c r="AK1078" s="343"/>
      <c r="AL1078" s="538"/>
      <c r="AM1078" s="343"/>
      <c r="AN1078" s="343"/>
      <c r="AO1078" s="538"/>
      <c r="AP1078" s="343"/>
      <c r="AQ1078" s="343"/>
      <c r="AS1078" s="343"/>
      <c r="AT1078" s="538"/>
      <c r="AU1078" s="343"/>
      <c r="AV1078" s="343"/>
      <c r="AW1078" s="538"/>
      <c r="AX1078" s="343"/>
      <c r="AY1078" s="343"/>
      <c r="AZ1078" s="538"/>
      <c r="BA1078" s="343"/>
      <c r="BB1078" s="343"/>
      <c r="BC1078" s="538"/>
      <c r="BD1078" s="343"/>
      <c r="BE1078" s="343"/>
      <c r="BG1078" s="644"/>
      <c r="BH1078" s="515"/>
      <c r="BI1078" s="515"/>
      <c r="BJ1078" s="644"/>
      <c r="BK1078" s="515"/>
      <c r="BL1078" s="515"/>
      <c r="BM1078" s="644"/>
      <c r="BN1078" s="515"/>
      <c r="BO1078" s="515"/>
      <c r="BP1078" s="644"/>
      <c r="BQ1078" s="515"/>
      <c r="BR1078" s="515"/>
    </row>
    <row r="1079" spans="4:70" x14ac:dyDescent="0.25">
      <c r="D1079" s="538"/>
      <c r="G1079" s="538"/>
      <c r="J1079" s="538"/>
      <c r="M1079" s="538"/>
      <c r="R1079" s="538"/>
      <c r="S1079" s="343"/>
      <c r="T1079" s="343"/>
      <c r="U1079" s="538"/>
      <c r="V1079" s="343"/>
      <c r="W1079" s="343"/>
      <c r="X1079" s="538"/>
      <c r="Y1079" s="343"/>
      <c r="Z1079" s="343"/>
      <c r="AA1079" s="538"/>
      <c r="AB1079" s="343"/>
      <c r="AC1079" s="343"/>
      <c r="AE1079" s="343"/>
      <c r="AF1079" s="538"/>
      <c r="AG1079" s="343"/>
      <c r="AH1079" s="343"/>
      <c r="AI1079" s="538"/>
      <c r="AJ1079" s="343"/>
      <c r="AK1079" s="343"/>
      <c r="AL1079" s="538"/>
      <c r="AM1079" s="343"/>
      <c r="AN1079" s="343"/>
      <c r="AO1079" s="538"/>
      <c r="AP1079" s="343"/>
      <c r="AQ1079" s="343"/>
      <c r="AS1079" s="343"/>
      <c r="AT1079" s="538"/>
      <c r="AU1079" s="343"/>
      <c r="AV1079" s="343"/>
      <c r="AW1079" s="538"/>
      <c r="AX1079" s="343"/>
      <c r="AY1079" s="343"/>
      <c r="AZ1079" s="538"/>
      <c r="BA1079" s="343"/>
      <c r="BB1079" s="343"/>
      <c r="BC1079" s="538"/>
      <c r="BD1079" s="343"/>
      <c r="BE1079" s="343"/>
      <c r="BG1079" s="644"/>
      <c r="BH1079" s="515"/>
      <c r="BI1079" s="515"/>
      <c r="BJ1079" s="644"/>
      <c r="BK1079" s="515"/>
      <c r="BL1079" s="515"/>
      <c r="BM1079" s="644"/>
      <c r="BN1079" s="515"/>
      <c r="BO1079" s="515"/>
      <c r="BP1079" s="644"/>
      <c r="BQ1079" s="515"/>
      <c r="BR1079" s="515"/>
    </row>
    <row r="1080" spans="4:70" x14ac:dyDescent="0.25">
      <c r="D1080" s="538"/>
      <c r="G1080" s="538"/>
      <c r="J1080" s="538"/>
      <c r="M1080" s="538"/>
      <c r="R1080" s="538"/>
      <c r="S1080" s="343"/>
      <c r="T1080" s="343"/>
      <c r="U1080" s="538"/>
      <c r="V1080" s="343"/>
      <c r="W1080" s="343"/>
      <c r="X1080" s="538"/>
      <c r="Y1080" s="343"/>
      <c r="Z1080" s="343"/>
      <c r="AA1080" s="538"/>
      <c r="AB1080" s="343"/>
      <c r="AC1080" s="343"/>
      <c r="AE1080" s="343"/>
      <c r="AF1080" s="538"/>
      <c r="AG1080" s="343"/>
      <c r="AH1080" s="343"/>
      <c r="AI1080" s="538"/>
      <c r="AJ1080" s="343"/>
      <c r="AK1080" s="343"/>
      <c r="AL1080" s="538"/>
      <c r="AM1080" s="343"/>
      <c r="AN1080" s="343"/>
      <c r="AO1080" s="538"/>
      <c r="AP1080" s="343"/>
      <c r="AQ1080" s="343"/>
      <c r="AS1080" s="343"/>
      <c r="AT1080" s="538"/>
      <c r="AU1080" s="343"/>
      <c r="AV1080" s="343"/>
      <c r="AW1080" s="538"/>
      <c r="AX1080" s="343"/>
      <c r="AY1080" s="343"/>
      <c r="AZ1080" s="538"/>
      <c r="BA1080" s="343"/>
      <c r="BB1080" s="343"/>
      <c r="BC1080" s="538"/>
      <c r="BD1080" s="343"/>
      <c r="BE1080" s="343"/>
      <c r="BG1080" s="644"/>
      <c r="BH1080" s="515"/>
      <c r="BI1080" s="515"/>
      <c r="BJ1080" s="644"/>
      <c r="BK1080" s="515"/>
      <c r="BL1080" s="515"/>
      <c r="BM1080" s="644"/>
      <c r="BN1080" s="515"/>
      <c r="BO1080" s="515"/>
      <c r="BP1080" s="644"/>
      <c r="BQ1080" s="515"/>
      <c r="BR1080" s="515"/>
    </row>
    <row r="1081" spans="4:70" x14ac:dyDescent="0.25">
      <c r="D1081" s="538"/>
      <c r="G1081" s="538"/>
      <c r="J1081" s="538"/>
      <c r="M1081" s="538"/>
      <c r="R1081" s="538"/>
      <c r="S1081" s="343"/>
      <c r="T1081" s="343"/>
      <c r="U1081" s="538"/>
      <c r="V1081" s="343"/>
      <c r="W1081" s="343"/>
      <c r="X1081" s="538"/>
      <c r="Y1081" s="343"/>
      <c r="Z1081" s="343"/>
      <c r="AA1081" s="538"/>
      <c r="AB1081" s="343"/>
      <c r="AC1081" s="343"/>
      <c r="AE1081" s="343"/>
      <c r="AF1081" s="538"/>
      <c r="AG1081" s="343"/>
      <c r="AH1081" s="343"/>
      <c r="AI1081" s="538"/>
      <c r="AJ1081" s="343"/>
      <c r="AK1081" s="343"/>
      <c r="AL1081" s="538"/>
      <c r="AM1081" s="343"/>
      <c r="AN1081" s="343"/>
      <c r="AO1081" s="538"/>
      <c r="AP1081" s="343"/>
      <c r="AQ1081" s="343"/>
      <c r="AS1081" s="343"/>
      <c r="AT1081" s="538"/>
      <c r="AU1081" s="343"/>
      <c r="AV1081" s="343"/>
      <c r="AW1081" s="538"/>
      <c r="AX1081" s="343"/>
      <c r="AY1081" s="343"/>
      <c r="AZ1081" s="538"/>
      <c r="BA1081" s="343"/>
      <c r="BB1081" s="343"/>
      <c r="BC1081" s="538"/>
      <c r="BD1081" s="343"/>
      <c r="BE1081" s="343"/>
      <c r="BG1081" s="644"/>
      <c r="BH1081" s="515"/>
      <c r="BI1081" s="515"/>
      <c r="BJ1081" s="644"/>
      <c r="BK1081" s="515"/>
      <c r="BL1081" s="515"/>
      <c r="BM1081" s="644"/>
      <c r="BN1081" s="515"/>
      <c r="BO1081" s="515"/>
      <c r="BP1081" s="644"/>
      <c r="BQ1081" s="515"/>
      <c r="BR1081" s="515"/>
    </row>
    <row r="1082" spans="4:70" x14ac:dyDescent="0.25">
      <c r="D1082" s="538"/>
      <c r="G1082" s="538"/>
      <c r="J1082" s="538"/>
      <c r="M1082" s="538"/>
      <c r="R1082" s="538"/>
      <c r="S1082" s="343"/>
      <c r="T1082" s="343"/>
      <c r="U1082" s="538"/>
      <c r="V1082" s="343"/>
      <c r="W1082" s="343"/>
      <c r="X1082" s="538"/>
      <c r="Y1082" s="343"/>
      <c r="Z1082" s="343"/>
      <c r="AA1082" s="538"/>
      <c r="AB1082" s="343"/>
      <c r="AC1082" s="343"/>
      <c r="AE1082" s="343"/>
      <c r="AF1082" s="538"/>
      <c r="AG1082" s="343"/>
      <c r="AH1082" s="343"/>
      <c r="AI1082" s="538"/>
      <c r="AJ1082" s="343"/>
      <c r="AK1082" s="343"/>
      <c r="AL1082" s="538"/>
      <c r="AM1082" s="343"/>
      <c r="AN1082" s="343"/>
      <c r="AO1082" s="538"/>
      <c r="AP1082" s="343"/>
      <c r="AQ1082" s="343"/>
      <c r="AS1082" s="343"/>
      <c r="AT1082" s="538"/>
      <c r="AU1082" s="343"/>
      <c r="AV1082" s="343"/>
      <c r="AW1082" s="538"/>
      <c r="AX1082" s="343"/>
      <c r="AY1082" s="343"/>
      <c r="AZ1082" s="538"/>
      <c r="BA1082" s="343"/>
      <c r="BB1082" s="343"/>
      <c r="BC1082" s="538"/>
      <c r="BD1082" s="343"/>
      <c r="BE1082" s="343"/>
      <c r="BG1082" s="644"/>
      <c r="BH1082" s="515"/>
      <c r="BI1082" s="515"/>
      <c r="BJ1082" s="644"/>
      <c r="BK1082" s="515"/>
      <c r="BL1082" s="515"/>
      <c r="BM1082" s="644"/>
      <c r="BN1082" s="515"/>
      <c r="BO1082" s="515"/>
      <c r="BP1082" s="644"/>
      <c r="BQ1082" s="515"/>
      <c r="BR1082" s="515"/>
    </row>
    <row r="1083" spans="4:70" x14ac:dyDescent="0.25">
      <c r="D1083" s="538"/>
      <c r="G1083" s="538"/>
      <c r="J1083" s="538"/>
      <c r="M1083" s="538"/>
      <c r="R1083" s="538"/>
      <c r="S1083" s="343"/>
      <c r="T1083" s="343"/>
      <c r="U1083" s="538"/>
      <c r="V1083" s="343"/>
      <c r="W1083" s="343"/>
      <c r="X1083" s="538"/>
      <c r="Y1083" s="343"/>
      <c r="Z1083" s="343"/>
      <c r="AA1083" s="538"/>
      <c r="AB1083" s="343"/>
      <c r="AC1083" s="343"/>
      <c r="AE1083" s="343"/>
      <c r="AF1083" s="538"/>
      <c r="AG1083" s="343"/>
      <c r="AH1083" s="343"/>
      <c r="AI1083" s="538"/>
      <c r="AJ1083" s="343"/>
      <c r="AK1083" s="343"/>
      <c r="AL1083" s="538"/>
      <c r="AM1083" s="343"/>
      <c r="AN1083" s="343"/>
      <c r="AO1083" s="538"/>
      <c r="AP1083" s="343"/>
      <c r="AQ1083" s="343"/>
      <c r="AS1083" s="343"/>
      <c r="AT1083" s="538"/>
      <c r="AU1083" s="343"/>
      <c r="AV1083" s="343"/>
      <c r="AW1083" s="538"/>
      <c r="AX1083" s="343"/>
      <c r="AY1083" s="343"/>
      <c r="AZ1083" s="538"/>
      <c r="BA1083" s="343"/>
      <c r="BB1083" s="343"/>
      <c r="BC1083" s="538"/>
      <c r="BD1083" s="343"/>
      <c r="BE1083" s="343"/>
      <c r="BG1083" s="644"/>
      <c r="BH1083" s="515"/>
      <c r="BI1083" s="515"/>
      <c r="BJ1083" s="644"/>
      <c r="BK1083" s="515"/>
      <c r="BL1083" s="515"/>
      <c r="BM1083" s="644"/>
      <c r="BN1083" s="515"/>
      <c r="BO1083" s="515"/>
      <c r="BP1083" s="644"/>
      <c r="BQ1083" s="515"/>
      <c r="BR1083" s="515"/>
    </row>
    <row r="1084" spans="4:70" x14ac:dyDescent="0.25">
      <c r="D1084" s="538"/>
      <c r="G1084" s="538"/>
      <c r="J1084" s="538"/>
      <c r="M1084" s="538"/>
      <c r="R1084" s="538"/>
      <c r="S1084" s="343"/>
      <c r="T1084" s="343"/>
      <c r="U1084" s="538"/>
      <c r="V1084" s="343"/>
      <c r="W1084" s="343"/>
      <c r="X1084" s="538"/>
      <c r="Y1084" s="343"/>
      <c r="Z1084" s="343"/>
      <c r="AA1084" s="538"/>
      <c r="AB1084" s="343"/>
      <c r="AC1084" s="343"/>
      <c r="AE1084" s="343"/>
      <c r="AF1084" s="538"/>
      <c r="AG1084" s="343"/>
      <c r="AH1084" s="343"/>
      <c r="AI1084" s="538"/>
      <c r="AJ1084" s="343"/>
      <c r="AK1084" s="343"/>
      <c r="AL1084" s="538"/>
      <c r="AM1084" s="343"/>
      <c r="AN1084" s="343"/>
      <c r="AO1084" s="538"/>
      <c r="AP1084" s="343"/>
      <c r="AQ1084" s="343"/>
      <c r="AS1084" s="343"/>
      <c r="AT1084" s="538"/>
      <c r="AU1084" s="343"/>
      <c r="AV1084" s="343"/>
      <c r="AW1084" s="538"/>
      <c r="AX1084" s="343"/>
      <c r="AY1084" s="343"/>
      <c r="AZ1084" s="538"/>
      <c r="BA1084" s="343"/>
      <c r="BB1084" s="343"/>
      <c r="BC1084" s="538"/>
      <c r="BD1084" s="343"/>
      <c r="BE1084" s="343"/>
      <c r="BG1084" s="644"/>
      <c r="BH1084" s="515"/>
      <c r="BI1084" s="515"/>
      <c r="BJ1084" s="644"/>
      <c r="BK1084" s="515"/>
      <c r="BL1084" s="515"/>
      <c r="BM1084" s="644"/>
      <c r="BN1084" s="515"/>
      <c r="BO1084" s="515"/>
      <c r="BP1084" s="644"/>
      <c r="BQ1084" s="515"/>
      <c r="BR1084" s="515"/>
    </row>
    <row r="1085" spans="4:70" x14ac:dyDescent="0.25">
      <c r="D1085" s="538"/>
      <c r="G1085" s="538"/>
      <c r="J1085" s="538"/>
      <c r="M1085" s="538"/>
      <c r="R1085" s="538"/>
      <c r="S1085" s="343"/>
      <c r="T1085" s="343"/>
      <c r="U1085" s="538"/>
      <c r="V1085" s="343"/>
      <c r="W1085" s="343"/>
      <c r="X1085" s="538"/>
      <c r="Y1085" s="343"/>
      <c r="Z1085" s="343"/>
      <c r="AA1085" s="538"/>
      <c r="AB1085" s="343"/>
      <c r="AC1085" s="343"/>
      <c r="AE1085" s="343"/>
      <c r="AF1085" s="538"/>
      <c r="AG1085" s="343"/>
      <c r="AH1085" s="343"/>
      <c r="AI1085" s="538"/>
      <c r="AJ1085" s="343"/>
      <c r="AK1085" s="343"/>
      <c r="AL1085" s="538"/>
      <c r="AM1085" s="343"/>
      <c r="AN1085" s="343"/>
      <c r="AO1085" s="538"/>
      <c r="AP1085" s="343"/>
      <c r="AQ1085" s="343"/>
      <c r="AS1085" s="343"/>
      <c r="AT1085" s="538"/>
      <c r="AU1085" s="343"/>
      <c r="AV1085" s="343"/>
      <c r="AW1085" s="538"/>
      <c r="AX1085" s="343"/>
      <c r="AY1085" s="343"/>
      <c r="AZ1085" s="538"/>
      <c r="BA1085" s="343"/>
      <c r="BB1085" s="343"/>
      <c r="BC1085" s="538"/>
      <c r="BD1085" s="343"/>
      <c r="BE1085" s="343"/>
      <c r="BG1085" s="644"/>
      <c r="BH1085" s="515"/>
      <c r="BI1085" s="515"/>
      <c r="BJ1085" s="644"/>
      <c r="BK1085" s="515"/>
      <c r="BL1085" s="515"/>
      <c r="BM1085" s="644"/>
      <c r="BN1085" s="515"/>
      <c r="BO1085" s="515"/>
      <c r="BP1085" s="644"/>
      <c r="BQ1085" s="515"/>
      <c r="BR1085" s="515"/>
    </row>
    <row r="1086" spans="4:70" x14ac:dyDescent="0.25">
      <c r="D1086" s="538"/>
      <c r="G1086" s="538"/>
      <c r="J1086" s="538"/>
      <c r="M1086" s="538"/>
      <c r="R1086" s="538"/>
      <c r="S1086" s="343"/>
      <c r="T1086" s="343"/>
      <c r="U1086" s="538"/>
      <c r="V1086" s="343"/>
      <c r="W1086" s="343"/>
      <c r="X1086" s="538"/>
      <c r="Y1086" s="343"/>
      <c r="Z1086" s="343"/>
      <c r="AA1086" s="538"/>
      <c r="AB1086" s="343"/>
      <c r="AC1086" s="343"/>
      <c r="AE1086" s="343"/>
      <c r="AF1086" s="538"/>
      <c r="AG1086" s="343"/>
      <c r="AH1086" s="343"/>
      <c r="AI1086" s="538"/>
      <c r="AJ1086" s="343"/>
      <c r="AK1086" s="343"/>
      <c r="AL1086" s="538"/>
      <c r="AM1086" s="343"/>
      <c r="AN1086" s="343"/>
      <c r="AO1086" s="538"/>
      <c r="AP1086" s="343"/>
      <c r="AQ1086" s="343"/>
      <c r="AS1086" s="343"/>
      <c r="AT1086" s="538"/>
      <c r="AU1086" s="343"/>
      <c r="AV1086" s="343"/>
      <c r="AW1086" s="538"/>
      <c r="AX1086" s="343"/>
      <c r="AY1086" s="343"/>
      <c r="AZ1086" s="538"/>
      <c r="BA1086" s="343"/>
      <c r="BB1086" s="343"/>
      <c r="BC1086" s="538"/>
      <c r="BD1086" s="343"/>
      <c r="BE1086" s="343"/>
      <c r="BG1086" s="644"/>
      <c r="BH1086" s="515"/>
      <c r="BI1086" s="515"/>
      <c r="BJ1086" s="644"/>
      <c r="BK1086" s="515"/>
      <c r="BL1086" s="515"/>
      <c r="BM1086" s="644"/>
      <c r="BN1086" s="515"/>
      <c r="BO1086" s="515"/>
      <c r="BP1086" s="644"/>
      <c r="BQ1086" s="515"/>
      <c r="BR1086" s="515"/>
    </row>
    <row r="1087" spans="4:70" x14ac:dyDescent="0.25">
      <c r="D1087" s="538"/>
      <c r="G1087" s="538"/>
      <c r="J1087" s="538"/>
      <c r="M1087" s="538"/>
      <c r="R1087" s="538"/>
      <c r="S1087" s="343"/>
      <c r="T1087" s="343"/>
      <c r="U1087" s="538"/>
      <c r="V1087" s="343"/>
      <c r="W1087" s="343"/>
      <c r="X1087" s="538"/>
      <c r="Y1087" s="343"/>
      <c r="Z1087" s="343"/>
      <c r="AA1087" s="538"/>
      <c r="AB1087" s="343"/>
      <c r="AC1087" s="343"/>
      <c r="AE1087" s="343"/>
      <c r="AF1087" s="538"/>
      <c r="AG1087" s="343"/>
      <c r="AH1087" s="343"/>
      <c r="AI1087" s="538"/>
      <c r="AJ1087" s="343"/>
      <c r="AK1087" s="343"/>
      <c r="AL1087" s="538"/>
      <c r="AM1087" s="343"/>
      <c r="AN1087" s="343"/>
      <c r="AO1087" s="538"/>
      <c r="AP1087" s="343"/>
      <c r="AQ1087" s="343"/>
      <c r="AS1087" s="343"/>
      <c r="AT1087" s="538"/>
      <c r="AU1087" s="343"/>
      <c r="AV1087" s="343"/>
      <c r="AW1087" s="538"/>
      <c r="AX1087" s="343"/>
      <c r="AY1087" s="343"/>
      <c r="AZ1087" s="538"/>
      <c r="BA1087" s="343"/>
      <c r="BB1087" s="343"/>
      <c r="BC1087" s="538"/>
      <c r="BD1087" s="343"/>
      <c r="BE1087" s="343"/>
      <c r="BG1087" s="644"/>
      <c r="BH1087" s="515"/>
      <c r="BI1087" s="515"/>
      <c r="BJ1087" s="644"/>
      <c r="BK1087" s="515"/>
      <c r="BL1087" s="515"/>
      <c r="BM1087" s="644"/>
      <c r="BN1087" s="515"/>
      <c r="BO1087" s="515"/>
      <c r="BP1087" s="644"/>
      <c r="BQ1087" s="515"/>
      <c r="BR1087" s="515"/>
    </row>
    <row r="1088" spans="4:70" x14ac:dyDescent="0.25">
      <c r="D1088" s="538"/>
      <c r="G1088" s="538"/>
      <c r="J1088" s="538"/>
      <c r="M1088" s="538"/>
      <c r="R1088" s="538"/>
      <c r="S1088" s="343"/>
      <c r="T1088" s="343"/>
      <c r="U1088" s="538"/>
      <c r="V1088" s="343"/>
      <c r="W1088" s="343"/>
      <c r="X1088" s="538"/>
      <c r="Y1088" s="343"/>
      <c r="Z1088" s="343"/>
      <c r="AA1088" s="538"/>
      <c r="AB1088" s="343"/>
      <c r="AC1088" s="343"/>
      <c r="AE1088" s="343"/>
      <c r="AF1088" s="538"/>
      <c r="AG1088" s="343"/>
      <c r="AH1088" s="343"/>
      <c r="AI1088" s="538"/>
      <c r="AJ1088" s="343"/>
      <c r="AK1088" s="343"/>
      <c r="AL1088" s="538"/>
      <c r="AM1088" s="343"/>
      <c r="AN1088" s="343"/>
      <c r="AO1088" s="538"/>
      <c r="AP1088" s="343"/>
      <c r="AQ1088" s="343"/>
      <c r="AS1088" s="343"/>
      <c r="AT1088" s="538"/>
      <c r="AU1088" s="343"/>
      <c r="AV1088" s="343"/>
      <c r="AW1088" s="538"/>
      <c r="AX1088" s="343"/>
      <c r="AY1088" s="343"/>
      <c r="AZ1088" s="538"/>
      <c r="BA1088" s="343"/>
      <c r="BB1088" s="343"/>
      <c r="BC1088" s="538"/>
      <c r="BD1088" s="343"/>
      <c r="BE1088" s="343"/>
      <c r="BG1088" s="644"/>
      <c r="BH1088" s="515"/>
      <c r="BI1088" s="515"/>
      <c r="BJ1088" s="644"/>
      <c r="BK1088" s="515"/>
      <c r="BL1088" s="515"/>
      <c r="BM1088" s="644"/>
      <c r="BN1088" s="515"/>
      <c r="BO1088" s="515"/>
      <c r="BP1088" s="644"/>
      <c r="BQ1088" s="515"/>
      <c r="BR1088" s="515"/>
    </row>
    <row r="1089" spans="4:70" x14ac:dyDescent="0.25">
      <c r="D1089" s="538"/>
      <c r="G1089" s="538"/>
      <c r="J1089" s="538"/>
      <c r="M1089" s="538"/>
      <c r="R1089" s="538"/>
      <c r="S1089" s="343"/>
      <c r="T1089" s="343"/>
      <c r="U1089" s="538"/>
      <c r="V1089" s="343"/>
      <c r="W1089" s="343"/>
      <c r="X1089" s="538"/>
      <c r="Y1089" s="343"/>
      <c r="Z1089" s="343"/>
      <c r="AA1089" s="538"/>
      <c r="AB1089" s="343"/>
      <c r="AC1089" s="343"/>
      <c r="AE1089" s="343"/>
      <c r="AF1089" s="538"/>
      <c r="AG1089" s="343"/>
      <c r="AH1089" s="343"/>
      <c r="AI1089" s="538"/>
      <c r="AJ1089" s="343"/>
      <c r="AK1089" s="343"/>
      <c r="AL1089" s="538"/>
      <c r="AM1089" s="343"/>
      <c r="AN1089" s="343"/>
      <c r="AO1089" s="538"/>
      <c r="AP1089" s="343"/>
      <c r="AQ1089" s="343"/>
      <c r="AS1089" s="343"/>
      <c r="AT1089" s="538"/>
      <c r="AU1089" s="343"/>
      <c r="AV1089" s="343"/>
      <c r="AW1089" s="538"/>
      <c r="AX1089" s="343"/>
      <c r="AY1089" s="343"/>
      <c r="AZ1089" s="538"/>
      <c r="BA1089" s="343"/>
      <c r="BB1089" s="343"/>
      <c r="BC1089" s="538"/>
      <c r="BD1089" s="343"/>
      <c r="BE1089" s="343"/>
      <c r="BG1089" s="644"/>
      <c r="BH1089" s="515"/>
      <c r="BI1089" s="515"/>
      <c r="BJ1089" s="644"/>
      <c r="BK1089" s="515"/>
      <c r="BL1089" s="515"/>
      <c r="BM1089" s="644"/>
      <c r="BN1089" s="515"/>
      <c r="BO1089" s="515"/>
      <c r="BP1089" s="644"/>
      <c r="BQ1089" s="515"/>
      <c r="BR1089" s="515"/>
    </row>
    <row r="1090" spans="4:70" x14ac:dyDescent="0.25">
      <c r="D1090" s="538"/>
      <c r="G1090" s="538"/>
      <c r="J1090" s="538"/>
      <c r="M1090" s="538"/>
      <c r="R1090" s="538"/>
      <c r="S1090" s="343"/>
      <c r="T1090" s="343"/>
      <c r="U1090" s="538"/>
      <c r="V1090" s="343"/>
      <c r="W1090" s="343"/>
      <c r="X1090" s="538"/>
      <c r="Y1090" s="343"/>
      <c r="Z1090" s="343"/>
      <c r="AA1090" s="538"/>
      <c r="AB1090" s="343"/>
      <c r="AC1090" s="343"/>
      <c r="AE1090" s="343"/>
      <c r="AF1090" s="538"/>
      <c r="AG1090" s="343"/>
      <c r="AH1090" s="343"/>
      <c r="AI1090" s="538"/>
      <c r="AJ1090" s="343"/>
      <c r="AK1090" s="343"/>
      <c r="AL1090" s="538"/>
      <c r="AM1090" s="343"/>
      <c r="AN1090" s="343"/>
      <c r="AO1090" s="538"/>
      <c r="AP1090" s="343"/>
      <c r="AQ1090" s="343"/>
      <c r="AS1090" s="343"/>
      <c r="AT1090" s="538"/>
      <c r="AU1090" s="343"/>
      <c r="AV1090" s="343"/>
      <c r="AW1090" s="538"/>
      <c r="AX1090" s="343"/>
      <c r="AY1090" s="343"/>
      <c r="AZ1090" s="538"/>
      <c r="BA1090" s="343"/>
      <c r="BB1090" s="343"/>
      <c r="BC1090" s="538"/>
      <c r="BD1090" s="343"/>
      <c r="BE1090" s="343"/>
      <c r="BG1090" s="644"/>
      <c r="BH1090" s="515"/>
      <c r="BI1090" s="515"/>
      <c r="BJ1090" s="644"/>
      <c r="BK1090" s="515"/>
      <c r="BL1090" s="515"/>
      <c r="BM1090" s="644"/>
      <c r="BN1090" s="515"/>
      <c r="BO1090" s="515"/>
      <c r="BP1090" s="644"/>
      <c r="BQ1090" s="515"/>
      <c r="BR1090" s="515"/>
    </row>
    <row r="1091" spans="4:70" x14ac:dyDescent="0.25">
      <c r="D1091" s="538"/>
      <c r="G1091" s="538"/>
      <c r="J1091" s="538"/>
      <c r="M1091" s="538"/>
      <c r="R1091" s="538"/>
      <c r="S1091" s="343"/>
      <c r="T1091" s="343"/>
      <c r="U1091" s="538"/>
      <c r="V1091" s="343"/>
      <c r="W1091" s="343"/>
      <c r="X1091" s="538"/>
      <c r="Y1091" s="343"/>
      <c r="Z1091" s="343"/>
      <c r="AA1091" s="538"/>
      <c r="AB1091" s="343"/>
      <c r="AC1091" s="343"/>
      <c r="AE1091" s="343"/>
      <c r="AF1091" s="538"/>
      <c r="AG1091" s="343"/>
      <c r="AH1091" s="343"/>
      <c r="AI1091" s="538"/>
      <c r="AJ1091" s="343"/>
      <c r="AK1091" s="343"/>
      <c r="AL1091" s="538"/>
      <c r="AM1091" s="343"/>
      <c r="AN1091" s="343"/>
      <c r="AO1091" s="538"/>
      <c r="AP1091" s="343"/>
      <c r="AQ1091" s="343"/>
      <c r="AS1091" s="343"/>
      <c r="AT1091" s="538"/>
      <c r="AU1091" s="343"/>
      <c r="AV1091" s="343"/>
      <c r="AW1091" s="538"/>
      <c r="AX1091" s="343"/>
      <c r="AY1091" s="343"/>
      <c r="AZ1091" s="538"/>
      <c r="BA1091" s="343"/>
      <c r="BB1091" s="343"/>
      <c r="BC1091" s="538"/>
      <c r="BD1091" s="343"/>
      <c r="BE1091" s="343"/>
      <c r="BG1091" s="644"/>
      <c r="BH1091" s="515"/>
      <c r="BI1091" s="515"/>
      <c r="BJ1091" s="644"/>
      <c r="BK1091" s="515"/>
      <c r="BL1091" s="515"/>
      <c r="BM1091" s="644"/>
      <c r="BN1091" s="515"/>
      <c r="BO1091" s="515"/>
      <c r="BP1091" s="644"/>
      <c r="BQ1091" s="515"/>
      <c r="BR1091" s="515"/>
    </row>
    <row r="1092" spans="4:70" x14ac:dyDescent="0.25">
      <c r="D1092" s="538"/>
      <c r="G1092" s="538"/>
      <c r="J1092" s="538"/>
      <c r="M1092" s="538"/>
      <c r="R1092" s="538"/>
      <c r="S1092" s="343"/>
      <c r="T1092" s="343"/>
      <c r="U1092" s="538"/>
      <c r="V1092" s="343"/>
      <c r="W1092" s="343"/>
      <c r="X1092" s="538"/>
      <c r="Y1092" s="343"/>
      <c r="Z1092" s="343"/>
      <c r="AA1092" s="538"/>
      <c r="AB1092" s="343"/>
      <c r="AC1092" s="343"/>
      <c r="AE1092" s="343"/>
      <c r="AF1092" s="538"/>
      <c r="AG1092" s="343"/>
      <c r="AH1092" s="343"/>
      <c r="AI1092" s="538"/>
      <c r="AJ1092" s="343"/>
      <c r="AK1092" s="343"/>
      <c r="AL1092" s="538"/>
      <c r="AM1092" s="343"/>
      <c r="AN1092" s="343"/>
      <c r="AO1092" s="538"/>
      <c r="AP1092" s="343"/>
      <c r="AQ1092" s="343"/>
      <c r="AS1092" s="343"/>
      <c r="AT1092" s="538"/>
      <c r="AU1092" s="343"/>
      <c r="AV1092" s="343"/>
      <c r="AW1092" s="538"/>
      <c r="AX1092" s="343"/>
      <c r="AY1092" s="343"/>
      <c r="AZ1092" s="538"/>
      <c r="BA1092" s="343"/>
      <c r="BB1092" s="343"/>
      <c r="BC1092" s="538"/>
      <c r="BD1092" s="343"/>
      <c r="BE1092" s="343"/>
      <c r="BG1092" s="644"/>
      <c r="BH1092" s="515"/>
      <c r="BI1092" s="515"/>
      <c r="BJ1092" s="644"/>
      <c r="BK1092" s="515"/>
      <c r="BL1092" s="515"/>
      <c r="BM1092" s="644"/>
      <c r="BN1092" s="515"/>
      <c r="BO1092" s="515"/>
      <c r="BP1092" s="644"/>
      <c r="BQ1092" s="515"/>
      <c r="BR1092" s="515"/>
    </row>
    <row r="1093" spans="4:70" x14ac:dyDescent="0.25">
      <c r="D1093" s="538"/>
      <c r="G1093" s="538"/>
      <c r="J1093" s="538"/>
      <c r="M1093" s="538"/>
      <c r="R1093" s="538"/>
      <c r="S1093" s="343"/>
      <c r="T1093" s="343"/>
      <c r="U1093" s="538"/>
      <c r="V1093" s="343"/>
      <c r="W1093" s="343"/>
      <c r="X1093" s="538"/>
      <c r="Y1093" s="343"/>
      <c r="Z1093" s="343"/>
      <c r="AA1093" s="538"/>
      <c r="AB1093" s="343"/>
      <c r="AC1093" s="343"/>
      <c r="AE1093" s="343"/>
      <c r="AF1093" s="538"/>
      <c r="AG1093" s="343"/>
      <c r="AH1093" s="343"/>
      <c r="AI1093" s="538"/>
      <c r="AJ1093" s="343"/>
      <c r="AK1093" s="343"/>
      <c r="AL1093" s="538"/>
      <c r="AM1093" s="343"/>
      <c r="AN1093" s="343"/>
      <c r="AO1093" s="538"/>
      <c r="AP1093" s="343"/>
      <c r="AQ1093" s="343"/>
      <c r="AS1093" s="343"/>
      <c r="AT1093" s="538"/>
      <c r="AU1093" s="343"/>
      <c r="AV1093" s="343"/>
      <c r="AW1093" s="538"/>
      <c r="AX1093" s="343"/>
      <c r="AY1093" s="343"/>
      <c r="AZ1093" s="538"/>
      <c r="BA1093" s="343"/>
      <c r="BB1093" s="343"/>
      <c r="BC1093" s="538"/>
      <c r="BD1093" s="343"/>
      <c r="BE1093" s="343"/>
      <c r="BG1093" s="644"/>
      <c r="BH1093" s="515"/>
      <c r="BI1093" s="515"/>
      <c r="BJ1093" s="644"/>
      <c r="BK1093" s="515"/>
      <c r="BL1093" s="515"/>
      <c r="BM1093" s="644"/>
      <c r="BN1093" s="515"/>
      <c r="BO1093" s="515"/>
      <c r="BP1093" s="644"/>
      <c r="BQ1093" s="515"/>
      <c r="BR1093" s="515"/>
    </row>
    <row r="1094" spans="4:70" x14ac:dyDescent="0.25">
      <c r="D1094" s="538"/>
      <c r="G1094" s="538"/>
      <c r="J1094" s="538"/>
      <c r="M1094" s="538"/>
      <c r="R1094" s="538"/>
      <c r="S1094" s="343"/>
      <c r="T1094" s="343"/>
      <c r="U1094" s="538"/>
      <c r="V1094" s="343"/>
      <c r="W1094" s="343"/>
      <c r="X1094" s="538"/>
      <c r="Y1094" s="343"/>
      <c r="Z1094" s="343"/>
      <c r="AA1094" s="538"/>
      <c r="AB1094" s="343"/>
      <c r="AC1094" s="343"/>
      <c r="AE1094" s="343"/>
      <c r="AF1094" s="538"/>
      <c r="AG1094" s="343"/>
      <c r="AH1094" s="343"/>
      <c r="AI1094" s="538"/>
      <c r="AJ1094" s="343"/>
      <c r="AK1094" s="343"/>
      <c r="AL1094" s="538"/>
      <c r="AM1094" s="343"/>
      <c r="AN1094" s="343"/>
      <c r="AO1094" s="538"/>
      <c r="AP1094" s="343"/>
      <c r="AQ1094" s="343"/>
      <c r="AS1094" s="343"/>
      <c r="AT1094" s="538"/>
      <c r="AU1094" s="343"/>
      <c r="AV1094" s="343"/>
      <c r="AW1094" s="538"/>
      <c r="AX1094" s="343"/>
      <c r="AY1094" s="343"/>
      <c r="AZ1094" s="538"/>
      <c r="BA1094" s="343"/>
      <c r="BB1094" s="343"/>
      <c r="BC1094" s="538"/>
      <c r="BD1094" s="343"/>
      <c r="BE1094" s="343"/>
      <c r="BG1094" s="644"/>
      <c r="BH1094" s="515"/>
      <c r="BI1094" s="515"/>
      <c r="BJ1094" s="644"/>
      <c r="BK1094" s="515"/>
      <c r="BL1094" s="515"/>
      <c r="BM1094" s="644"/>
      <c r="BN1094" s="515"/>
      <c r="BO1094" s="515"/>
      <c r="BP1094" s="644"/>
      <c r="BQ1094" s="515"/>
      <c r="BR1094" s="515"/>
    </row>
    <row r="1095" spans="4:70" x14ac:dyDescent="0.25">
      <c r="D1095" s="538"/>
      <c r="G1095" s="538"/>
      <c r="J1095" s="538"/>
      <c r="M1095" s="538"/>
      <c r="R1095" s="538"/>
      <c r="S1095" s="343"/>
      <c r="T1095" s="343"/>
      <c r="U1095" s="538"/>
      <c r="V1095" s="343"/>
      <c r="W1095" s="343"/>
      <c r="X1095" s="538"/>
      <c r="Y1095" s="343"/>
      <c r="Z1095" s="343"/>
      <c r="AA1095" s="538"/>
      <c r="AB1095" s="343"/>
      <c r="AC1095" s="343"/>
      <c r="AE1095" s="343"/>
      <c r="AF1095" s="538"/>
      <c r="AG1095" s="343"/>
      <c r="AH1095" s="343"/>
      <c r="AI1095" s="538"/>
      <c r="AJ1095" s="343"/>
      <c r="AK1095" s="343"/>
      <c r="AL1095" s="538"/>
      <c r="AM1095" s="343"/>
      <c r="AN1095" s="343"/>
      <c r="AO1095" s="538"/>
      <c r="AP1095" s="343"/>
      <c r="AQ1095" s="343"/>
      <c r="AS1095" s="343"/>
      <c r="AT1095" s="538"/>
      <c r="AU1095" s="343"/>
      <c r="AV1095" s="343"/>
      <c r="AW1095" s="538"/>
      <c r="AX1095" s="343"/>
      <c r="AY1095" s="343"/>
      <c r="AZ1095" s="538"/>
      <c r="BA1095" s="343"/>
      <c r="BB1095" s="343"/>
      <c r="BC1095" s="538"/>
      <c r="BD1095" s="343"/>
      <c r="BE1095" s="343"/>
      <c r="BG1095" s="644"/>
      <c r="BH1095" s="515"/>
      <c r="BI1095" s="515"/>
      <c r="BJ1095" s="644"/>
      <c r="BK1095" s="515"/>
      <c r="BL1095" s="515"/>
      <c r="BM1095" s="644"/>
      <c r="BN1095" s="515"/>
      <c r="BO1095" s="515"/>
      <c r="BP1095" s="644"/>
      <c r="BQ1095" s="515"/>
      <c r="BR1095" s="515"/>
    </row>
    <row r="1096" spans="4:70" x14ac:dyDescent="0.25">
      <c r="D1096" s="538"/>
      <c r="G1096" s="538"/>
      <c r="J1096" s="538"/>
      <c r="M1096" s="538"/>
      <c r="R1096" s="538"/>
      <c r="S1096" s="343"/>
      <c r="T1096" s="343"/>
      <c r="U1096" s="538"/>
      <c r="V1096" s="343"/>
      <c r="W1096" s="343"/>
      <c r="X1096" s="538"/>
      <c r="Y1096" s="343"/>
      <c r="Z1096" s="343"/>
      <c r="AA1096" s="538"/>
      <c r="AB1096" s="343"/>
      <c r="AC1096" s="343"/>
      <c r="AE1096" s="343"/>
      <c r="AF1096" s="538"/>
      <c r="AG1096" s="343"/>
      <c r="AH1096" s="343"/>
      <c r="AI1096" s="538"/>
      <c r="AJ1096" s="343"/>
      <c r="AK1096" s="343"/>
      <c r="AL1096" s="538"/>
      <c r="AM1096" s="343"/>
      <c r="AN1096" s="343"/>
      <c r="AO1096" s="538"/>
      <c r="AP1096" s="343"/>
      <c r="AQ1096" s="343"/>
      <c r="AS1096" s="343"/>
      <c r="AT1096" s="538"/>
      <c r="AU1096" s="343"/>
      <c r="AV1096" s="343"/>
      <c r="AW1096" s="538"/>
      <c r="AX1096" s="343"/>
      <c r="AY1096" s="343"/>
      <c r="AZ1096" s="538"/>
      <c r="BA1096" s="343"/>
      <c r="BB1096" s="343"/>
      <c r="BC1096" s="538"/>
      <c r="BD1096" s="343"/>
      <c r="BE1096" s="343"/>
      <c r="BG1096" s="644"/>
      <c r="BH1096" s="515"/>
      <c r="BI1096" s="515"/>
      <c r="BJ1096" s="644"/>
      <c r="BK1096" s="515"/>
      <c r="BL1096" s="515"/>
      <c r="BM1096" s="644"/>
      <c r="BN1096" s="515"/>
      <c r="BO1096" s="515"/>
      <c r="BP1096" s="644"/>
      <c r="BQ1096" s="515"/>
      <c r="BR1096" s="515"/>
    </row>
    <row r="1097" spans="4:70" x14ac:dyDescent="0.25">
      <c r="D1097" s="538"/>
      <c r="G1097" s="538"/>
      <c r="J1097" s="538"/>
      <c r="M1097" s="538"/>
      <c r="R1097" s="538"/>
      <c r="S1097" s="343"/>
      <c r="T1097" s="343"/>
      <c r="U1097" s="538"/>
      <c r="V1097" s="343"/>
      <c r="W1097" s="343"/>
      <c r="X1097" s="538"/>
      <c r="Y1097" s="343"/>
      <c r="Z1097" s="343"/>
      <c r="AA1097" s="538"/>
      <c r="AB1097" s="343"/>
      <c r="AC1097" s="343"/>
      <c r="AE1097" s="343"/>
      <c r="AF1097" s="538"/>
      <c r="AG1097" s="343"/>
      <c r="AH1097" s="343"/>
      <c r="AI1097" s="538"/>
      <c r="AJ1097" s="343"/>
      <c r="AK1097" s="343"/>
      <c r="AL1097" s="538"/>
      <c r="AM1097" s="343"/>
      <c r="AN1097" s="343"/>
      <c r="AO1097" s="538"/>
      <c r="AP1097" s="343"/>
      <c r="AQ1097" s="343"/>
      <c r="AS1097" s="343"/>
      <c r="AT1097" s="538"/>
      <c r="AU1097" s="343"/>
      <c r="AV1097" s="343"/>
      <c r="AW1097" s="538"/>
      <c r="AX1097" s="343"/>
      <c r="AY1097" s="343"/>
      <c r="AZ1097" s="538"/>
      <c r="BA1097" s="343"/>
      <c r="BB1097" s="343"/>
      <c r="BC1097" s="538"/>
      <c r="BD1097" s="343"/>
      <c r="BE1097" s="343"/>
      <c r="BG1097" s="644"/>
      <c r="BH1097" s="515"/>
      <c r="BI1097" s="515"/>
      <c r="BJ1097" s="644"/>
      <c r="BK1097" s="515"/>
      <c r="BL1097" s="515"/>
      <c r="BM1097" s="644"/>
      <c r="BN1097" s="515"/>
      <c r="BO1097" s="515"/>
      <c r="BP1097" s="644"/>
      <c r="BQ1097" s="515"/>
      <c r="BR1097" s="515"/>
    </row>
    <row r="1098" spans="4:70" x14ac:dyDescent="0.25">
      <c r="D1098" s="538"/>
      <c r="G1098" s="538"/>
      <c r="J1098" s="538"/>
      <c r="M1098" s="538"/>
      <c r="R1098" s="538"/>
      <c r="S1098" s="343"/>
      <c r="T1098" s="343"/>
      <c r="U1098" s="538"/>
      <c r="V1098" s="343"/>
      <c r="W1098" s="343"/>
      <c r="X1098" s="538"/>
      <c r="Y1098" s="343"/>
      <c r="Z1098" s="343"/>
      <c r="AA1098" s="538"/>
      <c r="AB1098" s="343"/>
      <c r="AC1098" s="343"/>
      <c r="AE1098" s="343"/>
      <c r="AF1098" s="538"/>
      <c r="AG1098" s="343"/>
      <c r="AH1098" s="343"/>
      <c r="AI1098" s="538"/>
      <c r="AJ1098" s="343"/>
      <c r="AK1098" s="343"/>
      <c r="AL1098" s="538"/>
      <c r="AM1098" s="343"/>
      <c r="AN1098" s="343"/>
      <c r="AO1098" s="538"/>
      <c r="AP1098" s="343"/>
      <c r="AQ1098" s="343"/>
      <c r="AS1098" s="343"/>
      <c r="AT1098" s="538"/>
      <c r="AU1098" s="343"/>
      <c r="AV1098" s="343"/>
      <c r="AW1098" s="538"/>
      <c r="AX1098" s="343"/>
      <c r="AY1098" s="343"/>
      <c r="AZ1098" s="538"/>
      <c r="BA1098" s="343"/>
      <c r="BB1098" s="343"/>
      <c r="BC1098" s="538"/>
      <c r="BD1098" s="343"/>
      <c r="BE1098" s="343"/>
      <c r="BG1098" s="644"/>
      <c r="BH1098" s="515"/>
      <c r="BI1098" s="515"/>
      <c r="BJ1098" s="644"/>
      <c r="BK1098" s="515"/>
      <c r="BL1098" s="515"/>
      <c r="BM1098" s="644"/>
      <c r="BN1098" s="515"/>
      <c r="BO1098" s="515"/>
      <c r="BP1098" s="644"/>
      <c r="BQ1098" s="515"/>
      <c r="BR1098" s="515"/>
    </row>
    <row r="1099" spans="4:70" x14ac:dyDescent="0.25">
      <c r="D1099" s="538"/>
      <c r="G1099" s="538"/>
      <c r="J1099" s="538"/>
      <c r="M1099" s="538"/>
      <c r="R1099" s="538"/>
      <c r="S1099" s="343"/>
      <c r="T1099" s="343"/>
      <c r="U1099" s="538"/>
      <c r="V1099" s="343"/>
      <c r="W1099" s="343"/>
      <c r="X1099" s="538"/>
      <c r="Y1099" s="343"/>
      <c r="Z1099" s="343"/>
      <c r="AA1099" s="538"/>
      <c r="AB1099" s="343"/>
      <c r="AC1099" s="343"/>
      <c r="AE1099" s="343"/>
      <c r="AF1099" s="538"/>
      <c r="AG1099" s="343"/>
      <c r="AH1099" s="343"/>
      <c r="AI1099" s="538"/>
      <c r="AJ1099" s="343"/>
      <c r="AK1099" s="343"/>
      <c r="AL1099" s="538"/>
      <c r="AM1099" s="343"/>
      <c r="AN1099" s="343"/>
      <c r="AO1099" s="538"/>
      <c r="AP1099" s="343"/>
      <c r="AQ1099" s="343"/>
      <c r="AS1099" s="343"/>
      <c r="AT1099" s="538"/>
      <c r="AU1099" s="343"/>
      <c r="AV1099" s="343"/>
      <c r="AW1099" s="538"/>
      <c r="AX1099" s="343"/>
      <c r="AY1099" s="343"/>
      <c r="AZ1099" s="538"/>
      <c r="BA1099" s="343"/>
      <c r="BB1099" s="343"/>
      <c r="BC1099" s="538"/>
      <c r="BD1099" s="343"/>
      <c r="BE1099" s="343"/>
      <c r="BG1099" s="644"/>
      <c r="BH1099" s="515"/>
      <c r="BI1099" s="515"/>
      <c r="BJ1099" s="644"/>
      <c r="BK1099" s="515"/>
      <c r="BL1099" s="515"/>
      <c r="BM1099" s="644"/>
      <c r="BN1099" s="515"/>
      <c r="BO1099" s="515"/>
      <c r="BP1099" s="644"/>
      <c r="BQ1099" s="515"/>
      <c r="BR1099" s="515"/>
    </row>
    <row r="1100" spans="4:70" x14ac:dyDescent="0.25">
      <c r="D1100" s="538"/>
      <c r="G1100" s="538"/>
      <c r="J1100" s="538"/>
      <c r="M1100" s="538"/>
      <c r="R1100" s="538"/>
      <c r="S1100" s="343"/>
      <c r="T1100" s="343"/>
      <c r="U1100" s="538"/>
      <c r="V1100" s="343"/>
      <c r="W1100" s="343"/>
      <c r="X1100" s="538"/>
      <c r="Y1100" s="343"/>
      <c r="Z1100" s="343"/>
      <c r="AA1100" s="538"/>
      <c r="AB1100" s="343"/>
      <c r="AC1100" s="343"/>
      <c r="AE1100" s="343"/>
      <c r="AF1100" s="538"/>
      <c r="AG1100" s="343"/>
      <c r="AH1100" s="343"/>
      <c r="AI1100" s="538"/>
      <c r="AJ1100" s="343"/>
      <c r="AK1100" s="343"/>
      <c r="AL1100" s="538"/>
      <c r="AM1100" s="343"/>
      <c r="AN1100" s="343"/>
      <c r="AO1100" s="538"/>
      <c r="AP1100" s="343"/>
      <c r="AQ1100" s="343"/>
      <c r="AS1100" s="343"/>
      <c r="AT1100" s="538"/>
      <c r="AU1100" s="343"/>
      <c r="AV1100" s="343"/>
      <c r="AW1100" s="538"/>
      <c r="AX1100" s="343"/>
      <c r="AY1100" s="343"/>
      <c r="AZ1100" s="538"/>
      <c r="BA1100" s="343"/>
      <c r="BB1100" s="343"/>
      <c r="BC1100" s="538"/>
      <c r="BD1100" s="343"/>
      <c r="BE1100" s="343"/>
      <c r="BG1100" s="644"/>
      <c r="BH1100" s="515"/>
      <c r="BI1100" s="515"/>
      <c r="BJ1100" s="644"/>
      <c r="BK1100" s="515"/>
      <c r="BL1100" s="515"/>
      <c r="BM1100" s="644"/>
      <c r="BN1100" s="515"/>
      <c r="BO1100" s="515"/>
      <c r="BP1100" s="644"/>
      <c r="BQ1100" s="515"/>
      <c r="BR1100" s="515"/>
    </row>
    <row r="1101" spans="4:70" x14ac:dyDescent="0.25">
      <c r="D1101" s="538"/>
      <c r="G1101" s="538"/>
      <c r="J1101" s="538"/>
      <c r="M1101" s="538"/>
      <c r="R1101" s="538"/>
      <c r="S1101" s="343"/>
      <c r="T1101" s="343"/>
      <c r="U1101" s="538"/>
      <c r="V1101" s="343"/>
      <c r="W1101" s="343"/>
      <c r="X1101" s="538"/>
      <c r="Y1101" s="343"/>
      <c r="Z1101" s="343"/>
      <c r="AA1101" s="538"/>
      <c r="AB1101" s="343"/>
      <c r="AC1101" s="343"/>
      <c r="AE1101" s="343"/>
      <c r="AF1101" s="538"/>
      <c r="AG1101" s="343"/>
      <c r="AH1101" s="343"/>
      <c r="AI1101" s="538"/>
      <c r="AJ1101" s="343"/>
      <c r="AK1101" s="343"/>
      <c r="AL1101" s="538"/>
      <c r="AM1101" s="343"/>
      <c r="AN1101" s="343"/>
      <c r="AO1101" s="538"/>
      <c r="AP1101" s="343"/>
      <c r="AQ1101" s="343"/>
      <c r="AS1101" s="343"/>
      <c r="AT1101" s="538"/>
      <c r="AU1101" s="343"/>
      <c r="AV1101" s="343"/>
      <c r="AW1101" s="538"/>
      <c r="AX1101" s="343"/>
      <c r="AY1101" s="343"/>
      <c r="AZ1101" s="538"/>
      <c r="BA1101" s="343"/>
      <c r="BB1101" s="343"/>
      <c r="BC1101" s="538"/>
      <c r="BD1101" s="343"/>
      <c r="BE1101" s="343"/>
      <c r="BG1101" s="644"/>
      <c r="BH1101" s="515"/>
      <c r="BI1101" s="515"/>
      <c r="BJ1101" s="644"/>
      <c r="BK1101" s="515"/>
      <c r="BL1101" s="515"/>
      <c r="BM1101" s="644"/>
      <c r="BN1101" s="515"/>
      <c r="BO1101" s="515"/>
      <c r="BP1101" s="644"/>
      <c r="BQ1101" s="515"/>
      <c r="BR1101" s="515"/>
    </row>
    <row r="1102" spans="4:70" x14ac:dyDescent="0.25">
      <c r="D1102" s="538"/>
      <c r="G1102" s="538"/>
      <c r="J1102" s="538"/>
      <c r="M1102" s="538"/>
      <c r="R1102" s="538"/>
      <c r="S1102" s="343"/>
      <c r="T1102" s="343"/>
      <c r="U1102" s="538"/>
      <c r="V1102" s="343"/>
      <c r="W1102" s="343"/>
      <c r="X1102" s="538"/>
      <c r="Y1102" s="343"/>
      <c r="Z1102" s="343"/>
      <c r="AA1102" s="538"/>
      <c r="AB1102" s="343"/>
      <c r="AC1102" s="343"/>
      <c r="AE1102" s="343"/>
      <c r="AF1102" s="538"/>
      <c r="AG1102" s="343"/>
      <c r="AH1102" s="343"/>
      <c r="AI1102" s="538"/>
      <c r="AJ1102" s="343"/>
      <c r="AK1102" s="343"/>
      <c r="AL1102" s="538"/>
      <c r="AM1102" s="343"/>
      <c r="AN1102" s="343"/>
      <c r="AO1102" s="538"/>
      <c r="AP1102" s="343"/>
      <c r="AQ1102" s="343"/>
      <c r="AS1102" s="343"/>
      <c r="AT1102" s="538"/>
      <c r="AU1102" s="343"/>
      <c r="AV1102" s="343"/>
      <c r="AW1102" s="538"/>
      <c r="AX1102" s="343"/>
      <c r="AY1102" s="343"/>
      <c r="AZ1102" s="538"/>
      <c r="BA1102" s="343"/>
      <c r="BB1102" s="343"/>
      <c r="BC1102" s="538"/>
      <c r="BD1102" s="343"/>
      <c r="BE1102" s="343"/>
      <c r="BG1102" s="644"/>
      <c r="BH1102" s="515"/>
      <c r="BI1102" s="515"/>
      <c r="BJ1102" s="644"/>
      <c r="BK1102" s="515"/>
      <c r="BL1102" s="515"/>
      <c r="BM1102" s="644"/>
      <c r="BN1102" s="515"/>
      <c r="BO1102" s="515"/>
      <c r="BP1102" s="644"/>
      <c r="BQ1102" s="515"/>
      <c r="BR1102" s="515"/>
    </row>
    <row r="1103" spans="4:70" x14ac:dyDescent="0.25">
      <c r="D1103" s="538"/>
      <c r="G1103" s="538"/>
      <c r="J1103" s="538"/>
      <c r="M1103" s="538"/>
      <c r="R1103" s="538"/>
      <c r="S1103" s="343"/>
      <c r="T1103" s="343"/>
      <c r="U1103" s="538"/>
      <c r="V1103" s="343"/>
      <c r="W1103" s="343"/>
      <c r="X1103" s="538"/>
      <c r="Y1103" s="343"/>
      <c r="Z1103" s="343"/>
      <c r="AA1103" s="538"/>
      <c r="AB1103" s="343"/>
      <c r="AC1103" s="343"/>
      <c r="AE1103" s="343"/>
      <c r="AF1103" s="538"/>
      <c r="AG1103" s="343"/>
      <c r="AH1103" s="343"/>
      <c r="AI1103" s="538"/>
      <c r="AJ1103" s="343"/>
      <c r="AK1103" s="343"/>
      <c r="AL1103" s="538"/>
      <c r="AM1103" s="343"/>
      <c r="AN1103" s="343"/>
      <c r="AO1103" s="538"/>
      <c r="AP1103" s="343"/>
      <c r="AQ1103" s="343"/>
      <c r="AS1103" s="343"/>
      <c r="AT1103" s="538"/>
      <c r="AU1103" s="343"/>
      <c r="AV1103" s="343"/>
      <c r="AW1103" s="538"/>
      <c r="AX1103" s="343"/>
      <c r="AY1103" s="343"/>
      <c r="AZ1103" s="538"/>
      <c r="BA1103" s="343"/>
      <c r="BB1103" s="343"/>
      <c r="BC1103" s="538"/>
      <c r="BD1103" s="343"/>
      <c r="BE1103" s="343"/>
      <c r="BG1103" s="644"/>
      <c r="BH1103" s="515"/>
      <c r="BI1103" s="515"/>
      <c r="BJ1103" s="644"/>
      <c r="BK1103" s="515"/>
      <c r="BL1103" s="515"/>
      <c r="BM1103" s="644"/>
      <c r="BN1103" s="515"/>
      <c r="BO1103" s="515"/>
      <c r="BP1103" s="644"/>
      <c r="BQ1103" s="515"/>
      <c r="BR1103" s="515"/>
    </row>
    <row r="1104" spans="4:70" x14ac:dyDescent="0.25">
      <c r="D1104" s="538"/>
      <c r="G1104" s="538"/>
      <c r="J1104" s="538"/>
      <c r="M1104" s="538"/>
      <c r="R1104" s="538"/>
      <c r="S1104" s="343"/>
      <c r="T1104" s="343"/>
      <c r="U1104" s="538"/>
      <c r="V1104" s="343"/>
      <c r="W1104" s="343"/>
      <c r="X1104" s="538"/>
      <c r="Y1104" s="343"/>
      <c r="Z1104" s="343"/>
      <c r="AA1104" s="538"/>
      <c r="AB1104" s="343"/>
      <c r="AC1104" s="343"/>
      <c r="AE1104" s="343"/>
      <c r="AF1104" s="538"/>
      <c r="AG1104" s="343"/>
      <c r="AH1104" s="343"/>
      <c r="AI1104" s="538"/>
      <c r="AJ1104" s="343"/>
      <c r="AK1104" s="343"/>
      <c r="AL1104" s="538"/>
      <c r="AM1104" s="343"/>
      <c r="AN1104" s="343"/>
      <c r="AO1104" s="538"/>
      <c r="AP1104" s="343"/>
      <c r="AQ1104" s="343"/>
      <c r="AS1104" s="343"/>
      <c r="AT1104" s="538"/>
      <c r="AU1104" s="343"/>
      <c r="AV1104" s="343"/>
      <c r="AW1104" s="538"/>
      <c r="AX1104" s="343"/>
      <c r="AY1104" s="343"/>
      <c r="AZ1104" s="538"/>
      <c r="BA1104" s="343"/>
      <c r="BB1104" s="343"/>
      <c r="BC1104" s="538"/>
      <c r="BD1104" s="343"/>
      <c r="BE1104" s="343"/>
      <c r="BG1104" s="644"/>
      <c r="BH1104" s="515"/>
      <c r="BI1104" s="515"/>
      <c r="BJ1104" s="644"/>
      <c r="BK1104" s="515"/>
      <c r="BL1104" s="515"/>
      <c r="BM1104" s="644"/>
      <c r="BN1104" s="515"/>
      <c r="BO1104" s="515"/>
      <c r="BP1104" s="644"/>
      <c r="BQ1104" s="515"/>
      <c r="BR1104" s="515"/>
    </row>
    <row r="1105" spans="4:70" x14ac:dyDescent="0.25">
      <c r="D1105" s="538"/>
      <c r="G1105" s="538"/>
      <c r="J1105" s="538"/>
      <c r="M1105" s="538"/>
      <c r="R1105" s="538"/>
      <c r="S1105" s="343"/>
      <c r="T1105" s="343"/>
      <c r="U1105" s="538"/>
      <c r="V1105" s="343"/>
      <c r="W1105" s="343"/>
      <c r="X1105" s="538"/>
      <c r="Y1105" s="343"/>
      <c r="Z1105" s="343"/>
      <c r="AA1105" s="538"/>
      <c r="AB1105" s="343"/>
      <c r="AC1105" s="343"/>
      <c r="AE1105" s="343"/>
      <c r="AF1105" s="538"/>
      <c r="AG1105" s="343"/>
      <c r="AH1105" s="343"/>
      <c r="AI1105" s="538"/>
      <c r="AJ1105" s="343"/>
      <c r="AK1105" s="343"/>
      <c r="AL1105" s="538"/>
      <c r="AM1105" s="343"/>
      <c r="AN1105" s="343"/>
      <c r="AO1105" s="538"/>
      <c r="AP1105" s="343"/>
      <c r="AQ1105" s="343"/>
      <c r="AS1105" s="343"/>
      <c r="AT1105" s="538"/>
      <c r="AU1105" s="343"/>
      <c r="AV1105" s="343"/>
      <c r="AW1105" s="538"/>
      <c r="AX1105" s="343"/>
      <c r="AY1105" s="343"/>
      <c r="AZ1105" s="538"/>
      <c r="BA1105" s="343"/>
      <c r="BB1105" s="343"/>
      <c r="BC1105" s="538"/>
      <c r="BD1105" s="343"/>
      <c r="BE1105" s="343"/>
      <c r="BG1105" s="644"/>
      <c r="BH1105" s="515"/>
      <c r="BI1105" s="515"/>
      <c r="BJ1105" s="644"/>
      <c r="BK1105" s="515"/>
      <c r="BL1105" s="515"/>
      <c r="BM1105" s="644"/>
      <c r="BN1105" s="515"/>
      <c r="BO1105" s="515"/>
      <c r="BP1105" s="644"/>
      <c r="BQ1105" s="515"/>
      <c r="BR1105" s="515"/>
    </row>
    <row r="1106" spans="4:70" x14ac:dyDescent="0.25">
      <c r="D1106" s="538"/>
      <c r="G1106" s="538"/>
      <c r="J1106" s="538"/>
      <c r="M1106" s="538"/>
      <c r="R1106" s="538"/>
      <c r="S1106" s="343"/>
      <c r="T1106" s="343"/>
      <c r="U1106" s="538"/>
      <c r="V1106" s="343"/>
      <c r="W1106" s="343"/>
      <c r="X1106" s="538"/>
      <c r="Y1106" s="343"/>
      <c r="Z1106" s="343"/>
      <c r="AA1106" s="538"/>
      <c r="AB1106" s="343"/>
      <c r="AC1106" s="343"/>
      <c r="AE1106" s="343"/>
      <c r="AF1106" s="538"/>
      <c r="AG1106" s="343"/>
      <c r="AH1106" s="343"/>
      <c r="AI1106" s="538"/>
      <c r="AJ1106" s="343"/>
      <c r="AK1106" s="343"/>
      <c r="AL1106" s="538"/>
      <c r="AM1106" s="343"/>
      <c r="AN1106" s="343"/>
      <c r="AO1106" s="538"/>
      <c r="AP1106" s="343"/>
      <c r="AQ1106" s="343"/>
      <c r="AS1106" s="343"/>
      <c r="AT1106" s="538"/>
      <c r="AU1106" s="343"/>
      <c r="AV1106" s="343"/>
      <c r="AW1106" s="538"/>
      <c r="AX1106" s="343"/>
      <c r="AY1106" s="343"/>
      <c r="AZ1106" s="538"/>
      <c r="BA1106" s="343"/>
      <c r="BB1106" s="343"/>
      <c r="BC1106" s="538"/>
      <c r="BD1106" s="343"/>
      <c r="BE1106" s="343"/>
      <c r="BG1106" s="644"/>
      <c r="BH1106" s="515"/>
      <c r="BI1106" s="515"/>
      <c r="BJ1106" s="644"/>
      <c r="BK1106" s="515"/>
      <c r="BL1106" s="515"/>
      <c r="BM1106" s="644"/>
      <c r="BN1106" s="515"/>
      <c r="BO1106" s="515"/>
      <c r="BP1106" s="644"/>
      <c r="BQ1106" s="515"/>
      <c r="BR1106" s="515"/>
    </row>
    <row r="1107" spans="4:70" x14ac:dyDescent="0.25">
      <c r="D1107" s="538"/>
      <c r="G1107" s="538"/>
      <c r="J1107" s="538"/>
      <c r="M1107" s="538"/>
      <c r="R1107" s="538"/>
      <c r="S1107" s="343"/>
      <c r="T1107" s="343"/>
      <c r="U1107" s="538"/>
      <c r="V1107" s="343"/>
      <c r="W1107" s="343"/>
      <c r="X1107" s="538"/>
      <c r="Y1107" s="343"/>
      <c r="Z1107" s="343"/>
      <c r="AA1107" s="538"/>
      <c r="AB1107" s="343"/>
      <c r="AC1107" s="343"/>
      <c r="AE1107" s="343"/>
      <c r="AF1107" s="538"/>
      <c r="AG1107" s="343"/>
      <c r="AH1107" s="343"/>
      <c r="AI1107" s="538"/>
      <c r="AJ1107" s="343"/>
      <c r="AK1107" s="343"/>
      <c r="AL1107" s="538"/>
      <c r="AM1107" s="343"/>
      <c r="AN1107" s="343"/>
      <c r="AO1107" s="538"/>
      <c r="AP1107" s="343"/>
      <c r="AQ1107" s="343"/>
      <c r="AS1107" s="343"/>
      <c r="AT1107" s="538"/>
      <c r="AU1107" s="343"/>
      <c r="AV1107" s="343"/>
      <c r="AW1107" s="538"/>
      <c r="AX1107" s="343"/>
      <c r="AY1107" s="343"/>
      <c r="AZ1107" s="538"/>
      <c r="BA1107" s="343"/>
      <c r="BB1107" s="343"/>
      <c r="BC1107" s="538"/>
      <c r="BD1107" s="343"/>
      <c r="BE1107" s="343"/>
      <c r="BG1107" s="644"/>
      <c r="BH1107" s="515"/>
      <c r="BI1107" s="515"/>
      <c r="BJ1107" s="644"/>
      <c r="BK1107" s="515"/>
      <c r="BL1107" s="515"/>
      <c r="BM1107" s="644"/>
      <c r="BN1107" s="515"/>
      <c r="BO1107" s="515"/>
      <c r="BP1107" s="644"/>
      <c r="BQ1107" s="515"/>
      <c r="BR1107" s="515"/>
    </row>
    <row r="1108" spans="4:70" x14ac:dyDescent="0.25">
      <c r="D1108" s="538"/>
      <c r="G1108" s="538"/>
      <c r="J1108" s="538"/>
      <c r="M1108" s="538"/>
      <c r="R1108" s="538"/>
      <c r="S1108" s="343"/>
      <c r="T1108" s="343"/>
      <c r="U1108" s="538"/>
      <c r="V1108" s="343"/>
      <c r="W1108" s="343"/>
      <c r="X1108" s="538"/>
      <c r="Y1108" s="343"/>
      <c r="Z1108" s="343"/>
      <c r="AA1108" s="538"/>
      <c r="AB1108" s="343"/>
      <c r="AC1108" s="343"/>
      <c r="AE1108" s="343"/>
      <c r="AF1108" s="538"/>
      <c r="AG1108" s="343"/>
      <c r="AH1108" s="343"/>
      <c r="AI1108" s="538"/>
      <c r="AJ1108" s="343"/>
      <c r="AK1108" s="343"/>
      <c r="AL1108" s="538"/>
      <c r="AM1108" s="343"/>
      <c r="AN1108" s="343"/>
      <c r="AO1108" s="538"/>
      <c r="AP1108" s="343"/>
      <c r="AQ1108" s="343"/>
      <c r="AS1108" s="343"/>
      <c r="AT1108" s="538"/>
      <c r="AU1108" s="343"/>
      <c r="AV1108" s="343"/>
      <c r="AW1108" s="538"/>
      <c r="AX1108" s="343"/>
      <c r="AY1108" s="343"/>
      <c r="AZ1108" s="538"/>
      <c r="BA1108" s="343"/>
      <c r="BB1108" s="343"/>
      <c r="BC1108" s="538"/>
      <c r="BD1108" s="343"/>
      <c r="BE1108" s="343"/>
      <c r="BG1108" s="644"/>
      <c r="BH1108" s="515"/>
      <c r="BI1108" s="515"/>
      <c r="BJ1108" s="644"/>
      <c r="BK1108" s="515"/>
      <c r="BL1108" s="515"/>
      <c r="BM1108" s="644"/>
      <c r="BN1108" s="515"/>
      <c r="BO1108" s="515"/>
      <c r="BP1108" s="644"/>
      <c r="BQ1108" s="515"/>
      <c r="BR1108" s="515"/>
    </row>
    <row r="1109" spans="4:70" x14ac:dyDescent="0.25">
      <c r="D1109" s="538"/>
      <c r="G1109" s="538"/>
      <c r="J1109" s="538"/>
      <c r="M1109" s="538"/>
      <c r="R1109" s="538"/>
      <c r="S1109" s="343"/>
      <c r="T1109" s="343"/>
      <c r="U1109" s="538"/>
      <c r="V1109" s="343"/>
      <c r="W1109" s="343"/>
      <c r="X1109" s="538"/>
      <c r="Y1109" s="343"/>
      <c r="Z1109" s="343"/>
      <c r="AA1109" s="538"/>
      <c r="AB1109" s="343"/>
      <c r="AC1109" s="343"/>
      <c r="AE1109" s="343"/>
      <c r="AF1109" s="538"/>
      <c r="AG1109" s="343"/>
      <c r="AH1109" s="343"/>
      <c r="AI1109" s="538"/>
      <c r="AJ1109" s="343"/>
      <c r="AK1109" s="343"/>
      <c r="AL1109" s="538"/>
      <c r="AM1109" s="343"/>
      <c r="AN1109" s="343"/>
      <c r="AO1109" s="538"/>
      <c r="AP1109" s="343"/>
      <c r="AQ1109" s="343"/>
      <c r="AS1109" s="343"/>
      <c r="AT1109" s="538"/>
      <c r="AU1109" s="343"/>
      <c r="AV1109" s="343"/>
      <c r="AW1109" s="538"/>
      <c r="AX1109" s="343"/>
      <c r="AY1109" s="343"/>
      <c r="AZ1109" s="538"/>
      <c r="BA1109" s="343"/>
      <c r="BB1109" s="343"/>
      <c r="BC1109" s="538"/>
      <c r="BD1109" s="343"/>
      <c r="BE1109" s="343"/>
      <c r="BG1109" s="644"/>
      <c r="BH1109" s="515"/>
      <c r="BI1109" s="515"/>
      <c r="BJ1109" s="644"/>
      <c r="BK1109" s="515"/>
      <c r="BL1109" s="515"/>
      <c r="BM1109" s="644"/>
      <c r="BN1109" s="515"/>
      <c r="BO1109" s="515"/>
      <c r="BP1109" s="644"/>
      <c r="BQ1109" s="515"/>
      <c r="BR1109" s="515"/>
    </row>
    <row r="1110" spans="4:70" x14ac:dyDescent="0.25">
      <c r="D1110" s="538"/>
      <c r="G1110" s="538"/>
      <c r="J1110" s="538"/>
      <c r="M1110" s="538"/>
      <c r="R1110" s="538"/>
      <c r="S1110" s="343"/>
      <c r="T1110" s="343"/>
      <c r="U1110" s="538"/>
      <c r="V1110" s="343"/>
      <c r="W1110" s="343"/>
      <c r="X1110" s="538"/>
      <c r="Y1110" s="343"/>
      <c r="Z1110" s="343"/>
      <c r="AA1110" s="538"/>
      <c r="AB1110" s="343"/>
      <c r="AC1110" s="343"/>
      <c r="AE1110" s="343"/>
      <c r="AF1110" s="538"/>
      <c r="AG1110" s="343"/>
      <c r="AH1110" s="343"/>
      <c r="AI1110" s="538"/>
      <c r="AJ1110" s="343"/>
      <c r="AK1110" s="343"/>
      <c r="AL1110" s="538"/>
      <c r="AM1110" s="343"/>
      <c r="AN1110" s="343"/>
      <c r="AO1110" s="538"/>
      <c r="AP1110" s="343"/>
      <c r="AQ1110" s="343"/>
      <c r="AS1110" s="343"/>
      <c r="AT1110" s="538"/>
      <c r="AU1110" s="343"/>
      <c r="AV1110" s="343"/>
      <c r="AW1110" s="538"/>
      <c r="AX1110" s="343"/>
      <c r="AY1110" s="343"/>
      <c r="AZ1110" s="538"/>
      <c r="BA1110" s="343"/>
      <c r="BB1110" s="343"/>
      <c r="BC1110" s="538"/>
      <c r="BD1110" s="343"/>
      <c r="BE1110" s="343"/>
      <c r="BG1110" s="644"/>
      <c r="BH1110" s="515"/>
      <c r="BI1110" s="515"/>
      <c r="BJ1110" s="644"/>
      <c r="BK1110" s="515"/>
      <c r="BL1110" s="515"/>
      <c r="BM1110" s="644"/>
      <c r="BN1110" s="515"/>
      <c r="BO1110" s="515"/>
      <c r="BP1110" s="644"/>
      <c r="BQ1110" s="515"/>
      <c r="BR1110" s="515"/>
    </row>
    <row r="1111" spans="4:70" x14ac:dyDescent="0.25">
      <c r="D1111" s="538"/>
      <c r="G1111" s="538"/>
      <c r="J1111" s="538"/>
      <c r="M1111" s="538"/>
      <c r="R1111" s="538"/>
      <c r="S1111" s="343"/>
      <c r="T1111" s="343"/>
      <c r="U1111" s="538"/>
      <c r="V1111" s="343"/>
      <c r="W1111" s="343"/>
      <c r="X1111" s="538"/>
      <c r="Y1111" s="343"/>
      <c r="Z1111" s="343"/>
      <c r="AA1111" s="538"/>
      <c r="AB1111" s="343"/>
      <c r="AC1111" s="343"/>
      <c r="AE1111" s="343"/>
      <c r="AF1111" s="538"/>
      <c r="AG1111" s="343"/>
      <c r="AH1111" s="343"/>
      <c r="AI1111" s="538"/>
      <c r="AJ1111" s="343"/>
      <c r="AK1111" s="343"/>
      <c r="AL1111" s="538"/>
      <c r="AM1111" s="343"/>
      <c r="AN1111" s="343"/>
      <c r="AO1111" s="538"/>
      <c r="AP1111" s="343"/>
      <c r="AQ1111" s="343"/>
      <c r="AS1111" s="343"/>
      <c r="AT1111" s="538"/>
      <c r="AU1111" s="343"/>
      <c r="AV1111" s="343"/>
      <c r="AW1111" s="538"/>
      <c r="AX1111" s="343"/>
      <c r="AY1111" s="343"/>
      <c r="AZ1111" s="538"/>
      <c r="BA1111" s="343"/>
      <c r="BB1111" s="343"/>
      <c r="BC1111" s="538"/>
      <c r="BD1111" s="343"/>
      <c r="BE1111" s="343"/>
      <c r="BG1111" s="644"/>
      <c r="BH1111" s="515"/>
      <c r="BI1111" s="515"/>
      <c r="BJ1111" s="644"/>
      <c r="BK1111" s="515"/>
      <c r="BL1111" s="515"/>
      <c r="BM1111" s="644"/>
      <c r="BN1111" s="515"/>
      <c r="BO1111" s="515"/>
      <c r="BP1111" s="644"/>
      <c r="BQ1111" s="515"/>
      <c r="BR1111" s="515"/>
    </row>
    <row r="1112" spans="4:70" x14ac:dyDescent="0.25">
      <c r="D1112" s="538"/>
      <c r="G1112" s="538"/>
      <c r="J1112" s="538"/>
      <c r="M1112" s="538"/>
      <c r="R1112" s="538"/>
      <c r="S1112" s="343"/>
      <c r="T1112" s="343"/>
      <c r="U1112" s="538"/>
      <c r="V1112" s="343"/>
      <c r="W1112" s="343"/>
      <c r="X1112" s="538"/>
      <c r="Y1112" s="343"/>
      <c r="Z1112" s="343"/>
      <c r="AA1112" s="538"/>
      <c r="AB1112" s="343"/>
      <c r="AC1112" s="343"/>
      <c r="AE1112" s="343"/>
      <c r="AF1112" s="538"/>
      <c r="AG1112" s="343"/>
      <c r="AH1112" s="343"/>
      <c r="AI1112" s="538"/>
      <c r="AJ1112" s="343"/>
      <c r="AK1112" s="343"/>
      <c r="AL1112" s="538"/>
      <c r="AM1112" s="343"/>
      <c r="AN1112" s="343"/>
      <c r="AO1112" s="538"/>
      <c r="AP1112" s="343"/>
      <c r="AQ1112" s="343"/>
      <c r="AS1112" s="343"/>
      <c r="AT1112" s="538"/>
      <c r="AU1112" s="343"/>
      <c r="AV1112" s="343"/>
      <c r="AW1112" s="538"/>
      <c r="AX1112" s="343"/>
      <c r="AY1112" s="343"/>
      <c r="AZ1112" s="538"/>
      <c r="BA1112" s="343"/>
      <c r="BB1112" s="343"/>
      <c r="BC1112" s="538"/>
      <c r="BD1112" s="343"/>
      <c r="BE1112" s="343"/>
      <c r="BG1112" s="644"/>
      <c r="BH1112" s="515"/>
      <c r="BI1112" s="515"/>
      <c r="BJ1112" s="644"/>
      <c r="BK1112" s="515"/>
      <c r="BL1112" s="515"/>
      <c r="BM1112" s="644"/>
      <c r="BN1112" s="515"/>
      <c r="BO1112" s="515"/>
      <c r="BP1112" s="644"/>
      <c r="BQ1112" s="515"/>
      <c r="BR1112" s="515"/>
    </row>
    <row r="1113" spans="4:70" x14ac:dyDescent="0.25">
      <c r="D1113" s="538"/>
      <c r="G1113" s="538"/>
      <c r="J1113" s="538"/>
      <c r="M1113" s="538"/>
      <c r="R1113" s="538"/>
      <c r="S1113" s="343"/>
      <c r="T1113" s="343"/>
      <c r="U1113" s="538"/>
      <c r="V1113" s="343"/>
      <c r="W1113" s="343"/>
      <c r="X1113" s="538"/>
      <c r="Y1113" s="343"/>
      <c r="Z1113" s="343"/>
      <c r="AA1113" s="538"/>
      <c r="AB1113" s="343"/>
      <c r="AC1113" s="343"/>
      <c r="AE1113" s="343"/>
      <c r="AF1113" s="538"/>
      <c r="AG1113" s="343"/>
      <c r="AH1113" s="343"/>
      <c r="AI1113" s="538"/>
      <c r="AJ1113" s="343"/>
      <c r="AK1113" s="343"/>
      <c r="AL1113" s="538"/>
      <c r="AM1113" s="343"/>
      <c r="AN1113" s="343"/>
      <c r="AO1113" s="538"/>
      <c r="AP1113" s="343"/>
      <c r="AQ1113" s="343"/>
      <c r="AS1113" s="343"/>
      <c r="AT1113" s="538"/>
      <c r="AU1113" s="343"/>
      <c r="AV1113" s="343"/>
      <c r="AW1113" s="538"/>
      <c r="AX1113" s="343"/>
      <c r="AY1113" s="343"/>
      <c r="AZ1113" s="538"/>
      <c r="BA1113" s="343"/>
      <c r="BB1113" s="343"/>
      <c r="BC1113" s="538"/>
      <c r="BD1113" s="343"/>
      <c r="BE1113" s="343"/>
      <c r="BG1113" s="644"/>
      <c r="BH1113" s="515"/>
      <c r="BI1113" s="515"/>
      <c r="BJ1113" s="644"/>
      <c r="BK1113" s="515"/>
      <c r="BL1113" s="515"/>
      <c r="BM1113" s="644"/>
      <c r="BN1113" s="515"/>
      <c r="BO1113" s="515"/>
      <c r="BP1113" s="644"/>
      <c r="BQ1113" s="515"/>
      <c r="BR1113" s="515"/>
    </row>
    <row r="1114" spans="4:70" x14ac:dyDescent="0.25">
      <c r="D1114" s="538"/>
      <c r="G1114" s="538"/>
      <c r="J1114" s="538"/>
      <c r="M1114" s="538"/>
      <c r="R1114" s="538"/>
      <c r="S1114" s="343"/>
      <c r="T1114" s="343"/>
      <c r="U1114" s="538"/>
      <c r="V1114" s="343"/>
      <c r="W1114" s="343"/>
      <c r="X1114" s="538"/>
      <c r="Y1114" s="343"/>
      <c r="Z1114" s="343"/>
      <c r="AA1114" s="538"/>
      <c r="AB1114" s="343"/>
      <c r="AC1114" s="343"/>
      <c r="AE1114" s="343"/>
      <c r="AF1114" s="538"/>
      <c r="AG1114" s="343"/>
      <c r="AH1114" s="343"/>
      <c r="AI1114" s="538"/>
      <c r="AJ1114" s="343"/>
      <c r="AK1114" s="343"/>
      <c r="AL1114" s="538"/>
      <c r="AM1114" s="343"/>
      <c r="AN1114" s="343"/>
      <c r="AO1114" s="538"/>
      <c r="AP1114" s="343"/>
      <c r="AQ1114" s="343"/>
      <c r="AS1114" s="343"/>
      <c r="AT1114" s="538"/>
      <c r="AU1114" s="343"/>
      <c r="AV1114" s="343"/>
      <c r="AW1114" s="538"/>
      <c r="AX1114" s="343"/>
      <c r="AY1114" s="343"/>
      <c r="AZ1114" s="538"/>
      <c r="BA1114" s="343"/>
      <c r="BB1114" s="343"/>
      <c r="BC1114" s="538"/>
      <c r="BD1114" s="343"/>
      <c r="BE1114" s="343"/>
      <c r="BG1114" s="644"/>
      <c r="BH1114" s="515"/>
      <c r="BI1114" s="515"/>
      <c r="BJ1114" s="644"/>
      <c r="BK1114" s="515"/>
      <c r="BL1114" s="515"/>
      <c r="BM1114" s="644"/>
      <c r="BN1114" s="515"/>
      <c r="BO1114" s="515"/>
      <c r="BP1114" s="644"/>
      <c r="BQ1114" s="515"/>
      <c r="BR1114" s="515"/>
    </row>
    <row r="1115" spans="4:70" x14ac:dyDescent="0.25">
      <c r="D1115" s="538"/>
      <c r="G1115" s="538"/>
      <c r="J1115" s="538"/>
      <c r="M1115" s="538"/>
      <c r="R1115" s="538"/>
      <c r="S1115" s="343"/>
      <c r="T1115" s="343"/>
      <c r="U1115" s="538"/>
      <c r="V1115" s="343"/>
      <c r="W1115" s="343"/>
      <c r="X1115" s="538"/>
      <c r="Y1115" s="343"/>
      <c r="Z1115" s="343"/>
      <c r="AA1115" s="538"/>
      <c r="AB1115" s="343"/>
      <c r="AC1115" s="343"/>
      <c r="AE1115" s="343"/>
      <c r="AF1115" s="538"/>
      <c r="AG1115" s="343"/>
      <c r="AH1115" s="343"/>
      <c r="AI1115" s="538"/>
      <c r="AJ1115" s="343"/>
      <c r="AK1115" s="343"/>
      <c r="AL1115" s="538"/>
      <c r="AM1115" s="343"/>
      <c r="AN1115" s="343"/>
      <c r="AO1115" s="538"/>
      <c r="AP1115" s="343"/>
      <c r="AQ1115" s="343"/>
      <c r="AS1115" s="343"/>
      <c r="AT1115" s="538"/>
      <c r="AU1115" s="343"/>
      <c r="AV1115" s="343"/>
      <c r="AW1115" s="538"/>
      <c r="AX1115" s="343"/>
      <c r="AY1115" s="343"/>
      <c r="AZ1115" s="538"/>
      <c r="BA1115" s="343"/>
      <c r="BB1115" s="343"/>
      <c r="BC1115" s="538"/>
      <c r="BD1115" s="343"/>
      <c r="BE1115" s="343"/>
      <c r="BG1115" s="644"/>
      <c r="BH1115" s="515"/>
      <c r="BI1115" s="515"/>
      <c r="BJ1115" s="644"/>
      <c r="BK1115" s="515"/>
      <c r="BL1115" s="515"/>
      <c r="BM1115" s="644"/>
      <c r="BN1115" s="515"/>
      <c r="BO1115" s="515"/>
      <c r="BP1115" s="644"/>
      <c r="BQ1115" s="515"/>
      <c r="BR1115" s="515"/>
    </row>
    <row r="1116" spans="4:70" x14ac:dyDescent="0.25">
      <c r="D1116" s="538"/>
      <c r="G1116" s="538"/>
      <c r="J1116" s="538"/>
      <c r="M1116" s="538"/>
      <c r="R1116" s="538"/>
      <c r="S1116" s="343"/>
      <c r="T1116" s="343"/>
      <c r="U1116" s="538"/>
      <c r="V1116" s="343"/>
      <c r="W1116" s="343"/>
      <c r="X1116" s="538"/>
      <c r="Y1116" s="343"/>
      <c r="Z1116" s="343"/>
      <c r="AA1116" s="538"/>
      <c r="AB1116" s="343"/>
      <c r="AC1116" s="343"/>
      <c r="AE1116" s="343"/>
      <c r="AF1116" s="538"/>
      <c r="AG1116" s="343"/>
      <c r="AH1116" s="343"/>
      <c r="AI1116" s="538"/>
      <c r="AJ1116" s="343"/>
      <c r="AK1116" s="343"/>
      <c r="AL1116" s="538"/>
      <c r="AM1116" s="343"/>
      <c r="AN1116" s="343"/>
      <c r="AO1116" s="538"/>
      <c r="AP1116" s="343"/>
      <c r="AQ1116" s="343"/>
      <c r="AS1116" s="343"/>
      <c r="AT1116" s="538"/>
      <c r="AU1116" s="343"/>
      <c r="AV1116" s="343"/>
      <c r="AW1116" s="538"/>
      <c r="AX1116" s="343"/>
      <c r="AY1116" s="343"/>
      <c r="AZ1116" s="538"/>
      <c r="BA1116" s="343"/>
      <c r="BB1116" s="343"/>
      <c r="BC1116" s="538"/>
      <c r="BD1116" s="343"/>
      <c r="BE1116" s="343"/>
      <c r="BG1116" s="644"/>
      <c r="BH1116" s="515"/>
      <c r="BI1116" s="515"/>
      <c r="BJ1116" s="644"/>
      <c r="BK1116" s="515"/>
      <c r="BL1116" s="515"/>
      <c r="BM1116" s="644"/>
      <c r="BN1116" s="515"/>
      <c r="BO1116" s="515"/>
      <c r="BP1116" s="644"/>
      <c r="BQ1116" s="515"/>
      <c r="BR1116" s="515"/>
    </row>
    <row r="1117" spans="4:70" x14ac:dyDescent="0.25">
      <c r="D1117" s="538"/>
      <c r="G1117" s="538"/>
      <c r="J1117" s="538"/>
      <c r="M1117" s="538"/>
      <c r="R1117" s="538"/>
      <c r="S1117" s="343"/>
      <c r="T1117" s="343"/>
      <c r="U1117" s="538"/>
      <c r="V1117" s="343"/>
      <c r="W1117" s="343"/>
      <c r="X1117" s="538"/>
      <c r="Y1117" s="343"/>
      <c r="Z1117" s="343"/>
      <c r="AA1117" s="538"/>
      <c r="AB1117" s="343"/>
      <c r="AC1117" s="343"/>
      <c r="AE1117" s="343"/>
      <c r="AF1117" s="538"/>
      <c r="AG1117" s="343"/>
      <c r="AH1117" s="343"/>
      <c r="AI1117" s="538"/>
      <c r="AJ1117" s="343"/>
      <c r="AK1117" s="343"/>
      <c r="AL1117" s="538"/>
      <c r="AM1117" s="343"/>
      <c r="AN1117" s="343"/>
      <c r="AO1117" s="538"/>
      <c r="AP1117" s="343"/>
      <c r="AQ1117" s="343"/>
      <c r="AS1117" s="343"/>
      <c r="AT1117" s="538"/>
      <c r="AU1117" s="343"/>
      <c r="AV1117" s="343"/>
      <c r="AW1117" s="538"/>
      <c r="AX1117" s="343"/>
      <c r="AY1117" s="343"/>
      <c r="AZ1117" s="538"/>
      <c r="BA1117" s="343"/>
      <c r="BB1117" s="343"/>
      <c r="BC1117" s="538"/>
      <c r="BD1117" s="343"/>
      <c r="BE1117" s="343"/>
      <c r="BG1117" s="644"/>
      <c r="BH1117" s="515"/>
      <c r="BI1117" s="515"/>
      <c r="BJ1117" s="644"/>
      <c r="BK1117" s="515"/>
      <c r="BL1117" s="515"/>
      <c r="BM1117" s="644"/>
      <c r="BN1117" s="515"/>
      <c r="BO1117" s="515"/>
      <c r="BP1117" s="644"/>
      <c r="BQ1117" s="515"/>
      <c r="BR1117" s="515"/>
    </row>
    <row r="1118" spans="4:70" x14ac:dyDescent="0.25">
      <c r="D1118" s="538"/>
      <c r="G1118" s="538"/>
      <c r="J1118" s="538"/>
      <c r="M1118" s="538"/>
      <c r="R1118" s="538"/>
      <c r="S1118" s="343"/>
      <c r="T1118" s="343"/>
      <c r="U1118" s="538"/>
      <c r="V1118" s="343"/>
      <c r="W1118" s="343"/>
      <c r="X1118" s="538"/>
      <c r="Y1118" s="343"/>
      <c r="Z1118" s="343"/>
      <c r="AA1118" s="538"/>
      <c r="AB1118" s="343"/>
      <c r="AC1118" s="343"/>
      <c r="AE1118" s="343"/>
      <c r="AF1118" s="538"/>
      <c r="AG1118" s="343"/>
      <c r="AH1118" s="343"/>
      <c r="AI1118" s="538"/>
      <c r="AJ1118" s="343"/>
      <c r="AK1118" s="343"/>
      <c r="AL1118" s="538"/>
      <c r="AM1118" s="343"/>
      <c r="AN1118" s="343"/>
      <c r="AO1118" s="538"/>
      <c r="AP1118" s="343"/>
      <c r="AQ1118" s="343"/>
      <c r="AS1118" s="343"/>
      <c r="AT1118" s="538"/>
      <c r="AU1118" s="343"/>
      <c r="AV1118" s="343"/>
      <c r="AW1118" s="538"/>
      <c r="AX1118" s="343"/>
      <c r="AY1118" s="343"/>
      <c r="AZ1118" s="538"/>
      <c r="BA1118" s="343"/>
      <c r="BB1118" s="343"/>
      <c r="BC1118" s="538"/>
      <c r="BD1118" s="343"/>
      <c r="BE1118" s="343"/>
      <c r="BG1118" s="644"/>
      <c r="BH1118" s="515"/>
      <c r="BI1118" s="515"/>
      <c r="BJ1118" s="644"/>
      <c r="BK1118" s="515"/>
      <c r="BL1118" s="515"/>
      <c r="BM1118" s="644"/>
      <c r="BN1118" s="515"/>
      <c r="BO1118" s="515"/>
      <c r="BP1118" s="644"/>
      <c r="BQ1118" s="515"/>
      <c r="BR1118" s="515"/>
    </row>
    <row r="1119" spans="4:70" x14ac:dyDescent="0.25">
      <c r="D1119" s="538"/>
      <c r="G1119" s="538"/>
      <c r="J1119" s="538"/>
      <c r="M1119" s="538"/>
      <c r="R1119" s="538"/>
      <c r="S1119" s="343"/>
      <c r="T1119" s="343"/>
      <c r="U1119" s="538"/>
      <c r="V1119" s="343"/>
      <c r="W1119" s="343"/>
      <c r="X1119" s="538"/>
      <c r="Y1119" s="343"/>
      <c r="Z1119" s="343"/>
      <c r="AA1119" s="538"/>
      <c r="AB1119" s="343"/>
      <c r="AC1119" s="343"/>
      <c r="AE1119" s="343"/>
      <c r="AF1119" s="538"/>
      <c r="AG1119" s="343"/>
      <c r="AH1119" s="343"/>
      <c r="AI1119" s="538"/>
      <c r="AJ1119" s="343"/>
      <c r="AK1119" s="343"/>
      <c r="AL1119" s="538"/>
      <c r="AM1119" s="343"/>
      <c r="AN1119" s="343"/>
      <c r="AO1119" s="538"/>
      <c r="AP1119" s="343"/>
      <c r="AQ1119" s="343"/>
      <c r="AS1119" s="343"/>
      <c r="AT1119" s="538"/>
      <c r="AU1119" s="343"/>
      <c r="AV1119" s="343"/>
      <c r="AW1119" s="538"/>
      <c r="AX1119" s="343"/>
      <c r="AY1119" s="343"/>
      <c r="AZ1119" s="538"/>
      <c r="BA1119" s="343"/>
      <c r="BB1119" s="343"/>
      <c r="BC1119" s="538"/>
      <c r="BD1119" s="343"/>
      <c r="BE1119" s="343"/>
      <c r="BG1119" s="644"/>
      <c r="BH1119" s="515"/>
      <c r="BI1119" s="515"/>
      <c r="BJ1119" s="644"/>
      <c r="BK1119" s="515"/>
      <c r="BL1119" s="515"/>
      <c r="BM1119" s="644"/>
      <c r="BN1119" s="515"/>
      <c r="BO1119" s="515"/>
      <c r="BP1119" s="644"/>
      <c r="BQ1119" s="515"/>
      <c r="BR1119" s="515"/>
    </row>
    <row r="1120" spans="4:70" x14ac:dyDescent="0.25">
      <c r="D1120" s="538"/>
      <c r="G1120" s="538"/>
      <c r="J1120" s="538"/>
      <c r="M1120" s="538"/>
      <c r="R1120" s="538"/>
      <c r="S1120" s="343"/>
      <c r="T1120" s="343"/>
      <c r="U1120" s="538"/>
      <c r="V1120" s="343"/>
      <c r="W1120" s="343"/>
      <c r="X1120" s="538"/>
      <c r="Y1120" s="343"/>
      <c r="Z1120" s="343"/>
      <c r="AA1120" s="538"/>
      <c r="AB1120" s="343"/>
      <c r="AC1120" s="343"/>
      <c r="AE1120" s="343"/>
      <c r="AF1120" s="538"/>
      <c r="AG1120" s="343"/>
      <c r="AH1120" s="343"/>
      <c r="AI1120" s="538"/>
      <c r="AJ1120" s="343"/>
      <c r="AK1120" s="343"/>
      <c r="AL1120" s="538"/>
      <c r="AM1120" s="343"/>
      <c r="AN1120" s="343"/>
      <c r="AO1120" s="538"/>
      <c r="AP1120" s="343"/>
      <c r="AQ1120" s="343"/>
      <c r="AS1120" s="343"/>
      <c r="AT1120" s="538"/>
      <c r="AU1120" s="343"/>
      <c r="AV1120" s="343"/>
      <c r="AW1120" s="538"/>
      <c r="AX1120" s="343"/>
      <c r="AY1120" s="343"/>
      <c r="AZ1120" s="538"/>
      <c r="BA1120" s="343"/>
      <c r="BB1120" s="343"/>
      <c r="BC1120" s="538"/>
      <c r="BD1120" s="343"/>
      <c r="BE1120" s="343"/>
      <c r="BG1120" s="644"/>
      <c r="BH1120" s="515"/>
      <c r="BI1120" s="515"/>
      <c r="BJ1120" s="644"/>
      <c r="BK1120" s="515"/>
      <c r="BL1120" s="515"/>
      <c r="BM1120" s="644"/>
      <c r="BN1120" s="515"/>
      <c r="BO1120" s="515"/>
      <c r="BP1120" s="644"/>
      <c r="BQ1120" s="515"/>
      <c r="BR1120" s="515"/>
    </row>
    <row r="1121" spans="4:70" x14ac:dyDescent="0.25">
      <c r="D1121" s="538"/>
      <c r="G1121" s="538"/>
      <c r="J1121" s="538"/>
      <c r="M1121" s="538"/>
      <c r="R1121" s="538"/>
      <c r="S1121" s="343"/>
      <c r="T1121" s="343"/>
      <c r="U1121" s="538"/>
      <c r="V1121" s="343"/>
      <c r="W1121" s="343"/>
      <c r="X1121" s="538"/>
      <c r="Y1121" s="343"/>
      <c r="Z1121" s="343"/>
      <c r="AA1121" s="538"/>
      <c r="AB1121" s="343"/>
      <c r="AC1121" s="343"/>
      <c r="AE1121" s="343"/>
      <c r="AF1121" s="538"/>
      <c r="AG1121" s="343"/>
      <c r="AH1121" s="343"/>
      <c r="AI1121" s="538"/>
      <c r="AJ1121" s="343"/>
      <c r="AK1121" s="343"/>
      <c r="AL1121" s="538"/>
      <c r="AM1121" s="343"/>
      <c r="AN1121" s="343"/>
      <c r="AO1121" s="538"/>
      <c r="AP1121" s="343"/>
      <c r="AQ1121" s="343"/>
      <c r="AS1121" s="343"/>
      <c r="AT1121" s="538"/>
      <c r="AU1121" s="343"/>
      <c r="AV1121" s="343"/>
      <c r="AW1121" s="538"/>
      <c r="AX1121" s="343"/>
      <c r="AY1121" s="343"/>
      <c r="AZ1121" s="538"/>
      <c r="BA1121" s="343"/>
      <c r="BB1121" s="343"/>
      <c r="BC1121" s="538"/>
      <c r="BD1121" s="343"/>
      <c r="BE1121" s="343"/>
      <c r="BG1121" s="644"/>
      <c r="BH1121" s="515"/>
      <c r="BI1121" s="515"/>
      <c r="BJ1121" s="644"/>
      <c r="BK1121" s="515"/>
      <c r="BL1121" s="515"/>
      <c r="BM1121" s="644"/>
      <c r="BN1121" s="515"/>
      <c r="BO1121" s="515"/>
      <c r="BP1121" s="644"/>
      <c r="BQ1121" s="515"/>
      <c r="BR1121" s="515"/>
    </row>
    <row r="1122" spans="4:70" x14ac:dyDescent="0.25">
      <c r="D1122" s="538"/>
      <c r="G1122" s="538"/>
      <c r="J1122" s="538"/>
      <c r="M1122" s="538"/>
      <c r="R1122" s="538"/>
      <c r="S1122" s="343"/>
      <c r="T1122" s="343"/>
      <c r="U1122" s="538"/>
      <c r="V1122" s="343"/>
      <c r="W1122" s="343"/>
      <c r="X1122" s="538"/>
      <c r="Y1122" s="343"/>
      <c r="Z1122" s="343"/>
      <c r="AA1122" s="538"/>
      <c r="AB1122" s="343"/>
      <c r="AC1122" s="343"/>
      <c r="AE1122" s="343"/>
      <c r="AF1122" s="538"/>
      <c r="AG1122" s="343"/>
      <c r="AH1122" s="343"/>
      <c r="AI1122" s="538"/>
      <c r="AJ1122" s="343"/>
      <c r="AK1122" s="343"/>
      <c r="AL1122" s="538"/>
      <c r="AM1122" s="343"/>
      <c r="AN1122" s="343"/>
      <c r="AO1122" s="538"/>
      <c r="AP1122" s="343"/>
      <c r="AQ1122" s="343"/>
      <c r="AS1122" s="343"/>
      <c r="AT1122" s="538"/>
      <c r="AU1122" s="343"/>
      <c r="AV1122" s="343"/>
      <c r="AW1122" s="538"/>
      <c r="AX1122" s="343"/>
      <c r="AY1122" s="343"/>
      <c r="AZ1122" s="538"/>
      <c r="BA1122" s="343"/>
      <c r="BB1122" s="343"/>
      <c r="BC1122" s="538"/>
      <c r="BD1122" s="343"/>
      <c r="BE1122" s="343"/>
      <c r="BG1122" s="644"/>
      <c r="BH1122" s="515"/>
      <c r="BI1122" s="515"/>
      <c r="BJ1122" s="644"/>
      <c r="BK1122" s="515"/>
      <c r="BL1122" s="515"/>
      <c r="BM1122" s="644"/>
      <c r="BN1122" s="515"/>
      <c r="BO1122" s="515"/>
      <c r="BP1122" s="644"/>
      <c r="BQ1122" s="515"/>
      <c r="BR1122" s="515"/>
    </row>
    <row r="1123" spans="4:70" x14ac:dyDescent="0.25">
      <c r="D1123" s="538"/>
      <c r="G1123" s="538"/>
      <c r="J1123" s="538"/>
      <c r="M1123" s="538"/>
      <c r="R1123" s="538"/>
      <c r="S1123" s="343"/>
      <c r="T1123" s="343"/>
      <c r="U1123" s="538"/>
      <c r="V1123" s="343"/>
      <c r="W1123" s="343"/>
      <c r="X1123" s="538"/>
      <c r="Y1123" s="343"/>
      <c r="Z1123" s="343"/>
      <c r="AA1123" s="538"/>
      <c r="AB1123" s="343"/>
      <c r="AC1123" s="343"/>
      <c r="AE1123" s="343"/>
      <c r="AF1123" s="538"/>
      <c r="AG1123" s="343"/>
      <c r="AH1123" s="343"/>
      <c r="AI1123" s="538"/>
      <c r="AJ1123" s="343"/>
      <c r="AK1123" s="343"/>
      <c r="AL1123" s="538"/>
      <c r="AM1123" s="343"/>
      <c r="AN1123" s="343"/>
      <c r="AO1123" s="538"/>
      <c r="AP1123" s="343"/>
      <c r="AQ1123" s="343"/>
      <c r="AS1123" s="343"/>
      <c r="AT1123" s="538"/>
      <c r="AU1123" s="343"/>
      <c r="AV1123" s="343"/>
      <c r="AW1123" s="538"/>
      <c r="AX1123" s="343"/>
      <c r="AY1123" s="343"/>
      <c r="AZ1123" s="538"/>
      <c r="BA1123" s="343"/>
      <c r="BB1123" s="343"/>
      <c r="BC1123" s="538"/>
      <c r="BD1123" s="343"/>
      <c r="BE1123" s="343"/>
      <c r="BG1123" s="644"/>
      <c r="BH1123" s="515"/>
      <c r="BI1123" s="515"/>
      <c r="BJ1123" s="644"/>
      <c r="BK1123" s="515"/>
      <c r="BL1123" s="515"/>
      <c r="BM1123" s="644"/>
      <c r="BN1123" s="515"/>
      <c r="BO1123" s="515"/>
      <c r="BP1123" s="644"/>
      <c r="BQ1123" s="515"/>
      <c r="BR1123" s="515"/>
    </row>
    <row r="1124" spans="4:70" x14ac:dyDescent="0.25">
      <c r="D1124" s="538"/>
      <c r="G1124" s="538"/>
      <c r="J1124" s="538"/>
      <c r="M1124" s="538"/>
      <c r="R1124" s="538"/>
      <c r="S1124" s="343"/>
      <c r="T1124" s="343"/>
      <c r="U1124" s="538"/>
      <c r="V1124" s="343"/>
      <c r="W1124" s="343"/>
      <c r="X1124" s="538"/>
      <c r="Y1124" s="343"/>
      <c r="Z1124" s="343"/>
      <c r="AA1124" s="538"/>
      <c r="AB1124" s="343"/>
      <c r="AC1124" s="343"/>
      <c r="AE1124" s="343"/>
      <c r="AF1124" s="538"/>
      <c r="AG1124" s="343"/>
      <c r="AH1124" s="343"/>
      <c r="AI1124" s="538"/>
      <c r="AJ1124" s="343"/>
      <c r="AK1124" s="343"/>
      <c r="AL1124" s="538"/>
      <c r="AM1124" s="343"/>
      <c r="AN1124" s="343"/>
      <c r="AO1124" s="538"/>
      <c r="AP1124" s="343"/>
      <c r="AQ1124" s="343"/>
      <c r="AS1124" s="343"/>
      <c r="AT1124" s="538"/>
      <c r="AU1124" s="343"/>
      <c r="AV1124" s="343"/>
      <c r="AW1124" s="538"/>
      <c r="AX1124" s="343"/>
      <c r="AY1124" s="343"/>
      <c r="AZ1124" s="538"/>
      <c r="BA1124" s="343"/>
      <c r="BB1124" s="343"/>
      <c r="BC1124" s="538"/>
      <c r="BD1124" s="343"/>
      <c r="BE1124" s="343"/>
      <c r="BG1124" s="644"/>
      <c r="BH1124" s="515"/>
      <c r="BI1124" s="515"/>
      <c r="BJ1124" s="644"/>
      <c r="BK1124" s="515"/>
      <c r="BL1124" s="515"/>
      <c r="BM1124" s="644"/>
      <c r="BN1124" s="515"/>
      <c r="BO1124" s="515"/>
      <c r="BP1124" s="644"/>
      <c r="BQ1124" s="515"/>
      <c r="BR1124" s="515"/>
    </row>
    <row r="1125" spans="4:70" x14ac:dyDescent="0.25">
      <c r="D1125" s="538"/>
      <c r="G1125" s="538"/>
      <c r="J1125" s="538"/>
      <c r="M1125" s="538"/>
      <c r="R1125" s="538"/>
      <c r="S1125" s="343"/>
      <c r="T1125" s="343"/>
      <c r="U1125" s="538"/>
      <c r="V1125" s="343"/>
      <c r="W1125" s="343"/>
      <c r="X1125" s="538"/>
      <c r="Y1125" s="343"/>
      <c r="Z1125" s="343"/>
      <c r="AA1125" s="538"/>
      <c r="AB1125" s="343"/>
      <c r="AC1125" s="343"/>
      <c r="AE1125" s="343"/>
      <c r="AF1125" s="538"/>
      <c r="AG1125" s="343"/>
      <c r="AH1125" s="343"/>
      <c r="AI1125" s="538"/>
      <c r="AJ1125" s="343"/>
      <c r="AK1125" s="343"/>
      <c r="AL1125" s="538"/>
      <c r="AM1125" s="343"/>
      <c r="AN1125" s="343"/>
      <c r="AO1125" s="538"/>
      <c r="AP1125" s="343"/>
      <c r="AQ1125" s="343"/>
      <c r="AS1125" s="343"/>
      <c r="AT1125" s="538"/>
      <c r="AU1125" s="343"/>
      <c r="AV1125" s="343"/>
      <c r="AW1125" s="538"/>
      <c r="AX1125" s="343"/>
      <c r="AY1125" s="343"/>
      <c r="AZ1125" s="538"/>
      <c r="BA1125" s="343"/>
      <c r="BB1125" s="343"/>
      <c r="BC1125" s="538"/>
      <c r="BD1125" s="343"/>
      <c r="BE1125" s="343"/>
      <c r="BG1125" s="644"/>
      <c r="BH1125" s="515"/>
      <c r="BI1125" s="515"/>
      <c r="BJ1125" s="644"/>
      <c r="BK1125" s="515"/>
      <c r="BL1125" s="515"/>
      <c r="BM1125" s="644"/>
      <c r="BN1125" s="515"/>
      <c r="BO1125" s="515"/>
      <c r="BP1125" s="644"/>
      <c r="BQ1125" s="515"/>
      <c r="BR1125" s="515"/>
    </row>
    <row r="1126" spans="4:70" x14ac:dyDescent="0.25">
      <c r="D1126" s="538"/>
      <c r="G1126" s="538"/>
      <c r="J1126" s="538"/>
      <c r="M1126" s="538"/>
      <c r="R1126" s="538"/>
      <c r="S1126" s="343"/>
      <c r="T1126" s="343"/>
      <c r="U1126" s="538"/>
      <c r="V1126" s="343"/>
      <c r="W1126" s="343"/>
      <c r="X1126" s="538"/>
      <c r="Y1126" s="343"/>
      <c r="Z1126" s="343"/>
      <c r="AA1126" s="538"/>
      <c r="AB1126" s="343"/>
      <c r="AC1126" s="343"/>
      <c r="AE1126" s="343"/>
      <c r="AF1126" s="538"/>
      <c r="AG1126" s="343"/>
      <c r="AH1126" s="343"/>
      <c r="AI1126" s="538"/>
      <c r="AJ1126" s="343"/>
      <c r="AK1126" s="343"/>
      <c r="AL1126" s="538"/>
      <c r="AM1126" s="343"/>
      <c r="AN1126" s="343"/>
      <c r="AO1126" s="538"/>
      <c r="AP1126" s="343"/>
      <c r="AQ1126" s="343"/>
      <c r="AS1126" s="343"/>
      <c r="AT1126" s="538"/>
      <c r="AU1126" s="343"/>
      <c r="AV1126" s="343"/>
      <c r="AW1126" s="538"/>
      <c r="AX1126" s="343"/>
      <c r="AY1126" s="343"/>
      <c r="AZ1126" s="538"/>
      <c r="BA1126" s="343"/>
      <c r="BB1126" s="343"/>
      <c r="BC1126" s="538"/>
      <c r="BD1126" s="343"/>
      <c r="BE1126" s="343"/>
      <c r="BG1126" s="644"/>
      <c r="BH1126" s="515"/>
      <c r="BI1126" s="515"/>
      <c r="BJ1126" s="644"/>
      <c r="BK1126" s="515"/>
      <c r="BL1126" s="515"/>
      <c r="BM1126" s="644"/>
      <c r="BN1126" s="515"/>
      <c r="BO1126" s="515"/>
      <c r="BP1126" s="644"/>
      <c r="BQ1126" s="515"/>
      <c r="BR1126" s="515"/>
    </row>
    <row r="1127" spans="4:70" x14ac:dyDescent="0.25">
      <c r="D1127" s="538"/>
      <c r="G1127" s="538"/>
      <c r="J1127" s="538"/>
      <c r="M1127" s="538"/>
      <c r="R1127" s="538"/>
      <c r="S1127" s="343"/>
      <c r="T1127" s="343"/>
      <c r="U1127" s="538"/>
      <c r="V1127" s="343"/>
      <c r="W1127" s="343"/>
      <c r="X1127" s="538"/>
      <c r="Y1127" s="343"/>
      <c r="Z1127" s="343"/>
      <c r="AA1127" s="538"/>
      <c r="AB1127" s="343"/>
      <c r="AC1127" s="343"/>
      <c r="AE1127" s="343"/>
      <c r="AF1127" s="538"/>
      <c r="AG1127" s="343"/>
      <c r="AH1127" s="343"/>
      <c r="AI1127" s="538"/>
      <c r="AJ1127" s="343"/>
      <c r="AK1127" s="343"/>
      <c r="AL1127" s="538"/>
      <c r="AM1127" s="343"/>
      <c r="AN1127" s="343"/>
      <c r="AO1127" s="538"/>
      <c r="AP1127" s="343"/>
      <c r="AQ1127" s="343"/>
      <c r="AS1127" s="343"/>
      <c r="AT1127" s="538"/>
      <c r="AU1127" s="343"/>
      <c r="AV1127" s="343"/>
      <c r="AW1127" s="538"/>
      <c r="AX1127" s="343"/>
      <c r="AY1127" s="343"/>
      <c r="AZ1127" s="538"/>
      <c r="BA1127" s="343"/>
      <c r="BB1127" s="343"/>
      <c r="BC1127" s="538"/>
      <c r="BD1127" s="343"/>
      <c r="BE1127" s="343"/>
      <c r="BG1127" s="644"/>
      <c r="BH1127" s="515"/>
      <c r="BI1127" s="515"/>
      <c r="BJ1127" s="644"/>
      <c r="BK1127" s="515"/>
      <c r="BL1127" s="515"/>
      <c r="BM1127" s="644"/>
      <c r="BN1127" s="515"/>
      <c r="BO1127" s="515"/>
      <c r="BP1127" s="644"/>
      <c r="BQ1127" s="515"/>
      <c r="BR1127" s="515"/>
    </row>
    <row r="1128" spans="4:70" x14ac:dyDescent="0.25">
      <c r="D1128" s="538"/>
      <c r="G1128" s="538"/>
      <c r="J1128" s="538"/>
      <c r="M1128" s="538"/>
      <c r="R1128" s="538"/>
      <c r="S1128" s="343"/>
      <c r="T1128" s="343"/>
      <c r="U1128" s="538"/>
      <c r="V1128" s="343"/>
      <c r="W1128" s="343"/>
      <c r="X1128" s="538"/>
      <c r="Y1128" s="343"/>
      <c r="Z1128" s="343"/>
      <c r="AA1128" s="538"/>
      <c r="AB1128" s="343"/>
      <c r="AC1128" s="343"/>
      <c r="AE1128" s="343"/>
      <c r="AF1128" s="538"/>
      <c r="AG1128" s="343"/>
      <c r="AH1128" s="343"/>
      <c r="AI1128" s="538"/>
      <c r="AJ1128" s="343"/>
      <c r="AK1128" s="343"/>
      <c r="AL1128" s="538"/>
      <c r="AM1128" s="343"/>
      <c r="AN1128" s="343"/>
      <c r="AO1128" s="538"/>
      <c r="AP1128" s="343"/>
      <c r="AQ1128" s="343"/>
      <c r="AS1128" s="343"/>
      <c r="AT1128" s="538"/>
      <c r="AU1128" s="343"/>
      <c r="AV1128" s="343"/>
      <c r="AW1128" s="538"/>
      <c r="AX1128" s="343"/>
      <c r="AY1128" s="343"/>
      <c r="AZ1128" s="538"/>
      <c r="BA1128" s="343"/>
      <c r="BB1128" s="343"/>
      <c r="BC1128" s="538"/>
      <c r="BD1128" s="343"/>
      <c r="BE1128" s="343"/>
      <c r="BG1128" s="644"/>
      <c r="BH1128" s="515"/>
      <c r="BI1128" s="515"/>
      <c r="BJ1128" s="644"/>
      <c r="BK1128" s="515"/>
      <c r="BL1128" s="515"/>
      <c r="BM1128" s="644"/>
      <c r="BN1128" s="515"/>
      <c r="BO1128" s="515"/>
      <c r="BP1128" s="644"/>
      <c r="BQ1128" s="515"/>
      <c r="BR1128" s="515"/>
    </row>
    <row r="1129" spans="4:70" x14ac:dyDescent="0.25">
      <c r="D1129" s="538"/>
      <c r="G1129" s="538"/>
      <c r="J1129" s="538"/>
      <c r="M1129" s="538"/>
      <c r="R1129" s="538"/>
      <c r="S1129" s="343"/>
      <c r="T1129" s="343"/>
      <c r="U1129" s="538"/>
      <c r="V1129" s="343"/>
      <c r="W1129" s="343"/>
      <c r="X1129" s="538"/>
      <c r="Y1129" s="343"/>
      <c r="Z1129" s="343"/>
      <c r="AA1129" s="538"/>
      <c r="AB1129" s="343"/>
      <c r="AC1129" s="343"/>
      <c r="AE1129" s="343"/>
      <c r="AF1129" s="538"/>
      <c r="AG1129" s="343"/>
      <c r="AH1129" s="343"/>
      <c r="AI1129" s="538"/>
      <c r="AJ1129" s="343"/>
      <c r="AK1129" s="343"/>
      <c r="AL1129" s="538"/>
      <c r="AM1129" s="343"/>
      <c r="AN1129" s="343"/>
      <c r="AO1129" s="538"/>
      <c r="AP1129" s="343"/>
      <c r="AQ1129" s="343"/>
      <c r="AS1129" s="343"/>
      <c r="AT1129" s="538"/>
      <c r="AU1129" s="343"/>
      <c r="AV1129" s="343"/>
      <c r="AW1129" s="538"/>
      <c r="AX1129" s="343"/>
      <c r="AY1129" s="343"/>
      <c r="AZ1129" s="538"/>
      <c r="BA1129" s="343"/>
      <c r="BB1129" s="343"/>
      <c r="BC1129" s="538"/>
      <c r="BD1129" s="343"/>
      <c r="BE1129" s="343"/>
      <c r="BG1129" s="644"/>
      <c r="BH1129" s="515"/>
      <c r="BI1129" s="515"/>
      <c r="BJ1129" s="644"/>
      <c r="BK1129" s="515"/>
      <c r="BL1129" s="515"/>
      <c r="BM1129" s="644"/>
      <c r="BN1129" s="515"/>
      <c r="BO1129" s="515"/>
      <c r="BP1129" s="644"/>
      <c r="BQ1129" s="515"/>
      <c r="BR1129" s="515"/>
    </row>
    <row r="1130" spans="4:70" x14ac:dyDescent="0.25">
      <c r="D1130" s="538"/>
      <c r="G1130" s="538"/>
      <c r="J1130" s="538"/>
      <c r="M1130" s="538"/>
      <c r="R1130" s="538"/>
      <c r="S1130" s="343"/>
      <c r="T1130" s="343"/>
      <c r="U1130" s="538"/>
      <c r="V1130" s="343"/>
      <c r="W1130" s="343"/>
      <c r="X1130" s="538"/>
      <c r="Y1130" s="343"/>
      <c r="Z1130" s="343"/>
      <c r="AA1130" s="538"/>
      <c r="AB1130" s="343"/>
      <c r="AC1130" s="343"/>
      <c r="AE1130" s="343"/>
      <c r="AF1130" s="538"/>
      <c r="AG1130" s="343"/>
      <c r="AH1130" s="343"/>
      <c r="AI1130" s="538"/>
      <c r="AJ1130" s="343"/>
      <c r="AK1130" s="343"/>
      <c r="AL1130" s="538"/>
      <c r="AM1130" s="343"/>
      <c r="AN1130" s="343"/>
      <c r="AO1130" s="538"/>
      <c r="AP1130" s="343"/>
      <c r="AQ1130" s="343"/>
      <c r="AS1130" s="343"/>
      <c r="AT1130" s="538"/>
      <c r="AU1130" s="343"/>
      <c r="AV1130" s="343"/>
      <c r="AW1130" s="538"/>
      <c r="AX1130" s="343"/>
      <c r="AY1130" s="343"/>
      <c r="AZ1130" s="538"/>
      <c r="BA1130" s="343"/>
      <c r="BB1130" s="343"/>
      <c r="BC1130" s="538"/>
      <c r="BD1130" s="343"/>
      <c r="BE1130" s="343"/>
      <c r="BG1130" s="644"/>
      <c r="BH1130" s="515"/>
      <c r="BI1130" s="515"/>
      <c r="BJ1130" s="644"/>
      <c r="BK1130" s="515"/>
      <c r="BL1130" s="515"/>
      <c r="BM1130" s="644"/>
      <c r="BN1130" s="515"/>
      <c r="BO1130" s="515"/>
      <c r="BP1130" s="644"/>
      <c r="BQ1130" s="515"/>
      <c r="BR1130" s="515"/>
    </row>
    <row r="1131" spans="4:70" x14ac:dyDescent="0.25">
      <c r="D1131" s="538"/>
      <c r="G1131" s="538"/>
      <c r="J1131" s="538"/>
      <c r="M1131" s="538"/>
      <c r="R1131" s="538"/>
      <c r="S1131" s="343"/>
      <c r="T1131" s="343"/>
      <c r="U1131" s="538"/>
      <c r="V1131" s="343"/>
      <c r="W1131" s="343"/>
      <c r="X1131" s="538"/>
      <c r="Y1131" s="343"/>
      <c r="Z1131" s="343"/>
      <c r="AA1131" s="538"/>
      <c r="AB1131" s="343"/>
      <c r="AC1131" s="343"/>
      <c r="AE1131" s="343"/>
      <c r="AF1131" s="538"/>
      <c r="AG1131" s="343"/>
      <c r="AH1131" s="343"/>
      <c r="AI1131" s="538"/>
      <c r="AJ1131" s="343"/>
      <c r="AK1131" s="343"/>
      <c r="AL1131" s="538"/>
      <c r="AM1131" s="343"/>
      <c r="AN1131" s="343"/>
      <c r="AO1131" s="538"/>
      <c r="AP1131" s="343"/>
      <c r="AQ1131" s="343"/>
      <c r="AS1131" s="343"/>
      <c r="AT1131" s="538"/>
      <c r="AU1131" s="343"/>
      <c r="AV1131" s="343"/>
      <c r="AW1131" s="538"/>
      <c r="AX1131" s="343"/>
      <c r="AY1131" s="343"/>
      <c r="AZ1131" s="538"/>
      <c r="BA1131" s="343"/>
      <c r="BB1131" s="343"/>
      <c r="BC1131" s="538"/>
      <c r="BD1131" s="343"/>
      <c r="BE1131" s="343"/>
      <c r="BG1131" s="644"/>
      <c r="BH1131" s="515"/>
      <c r="BI1131" s="515"/>
      <c r="BJ1131" s="644"/>
      <c r="BK1131" s="515"/>
      <c r="BL1131" s="515"/>
      <c r="BM1131" s="644"/>
      <c r="BN1131" s="515"/>
      <c r="BO1131" s="515"/>
      <c r="BP1131" s="644"/>
      <c r="BQ1131" s="515"/>
      <c r="BR1131" s="515"/>
    </row>
    <row r="1132" spans="4:70" x14ac:dyDescent="0.25">
      <c r="D1132" s="538"/>
      <c r="G1132" s="538"/>
      <c r="J1132" s="538"/>
      <c r="M1132" s="538"/>
      <c r="R1132" s="538"/>
      <c r="S1132" s="343"/>
      <c r="T1132" s="343"/>
      <c r="U1132" s="538"/>
      <c r="V1132" s="343"/>
      <c r="W1132" s="343"/>
      <c r="X1132" s="538"/>
      <c r="Y1132" s="343"/>
      <c r="Z1132" s="343"/>
      <c r="AA1132" s="538"/>
      <c r="AB1132" s="343"/>
      <c r="AC1132" s="343"/>
      <c r="AE1132" s="343"/>
      <c r="AF1132" s="538"/>
      <c r="AG1132" s="343"/>
      <c r="AH1132" s="343"/>
      <c r="AI1132" s="538"/>
      <c r="AJ1132" s="343"/>
      <c r="AK1132" s="343"/>
      <c r="AL1132" s="538"/>
      <c r="AM1132" s="343"/>
      <c r="AN1132" s="343"/>
      <c r="AO1132" s="538"/>
      <c r="AP1132" s="343"/>
      <c r="AQ1132" s="343"/>
      <c r="AS1132" s="343"/>
      <c r="AT1132" s="538"/>
      <c r="AU1132" s="343"/>
      <c r="AV1132" s="343"/>
      <c r="AW1132" s="538"/>
      <c r="AX1132" s="343"/>
      <c r="AY1132" s="343"/>
      <c r="AZ1132" s="538"/>
      <c r="BA1132" s="343"/>
      <c r="BB1132" s="343"/>
      <c r="BC1132" s="538"/>
      <c r="BD1132" s="343"/>
      <c r="BE1132" s="343"/>
      <c r="BG1132" s="644"/>
      <c r="BH1132" s="515"/>
      <c r="BI1132" s="515"/>
      <c r="BJ1132" s="644"/>
      <c r="BK1132" s="515"/>
      <c r="BL1132" s="515"/>
      <c r="BM1132" s="644"/>
      <c r="BN1132" s="515"/>
      <c r="BO1132" s="515"/>
      <c r="BP1132" s="644"/>
      <c r="BQ1132" s="515"/>
      <c r="BR1132" s="515"/>
    </row>
    <row r="1133" spans="4:70" x14ac:dyDescent="0.25">
      <c r="D1133" s="538"/>
      <c r="G1133" s="538"/>
      <c r="J1133" s="538"/>
      <c r="M1133" s="538"/>
      <c r="R1133" s="538"/>
      <c r="S1133" s="343"/>
      <c r="T1133" s="343"/>
      <c r="U1133" s="538"/>
      <c r="V1133" s="343"/>
      <c r="W1133" s="343"/>
      <c r="X1133" s="538"/>
      <c r="Y1133" s="343"/>
      <c r="Z1133" s="343"/>
      <c r="AA1133" s="538"/>
      <c r="AB1133" s="343"/>
      <c r="AC1133" s="343"/>
      <c r="AE1133" s="343"/>
      <c r="AF1133" s="538"/>
      <c r="AG1133" s="343"/>
      <c r="AH1133" s="343"/>
      <c r="AI1133" s="538"/>
      <c r="AJ1133" s="343"/>
      <c r="AK1133" s="343"/>
      <c r="AL1133" s="538"/>
      <c r="AM1133" s="343"/>
      <c r="AN1133" s="343"/>
      <c r="AO1133" s="538"/>
      <c r="AP1133" s="343"/>
      <c r="AQ1133" s="343"/>
      <c r="AS1133" s="343"/>
      <c r="AT1133" s="538"/>
      <c r="AU1133" s="343"/>
      <c r="AV1133" s="343"/>
      <c r="AW1133" s="538"/>
      <c r="AX1133" s="343"/>
      <c r="AY1133" s="343"/>
      <c r="AZ1133" s="538"/>
      <c r="BA1133" s="343"/>
      <c r="BB1133" s="343"/>
      <c r="BC1133" s="538"/>
      <c r="BD1133" s="343"/>
      <c r="BE1133" s="343"/>
      <c r="BG1133" s="644"/>
      <c r="BH1133" s="515"/>
      <c r="BI1133" s="515"/>
      <c r="BJ1133" s="644"/>
      <c r="BK1133" s="515"/>
      <c r="BL1133" s="515"/>
      <c r="BM1133" s="644"/>
      <c r="BN1133" s="515"/>
      <c r="BO1133" s="515"/>
      <c r="BP1133" s="644"/>
      <c r="BQ1133" s="515"/>
      <c r="BR1133" s="515"/>
    </row>
    <row r="1134" spans="4:70" x14ac:dyDescent="0.25">
      <c r="D1134" s="538"/>
      <c r="G1134" s="538"/>
      <c r="J1134" s="538"/>
      <c r="M1134" s="538"/>
      <c r="R1134" s="538"/>
      <c r="S1134" s="343"/>
      <c r="T1134" s="343"/>
      <c r="U1134" s="538"/>
      <c r="V1134" s="343"/>
      <c r="W1134" s="343"/>
      <c r="X1134" s="538"/>
      <c r="Y1134" s="343"/>
      <c r="Z1134" s="343"/>
      <c r="AA1134" s="538"/>
      <c r="AB1134" s="343"/>
      <c r="AC1134" s="343"/>
      <c r="AE1134" s="343"/>
      <c r="AF1134" s="538"/>
      <c r="AG1134" s="343"/>
      <c r="AH1134" s="343"/>
      <c r="AI1134" s="538"/>
      <c r="AJ1134" s="343"/>
      <c r="AK1134" s="343"/>
      <c r="AL1134" s="538"/>
      <c r="AM1134" s="343"/>
      <c r="AN1134" s="343"/>
      <c r="AO1134" s="538"/>
      <c r="AP1134" s="343"/>
      <c r="AQ1134" s="343"/>
      <c r="AS1134" s="343"/>
      <c r="AT1134" s="538"/>
      <c r="AU1134" s="343"/>
      <c r="AV1134" s="343"/>
      <c r="AW1134" s="538"/>
      <c r="AX1134" s="343"/>
      <c r="AY1134" s="343"/>
      <c r="AZ1134" s="538"/>
      <c r="BA1134" s="343"/>
      <c r="BB1134" s="343"/>
      <c r="BC1134" s="538"/>
      <c r="BD1134" s="343"/>
      <c r="BE1134" s="343"/>
      <c r="BG1134" s="644"/>
      <c r="BH1134" s="515"/>
      <c r="BI1134" s="515"/>
      <c r="BJ1134" s="644"/>
      <c r="BK1134" s="515"/>
      <c r="BL1134" s="515"/>
      <c r="BM1134" s="644"/>
      <c r="BN1134" s="515"/>
      <c r="BO1134" s="515"/>
      <c r="BP1134" s="644"/>
      <c r="BQ1134" s="515"/>
      <c r="BR1134" s="515"/>
    </row>
    <row r="1135" spans="4:70" x14ac:dyDescent="0.25">
      <c r="D1135" s="538"/>
      <c r="G1135" s="538"/>
      <c r="J1135" s="538"/>
      <c r="M1135" s="538"/>
      <c r="R1135" s="538"/>
      <c r="S1135" s="343"/>
      <c r="T1135" s="343"/>
      <c r="U1135" s="538"/>
      <c r="V1135" s="343"/>
      <c r="W1135" s="343"/>
      <c r="X1135" s="538"/>
      <c r="Y1135" s="343"/>
      <c r="Z1135" s="343"/>
      <c r="AA1135" s="538"/>
      <c r="AB1135" s="343"/>
      <c r="AC1135" s="343"/>
      <c r="AE1135" s="343"/>
      <c r="AF1135" s="538"/>
      <c r="AG1135" s="343"/>
      <c r="AH1135" s="343"/>
      <c r="AI1135" s="538"/>
      <c r="AJ1135" s="343"/>
      <c r="AK1135" s="343"/>
      <c r="AL1135" s="538"/>
      <c r="AM1135" s="343"/>
      <c r="AN1135" s="343"/>
      <c r="AO1135" s="538"/>
      <c r="AP1135" s="343"/>
      <c r="AQ1135" s="343"/>
      <c r="AS1135" s="343"/>
      <c r="AT1135" s="538"/>
      <c r="AU1135" s="343"/>
      <c r="AV1135" s="343"/>
      <c r="AW1135" s="538"/>
      <c r="AX1135" s="343"/>
      <c r="AY1135" s="343"/>
      <c r="AZ1135" s="538"/>
      <c r="BA1135" s="343"/>
      <c r="BB1135" s="343"/>
      <c r="BC1135" s="538"/>
      <c r="BD1135" s="343"/>
      <c r="BE1135" s="343"/>
      <c r="BG1135" s="644"/>
      <c r="BH1135" s="515"/>
      <c r="BI1135" s="515"/>
      <c r="BJ1135" s="644"/>
      <c r="BK1135" s="515"/>
      <c r="BL1135" s="515"/>
      <c r="BM1135" s="644"/>
      <c r="BN1135" s="515"/>
      <c r="BO1135" s="515"/>
      <c r="BP1135" s="644"/>
      <c r="BQ1135" s="515"/>
      <c r="BR1135" s="515"/>
    </row>
    <row r="1136" spans="4:70" x14ac:dyDescent="0.25">
      <c r="D1136" s="538"/>
      <c r="G1136" s="538"/>
      <c r="J1136" s="538"/>
      <c r="M1136" s="538"/>
      <c r="R1136" s="538"/>
      <c r="S1136" s="343"/>
      <c r="T1136" s="343"/>
      <c r="U1136" s="538"/>
      <c r="V1136" s="343"/>
      <c r="W1136" s="343"/>
      <c r="X1136" s="538"/>
      <c r="Y1136" s="343"/>
      <c r="Z1136" s="343"/>
      <c r="AA1136" s="538"/>
      <c r="AB1136" s="343"/>
      <c r="AC1136" s="343"/>
      <c r="AE1136" s="343"/>
      <c r="AF1136" s="538"/>
      <c r="AG1136" s="343"/>
      <c r="AH1136" s="343"/>
      <c r="AI1136" s="538"/>
      <c r="AJ1136" s="343"/>
      <c r="AK1136" s="343"/>
      <c r="AL1136" s="538"/>
      <c r="AM1136" s="343"/>
      <c r="AN1136" s="343"/>
      <c r="AO1136" s="538"/>
      <c r="AP1136" s="343"/>
      <c r="AQ1136" s="343"/>
      <c r="AS1136" s="343"/>
      <c r="AT1136" s="538"/>
      <c r="AU1136" s="343"/>
      <c r="AV1136" s="343"/>
      <c r="AW1136" s="538"/>
      <c r="AX1136" s="343"/>
      <c r="AY1136" s="343"/>
      <c r="AZ1136" s="538"/>
      <c r="BA1136" s="343"/>
      <c r="BB1136" s="343"/>
      <c r="BC1136" s="538"/>
      <c r="BD1136" s="343"/>
      <c r="BE1136" s="343"/>
      <c r="BG1136" s="644"/>
      <c r="BH1136" s="515"/>
      <c r="BI1136" s="515"/>
      <c r="BJ1136" s="644"/>
      <c r="BK1136" s="515"/>
      <c r="BL1136" s="515"/>
      <c r="BM1136" s="644"/>
      <c r="BN1136" s="515"/>
      <c r="BO1136" s="515"/>
      <c r="BP1136" s="644"/>
      <c r="BQ1136" s="515"/>
      <c r="BR1136" s="515"/>
    </row>
    <row r="1137" spans="4:70" x14ac:dyDescent="0.25">
      <c r="D1137" s="538"/>
      <c r="G1137" s="538"/>
      <c r="J1137" s="538"/>
      <c r="M1137" s="538"/>
      <c r="R1137" s="538"/>
      <c r="S1137" s="343"/>
      <c r="T1137" s="343"/>
      <c r="U1137" s="538"/>
      <c r="V1137" s="343"/>
      <c r="W1137" s="343"/>
      <c r="X1137" s="538"/>
      <c r="Y1137" s="343"/>
      <c r="Z1137" s="343"/>
      <c r="AA1137" s="538"/>
      <c r="AB1137" s="343"/>
      <c r="AC1137" s="343"/>
      <c r="AE1137" s="343"/>
      <c r="AF1137" s="538"/>
      <c r="AG1137" s="343"/>
      <c r="AH1137" s="343"/>
      <c r="AI1137" s="538"/>
      <c r="AJ1137" s="343"/>
      <c r="AK1137" s="343"/>
      <c r="AL1137" s="538"/>
      <c r="AM1137" s="343"/>
      <c r="AN1137" s="343"/>
      <c r="AO1137" s="538"/>
      <c r="AP1137" s="343"/>
      <c r="AQ1137" s="343"/>
      <c r="AS1137" s="343"/>
      <c r="AT1137" s="538"/>
      <c r="AU1137" s="343"/>
      <c r="AV1137" s="343"/>
      <c r="AW1137" s="538"/>
      <c r="AX1137" s="343"/>
      <c r="AY1137" s="343"/>
      <c r="AZ1137" s="538"/>
      <c r="BA1137" s="343"/>
      <c r="BB1137" s="343"/>
      <c r="BC1137" s="538"/>
      <c r="BD1137" s="343"/>
      <c r="BE1137" s="343"/>
      <c r="BG1137" s="644"/>
      <c r="BH1137" s="515"/>
      <c r="BI1137" s="515"/>
      <c r="BJ1137" s="644"/>
      <c r="BK1137" s="515"/>
      <c r="BL1137" s="515"/>
      <c r="BM1137" s="644"/>
      <c r="BN1137" s="515"/>
      <c r="BO1137" s="515"/>
      <c r="BP1137" s="644"/>
      <c r="BQ1137" s="515"/>
      <c r="BR1137" s="515"/>
    </row>
    <row r="1138" spans="4:70" x14ac:dyDescent="0.25">
      <c r="D1138" s="538"/>
      <c r="G1138" s="538"/>
      <c r="J1138" s="538"/>
      <c r="M1138" s="538"/>
      <c r="R1138" s="538"/>
      <c r="S1138" s="343"/>
      <c r="T1138" s="343"/>
      <c r="U1138" s="538"/>
      <c r="V1138" s="343"/>
      <c r="W1138" s="343"/>
      <c r="X1138" s="538"/>
      <c r="Y1138" s="343"/>
      <c r="Z1138" s="343"/>
      <c r="AA1138" s="538"/>
      <c r="AB1138" s="343"/>
      <c r="AC1138" s="343"/>
      <c r="AE1138" s="343"/>
      <c r="AF1138" s="538"/>
      <c r="AG1138" s="343"/>
      <c r="AH1138" s="343"/>
      <c r="AI1138" s="538"/>
      <c r="AJ1138" s="343"/>
      <c r="AK1138" s="343"/>
      <c r="AL1138" s="538"/>
      <c r="AM1138" s="343"/>
      <c r="AN1138" s="343"/>
      <c r="AO1138" s="538"/>
      <c r="AP1138" s="343"/>
      <c r="AQ1138" s="343"/>
      <c r="AS1138" s="343"/>
      <c r="AT1138" s="538"/>
      <c r="AU1138" s="343"/>
      <c r="AV1138" s="343"/>
      <c r="AW1138" s="538"/>
      <c r="AX1138" s="343"/>
      <c r="AY1138" s="343"/>
      <c r="AZ1138" s="538"/>
      <c r="BA1138" s="343"/>
      <c r="BB1138" s="343"/>
      <c r="BC1138" s="538"/>
      <c r="BD1138" s="343"/>
      <c r="BE1138" s="343"/>
      <c r="BG1138" s="644"/>
      <c r="BH1138" s="515"/>
      <c r="BI1138" s="515"/>
      <c r="BJ1138" s="644"/>
      <c r="BK1138" s="515"/>
      <c r="BL1138" s="515"/>
      <c r="BM1138" s="644"/>
      <c r="BN1138" s="515"/>
      <c r="BO1138" s="515"/>
      <c r="BP1138" s="644"/>
      <c r="BQ1138" s="515"/>
      <c r="BR1138" s="515"/>
    </row>
    <row r="1139" spans="4:70" x14ac:dyDescent="0.25">
      <c r="D1139" s="538"/>
      <c r="G1139" s="538"/>
      <c r="J1139" s="538"/>
      <c r="M1139" s="538"/>
      <c r="R1139" s="538"/>
      <c r="S1139" s="343"/>
      <c r="T1139" s="343"/>
      <c r="U1139" s="538"/>
      <c r="V1139" s="343"/>
      <c r="W1139" s="343"/>
      <c r="X1139" s="538"/>
      <c r="Y1139" s="343"/>
      <c r="Z1139" s="343"/>
      <c r="AA1139" s="538"/>
      <c r="AB1139" s="343"/>
      <c r="AC1139" s="343"/>
      <c r="AE1139" s="343"/>
      <c r="AF1139" s="538"/>
      <c r="AG1139" s="343"/>
      <c r="AH1139" s="343"/>
      <c r="AI1139" s="538"/>
      <c r="AJ1139" s="343"/>
      <c r="AK1139" s="343"/>
      <c r="AL1139" s="538"/>
      <c r="AM1139" s="343"/>
      <c r="AN1139" s="343"/>
      <c r="AO1139" s="538"/>
      <c r="AP1139" s="343"/>
      <c r="AQ1139" s="343"/>
      <c r="AS1139" s="343"/>
      <c r="AT1139" s="538"/>
      <c r="AU1139" s="343"/>
      <c r="AV1139" s="343"/>
      <c r="AW1139" s="538"/>
      <c r="AX1139" s="343"/>
      <c r="AY1139" s="343"/>
      <c r="AZ1139" s="538"/>
      <c r="BA1139" s="343"/>
      <c r="BB1139" s="343"/>
      <c r="BC1139" s="538"/>
      <c r="BD1139" s="343"/>
      <c r="BE1139" s="343"/>
      <c r="BG1139" s="644"/>
      <c r="BH1139" s="515"/>
      <c r="BI1139" s="515"/>
      <c r="BJ1139" s="644"/>
      <c r="BK1139" s="515"/>
      <c r="BL1139" s="515"/>
      <c r="BM1139" s="644"/>
      <c r="BN1139" s="515"/>
      <c r="BO1139" s="515"/>
      <c r="BP1139" s="644"/>
      <c r="BQ1139" s="515"/>
      <c r="BR1139" s="515"/>
    </row>
    <row r="1140" spans="4:70" x14ac:dyDescent="0.25">
      <c r="D1140" s="538"/>
      <c r="G1140" s="538"/>
      <c r="J1140" s="538"/>
      <c r="M1140" s="538"/>
      <c r="R1140" s="538"/>
      <c r="S1140" s="343"/>
      <c r="T1140" s="343"/>
      <c r="U1140" s="538"/>
      <c r="V1140" s="343"/>
      <c r="W1140" s="343"/>
      <c r="X1140" s="538"/>
      <c r="Y1140" s="343"/>
      <c r="Z1140" s="343"/>
      <c r="AA1140" s="538"/>
      <c r="AB1140" s="343"/>
      <c r="AC1140" s="343"/>
      <c r="AE1140" s="343"/>
      <c r="AF1140" s="538"/>
      <c r="AG1140" s="343"/>
      <c r="AH1140" s="343"/>
      <c r="AI1140" s="538"/>
      <c r="AJ1140" s="343"/>
      <c r="AK1140" s="343"/>
      <c r="AL1140" s="538"/>
      <c r="AM1140" s="343"/>
      <c r="AN1140" s="343"/>
      <c r="AO1140" s="538"/>
      <c r="AP1140" s="343"/>
      <c r="AQ1140" s="343"/>
      <c r="AS1140" s="343"/>
      <c r="AT1140" s="538"/>
      <c r="AU1140" s="343"/>
      <c r="AV1140" s="343"/>
      <c r="AW1140" s="538"/>
      <c r="AX1140" s="343"/>
      <c r="AY1140" s="343"/>
      <c r="AZ1140" s="538"/>
      <c r="BA1140" s="343"/>
      <c r="BB1140" s="343"/>
      <c r="BC1140" s="538"/>
      <c r="BD1140" s="343"/>
      <c r="BE1140" s="343"/>
      <c r="BG1140" s="644"/>
      <c r="BH1140" s="515"/>
      <c r="BI1140" s="515"/>
      <c r="BJ1140" s="644"/>
      <c r="BK1140" s="515"/>
      <c r="BL1140" s="515"/>
      <c r="BM1140" s="644"/>
      <c r="BN1140" s="515"/>
      <c r="BO1140" s="515"/>
      <c r="BP1140" s="644"/>
      <c r="BQ1140" s="515"/>
      <c r="BR1140" s="515"/>
    </row>
    <row r="1141" spans="4:70" x14ac:dyDescent="0.25">
      <c r="D1141" s="538"/>
      <c r="G1141" s="538"/>
      <c r="J1141" s="538"/>
      <c r="M1141" s="538"/>
      <c r="R1141" s="538"/>
      <c r="S1141" s="343"/>
      <c r="T1141" s="343"/>
      <c r="U1141" s="538"/>
      <c r="V1141" s="343"/>
      <c r="W1141" s="343"/>
      <c r="X1141" s="538"/>
      <c r="Y1141" s="343"/>
      <c r="Z1141" s="343"/>
      <c r="AA1141" s="538"/>
      <c r="AB1141" s="343"/>
      <c r="AC1141" s="343"/>
      <c r="AE1141" s="343"/>
      <c r="AF1141" s="538"/>
      <c r="AG1141" s="343"/>
      <c r="AH1141" s="343"/>
      <c r="AI1141" s="538"/>
      <c r="AJ1141" s="343"/>
      <c r="AK1141" s="343"/>
      <c r="AL1141" s="538"/>
      <c r="AM1141" s="343"/>
      <c r="AN1141" s="343"/>
      <c r="AO1141" s="538"/>
      <c r="AP1141" s="343"/>
      <c r="AQ1141" s="343"/>
      <c r="AS1141" s="343"/>
      <c r="AT1141" s="538"/>
      <c r="AU1141" s="343"/>
      <c r="AV1141" s="343"/>
      <c r="AW1141" s="538"/>
      <c r="AX1141" s="343"/>
      <c r="AY1141" s="343"/>
      <c r="AZ1141" s="538"/>
      <c r="BA1141" s="343"/>
      <c r="BB1141" s="343"/>
      <c r="BC1141" s="538"/>
      <c r="BD1141" s="343"/>
      <c r="BE1141" s="343"/>
      <c r="BG1141" s="644"/>
      <c r="BH1141" s="515"/>
      <c r="BI1141" s="515"/>
      <c r="BJ1141" s="644"/>
      <c r="BK1141" s="515"/>
      <c r="BL1141" s="515"/>
      <c r="BM1141" s="644"/>
      <c r="BN1141" s="515"/>
      <c r="BO1141" s="515"/>
      <c r="BP1141" s="644"/>
      <c r="BQ1141" s="515"/>
      <c r="BR1141" s="515"/>
    </row>
    <row r="1142" spans="4:70" x14ac:dyDescent="0.25">
      <c r="D1142" s="538"/>
      <c r="G1142" s="538"/>
      <c r="J1142" s="538"/>
      <c r="M1142" s="538"/>
      <c r="R1142" s="538"/>
      <c r="S1142" s="343"/>
      <c r="T1142" s="343"/>
      <c r="U1142" s="538"/>
      <c r="V1142" s="343"/>
      <c r="W1142" s="343"/>
      <c r="X1142" s="538"/>
      <c r="Y1142" s="343"/>
      <c r="Z1142" s="343"/>
      <c r="AA1142" s="538"/>
      <c r="AB1142" s="343"/>
      <c r="AC1142" s="343"/>
      <c r="AE1142" s="343"/>
      <c r="AF1142" s="538"/>
      <c r="AG1142" s="343"/>
      <c r="AH1142" s="343"/>
      <c r="AI1142" s="538"/>
      <c r="AJ1142" s="343"/>
      <c r="AK1142" s="343"/>
      <c r="AL1142" s="538"/>
      <c r="AM1142" s="343"/>
      <c r="AN1142" s="343"/>
      <c r="AO1142" s="538"/>
      <c r="AP1142" s="343"/>
      <c r="AQ1142" s="343"/>
      <c r="AS1142" s="343"/>
      <c r="AT1142" s="538"/>
      <c r="AU1142" s="343"/>
      <c r="AV1142" s="343"/>
      <c r="AW1142" s="538"/>
      <c r="AX1142" s="343"/>
      <c r="AY1142" s="343"/>
      <c r="AZ1142" s="538"/>
      <c r="BA1142" s="343"/>
      <c r="BB1142" s="343"/>
      <c r="BC1142" s="538"/>
      <c r="BD1142" s="343"/>
      <c r="BE1142" s="343"/>
      <c r="BG1142" s="644"/>
      <c r="BH1142" s="515"/>
      <c r="BI1142" s="515"/>
      <c r="BJ1142" s="644"/>
      <c r="BK1142" s="515"/>
      <c r="BL1142" s="515"/>
      <c r="BM1142" s="644"/>
      <c r="BN1142" s="515"/>
      <c r="BO1142" s="515"/>
      <c r="BP1142" s="644"/>
      <c r="BQ1142" s="515"/>
      <c r="BR1142" s="515"/>
    </row>
    <row r="1143" spans="4:70" x14ac:dyDescent="0.25">
      <c r="D1143" s="538"/>
      <c r="G1143" s="538"/>
      <c r="J1143" s="538"/>
      <c r="M1143" s="538"/>
      <c r="R1143" s="538"/>
      <c r="S1143" s="343"/>
      <c r="T1143" s="343"/>
      <c r="U1143" s="538"/>
      <c r="V1143" s="343"/>
      <c r="W1143" s="343"/>
      <c r="X1143" s="538"/>
      <c r="Y1143" s="343"/>
      <c r="Z1143" s="343"/>
      <c r="AA1143" s="538"/>
      <c r="AB1143" s="343"/>
      <c r="AC1143" s="343"/>
      <c r="AE1143" s="343"/>
      <c r="AF1143" s="538"/>
      <c r="AG1143" s="343"/>
      <c r="AH1143" s="343"/>
      <c r="AI1143" s="538"/>
      <c r="AJ1143" s="343"/>
      <c r="AK1143" s="343"/>
      <c r="AL1143" s="538"/>
      <c r="AM1143" s="343"/>
      <c r="AN1143" s="343"/>
      <c r="AO1143" s="538"/>
      <c r="AP1143" s="343"/>
      <c r="AQ1143" s="343"/>
      <c r="AS1143" s="343"/>
      <c r="AT1143" s="538"/>
      <c r="AU1143" s="343"/>
      <c r="AV1143" s="343"/>
      <c r="AW1143" s="538"/>
      <c r="AX1143" s="343"/>
      <c r="AY1143" s="343"/>
      <c r="AZ1143" s="538"/>
      <c r="BA1143" s="343"/>
      <c r="BB1143" s="343"/>
      <c r="BC1143" s="538"/>
      <c r="BD1143" s="343"/>
      <c r="BE1143" s="343"/>
      <c r="BG1143" s="644"/>
      <c r="BH1143" s="515"/>
      <c r="BI1143" s="515"/>
      <c r="BJ1143" s="644"/>
      <c r="BK1143" s="515"/>
      <c r="BL1143" s="515"/>
      <c r="BM1143" s="644"/>
      <c r="BN1143" s="515"/>
      <c r="BO1143" s="515"/>
      <c r="BP1143" s="644"/>
      <c r="BQ1143" s="515"/>
      <c r="BR1143" s="515"/>
    </row>
    <row r="1144" spans="4:70" x14ac:dyDescent="0.25">
      <c r="D1144" s="538"/>
      <c r="G1144" s="538"/>
      <c r="J1144" s="538"/>
      <c r="M1144" s="538"/>
      <c r="R1144" s="538"/>
      <c r="S1144" s="343"/>
      <c r="T1144" s="343"/>
      <c r="U1144" s="538"/>
      <c r="V1144" s="343"/>
      <c r="W1144" s="343"/>
      <c r="X1144" s="538"/>
      <c r="Y1144" s="343"/>
      <c r="Z1144" s="343"/>
      <c r="AA1144" s="538"/>
      <c r="AB1144" s="343"/>
      <c r="AC1144" s="343"/>
      <c r="AE1144" s="343"/>
      <c r="AF1144" s="538"/>
      <c r="AG1144" s="343"/>
      <c r="AH1144" s="343"/>
      <c r="AI1144" s="538"/>
      <c r="AJ1144" s="343"/>
      <c r="AK1144" s="343"/>
      <c r="AL1144" s="538"/>
      <c r="AM1144" s="343"/>
      <c r="AN1144" s="343"/>
      <c r="AO1144" s="538"/>
      <c r="AP1144" s="343"/>
      <c r="AQ1144" s="343"/>
      <c r="AS1144" s="343"/>
      <c r="AT1144" s="538"/>
      <c r="AU1144" s="343"/>
      <c r="AV1144" s="343"/>
      <c r="AW1144" s="538"/>
      <c r="AX1144" s="343"/>
      <c r="AY1144" s="343"/>
      <c r="AZ1144" s="538"/>
      <c r="BA1144" s="343"/>
      <c r="BB1144" s="343"/>
      <c r="BC1144" s="538"/>
      <c r="BD1144" s="343"/>
      <c r="BE1144" s="343"/>
      <c r="BG1144" s="644"/>
      <c r="BH1144" s="515"/>
      <c r="BI1144" s="515"/>
      <c r="BJ1144" s="644"/>
      <c r="BK1144" s="515"/>
      <c r="BL1144" s="515"/>
      <c r="BM1144" s="644"/>
      <c r="BN1144" s="515"/>
      <c r="BO1144" s="515"/>
      <c r="BP1144" s="644"/>
      <c r="BQ1144" s="515"/>
      <c r="BR1144" s="515"/>
    </row>
    <row r="1145" spans="4:70" x14ac:dyDescent="0.25">
      <c r="D1145" s="538"/>
      <c r="G1145" s="538"/>
      <c r="J1145" s="538"/>
      <c r="M1145" s="538"/>
      <c r="R1145" s="538"/>
      <c r="S1145" s="343"/>
      <c r="T1145" s="343"/>
      <c r="U1145" s="538"/>
      <c r="V1145" s="343"/>
      <c r="W1145" s="343"/>
      <c r="X1145" s="538"/>
      <c r="Y1145" s="343"/>
      <c r="Z1145" s="343"/>
      <c r="AA1145" s="538"/>
      <c r="AB1145" s="343"/>
      <c r="AC1145" s="343"/>
      <c r="AE1145" s="343"/>
      <c r="AF1145" s="538"/>
      <c r="AG1145" s="343"/>
      <c r="AH1145" s="343"/>
      <c r="AI1145" s="538"/>
      <c r="AJ1145" s="343"/>
      <c r="AK1145" s="343"/>
      <c r="AL1145" s="538"/>
      <c r="AM1145" s="343"/>
      <c r="AN1145" s="343"/>
      <c r="AO1145" s="538"/>
      <c r="AP1145" s="343"/>
      <c r="AQ1145" s="343"/>
      <c r="AS1145" s="343"/>
      <c r="AT1145" s="538"/>
      <c r="AU1145" s="343"/>
      <c r="AV1145" s="343"/>
      <c r="AW1145" s="538"/>
      <c r="AX1145" s="343"/>
      <c r="AY1145" s="343"/>
      <c r="AZ1145" s="538"/>
      <c r="BA1145" s="343"/>
      <c r="BB1145" s="343"/>
      <c r="BC1145" s="538"/>
      <c r="BD1145" s="343"/>
      <c r="BE1145" s="343"/>
      <c r="BG1145" s="644"/>
      <c r="BH1145" s="515"/>
      <c r="BI1145" s="515"/>
      <c r="BJ1145" s="644"/>
      <c r="BK1145" s="515"/>
      <c r="BL1145" s="515"/>
      <c r="BM1145" s="644"/>
      <c r="BN1145" s="515"/>
      <c r="BO1145" s="515"/>
      <c r="BP1145" s="644"/>
      <c r="BQ1145" s="515"/>
      <c r="BR1145" s="515"/>
    </row>
    <row r="1146" spans="4:70" x14ac:dyDescent="0.25">
      <c r="D1146" s="538"/>
      <c r="G1146" s="538"/>
      <c r="J1146" s="538"/>
      <c r="M1146" s="538"/>
      <c r="R1146" s="538"/>
      <c r="S1146" s="343"/>
      <c r="T1146" s="343"/>
      <c r="U1146" s="538"/>
      <c r="V1146" s="343"/>
      <c r="W1146" s="343"/>
      <c r="X1146" s="538"/>
      <c r="Y1146" s="343"/>
      <c r="Z1146" s="343"/>
      <c r="AA1146" s="538"/>
      <c r="AB1146" s="343"/>
      <c r="AC1146" s="343"/>
      <c r="AE1146" s="343"/>
      <c r="AF1146" s="538"/>
      <c r="AG1146" s="343"/>
      <c r="AH1146" s="343"/>
      <c r="AI1146" s="538"/>
      <c r="AJ1146" s="343"/>
      <c r="AK1146" s="343"/>
      <c r="AL1146" s="538"/>
      <c r="AM1146" s="343"/>
      <c r="AN1146" s="343"/>
      <c r="AO1146" s="538"/>
      <c r="AP1146" s="343"/>
      <c r="AQ1146" s="343"/>
      <c r="AS1146" s="343"/>
      <c r="AT1146" s="538"/>
      <c r="AU1146" s="343"/>
      <c r="AV1146" s="343"/>
      <c r="AW1146" s="538"/>
      <c r="AX1146" s="343"/>
      <c r="AY1146" s="343"/>
      <c r="AZ1146" s="538"/>
      <c r="BA1146" s="343"/>
      <c r="BB1146" s="343"/>
      <c r="BC1146" s="538"/>
      <c r="BD1146" s="343"/>
      <c r="BE1146" s="343"/>
      <c r="BG1146" s="644"/>
      <c r="BH1146" s="515"/>
      <c r="BI1146" s="515"/>
      <c r="BJ1146" s="644"/>
      <c r="BK1146" s="515"/>
      <c r="BL1146" s="515"/>
      <c r="BM1146" s="644"/>
      <c r="BN1146" s="515"/>
      <c r="BO1146" s="515"/>
      <c r="BP1146" s="644"/>
      <c r="BQ1146" s="515"/>
      <c r="BR1146" s="515"/>
    </row>
    <row r="1147" spans="4:70" x14ac:dyDescent="0.25">
      <c r="D1147" s="538"/>
      <c r="G1147" s="538"/>
      <c r="J1147" s="538"/>
      <c r="M1147" s="538"/>
      <c r="R1147" s="538"/>
      <c r="S1147" s="343"/>
      <c r="T1147" s="343"/>
      <c r="U1147" s="538"/>
      <c r="V1147" s="343"/>
      <c r="W1147" s="343"/>
      <c r="X1147" s="538"/>
      <c r="Y1147" s="343"/>
      <c r="Z1147" s="343"/>
      <c r="AA1147" s="538"/>
      <c r="AB1147" s="343"/>
      <c r="AC1147" s="343"/>
      <c r="AE1147" s="343"/>
      <c r="AF1147" s="538"/>
      <c r="AG1147" s="343"/>
      <c r="AH1147" s="343"/>
      <c r="AI1147" s="538"/>
      <c r="AJ1147" s="343"/>
      <c r="AK1147" s="343"/>
      <c r="AL1147" s="538"/>
      <c r="AM1147" s="343"/>
      <c r="AN1147" s="343"/>
      <c r="AO1147" s="538"/>
      <c r="AP1147" s="343"/>
      <c r="AQ1147" s="343"/>
      <c r="AS1147" s="343"/>
      <c r="AT1147" s="538"/>
      <c r="AU1147" s="343"/>
      <c r="AV1147" s="343"/>
      <c r="AW1147" s="538"/>
      <c r="AX1147" s="343"/>
      <c r="AY1147" s="343"/>
      <c r="AZ1147" s="538"/>
      <c r="BA1147" s="343"/>
      <c r="BB1147" s="343"/>
      <c r="BC1147" s="538"/>
      <c r="BD1147" s="343"/>
      <c r="BE1147" s="343"/>
      <c r="BG1147" s="644"/>
      <c r="BH1147" s="515"/>
      <c r="BI1147" s="515"/>
      <c r="BJ1147" s="644"/>
      <c r="BK1147" s="515"/>
      <c r="BL1147" s="515"/>
      <c r="BM1147" s="644"/>
      <c r="BN1147" s="515"/>
      <c r="BO1147" s="515"/>
      <c r="BP1147" s="644"/>
      <c r="BQ1147" s="515"/>
      <c r="BR1147" s="515"/>
    </row>
    <row r="1148" spans="4:70" x14ac:dyDescent="0.25">
      <c r="D1148" s="538"/>
      <c r="G1148" s="538"/>
      <c r="J1148" s="538"/>
      <c r="M1148" s="538"/>
      <c r="R1148" s="538"/>
      <c r="S1148" s="343"/>
      <c r="T1148" s="343"/>
      <c r="U1148" s="538"/>
      <c r="V1148" s="343"/>
      <c r="W1148" s="343"/>
      <c r="X1148" s="538"/>
      <c r="Y1148" s="343"/>
      <c r="Z1148" s="343"/>
      <c r="AA1148" s="538"/>
      <c r="AB1148" s="343"/>
      <c r="AC1148" s="343"/>
      <c r="AE1148" s="343"/>
      <c r="AF1148" s="538"/>
      <c r="AG1148" s="343"/>
      <c r="AH1148" s="343"/>
      <c r="AI1148" s="538"/>
      <c r="AJ1148" s="343"/>
      <c r="AK1148" s="343"/>
      <c r="AL1148" s="538"/>
      <c r="AM1148" s="343"/>
      <c r="AN1148" s="343"/>
      <c r="AO1148" s="538"/>
      <c r="AP1148" s="343"/>
      <c r="AQ1148" s="343"/>
      <c r="AS1148" s="343"/>
      <c r="AT1148" s="538"/>
      <c r="AU1148" s="343"/>
      <c r="AV1148" s="343"/>
      <c r="AW1148" s="538"/>
      <c r="AX1148" s="343"/>
      <c r="AY1148" s="343"/>
      <c r="AZ1148" s="538"/>
      <c r="BA1148" s="343"/>
      <c r="BB1148" s="343"/>
      <c r="BC1148" s="538"/>
      <c r="BD1148" s="343"/>
      <c r="BE1148" s="343"/>
      <c r="BG1148" s="644"/>
      <c r="BH1148" s="515"/>
      <c r="BI1148" s="515"/>
      <c r="BJ1148" s="644"/>
      <c r="BK1148" s="515"/>
      <c r="BL1148" s="515"/>
      <c r="BM1148" s="644"/>
      <c r="BN1148" s="515"/>
      <c r="BO1148" s="515"/>
      <c r="BP1148" s="644"/>
      <c r="BQ1148" s="515"/>
      <c r="BR1148" s="515"/>
    </row>
    <row r="1149" spans="4:70" x14ac:dyDescent="0.25">
      <c r="D1149" s="538"/>
      <c r="G1149" s="538"/>
      <c r="J1149" s="538"/>
      <c r="M1149" s="538"/>
      <c r="R1149" s="538"/>
      <c r="S1149" s="343"/>
      <c r="T1149" s="343"/>
      <c r="U1149" s="538"/>
      <c r="V1149" s="343"/>
      <c r="W1149" s="343"/>
      <c r="X1149" s="538"/>
      <c r="Y1149" s="343"/>
      <c r="Z1149" s="343"/>
      <c r="AA1149" s="538"/>
      <c r="AB1149" s="343"/>
      <c r="AC1149" s="343"/>
      <c r="AE1149" s="343"/>
      <c r="AF1149" s="538"/>
      <c r="AG1149" s="343"/>
      <c r="AH1149" s="343"/>
      <c r="AI1149" s="538"/>
      <c r="AJ1149" s="343"/>
      <c r="AK1149" s="343"/>
      <c r="AL1149" s="538"/>
      <c r="AM1149" s="343"/>
      <c r="AN1149" s="343"/>
      <c r="AO1149" s="538"/>
      <c r="AP1149" s="343"/>
      <c r="AQ1149" s="343"/>
      <c r="AS1149" s="343"/>
      <c r="AT1149" s="538"/>
      <c r="AU1149" s="343"/>
      <c r="AV1149" s="343"/>
      <c r="AW1149" s="538"/>
      <c r="AX1149" s="343"/>
      <c r="AY1149" s="343"/>
      <c r="AZ1149" s="538"/>
      <c r="BA1149" s="343"/>
      <c r="BB1149" s="343"/>
      <c r="BC1149" s="538"/>
      <c r="BD1149" s="343"/>
      <c r="BE1149" s="343"/>
      <c r="BG1149" s="644"/>
      <c r="BH1149" s="515"/>
      <c r="BI1149" s="515"/>
      <c r="BJ1149" s="644"/>
      <c r="BK1149" s="515"/>
      <c r="BL1149" s="515"/>
      <c r="BM1149" s="644"/>
      <c r="BN1149" s="515"/>
      <c r="BO1149" s="515"/>
      <c r="BP1149" s="644"/>
      <c r="BQ1149" s="515"/>
      <c r="BR1149" s="515"/>
    </row>
    <row r="1150" spans="4:70" x14ac:dyDescent="0.25">
      <c r="D1150" s="538"/>
      <c r="G1150" s="538"/>
      <c r="J1150" s="538"/>
      <c r="M1150" s="538"/>
      <c r="R1150" s="538"/>
      <c r="S1150" s="343"/>
      <c r="T1150" s="343"/>
      <c r="U1150" s="538"/>
      <c r="V1150" s="343"/>
      <c r="W1150" s="343"/>
      <c r="X1150" s="538"/>
      <c r="Y1150" s="343"/>
      <c r="Z1150" s="343"/>
      <c r="AA1150" s="538"/>
      <c r="AB1150" s="343"/>
      <c r="AC1150" s="343"/>
      <c r="AE1150" s="343"/>
      <c r="AF1150" s="538"/>
      <c r="AG1150" s="343"/>
      <c r="AH1150" s="343"/>
      <c r="AI1150" s="538"/>
      <c r="AJ1150" s="343"/>
      <c r="AK1150" s="343"/>
      <c r="AL1150" s="538"/>
      <c r="AM1150" s="343"/>
      <c r="AN1150" s="343"/>
      <c r="AO1150" s="538"/>
      <c r="AP1150" s="343"/>
      <c r="AQ1150" s="343"/>
      <c r="AS1150" s="343"/>
      <c r="AT1150" s="538"/>
      <c r="AU1150" s="343"/>
      <c r="AV1150" s="343"/>
      <c r="AW1150" s="538"/>
      <c r="AX1150" s="343"/>
      <c r="AY1150" s="343"/>
      <c r="AZ1150" s="538"/>
      <c r="BA1150" s="343"/>
      <c r="BB1150" s="343"/>
      <c r="BC1150" s="538"/>
      <c r="BD1150" s="343"/>
      <c r="BE1150" s="343"/>
      <c r="BG1150" s="644"/>
      <c r="BH1150" s="515"/>
      <c r="BI1150" s="515"/>
      <c r="BJ1150" s="644"/>
      <c r="BK1150" s="515"/>
      <c r="BL1150" s="515"/>
      <c r="BM1150" s="644"/>
      <c r="BN1150" s="515"/>
      <c r="BO1150" s="515"/>
      <c r="BP1150" s="644"/>
      <c r="BQ1150" s="515"/>
      <c r="BR1150" s="515"/>
    </row>
    <row r="1151" spans="4:70" x14ac:dyDescent="0.25">
      <c r="D1151" s="538"/>
      <c r="G1151" s="538"/>
      <c r="J1151" s="538"/>
      <c r="M1151" s="538"/>
      <c r="R1151" s="538"/>
      <c r="S1151" s="343"/>
      <c r="T1151" s="343"/>
      <c r="U1151" s="538"/>
      <c r="V1151" s="343"/>
      <c r="W1151" s="343"/>
      <c r="X1151" s="538"/>
      <c r="Y1151" s="343"/>
      <c r="Z1151" s="343"/>
      <c r="AA1151" s="538"/>
      <c r="AB1151" s="343"/>
      <c r="AC1151" s="343"/>
      <c r="AE1151" s="343"/>
      <c r="AF1151" s="538"/>
      <c r="AG1151" s="343"/>
      <c r="AH1151" s="343"/>
      <c r="AI1151" s="538"/>
      <c r="AJ1151" s="343"/>
      <c r="AK1151" s="343"/>
      <c r="AL1151" s="538"/>
      <c r="AM1151" s="343"/>
      <c r="AN1151" s="343"/>
      <c r="AO1151" s="538"/>
      <c r="AP1151" s="343"/>
      <c r="AQ1151" s="343"/>
      <c r="AS1151" s="343"/>
      <c r="AT1151" s="538"/>
      <c r="AU1151" s="343"/>
      <c r="AV1151" s="343"/>
      <c r="AW1151" s="538"/>
      <c r="AX1151" s="343"/>
      <c r="AY1151" s="343"/>
      <c r="AZ1151" s="538"/>
      <c r="BA1151" s="343"/>
      <c r="BB1151" s="343"/>
      <c r="BC1151" s="538"/>
      <c r="BD1151" s="343"/>
      <c r="BE1151" s="343"/>
      <c r="BG1151" s="644"/>
      <c r="BH1151" s="515"/>
      <c r="BI1151" s="515"/>
      <c r="BJ1151" s="644"/>
      <c r="BK1151" s="515"/>
      <c r="BL1151" s="515"/>
      <c r="BM1151" s="644"/>
      <c r="BN1151" s="515"/>
      <c r="BO1151" s="515"/>
      <c r="BP1151" s="644"/>
      <c r="BQ1151" s="515"/>
      <c r="BR1151" s="515"/>
    </row>
    <row r="1152" spans="4:70" x14ac:dyDescent="0.25">
      <c r="D1152" s="538"/>
      <c r="G1152" s="538"/>
      <c r="J1152" s="538"/>
      <c r="M1152" s="538"/>
      <c r="R1152" s="538"/>
      <c r="S1152" s="343"/>
      <c r="T1152" s="343"/>
      <c r="U1152" s="538"/>
      <c r="V1152" s="343"/>
      <c r="W1152" s="343"/>
      <c r="X1152" s="538"/>
      <c r="Y1152" s="343"/>
      <c r="Z1152" s="343"/>
      <c r="AA1152" s="538"/>
      <c r="AB1152" s="343"/>
      <c r="AC1152" s="343"/>
      <c r="AE1152" s="343"/>
      <c r="AF1152" s="538"/>
      <c r="AG1152" s="343"/>
      <c r="AH1152" s="343"/>
      <c r="AI1152" s="538"/>
      <c r="AJ1152" s="343"/>
      <c r="AK1152" s="343"/>
      <c r="AL1152" s="538"/>
      <c r="AM1152" s="343"/>
      <c r="AN1152" s="343"/>
      <c r="AO1152" s="538"/>
      <c r="AP1152" s="343"/>
      <c r="AQ1152" s="343"/>
      <c r="AS1152" s="343"/>
      <c r="AT1152" s="538"/>
      <c r="AU1152" s="343"/>
      <c r="AV1152" s="343"/>
      <c r="AW1152" s="538"/>
      <c r="AX1152" s="343"/>
      <c r="AY1152" s="343"/>
      <c r="AZ1152" s="538"/>
      <c r="BA1152" s="343"/>
      <c r="BB1152" s="343"/>
      <c r="BC1152" s="538"/>
      <c r="BD1152" s="343"/>
      <c r="BE1152" s="343"/>
      <c r="BG1152" s="644"/>
      <c r="BH1152" s="515"/>
      <c r="BI1152" s="515"/>
      <c r="BJ1152" s="644"/>
      <c r="BK1152" s="515"/>
      <c r="BL1152" s="515"/>
      <c r="BM1152" s="644"/>
      <c r="BN1152" s="515"/>
      <c r="BO1152" s="515"/>
      <c r="BP1152" s="644"/>
      <c r="BQ1152" s="515"/>
      <c r="BR1152" s="515"/>
    </row>
    <row r="1153" spans="4:70" x14ac:dyDescent="0.25">
      <c r="D1153" s="538"/>
      <c r="G1153" s="538"/>
      <c r="J1153" s="538"/>
      <c r="M1153" s="538"/>
      <c r="R1153" s="538"/>
      <c r="S1153" s="343"/>
      <c r="T1153" s="343"/>
      <c r="U1153" s="538"/>
      <c r="V1153" s="343"/>
      <c r="W1153" s="343"/>
      <c r="X1153" s="538"/>
      <c r="Y1153" s="343"/>
      <c r="Z1153" s="343"/>
      <c r="AA1153" s="538"/>
      <c r="AB1153" s="343"/>
      <c r="AC1153" s="343"/>
      <c r="AE1153" s="343"/>
      <c r="AF1153" s="538"/>
      <c r="AG1153" s="343"/>
      <c r="AH1153" s="343"/>
      <c r="AI1153" s="538"/>
      <c r="AJ1153" s="343"/>
      <c r="AK1153" s="343"/>
      <c r="AL1153" s="538"/>
      <c r="AM1153" s="343"/>
      <c r="AN1153" s="343"/>
      <c r="AO1153" s="538"/>
      <c r="AP1153" s="343"/>
      <c r="AQ1153" s="343"/>
      <c r="AS1153" s="343"/>
      <c r="AT1153" s="538"/>
      <c r="AU1153" s="343"/>
      <c r="AV1153" s="343"/>
      <c r="AW1153" s="538"/>
      <c r="AX1153" s="343"/>
      <c r="AY1153" s="343"/>
      <c r="AZ1153" s="538"/>
      <c r="BA1153" s="343"/>
      <c r="BB1153" s="343"/>
      <c r="BC1153" s="538"/>
      <c r="BD1153" s="343"/>
      <c r="BE1153" s="343"/>
      <c r="BG1153" s="644"/>
      <c r="BH1153" s="515"/>
      <c r="BI1153" s="515"/>
      <c r="BJ1153" s="644"/>
      <c r="BK1153" s="515"/>
      <c r="BL1153" s="515"/>
      <c r="BM1153" s="644"/>
      <c r="BN1153" s="515"/>
      <c r="BO1153" s="515"/>
      <c r="BP1153" s="644"/>
      <c r="BQ1153" s="515"/>
      <c r="BR1153" s="515"/>
    </row>
    <row r="1154" spans="4:70" x14ac:dyDescent="0.25">
      <c r="D1154" s="538"/>
      <c r="G1154" s="538"/>
      <c r="J1154" s="538"/>
      <c r="M1154" s="538"/>
      <c r="R1154" s="538"/>
      <c r="S1154" s="343"/>
      <c r="T1154" s="343"/>
      <c r="U1154" s="538"/>
      <c r="V1154" s="343"/>
      <c r="W1154" s="343"/>
      <c r="X1154" s="538"/>
      <c r="Y1154" s="343"/>
      <c r="Z1154" s="343"/>
      <c r="AA1154" s="538"/>
      <c r="AB1154" s="343"/>
      <c r="AC1154" s="343"/>
      <c r="AE1154" s="343"/>
      <c r="AF1154" s="538"/>
      <c r="AG1154" s="343"/>
      <c r="AH1154" s="343"/>
      <c r="AI1154" s="538"/>
      <c r="AJ1154" s="343"/>
      <c r="AK1154" s="343"/>
      <c r="AL1154" s="538"/>
      <c r="AM1154" s="343"/>
      <c r="AN1154" s="343"/>
      <c r="AO1154" s="538"/>
      <c r="AP1154" s="343"/>
      <c r="AQ1154" s="343"/>
      <c r="AS1154" s="343"/>
      <c r="AT1154" s="538"/>
      <c r="AU1154" s="343"/>
      <c r="AV1154" s="343"/>
      <c r="AW1154" s="538"/>
      <c r="AX1154" s="343"/>
      <c r="AY1154" s="343"/>
      <c r="AZ1154" s="538"/>
      <c r="BA1154" s="343"/>
      <c r="BB1154" s="343"/>
      <c r="BC1154" s="538"/>
      <c r="BD1154" s="343"/>
      <c r="BE1154" s="343"/>
      <c r="BG1154" s="644"/>
      <c r="BH1154" s="515"/>
      <c r="BI1154" s="515"/>
      <c r="BJ1154" s="644"/>
      <c r="BK1154" s="515"/>
      <c r="BL1154" s="515"/>
      <c r="BM1154" s="644"/>
      <c r="BN1154" s="515"/>
      <c r="BO1154" s="515"/>
      <c r="BP1154" s="644"/>
      <c r="BQ1154" s="515"/>
      <c r="BR1154" s="515"/>
    </row>
    <row r="1155" spans="4:70" x14ac:dyDescent="0.25">
      <c r="D1155" s="538"/>
      <c r="G1155" s="538"/>
      <c r="J1155" s="538"/>
      <c r="M1155" s="538"/>
      <c r="R1155" s="538"/>
      <c r="S1155" s="343"/>
      <c r="T1155" s="343"/>
      <c r="U1155" s="538"/>
      <c r="V1155" s="343"/>
      <c r="W1155" s="343"/>
      <c r="X1155" s="538"/>
      <c r="Y1155" s="343"/>
      <c r="Z1155" s="343"/>
      <c r="AA1155" s="538"/>
      <c r="AB1155" s="343"/>
      <c r="AC1155" s="343"/>
      <c r="AE1155" s="343"/>
      <c r="AF1155" s="538"/>
      <c r="AG1155" s="343"/>
      <c r="AH1155" s="343"/>
      <c r="AI1155" s="538"/>
      <c r="AJ1155" s="343"/>
      <c r="AK1155" s="343"/>
      <c r="AL1155" s="538"/>
      <c r="AM1155" s="343"/>
      <c r="AN1155" s="343"/>
      <c r="AO1155" s="538"/>
      <c r="AP1155" s="343"/>
      <c r="AQ1155" s="343"/>
      <c r="AS1155" s="343"/>
      <c r="AT1155" s="538"/>
      <c r="AU1155" s="343"/>
      <c r="AV1155" s="343"/>
      <c r="AW1155" s="538"/>
      <c r="AX1155" s="343"/>
      <c r="AY1155" s="343"/>
      <c r="AZ1155" s="538"/>
      <c r="BA1155" s="343"/>
      <c r="BB1155" s="343"/>
      <c r="BC1155" s="538"/>
      <c r="BD1155" s="343"/>
      <c r="BE1155" s="343"/>
      <c r="BG1155" s="644"/>
      <c r="BH1155" s="515"/>
      <c r="BI1155" s="515"/>
      <c r="BJ1155" s="644"/>
      <c r="BK1155" s="515"/>
      <c r="BL1155" s="515"/>
      <c r="BM1155" s="644"/>
      <c r="BN1155" s="515"/>
      <c r="BO1155" s="515"/>
      <c r="BP1155" s="644"/>
      <c r="BQ1155" s="515"/>
      <c r="BR1155" s="515"/>
    </row>
    <row r="1156" spans="4:70" x14ac:dyDescent="0.25">
      <c r="D1156" s="538"/>
      <c r="G1156" s="538"/>
      <c r="J1156" s="538"/>
      <c r="M1156" s="538"/>
      <c r="R1156" s="538"/>
      <c r="S1156" s="343"/>
      <c r="T1156" s="343"/>
      <c r="U1156" s="538"/>
      <c r="V1156" s="343"/>
      <c r="W1156" s="343"/>
      <c r="X1156" s="538"/>
      <c r="Y1156" s="343"/>
      <c r="Z1156" s="343"/>
      <c r="AA1156" s="538"/>
      <c r="AB1156" s="343"/>
      <c r="AC1156" s="343"/>
      <c r="AE1156" s="343"/>
      <c r="AF1156" s="538"/>
      <c r="AG1156" s="343"/>
      <c r="AH1156" s="343"/>
      <c r="AI1156" s="538"/>
      <c r="AJ1156" s="343"/>
      <c r="AK1156" s="343"/>
      <c r="AL1156" s="538"/>
      <c r="AM1156" s="343"/>
      <c r="AN1156" s="343"/>
      <c r="AO1156" s="538"/>
      <c r="AP1156" s="343"/>
      <c r="AQ1156" s="343"/>
      <c r="AS1156" s="343"/>
      <c r="AT1156" s="538"/>
      <c r="AU1156" s="343"/>
      <c r="AV1156" s="343"/>
      <c r="AW1156" s="538"/>
      <c r="AX1156" s="343"/>
      <c r="AY1156" s="343"/>
      <c r="AZ1156" s="538"/>
      <c r="BA1156" s="343"/>
      <c r="BB1156" s="343"/>
      <c r="BC1156" s="538"/>
      <c r="BD1156" s="343"/>
      <c r="BE1156" s="343"/>
      <c r="BG1156" s="644"/>
      <c r="BH1156" s="515"/>
      <c r="BI1156" s="515"/>
      <c r="BJ1156" s="644"/>
      <c r="BK1156" s="515"/>
      <c r="BL1156" s="515"/>
      <c r="BM1156" s="644"/>
      <c r="BN1156" s="515"/>
      <c r="BO1156" s="515"/>
      <c r="BP1156" s="644"/>
      <c r="BQ1156" s="515"/>
      <c r="BR1156" s="515"/>
    </row>
    <row r="1157" spans="4:70" x14ac:dyDescent="0.25">
      <c r="D1157" s="538"/>
      <c r="G1157" s="538"/>
      <c r="J1157" s="538"/>
      <c r="M1157" s="538"/>
      <c r="R1157" s="538"/>
      <c r="S1157" s="343"/>
      <c r="T1157" s="343"/>
      <c r="U1157" s="538"/>
      <c r="V1157" s="343"/>
      <c r="W1157" s="343"/>
      <c r="X1157" s="538"/>
      <c r="Y1157" s="343"/>
      <c r="Z1157" s="343"/>
      <c r="AA1157" s="538"/>
      <c r="AB1157" s="343"/>
      <c r="AC1157" s="343"/>
      <c r="AE1157" s="343"/>
      <c r="AF1157" s="538"/>
      <c r="AG1157" s="343"/>
      <c r="AH1157" s="343"/>
      <c r="AI1157" s="538"/>
      <c r="AJ1157" s="343"/>
      <c r="AK1157" s="343"/>
      <c r="AL1157" s="538"/>
      <c r="AM1157" s="343"/>
      <c r="AN1157" s="343"/>
      <c r="AO1157" s="538"/>
      <c r="AP1157" s="343"/>
      <c r="AQ1157" s="343"/>
      <c r="AS1157" s="343"/>
      <c r="AT1157" s="538"/>
      <c r="AU1157" s="343"/>
      <c r="AV1157" s="343"/>
      <c r="AW1157" s="538"/>
      <c r="AX1157" s="343"/>
      <c r="AY1157" s="343"/>
      <c r="AZ1157" s="538"/>
      <c r="BA1157" s="343"/>
      <c r="BB1157" s="343"/>
      <c r="BC1157" s="538"/>
      <c r="BD1157" s="343"/>
      <c r="BE1157" s="343"/>
      <c r="BG1157" s="644"/>
      <c r="BH1157" s="515"/>
      <c r="BI1157" s="515"/>
      <c r="BJ1157" s="644"/>
      <c r="BK1157" s="515"/>
      <c r="BL1157" s="515"/>
      <c r="BM1157" s="644"/>
      <c r="BN1157" s="515"/>
      <c r="BO1157" s="515"/>
      <c r="BP1157" s="644"/>
      <c r="BQ1157" s="515"/>
      <c r="BR1157" s="515"/>
    </row>
    <row r="1158" spans="4:70" x14ac:dyDescent="0.25">
      <c r="D1158" s="538"/>
      <c r="G1158" s="538"/>
      <c r="J1158" s="538"/>
      <c r="M1158" s="538"/>
      <c r="R1158" s="538"/>
      <c r="S1158" s="343"/>
      <c r="T1158" s="343"/>
      <c r="U1158" s="538"/>
      <c r="V1158" s="343"/>
      <c r="W1158" s="343"/>
      <c r="X1158" s="538"/>
      <c r="Y1158" s="343"/>
      <c r="Z1158" s="343"/>
      <c r="AA1158" s="538"/>
      <c r="AB1158" s="343"/>
      <c r="AC1158" s="343"/>
      <c r="AE1158" s="343"/>
      <c r="AF1158" s="538"/>
      <c r="AG1158" s="343"/>
      <c r="AH1158" s="343"/>
      <c r="AI1158" s="538"/>
      <c r="AJ1158" s="343"/>
      <c r="AK1158" s="343"/>
      <c r="AL1158" s="538"/>
      <c r="AM1158" s="343"/>
      <c r="AN1158" s="343"/>
      <c r="AO1158" s="538"/>
      <c r="AP1158" s="343"/>
      <c r="AQ1158" s="343"/>
      <c r="AS1158" s="343"/>
      <c r="AT1158" s="538"/>
      <c r="AU1158" s="343"/>
      <c r="AV1158" s="343"/>
      <c r="AW1158" s="538"/>
      <c r="AX1158" s="343"/>
      <c r="AY1158" s="343"/>
      <c r="AZ1158" s="538"/>
      <c r="BA1158" s="343"/>
      <c r="BB1158" s="343"/>
      <c r="BC1158" s="538"/>
      <c r="BD1158" s="343"/>
      <c r="BE1158" s="343"/>
      <c r="BG1158" s="644"/>
      <c r="BH1158" s="515"/>
      <c r="BI1158" s="515"/>
      <c r="BJ1158" s="644"/>
      <c r="BK1158" s="515"/>
      <c r="BL1158" s="515"/>
      <c r="BM1158" s="644"/>
      <c r="BN1158" s="515"/>
      <c r="BO1158" s="515"/>
      <c r="BP1158" s="644"/>
      <c r="BQ1158" s="515"/>
      <c r="BR1158" s="515"/>
    </row>
    <row r="1159" spans="4:70" x14ac:dyDescent="0.25">
      <c r="D1159" s="538"/>
      <c r="G1159" s="538"/>
      <c r="J1159" s="538"/>
      <c r="M1159" s="538"/>
      <c r="R1159" s="538"/>
      <c r="S1159" s="343"/>
      <c r="T1159" s="343"/>
      <c r="U1159" s="538"/>
      <c r="V1159" s="343"/>
      <c r="W1159" s="343"/>
      <c r="X1159" s="538"/>
      <c r="Y1159" s="343"/>
      <c r="Z1159" s="343"/>
      <c r="AA1159" s="538"/>
      <c r="AB1159" s="343"/>
      <c r="AC1159" s="343"/>
      <c r="AE1159" s="343"/>
      <c r="AF1159" s="538"/>
      <c r="AG1159" s="343"/>
      <c r="AH1159" s="343"/>
      <c r="AI1159" s="538"/>
      <c r="AJ1159" s="343"/>
      <c r="AK1159" s="343"/>
      <c r="AL1159" s="538"/>
      <c r="AM1159" s="343"/>
      <c r="AN1159" s="343"/>
      <c r="AO1159" s="538"/>
      <c r="AP1159" s="343"/>
      <c r="AQ1159" s="343"/>
      <c r="AS1159" s="343"/>
      <c r="AT1159" s="538"/>
      <c r="AU1159" s="343"/>
      <c r="AV1159" s="343"/>
      <c r="AW1159" s="538"/>
      <c r="AX1159" s="343"/>
      <c r="AY1159" s="343"/>
      <c r="AZ1159" s="538"/>
      <c r="BA1159" s="343"/>
      <c r="BB1159" s="343"/>
      <c r="BC1159" s="538"/>
      <c r="BD1159" s="343"/>
      <c r="BE1159" s="343"/>
      <c r="BG1159" s="644"/>
      <c r="BH1159" s="515"/>
      <c r="BI1159" s="515"/>
      <c r="BJ1159" s="644"/>
      <c r="BK1159" s="515"/>
      <c r="BL1159" s="515"/>
      <c r="BM1159" s="644"/>
      <c r="BN1159" s="515"/>
      <c r="BO1159" s="515"/>
      <c r="BP1159" s="644"/>
      <c r="BQ1159" s="515"/>
      <c r="BR1159" s="515"/>
    </row>
    <row r="1160" spans="4:70" x14ac:dyDescent="0.25">
      <c r="D1160" s="538"/>
      <c r="G1160" s="538"/>
      <c r="J1160" s="538"/>
      <c r="M1160" s="538"/>
      <c r="R1160" s="538"/>
      <c r="S1160" s="343"/>
      <c r="T1160" s="343"/>
      <c r="U1160" s="538"/>
      <c r="V1160" s="343"/>
      <c r="W1160" s="343"/>
      <c r="X1160" s="538"/>
      <c r="Y1160" s="343"/>
      <c r="Z1160" s="343"/>
      <c r="AA1160" s="538"/>
      <c r="AB1160" s="343"/>
      <c r="AC1160" s="343"/>
      <c r="AE1160" s="343"/>
      <c r="AF1160" s="538"/>
      <c r="AG1160" s="343"/>
      <c r="AH1160" s="343"/>
      <c r="AI1160" s="538"/>
      <c r="AJ1160" s="343"/>
      <c r="AK1160" s="343"/>
      <c r="AL1160" s="538"/>
      <c r="AM1160" s="343"/>
      <c r="AN1160" s="343"/>
      <c r="AO1160" s="538"/>
      <c r="AP1160" s="343"/>
      <c r="AQ1160" s="343"/>
      <c r="AS1160" s="343"/>
      <c r="AT1160" s="538"/>
      <c r="AU1160" s="343"/>
      <c r="AV1160" s="343"/>
      <c r="AW1160" s="538"/>
      <c r="AX1160" s="343"/>
      <c r="AY1160" s="343"/>
      <c r="AZ1160" s="538"/>
      <c r="BA1160" s="343"/>
      <c r="BB1160" s="343"/>
      <c r="BC1160" s="538"/>
      <c r="BD1160" s="343"/>
      <c r="BE1160" s="343"/>
      <c r="BG1160" s="644"/>
      <c r="BH1160" s="515"/>
      <c r="BI1160" s="515"/>
      <c r="BJ1160" s="644"/>
      <c r="BK1160" s="515"/>
      <c r="BL1160" s="515"/>
      <c r="BM1160" s="644"/>
      <c r="BN1160" s="515"/>
      <c r="BO1160" s="515"/>
      <c r="BP1160" s="644"/>
      <c r="BQ1160" s="515"/>
      <c r="BR1160" s="515"/>
    </row>
    <row r="1161" spans="4:70" x14ac:dyDescent="0.25">
      <c r="D1161" s="538"/>
      <c r="G1161" s="538"/>
      <c r="J1161" s="538"/>
      <c r="M1161" s="538"/>
      <c r="R1161" s="538"/>
      <c r="S1161" s="343"/>
      <c r="T1161" s="343"/>
      <c r="U1161" s="538"/>
      <c r="V1161" s="343"/>
      <c r="W1161" s="343"/>
      <c r="X1161" s="538"/>
      <c r="Y1161" s="343"/>
      <c r="Z1161" s="343"/>
      <c r="AA1161" s="538"/>
      <c r="AB1161" s="343"/>
      <c r="AC1161" s="343"/>
      <c r="AE1161" s="343"/>
      <c r="AF1161" s="538"/>
      <c r="AG1161" s="343"/>
      <c r="AH1161" s="343"/>
      <c r="AI1161" s="538"/>
      <c r="AJ1161" s="343"/>
      <c r="AK1161" s="343"/>
      <c r="AL1161" s="538"/>
      <c r="AM1161" s="343"/>
      <c r="AN1161" s="343"/>
      <c r="AO1161" s="538"/>
      <c r="AP1161" s="343"/>
      <c r="AQ1161" s="343"/>
      <c r="AS1161" s="343"/>
      <c r="AT1161" s="538"/>
      <c r="AU1161" s="343"/>
      <c r="AV1161" s="343"/>
      <c r="AW1161" s="538"/>
      <c r="AX1161" s="343"/>
      <c r="AY1161" s="343"/>
      <c r="AZ1161" s="538"/>
      <c r="BA1161" s="343"/>
      <c r="BB1161" s="343"/>
      <c r="BC1161" s="538"/>
      <c r="BD1161" s="343"/>
      <c r="BE1161" s="343"/>
      <c r="BG1161" s="644"/>
      <c r="BH1161" s="515"/>
      <c r="BI1161" s="515"/>
      <c r="BJ1161" s="644"/>
      <c r="BK1161" s="515"/>
      <c r="BL1161" s="515"/>
      <c r="BM1161" s="644"/>
      <c r="BN1161" s="515"/>
      <c r="BO1161" s="515"/>
      <c r="BP1161" s="644"/>
      <c r="BQ1161" s="515"/>
      <c r="BR1161" s="515"/>
    </row>
    <row r="1162" spans="4:70" x14ac:dyDescent="0.25">
      <c r="D1162" s="538"/>
      <c r="G1162" s="538"/>
      <c r="J1162" s="538"/>
      <c r="M1162" s="538"/>
      <c r="R1162" s="538"/>
      <c r="S1162" s="343"/>
      <c r="T1162" s="343"/>
      <c r="U1162" s="538"/>
      <c r="V1162" s="343"/>
      <c r="W1162" s="343"/>
      <c r="X1162" s="538"/>
      <c r="Y1162" s="343"/>
      <c r="Z1162" s="343"/>
      <c r="AA1162" s="538"/>
      <c r="AB1162" s="343"/>
      <c r="AC1162" s="343"/>
      <c r="AE1162" s="343"/>
      <c r="AF1162" s="538"/>
      <c r="AG1162" s="343"/>
      <c r="AH1162" s="343"/>
      <c r="AI1162" s="538"/>
      <c r="AJ1162" s="343"/>
      <c r="AK1162" s="343"/>
      <c r="AL1162" s="538"/>
      <c r="AM1162" s="343"/>
      <c r="AN1162" s="343"/>
      <c r="AO1162" s="538"/>
      <c r="AP1162" s="343"/>
      <c r="AQ1162" s="343"/>
      <c r="AS1162" s="343"/>
      <c r="AT1162" s="538"/>
      <c r="AU1162" s="343"/>
      <c r="AV1162" s="343"/>
      <c r="AW1162" s="538"/>
      <c r="AX1162" s="343"/>
      <c r="AY1162" s="343"/>
      <c r="AZ1162" s="538"/>
      <c r="BA1162" s="343"/>
      <c r="BB1162" s="343"/>
      <c r="BC1162" s="538"/>
      <c r="BD1162" s="343"/>
      <c r="BE1162" s="343"/>
      <c r="BG1162" s="644"/>
      <c r="BH1162" s="515"/>
      <c r="BI1162" s="515"/>
      <c r="BJ1162" s="644"/>
      <c r="BK1162" s="515"/>
      <c r="BL1162" s="515"/>
      <c r="BM1162" s="644"/>
      <c r="BN1162" s="515"/>
      <c r="BO1162" s="515"/>
      <c r="BP1162" s="644"/>
      <c r="BQ1162" s="515"/>
      <c r="BR1162" s="515"/>
    </row>
    <row r="1163" spans="4:70" x14ac:dyDescent="0.25">
      <c r="D1163" s="538"/>
      <c r="G1163" s="538"/>
      <c r="J1163" s="538"/>
      <c r="M1163" s="538"/>
      <c r="R1163" s="538"/>
      <c r="S1163" s="343"/>
      <c r="T1163" s="343"/>
      <c r="U1163" s="538"/>
      <c r="V1163" s="343"/>
      <c r="W1163" s="343"/>
      <c r="X1163" s="538"/>
      <c r="Y1163" s="343"/>
      <c r="Z1163" s="343"/>
      <c r="AA1163" s="538"/>
      <c r="AB1163" s="343"/>
      <c r="AC1163" s="343"/>
      <c r="AE1163" s="343"/>
      <c r="AF1163" s="538"/>
      <c r="AG1163" s="343"/>
      <c r="AH1163" s="343"/>
      <c r="AI1163" s="538"/>
      <c r="AJ1163" s="343"/>
      <c r="AK1163" s="343"/>
      <c r="AL1163" s="538"/>
      <c r="AM1163" s="343"/>
      <c r="AN1163" s="343"/>
      <c r="AO1163" s="538"/>
      <c r="AP1163" s="343"/>
      <c r="AQ1163" s="343"/>
      <c r="AS1163" s="343"/>
      <c r="AT1163" s="538"/>
      <c r="AU1163" s="343"/>
      <c r="AV1163" s="343"/>
      <c r="AW1163" s="538"/>
      <c r="AX1163" s="343"/>
      <c r="AY1163" s="343"/>
      <c r="AZ1163" s="538"/>
      <c r="BA1163" s="343"/>
      <c r="BB1163" s="343"/>
      <c r="BC1163" s="538"/>
      <c r="BD1163" s="343"/>
      <c r="BE1163" s="343"/>
      <c r="BG1163" s="644"/>
      <c r="BH1163" s="515"/>
      <c r="BI1163" s="515"/>
      <c r="BJ1163" s="644"/>
      <c r="BK1163" s="515"/>
      <c r="BL1163" s="515"/>
      <c r="BM1163" s="644"/>
      <c r="BN1163" s="515"/>
      <c r="BO1163" s="515"/>
      <c r="BP1163" s="644"/>
      <c r="BQ1163" s="515"/>
      <c r="BR1163" s="515"/>
    </row>
    <row r="1164" spans="4:70" x14ac:dyDescent="0.25">
      <c r="D1164" s="538"/>
      <c r="G1164" s="538"/>
      <c r="J1164" s="538"/>
      <c r="M1164" s="538"/>
      <c r="R1164" s="538"/>
      <c r="S1164" s="343"/>
      <c r="T1164" s="343"/>
      <c r="U1164" s="538"/>
      <c r="V1164" s="343"/>
      <c r="W1164" s="343"/>
      <c r="X1164" s="538"/>
      <c r="Y1164" s="343"/>
      <c r="Z1164" s="343"/>
      <c r="AA1164" s="538"/>
      <c r="AB1164" s="343"/>
      <c r="AC1164" s="343"/>
      <c r="AE1164" s="343"/>
      <c r="AF1164" s="538"/>
      <c r="AG1164" s="343"/>
      <c r="AH1164" s="343"/>
      <c r="AI1164" s="538"/>
      <c r="AJ1164" s="343"/>
      <c r="AK1164" s="343"/>
      <c r="AL1164" s="538"/>
      <c r="AM1164" s="343"/>
      <c r="AN1164" s="343"/>
      <c r="AO1164" s="538"/>
      <c r="AP1164" s="343"/>
      <c r="AQ1164" s="343"/>
      <c r="AS1164" s="343"/>
      <c r="AT1164" s="538"/>
      <c r="AU1164" s="343"/>
      <c r="AV1164" s="343"/>
      <c r="AW1164" s="538"/>
      <c r="AX1164" s="343"/>
      <c r="AY1164" s="343"/>
      <c r="AZ1164" s="538"/>
      <c r="BA1164" s="343"/>
      <c r="BB1164" s="343"/>
      <c r="BC1164" s="538"/>
      <c r="BD1164" s="343"/>
      <c r="BE1164" s="343"/>
      <c r="BG1164" s="644"/>
      <c r="BH1164" s="515"/>
      <c r="BI1164" s="515"/>
      <c r="BJ1164" s="644"/>
      <c r="BK1164" s="515"/>
      <c r="BL1164" s="515"/>
      <c r="BM1164" s="644"/>
      <c r="BN1164" s="515"/>
      <c r="BO1164" s="515"/>
      <c r="BP1164" s="644"/>
      <c r="BQ1164" s="515"/>
      <c r="BR1164" s="515"/>
    </row>
    <row r="1165" spans="4:70" x14ac:dyDescent="0.25">
      <c r="D1165" s="538"/>
      <c r="G1165" s="538"/>
      <c r="J1165" s="538"/>
      <c r="M1165" s="538"/>
      <c r="R1165" s="538"/>
      <c r="S1165" s="343"/>
      <c r="T1165" s="343"/>
      <c r="U1165" s="538"/>
      <c r="V1165" s="343"/>
      <c r="W1165" s="343"/>
      <c r="X1165" s="538"/>
      <c r="Y1165" s="343"/>
      <c r="Z1165" s="343"/>
      <c r="AA1165" s="538"/>
      <c r="AB1165" s="343"/>
      <c r="AC1165" s="343"/>
      <c r="AE1165" s="343"/>
      <c r="AF1165" s="538"/>
      <c r="AG1165" s="343"/>
      <c r="AH1165" s="343"/>
      <c r="AI1165" s="538"/>
      <c r="AJ1165" s="343"/>
      <c r="AK1165" s="343"/>
      <c r="AL1165" s="538"/>
      <c r="AM1165" s="343"/>
      <c r="AN1165" s="343"/>
      <c r="AO1165" s="538"/>
      <c r="AP1165" s="343"/>
      <c r="AQ1165" s="343"/>
      <c r="AS1165" s="343"/>
      <c r="AT1165" s="538"/>
      <c r="AU1165" s="343"/>
      <c r="AV1165" s="343"/>
      <c r="AW1165" s="538"/>
      <c r="AX1165" s="343"/>
      <c r="AY1165" s="343"/>
      <c r="AZ1165" s="538"/>
      <c r="BA1165" s="343"/>
      <c r="BB1165" s="343"/>
      <c r="BC1165" s="538"/>
      <c r="BD1165" s="343"/>
      <c r="BE1165" s="343"/>
      <c r="BG1165" s="644"/>
      <c r="BH1165" s="515"/>
      <c r="BI1165" s="515"/>
      <c r="BJ1165" s="644"/>
      <c r="BK1165" s="515"/>
      <c r="BL1165" s="515"/>
      <c r="BM1165" s="644"/>
      <c r="BN1165" s="515"/>
      <c r="BO1165" s="515"/>
      <c r="BP1165" s="644"/>
      <c r="BQ1165" s="515"/>
      <c r="BR1165" s="515"/>
    </row>
    <row r="1166" spans="4:70" x14ac:dyDescent="0.25">
      <c r="D1166" s="538"/>
      <c r="G1166" s="538"/>
      <c r="J1166" s="538"/>
      <c r="M1166" s="538"/>
      <c r="R1166" s="538"/>
      <c r="S1166" s="343"/>
      <c r="T1166" s="343"/>
      <c r="U1166" s="538"/>
      <c r="V1166" s="343"/>
      <c r="W1166" s="343"/>
      <c r="X1166" s="538"/>
      <c r="Y1166" s="343"/>
      <c r="Z1166" s="343"/>
      <c r="AA1166" s="538"/>
      <c r="AB1166" s="343"/>
      <c r="AC1166" s="343"/>
      <c r="AE1166" s="343"/>
      <c r="AF1166" s="538"/>
      <c r="AG1166" s="343"/>
      <c r="AH1166" s="343"/>
      <c r="AI1166" s="538"/>
      <c r="AJ1166" s="343"/>
      <c r="AK1166" s="343"/>
      <c r="AL1166" s="538"/>
      <c r="AM1166" s="343"/>
      <c r="AN1166" s="343"/>
      <c r="AO1166" s="538"/>
      <c r="AP1166" s="343"/>
      <c r="AQ1166" s="343"/>
      <c r="AS1166" s="343"/>
      <c r="AT1166" s="538"/>
      <c r="AU1166" s="343"/>
      <c r="AV1166" s="343"/>
      <c r="AW1166" s="538"/>
      <c r="AX1166" s="343"/>
      <c r="AY1166" s="343"/>
      <c r="AZ1166" s="538"/>
      <c r="BA1166" s="343"/>
      <c r="BB1166" s="343"/>
      <c r="BC1166" s="538"/>
      <c r="BD1166" s="343"/>
      <c r="BE1166" s="343"/>
      <c r="BG1166" s="644"/>
      <c r="BH1166" s="515"/>
      <c r="BI1166" s="515"/>
      <c r="BJ1166" s="644"/>
      <c r="BK1166" s="515"/>
      <c r="BL1166" s="515"/>
      <c r="BM1166" s="644"/>
      <c r="BN1166" s="515"/>
      <c r="BO1166" s="515"/>
      <c r="BP1166" s="644"/>
      <c r="BQ1166" s="515"/>
      <c r="BR1166" s="515"/>
    </row>
    <row r="1167" spans="4:70" x14ac:dyDescent="0.25">
      <c r="D1167" s="538"/>
      <c r="G1167" s="538"/>
      <c r="J1167" s="538"/>
      <c r="M1167" s="538"/>
      <c r="R1167" s="538"/>
      <c r="S1167" s="343"/>
      <c r="T1167" s="343"/>
      <c r="U1167" s="538"/>
      <c r="V1167" s="343"/>
      <c r="W1167" s="343"/>
      <c r="X1167" s="538"/>
      <c r="Y1167" s="343"/>
      <c r="Z1167" s="343"/>
      <c r="AA1167" s="538"/>
      <c r="AB1167" s="343"/>
      <c r="AC1167" s="343"/>
      <c r="AE1167" s="343"/>
      <c r="AF1167" s="538"/>
      <c r="AG1167" s="343"/>
      <c r="AH1167" s="343"/>
      <c r="AI1167" s="538"/>
      <c r="AJ1167" s="343"/>
      <c r="AK1167" s="343"/>
      <c r="AL1167" s="538"/>
      <c r="AM1167" s="343"/>
      <c r="AN1167" s="343"/>
      <c r="AO1167" s="538"/>
      <c r="AP1167" s="343"/>
      <c r="AQ1167" s="343"/>
      <c r="AS1167" s="343"/>
      <c r="AT1167" s="538"/>
      <c r="AU1167" s="343"/>
      <c r="AV1167" s="343"/>
      <c r="AW1167" s="538"/>
      <c r="AX1167" s="343"/>
      <c r="AY1167" s="343"/>
      <c r="AZ1167" s="538"/>
      <c r="BA1167" s="343"/>
      <c r="BB1167" s="343"/>
      <c r="BC1167" s="538"/>
      <c r="BD1167" s="343"/>
      <c r="BE1167" s="343"/>
      <c r="BG1167" s="644"/>
      <c r="BH1167" s="515"/>
      <c r="BI1167" s="515"/>
      <c r="BJ1167" s="644"/>
      <c r="BK1167" s="515"/>
      <c r="BL1167" s="515"/>
      <c r="BM1167" s="644"/>
      <c r="BN1167" s="515"/>
      <c r="BO1167" s="515"/>
      <c r="BP1167" s="644"/>
      <c r="BQ1167" s="515"/>
      <c r="BR1167" s="515"/>
    </row>
    <row r="1168" spans="4:70" x14ac:dyDescent="0.25">
      <c r="D1168" s="538"/>
      <c r="G1168" s="538"/>
      <c r="J1168" s="538"/>
      <c r="M1168" s="538"/>
      <c r="R1168" s="538"/>
      <c r="S1168" s="343"/>
      <c r="T1168" s="343"/>
      <c r="U1168" s="538"/>
      <c r="V1168" s="343"/>
      <c r="W1168" s="343"/>
      <c r="X1168" s="538"/>
      <c r="Y1168" s="343"/>
      <c r="Z1168" s="343"/>
      <c r="AA1168" s="538"/>
      <c r="AB1168" s="343"/>
      <c r="AC1168" s="343"/>
      <c r="AE1168" s="343"/>
      <c r="AF1168" s="538"/>
      <c r="AG1168" s="343"/>
      <c r="AH1168" s="343"/>
      <c r="AI1168" s="538"/>
      <c r="AJ1168" s="343"/>
      <c r="AK1168" s="343"/>
      <c r="AL1168" s="538"/>
      <c r="AM1168" s="343"/>
      <c r="AN1168" s="343"/>
      <c r="AO1168" s="538"/>
      <c r="AP1168" s="343"/>
      <c r="AQ1168" s="343"/>
      <c r="AS1168" s="343"/>
      <c r="AT1168" s="538"/>
      <c r="AU1168" s="343"/>
      <c r="AV1168" s="343"/>
      <c r="AW1168" s="538"/>
      <c r="AX1168" s="343"/>
      <c r="AY1168" s="343"/>
      <c r="AZ1168" s="538"/>
      <c r="BA1168" s="343"/>
      <c r="BB1168" s="343"/>
      <c r="BC1168" s="538"/>
      <c r="BD1168" s="343"/>
      <c r="BE1168" s="343"/>
      <c r="BG1168" s="644"/>
      <c r="BH1168" s="515"/>
      <c r="BI1168" s="515"/>
      <c r="BJ1168" s="644"/>
      <c r="BK1168" s="515"/>
      <c r="BL1168" s="515"/>
      <c r="BM1168" s="644"/>
      <c r="BN1168" s="515"/>
      <c r="BO1168" s="515"/>
      <c r="BP1168" s="644"/>
      <c r="BQ1168" s="515"/>
      <c r="BR1168" s="515"/>
    </row>
    <row r="1169" spans="4:70" x14ac:dyDescent="0.25">
      <c r="D1169" s="538"/>
      <c r="G1169" s="538"/>
      <c r="J1169" s="538"/>
      <c r="M1169" s="538"/>
      <c r="R1169" s="538"/>
      <c r="S1169" s="343"/>
      <c r="T1169" s="343"/>
      <c r="U1169" s="538"/>
      <c r="V1169" s="343"/>
      <c r="W1169" s="343"/>
      <c r="X1169" s="538"/>
      <c r="Y1169" s="343"/>
      <c r="Z1169" s="343"/>
      <c r="AA1169" s="538"/>
      <c r="AB1169" s="343"/>
      <c r="AC1169" s="343"/>
      <c r="AE1169" s="343"/>
      <c r="AF1169" s="538"/>
      <c r="AG1169" s="343"/>
      <c r="AH1169" s="343"/>
      <c r="AI1169" s="538"/>
      <c r="AJ1169" s="343"/>
      <c r="AK1169" s="343"/>
      <c r="AL1169" s="538"/>
      <c r="AM1169" s="343"/>
      <c r="AN1169" s="343"/>
      <c r="AO1169" s="538"/>
      <c r="AP1169" s="343"/>
      <c r="AQ1169" s="343"/>
      <c r="AS1169" s="343"/>
      <c r="AT1169" s="538"/>
      <c r="AU1169" s="343"/>
      <c r="AV1169" s="343"/>
      <c r="AW1169" s="538"/>
      <c r="AX1169" s="343"/>
      <c r="AY1169" s="343"/>
      <c r="AZ1169" s="538"/>
      <c r="BA1169" s="343"/>
      <c r="BB1169" s="343"/>
      <c r="BC1169" s="538"/>
      <c r="BD1169" s="343"/>
      <c r="BE1169" s="343"/>
      <c r="BG1169" s="644"/>
      <c r="BH1169" s="515"/>
      <c r="BI1169" s="515"/>
      <c r="BJ1169" s="644"/>
      <c r="BK1169" s="515"/>
      <c r="BL1169" s="515"/>
      <c r="BM1169" s="644"/>
      <c r="BN1169" s="515"/>
      <c r="BO1169" s="515"/>
      <c r="BP1169" s="644"/>
      <c r="BQ1169" s="515"/>
      <c r="BR1169" s="515"/>
    </row>
    <row r="1170" spans="4:70" x14ac:dyDescent="0.25">
      <c r="D1170" s="538"/>
      <c r="G1170" s="538"/>
      <c r="J1170" s="538"/>
      <c r="M1170" s="538"/>
      <c r="R1170" s="538"/>
      <c r="S1170" s="343"/>
      <c r="T1170" s="343"/>
      <c r="U1170" s="538"/>
      <c r="V1170" s="343"/>
      <c r="W1170" s="343"/>
      <c r="X1170" s="538"/>
      <c r="Y1170" s="343"/>
      <c r="Z1170" s="343"/>
      <c r="AA1170" s="538"/>
      <c r="AB1170" s="343"/>
      <c r="AC1170" s="343"/>
      <c r="AE1170" s="343"/>
      <c r="AF1170" s="538"/>
      <c r="AG1170" s="343"/>
      <c r="AH1170" s="343"/>
      <c r="AI1170" s="538"/>
      <c r="AJ1170" s="343"/>
      <c r="AK1170" s="343"/>
      <c r="AL1170" s="538"/>
      <c r="AM1170" s="343"/>
      <c r="AN1170" s="343"/>
      <c r="AO1170" s="538"/>
      <c r="AP1170" s="343"/>
      <c r="AQ1170" s="343"/>
      <c r="AS1170" s="343"/>
      <c r="AT1170" s="538"/>
      <c r="AU1170" s="343"/>
      <c r="AV1170" s="343"/>
      <c r="AW1170" s="538"/>
      <c r="AX1170" s="343"/>
      <c r="AY1170" s="343"/>
      <c r="AZ1170" s="538"/>
      <c r="BA1170" s="343"/>
      <c r="BB1170" s="343"/>
      <c r="BC1170" s="538"/>
      <c r="BD1170" s="343"/>
      <c r="BE1170" s="343"/>
      <c r="BG1170" s="644"/>
      <c r="BH1170" s="515"/>
      <c r="BI1170" s="515"/>
      <c r="BJ1170" s="644"/>
      <c r="BK1170" s="515"/>
      <c r="BL1170" s="515"/>
      <c r="BM1170" s="644"/>
      <c r="BN1170" s="515"/>
      <c r="BO1170" s="515"/>
      <c r="BP1170" s="644"/>
      <c r="BQ1170" s="515"/>
      <c r="BR1170" s="515"/>
    </row>
    <row r="1171" spans="4:70" x14ac:dyDescent="0.25">
      <c r="D1171" s="538"/>
      <c r="G1171" s="538"/>
      <c r="J1171" s="538"/>
      <c r="M1171" s="538"/>
      <c r="R1171" s="538"/>
      <c r="S1171" s="343"/>
      <c r="T1171" s="343"/>
      <c r="U1171" s="538"/>
      <c r="V1171" s="343"/>
      <c r="W1171" s="343"/>
      <c r="X1171" s="538"/>
      <c r="Y1171" s="343"/>
      <c r="Z1171" s="343"/>
      <c r="AA1171" s="538"/>
      <c r="AB1171" s="343"/>
      <c r="AC1171" s="343"/>
      <c r="AE1171" s="343"/>
      <c r="AF1171" s="538"/>
      <c r="AG1171" s="343"/>
      <c r="AH1171" s="343"/>
      <c r="AI1171" s="538"/>
      <c r="AJ1171" s="343"/>
      <c r="AK1171" s="343"/>
      <c r="AL1171" s="538"/>
      <c r="AM1171" s="343"/>
      <c r="AN1171" s="343"/>
      <c r="AO1171" s="538"/>
      <c r="AP1171" s="343"/>
      <c r="AQ1171" s="343"/>
      <c r="AS1171" s="343"/>
      <c r="AT1171" s="538"/>
      <c r="AU1171" s="343"/>
      <c r="AV1171" s="343"/>
      <c r="AW1171" s="538"/>
      <c r="AX1171" s="343"/>
      <c r="AY1171" s="343"/>
      <c r="AZ1171" s="538"/>
      <c r="BA1171" s="343"/>
      <c r="BB1171" s="343"/>
      <c r="BC1171" s="538"/>
      <c r="BD1171" s="343"/>
      <c r="BE1171" s="343"/>
      <c r="BG1171" s="644"/>
      <c r="BH1171" s="515"/>
      <c r="BI1171" s="515"/>
      <c r="BJ1171" s="644"/>
      <c r="BK1171" s="515"/>
      <c r="BL1171" s="515"/>
      <c r="BM1171" s="644"/>
      <c r="BN1171" s="515"/>
      <c r="BO1171" s="515"/>
      <c r="BP1171" s="644"/>
      <c r="BQ1171" s="515"/>
      <c r="BR1171" s="515"/>
    </row>
    <row r="1172" spans="4:70" x14ac:dyDescent="0.25">
      <c r="D1172" s="538"/>
      <c r="G1172" s="538"/>
      <c r="J1172" s="538"/>
      <c r="M1172" s="538"/>
      <c r="R1172" s="538"/>
      <c r="S1172" s="343"/>
      <c r="T1172" s="343"/>
      <c r="U1172" s="538"/>
      <c r="V1172" s="343"/>
      <c r="W1172" s="343"/>
      <c r="X1172" s="538"/>
      <c r="Y1172" s="343"/>
      <c r="Z1172" s="343"/>
      <c r="AA1172" s="538"/>
      <c r="AB1172" s="343"/>
      <c r="AC1172" s="343"/>
      <c r="AE1172" s="343"/>
      <c r="AF1172" s="538"/>
      <c r="AG1172" s="343"/>
      <c r="AH1172" s="343"/>
      <c r="AI1172" s="538"/>
      <c r="AJ1172" s="343"/>
      <c r="AK1172" s="343"/>
      <c r="AL1172" s="538"/>
      <c r="AM1172" s="343"/>
      <c r="AN1172" s="343"/>
      <c r="AO1172" s="538"/>
      <c r="AP1172" s="343"/>
      <c r="AQ1172" s="343"/>
      <c r="AS1172" s="343"/>
      <c r="AT1172" s="538"/>
      <c r="AU1172" s="343"/>
      <c r="AV1172" s="343"/>
      <c r="AW1172" s="538"/>
      <c r="AX1172" s="343"/>
      <c r="AY1172" s="343"/>
      <c r="AZ1172" s="538"/>
      <c r="BA1172" s="343"/>
      <c r="BB1172" s="343"/>
      <c r="BC1172" s="538"/>
      <c r="BD1172" s="343"/>
      <c r="BE1172" s="343"/>
      <c r="BG1172" s="644"/>
      <c r="BH1172" s="515"/>
      <c r="BI1172" s="515"/>
      <c r="BJ1172" s="644"/>
      <c r="BK1172" s="515"/>
      <c r="BL1172" s="515"/>
      <c r="BM1172" s="644"/>
      <c r="BN1172" s="515"/>
      <c r="BO1172" s="515"/>
      <c r="BP1172" s="644"/>
      <c r="BQ1172" s="515"/>
      <c r="BR1172" s="515"/>
    </row>
    <row r="1173" spans="4:70" x14ac:dyDescent="0.25">
      <c r="D1173" s="538"/>
      <c r="G1173" s="538"/>
      <c r="J1173" s="538"/>
      <c r="M1173" s="538"/>
      <c r="R1173" s="538"/>
      <c r="S1173" s="343"/>
      <c r="T1173" s="343"/>
      <c r="U1173" s="538"/>
      <c r="V1173" s="343"/>
      <c r="W1173" s="343"/>
      <c r="X1173" s="538"/>
      <c r="Y1173" s="343"/>
      <c r="Z1173" s="343"/>
      <c r="AA1173" s="538"/>
      <c r="AB1173" s="343"/>
      <c r="AC1173" s="343"/>
      <c r="AE1173" s="343"/>
      <c r="AF1173" s="538"/>
      <c r="AG1173" s="343"/>
      <c r="AH1173" s="343"/>
      <c r="AI1173" s="538"/>
      <c r="AJ1173" s="343"/>
      <c r="AK1173" s="343"/>
      <c r="AL1173" s="538"/>
      <c r="AM1173" s="343"/>
      <c r="AN1173" s="343"/>
      <c r="AO1173" s="538"/>
      <c r="AP1173" s="343"/>
      <c r="AQ1173" s="343"/>
      <c r="AS1173" s="343"/>
      <c r="AT1173" s="538"/>
      <c r="AU1173" s="343"/>
      <c r="AV1173" s="343"/>
      <c r="AW1173" s="538"/>
      <c r="AX1173" s="343"/>
      <c r="AY1173" s="343"/>
      <c r="AZ1173" s="538"/>
      <c r="BA1173" s="343"/>
      <c r="BB1173" s="343"/>
      <c r="BC1173" s="538"/>
      <c r="BD1173" s="343"/>
      <c r="BE1173" s="343"/>
      <c r="BG1173" s="644"/>
      <c r="BH1173" s="515"/>
      <c r="BI1173" s="515"/>
      <c r="BJ1173" s="644"/>
      <c r="BK1173" s="515"/>
      <c r="BL1173" s="515"/>
      <c r="BM1173" s="644"/>
      <c r="BN1173" s="515"/>
      <c r="BO1173" s="515"/>
      <c r="BP1173" s="644"/>
      <c r="BQ1173" s="515"/>
      <c r="BR1173" s="515"/>
    </row>
    <row r="1174" spans="4:70" x14ac:dyDescent="0.25">
      <c r="D1174" s="538"/>
      <c r="G1174" s="538"/>
      <c r="J1174" s="538"/>
      <c r="M1174" s="538"/>
      <c r="R1174" s="538"/>
      <c r="S1174" s="343"/>
      <c r="T1174" s="343"/>
      <c r="U1174" s="538"/>
      <c r="V1174" s="343"/>
      <c r="W1174" s="343"/>
      <c r="X1174" s="538"/>
      <c r="Y1174" s="343"/>
      <c r="Z1174" s="343"/>
      <c r="AA1174" s="538"/>
      <c r="AB1174" s="343"/>
      <c r="AC1174" s="343"/>
      <c r="AE1174" s="343"/>
      <c r="AF1174" s="538"/>
      <c r="AG1174" s="343"/>
      <c r="AH1174" s="343"/>
      <c r="AI1174" s="538"/>
      <c r="AJ1174" s="343"/>
      <c r="AK1174" s="343"/>
      <c r="AL1174" s="538"/>
      <c r="AM1174" s="343"/>
      <c r="AN1174" s="343"/>
      <c r="AO1174" s="538"/>
      <c r="AP1174" s="343"/>
      <c r="AQ1174" s="343"/>
      <c r="AS1174" s="343"/>
      <c r="AT1174" s="538"/>
      <c r="AU1174" s="343"/>
      <c r="AV1174" s="343"/>
      <c r="AW1174" s="538"/>
      <c r="AX1174" s="343"/>
      <c r="AY1174" s="343"/>
      <c r="AZ1174" s="538"/>
      <c r="BA1174" s="343"/>
      <c r="BB1174" s="343"/>
      <c r="BC1174" s="538"/>
      <c r="BD1174" s="343"/>
      <c r="BE1174" s="343"/>
      <c r="BG1174" s="644"/>
      <c r="BH1174" s="515"/>
      <c r="BI1174" s="515"/>
      <c r="BJ1174" s="644"/>
      <c r="BK1174" s="515"/>
      <c r="BL1174" s="515"/>
      <c r="BM1174" s="644"/>
      <c r="BN1174" s="515"/>
      <c r="BO1174" s="515"/>
      <c r="BP1174" s="644"/>
      <c r="BQ1174" s="515"/>
      <c r="BR1174" s="515"/>
    </row>
    <row r="1175" spans="4:70" x14ac:dyDescent="0.25">
      <c r="D1175" s="538"/>
      <c r="G1175" s="538"/>
      <c r="J1175" s="538"/>
      <c r="M1175" s="538"/>
      <c r="R1175" s="538"/>
      <c r="S1175" s="343"/>
      <c r="T1175" s="343"/>
      <c r="U1175" s="538"/>
      <c r="V1175" s="343"/>
      <c r="W1175" s="343"/>
      <c r="X1175" s="538"/>
      <c r="Y1175" s="343"/>
      <c r="Z1175" s="343"/>
      <c r="AA1175" s="538"/>
      <c r="AB1175" s="343"/>
      <c r="AC1175" s="343"/>
      <c r="AE1175" s="343"/>
      <c r="AF1175" s="538"/>
      <c r="AG1175" s="343"/>
      <c r="AH1175" s="343"/>
      <c r="AI1175" s="538"/>
      <c r="AJ1175" s="343"/>
      <c r="AK1175" s="343"/>
      <c r="AL1175" s="538"/>
      <c r="AM1175" s="343"/>
      <c r="AN1175" s="343"/>
      <c r="AO1175" s="538"/>
      <c r="AP1175" s="343"/>
      <c r="AQ1175" s="343"/>
      <c r="AS1175" s="343"/>
      <c r="AT1175" s="538"/>
      <c r="AU1175" s="343"/>
      <c r="AV1175" s="343"/>
      <c r="AW1175" s="538"/>
      <c r="AX1175" s="343"/>
      <c r="AY1175" s="343"/>
      <c r="AZ1175" s="538"/>
      <c r="BA1175" s="343"/>
      <c r="BB1175" s="343"/>
      <c r="BC1175" s="538"/>
      <c r="BD1175" s="343"/>
      <c r="BE1175" s="343"/>
      <c r="BG1175" s="644"/>
      <c r="BH1175" s="515"/>
      <c r="BI1175" s="515"/>
      <c r="BJ1175" s="644"/>
      <c r="BK1175" s="515"/>
      <c r="BL1175" s="515"/>
      <c r="BM1175" s="644"/>
      <c r="BN1175" s="515"/>
      <c r="BO1175" s="515"/>
      <c r="BP1175" s="644"/>
      <c r="BQ1175" s="515"/>
      <c r="BR1175" s="515"/>
    </row>
    <row r="1176" spans="4:70" x14ac:dyDescent="0.25">
      <c r="D1176" s="538"/>
      <c r="G1176" s="538"/>
      <c r="J1176" s="538"/>
      <c r="M1176" s="538"/>
      <c r="R1176" s="538"/>
      <c r="S1176" s="343"/>
      <c r="T1176" s="343"/>
      <c r="U1176" s="538"/>
      <c r="V1176" s="343"/>
      <c r="W1176" s="343"/>
      <c r="X1176" s="538"/>
      <c r="Y1176" s="343"/>
      <c r="Z1176" s="343"/>
      <c r="AA1176" s="538"/>
      <c r="AB1176" s="343"/>
      <c r="AC1176" s="343"/>
      <c r="AE1176" s="343"/>
      <c r="AF1176" s="538"/>
      <c r="AG1176" s="343"/>
      <c r="AH1176" s="343"/>
      <c r="AI1176" s="538"/>
      <c r="AJ1176" s="343"/>
      <c r="AK1176" s="343"/>
      <c r="AL1176" s="538"/>
      <c r="AM1176" s="343"/>
      <c r="AN1176" s="343"/>
      <c r="AO1176" s="538"/>
      <c r="AP1176" s="343"/>
      <c r="AQ1176" s="343"/>
      <c r="AS1176" s="343"/>
      <c r="AT1176" s="538"/>
      <c r="AU1176" s="343"/>
      <c r="AV1176" s="343"/>
      <c r="AW1176" s="538"/>
      <c r="AX1176" s="343"/>
      <c r="AY1176" s="343"/>
      <c r="AZ1176" s="538"/>
      <c r="BA1176" s="343"/>
      <c r="BB1176" s="343"/>
      <c r="BC1176" s="538"/>
      <c r="BD1176" s="343"/>
      <c r="BE1176" s="343"/>
      <c r="BG1176" s="644"/>
      <c r="BH1176" s="515"/>
      <c r="BI1176" s="515"/>
      <c r="BJ1176" s="644"/>
      <c r="BK1176" s="515"/>
      <c r="BL1176" s="515"/>
      <c r="BM1176" s="644"/>
      <c r="BN1176" s="515"/>
      <c r="BO1176" s="515"/>
      <c r="BP1176" s="644"/>
      <c r="BQ1176" s="515"/>
      <c r="BR1176" s="515"/>
    </row>
    <row r="1177" spans="4:70" x14ac:dyDescent="0.25">
      <c r="D1177" s="538"/>
      <c r="G1177" s="538"/>
      <c r="J1177" s="538"/>
      <c r="M1177" s="538"/>
      <c r="R1177" s="538"/>
      <c r="S1177" s="343"/>
      <c r="T1177" s="343"/>
      <c r="U1177" s="538"/>
      <c r="V1177" s="343"/>
      <c r="W1177" s="343"/>
      <c r="X1177" s="538"/>
      <c r="Y1177" s="343"/>
      <c r="Z1177" s="343"/>
      <c r="AA1177" s="538"/>
      <c r="AB1177" s="343"/>
      <c r="AC1177" s="343"/>
      <c r="AE1177" s="343"/>
      <c r="AF1177" s="538"/>
      <c r="AG1177" s="343"/>
      <c r="AH1177" s="343"/>
      <c r="AI1177" s="538"/>
      <c r="AJ1177" s="343"/>
      <c r="AK1177" s="343"/>
      <c r="AL1177" s="538"/>
      <c r="AM1177" s="343"/>
      <c r="AN1177" s="343"/>
      <c r="AO1177" s="538"/>
      <c r="AP1177" s="343"/>
      <c r="AQ1177" s="343"/>
      <c r="AS1177" s="343"/>
      <c r="AT1177" s="538"/>
      <c r="AU1177" s="343"/>
      <c r="AV1177" s="343"/>
      <c r="AW1177" s="538"/>
      <c r="AX1177" s="343"/>
      <c r="AY1177" s="343"/>
      <c r="AZ1177" s="538"/>
      <c r="BA1177" s="343"/>
      <c r="BB1177" s="343"/>
      <c r="BC1177" s="538"/>
      <c r="BD1177" s="343"/>
      <c r="BE1177" s="343"/>
      <c r="BG1177" s="644"/>
      <c r="BH1177" s="515"/>
      <c r="BI1177" s="515"/>
      <c r="BJ1177" s="644"/>
      <c r="BK1177" s="515"/>
      <c r="BL1177" s="515"/>
      <c r="BM1177" s="644"/>
      <c r="BN1177" s="515"/>
      <c r="BO1177" s="515"/>
      <c r="BP1177" s="644"/>
      <c r="BQ1177" s="515"/>
      <c r="BR1177" s="515"/>
    </row>
    <row r="1178" spans="4:70" x14ac:dyDescent="0.25">
      <c r="D1178" s="538"/>
      <c r="G1178" s="538"/>
      <c r="J1178" s="538"/>
      <c r="M1178" s="538"/>
      <c r="R1178" s="538"/>
      <c r="S1178" s="343"/>
      <c r="T1178" s="343"/>
      <c r="U1178" s="538"/>
      <c r="V1178" s="343"/>
      <c r="W1178" s="343"/>
      <c r="X1178" s="538"/>
      <c r="Y1178" s="343"/>
      <c r="Z1178" s="343"/>
      <c r="AA1178" s="538"/>
      <c r="AB1178" s="343"/>
      <c r="AC1178" s="343"/>
      <c r="AE1178" s="343"/>
      <c r="AF1178" s="538"/>
      <c r="AG1178" s="343"/>
      <c r="AH1178" s="343"/>
      <c r="AI1178" s="538"/>
      <c r="AJ1178" s="343"/>
      <c r="AK1178" s="343"/>
      <c r="AL1178" s="538"/>
      <c r="AM1178" s="343"/>
      <c r="AN1178" s="343"/>
      <c r="AO1178" s="538"/>
      <c r="AP1178" s="343"/>
      <c r="AQ1178" s="343"/>
      <c r="AS1178" s="343"/>
      <c r="AT1178" s="538"/>
      <c r="AU1178" s="343"/>
      <c r="AV1178" s="343"/>
      <c r="AW1178" s="538"/>
      <c r="AX1178" s="343"/>
      <c r="AY1178" s="343"/>
      <c r="AZ1178" s="538"/>
      <c r="BA1178" s="343"/>
      <c r="BB1178" s="343"/>
      <c r="BC1178" s="538"/>
      <c r="BD1178" s="343"/>
      <c r="BE1178" s="343"/>
      <c r="BG1178" s="644"/>
      <c r="BH1178" s="515"/>
      <c r="BI1178" s="515"/>
      <c r="BJ1178" s="644"/>
      <c r="BK1178" s="515"/>
      <c r="BL1178" s="515"/>
      <c r="BM1178" s="644"/>
      <c r="BN1178" s="515"/>
      <c r="BO1178" s="515"/>
      <c r="BP1178" s="644"/>
      <c r="BQ1178" s="515"/>
      <c r="BR1178" s="515"/>
    </row>
    <row r="1179" spans="4:70" x14ac:dyDescent="0.25">
      <c r="D1179" s="538"/>
      <c r="G1179" s="538"/>
      <c r="J1179" s="538"/>
      <c r="M1179" s="538"/>
      <c r="R1179" s="538"/>
      <c r="S1179" s="343"/>
      <c r="T1179" s="343"/>
      <c r="U1179" s="538"/>
      <c r="V1179" s="343"/>
      <c r="W1179" s="343"/>
      <c r="X1179" s="538"/>
      <c r="Y1179" s="343"/>
      <c r="Z1179" s="343"/>
      <c r="AA1179" s="538"/>
      <c r="AB1179" s="343"/>
      <c r="AC1179" s="343"/>
      <c r="AE1179" s="343"/>
      <c r="AF1179" s="538"/>
      <c r="AG1179" s="343"/>
      <c r="AH1179" s="343"/>
      <c r="AI1179" s="538"/>
      <c r="AJ1179" s="343"/>
      <c r="AK1179" s="343"/>
      <c r="AL1179" s="538"/>
      <c r="AM1179" s="343"/>
      <c r="AN1179" s="343"/>
      <c r="AO1179" s="538"/>
      <c r="AP1179" s="343"/>
      <c r="AQ1179" s="343"/>
      <c r="AS1179" s="343"/>
      <c r="AT1179" s="538"/>
      <c r="AU1179" s="343"/>
      <c r="AV1179" s="343"/>
      <c r="AW1179" s="538"/>
      <c r="AX1179" s="343"/>
      <c r="AY1179" s="343"/>
      <c r="AZ1179" s="538"/>
      <c r="BA1179" s="343"/>
      <c r="BB1179" s="343"/>
      <c r="BC1179" s="538"/>
      <c r="BD1179" s="343"/>
      <c r="BE1179" s="343"/>
      <c r="BG1179" s="644"/>
      <c r="BH1179" s="515"/>
      <c r="BI1179" s="515"/>
      <c r="BJ1179" s="644"/>
      <c r="BK1179" s="515"/>
      <c r="BL1179" s="515"/>
      <c r="BM1179" s="644"/>
      <c r="BN1179" s="515"/>
      <c r="BO1179" s="515"/>
      <c r="BP1179" s="644"/>
      <c r="BQ1179" s="515"/>
      <c r="BR1179" s="515"/>
    </row>
    <row r="1180" spans="4:70" x14ac:dyDescent="0.25">
      <c r="D1180" s="538"/>
      <c r="G1180" s="538"/>
      <c r="J1180" s="538"/>
      <c r="M1180" s="538"/>
      <c r="R1180" s="538"/>
      <c r="S1180" s="343"/>
      <c r="T1180" s="343"/>
      <c r="U1180" s="538"/>
      <c r="V1180" s="343"/>
      <c r="W1180" s="343"/>
      <c r="X1180" s="538"/>
      <c r="Y1180" s="343"/>
      <c r="Z1180" s="343"/>
      <c r="AA1180" s="538"/>
      <c r="AB1180" s="343"/>
      <c r="AC1180" s="343"/>
      <c r="AE1180" s="343"/>
      <c r="AF1180" s="538"/>
      <c r="AG1180" s="343"/>
      <c r="AH1180" s="343"/>
      <c r="AI1180" s="538"/>
      <c r="AJ1180" s="343"/>
      <c r="AK1180" s="343"/>
      <c r="AL1180" s="538"/>
      <c r="AM1180" s="343"/>
      <c r="AN1180" s="343"/>
      <c r="AO1180" s="538"/>
      <c r="AP1180" s="343"/>
      <c r="AQ1180" s="343"/>
      <c r="AS1180" s="343"/>
      <c r="AT1180" s="538"/>
      <c r="AU1180" s="343"/>
      <c r="AV1180" s="343"/>
      <c r="AW1180" s="538"/>
      <c r="AX1180" s="343"/>
      <c r="AY1180" s="343"/>
      <c r="AZ1180" s="538"/>
      <c r="BA1180" s="343"/>
      <c r="BB1180" s="343"/>
      <c r="BC1180" s="538"/>
      <c r="BD1180" s="343"/>
      <c r="BE1180" s="343"/>
      <c r="BG1180" s="644"/>
      <c r="BH1180" s="515"/>
      <c r="BI1180" s="515"/>
      <c r="BJ1180" s="644"/>
      <c r="BK1180" s="515"/>
      <c r="BL1180" s="515"/>
      <c r="BM1180" s="644"/>
      <c r="BN1180" s="515"/>
      <c r="BO1180" s="515"/>
      <c r="BP1180" s="644"/>
      <c r="BQ1180" s="515"/>
      <c r="BR1180" s="515"/>
    </row>
    <row r="1181" spans="4:70" x14ac:dyDescent="0.25">
      <c r="D1181" s="538"/>
      <c r="G1181" s="538"/>
      <c r="J1181" s="538"/>
      <c r="M1181" s="538"/>
      <c r="R1181" s="538"/>
      <c r="S1181" s="343"/>
      <c r="T1181" s="343"/>
      <c r="U1181" s="538"/>
      <c r="V1181" s="343"/>
      <c r="W1181" s="343"/>
      <c r="X1181" s="538"/>
      <c r="Y1181" s="343"/>
      <c r="Z1181" s="343"/>
      <c r="AA1181" s="538"/>
      <c r="AB1181" s="343"/>
      <c r="AC1181" s="343"/>
      <c r="AE1181" s="343"/>
      <c r="AF1181" s="538"/>
      <c r="AG1181" s="343"/>
      <c r="AH1181" s="343"/>
      <c r="AI1181" s="538"/>
      <c r="AJ1181" s="343"/>
      <c r="AK1181" s="343"/>
      <c r="AL1181" s="538"/>
      <c r="AM1181" s="343"/>
      <c r="AN1181" s="343"/>
      <c r="AO1181" s="538"/>
      <c r="AP1181" s="343"/>
      <c r="AQ1181" s="343"/>
      <c r="AS1181" s="343"/>
      <c r="AT1181" s="538"/>
      <c r="AU1181" s="343"/>
      <c r="AV1181" s="343"/>
      <c r="AW1181" s="538"/>
      <c r="AX1181" s="343"/>
      <c r="AY1181" s="343"/>
      <c r="AZ1181" s="538"/>
      <c r="BA1181" s="343"/>
      <c r="BB1181" s="343"/>
      <c r="BC1181" s="538"/>
      <c r="BD1181" s="343"/>
      <c r="BE1181" s="343"/>
      <c r="BG1181" s="644"/>
      <c r="BH1181" s="515"/>
      <c r="BI1181" s="515"/>
      <c r="BJ1181" s="644"/>
      <c r="BK1181" s="515"/>
      <c r="BL1181" s="515"/>
      <c r="BM1181" s="644"/>
      <c r="BN1181" s="515"/>
      <c r="BO1181" s="515"/>
      <c r="BP1181" s="644"/>
      <c r="BQ1181" s="515"/>
      <c r="BR1181" s="515"/>
    </row>
    <row r="1182" spans="4:70" x14ac:dyDescent="0.25">
      <c r="D1182" s="538"/>
      <c r="G1182" s="538"/>
      <c r="J1182" s="538"/>
      <c r="M1182" s="538"/>
      <c r="R1182" s="538"/>
      <c r="S1182" s="343"/>
      <c r="T1182" s="343"/>
      <c r="U1182" s="538"/>
      <c r="V1182" s="343"/>
      <c r="W1182" s="343"/>
      <c r="X1182" s="538"/>
      <c r="Y1182" s="343"/>
      <c r="Z1182" s="343"/>
      <c r="AA1182" s="538"/>
      <c r="AB1182" s="343"/>
      <c r="AC1182" s="343"/>
      <c r="AE1182" s="343"/>
      <c r="AF1182" s="538"/>
      <c r="AG1182" s="343"/>
      <c r="AH1182" s="343"/>
      <c r="AI1182" s="538"/>
      <c r="AJ1182" s="343"/>
      <c r="AK1182" s="343"/>
      <c r="AL1182" s="538"/>
      <c r="AM1182" s="343"/>
      <c r="AN1182" s="343"/>
      <c r="AO1182" s="538"/>
      <c r="AP1182" s="343"/>
      <c r="AQ1182" s="343"/>
      <c r="AS1182" s="343"/>
      <c r="AT1182" s="538"/>
      <c r="AU1182" s="343"/>
      <c r="AV1182" s="343"/>
      <c r="AW1182" s="538"/>
      <c r="AX1182" s="343"/>
      <c r="AY1182" s="343"/>
      <c r="AZ1182" s="538"/>
      <c r="BA1182" s="343"/>
      <c r="BB1182" s="343"/>
      <c r="BC1182" s="538"/>
      <c r="BD1182" s="343"/>
      <c r="BE1182" s="343"/>
      <c r="BG1182" s="644"/>
      <c r="BH1182" s="515"/>
      <c r="BI1182" s="515"/>
      <c r="BJ1182" s="644"/>
      <c r="BK1182" s="515"/>
      <c r="BL1182" s="515"/>
      <c r="BM1182" s="644"/>
      <c r="BN1182" s="515"/>
      <c r="BO1182" s="515"/>
      <c r="BP1182" s="644"/>
      <c r="BQ1182" s="515"/>
      <c r="BR1182" s="515"/>
    </row>
    <row r="1183" spans="4:70" x14ac:dyDescent="0.25">
      <c r="D1183" s="538"/>
      <c r="G1183" s="538"/>
      <c r="J1183" s="538"/>
      <c r="M1183" s="538"/>
      <c r="R1183" s="538"/>
      <c r="S1183" s="343"/>
      <c r="T1183" s="343"/>
      <c r="U1183" s="538"/>
      <c r="V1183" s="343"/>
      <c r="W1183" s="343"/>
      <c r="X1183" s="538"/>
      <c r="Y1183" s="343"/>
      <c r="Z1183" s="343"/>
      <c r="AA1183" s="538"/>
      <c r="AB1183" s="343"/>
      <c r="AC1183" s="343"/>
      <c r="AE1183" s="343"/>
      <c r="AF1183" s="538"/>
      <c r="AG1183" s="343"/>
      <c r="AH1183" s="343"/>
      <c r="AI1183" s="538"/>
      <c r="AJ1183" s="343"/>
      <c r="AK1183" s="343"/>
      <c r="AL1183" s="538"/>
      <c r="AM1183" s="343"/>
      <c r="AN1183" s="343"/>
      <c r="AO1183" s="538"/>
      <c r="AP1183" s="343"/>
      <c r="AQ1183" s="343"/>
      <c r="AS1183" s="343"/>
      <c r="AT1183" s="538"/>
      <c r="AU1183" s="343"/>
      <c r="AV1183" s="343"/>
      <c r="AW1183" s="538"/>
      <c r="AX1183" s="343"/>
      <c r="AY1183" s="343"/>
      <c r="AZ1183" s="538"/>
      <c r="BA1183" s="343"/>
      <c r="BB1183" s="343"/>
      <c r="BC1183" s="538"/>
      <c r="BD1183" s="343"/>
      <c r="BE1183" s="343"/>
      <c r="BG1183" s="644"/>
      <c r="BH1183" s="515"/>
      <c r="BI1183" s="515"/>
      <c r="BJ1183" s="644"/>
      <c r="BK1183" s="515"/>
      <c r="BL1183" s="515"/>
      <c r="BM1183" s="644"/>
      <c r="BN1183" s="515"/>
      <c r="BO1183" s="515"/>
      <c r="BP1183" s="644"/>
      <c r="BQ1183" s="515"/>
      <c r="BR1183" s="515"/>
    </row>
    <row r="1184" spans="4:70" x14ac:dyDescent="0.25">
      <c r="D1184" s="538"/>
      <c r="G1184" s="538"/>
      <c r="J1184" s="538"/>
      <c r="M1184" s="538"/>
      <c r="R1184" s="538"/>
      <c r="S1184" s="343"/>
      <c r="T1184" s="343"/>
      <c r="U1184" s="538"/>
      <c r="V1184" s="343"/>
      <c r="W1184" s="343"/>
      <c r="X1184" s="538"/>
      <c r="Y1184" s="343"/>
      <c r="Z1184" s="343"/>
      <c r="AA1184" s="538"/>
      <c r="AB1184" s="343"/>
      <c r="AC1184" s="343"/>
      <c r="AE1184" s="343"/>
      <c r="AF1184" s="538"/>
      <c r="AG1184" s="343"/>
      <c r="AH1184" s="343"/>
      <c r="AI1184" s="538"/>
      <c r="AJ1184" s="343"/>
      <c r="AK1184" s="343"/>
      <c r="AL1184" s="538"/>
      <c r="AM1184" s="343"/>
      <c r="AN1184" s="343"/>
      <c r="AO1184" s="538"/>
      <c r="AP1184" s="343"/>
      <c r="AQ1184" s="343"/>
      <c r="AS1184" s="343"/>
      <c r="AT1184" s="538"/>
      <c r="AU1184" s="343"/>
      <c r="AV1184" s="343"/>
      <c r="AW1184" s="538"/>
      <c r="AX1184" s="343"/>
      <c r="AY1184" s="343"/>
      <c r="AZ1184" s="538"/>
      <c r="BA1184" s="343"/>
      <c r="BB1184" s="343"/>
      <c r="BC1184" s="538"/>
      <c r="BD1184" s="343"/>
      <c r="BE1184" s="343"/>
      <c r="BG1184" s="644"/>
      <c r="BH1184" s="515"/>
      <c r="BI1184" s="515"/>
      <c r="BJ1184" s="644"/>
      <c r="BK1184" s="515"/>
      <c r="BL1184" s="515"/>
      <c r="BM1184" s="644"/>
      <c r="BN1184" s="515"/>
      <c r="BO1184" s="515"/>
      <c r="BP1184" s="644"/>
      <c r="BQ1184" s="515"/>
      <c r="BR1184" s="515"/>
    </row>
    <row r="1185" spans="4:70" x14ac:dyDescent="0.25">
      <c r="D1185" s="538"/>
      <c r="G1185" s="538"/>
      <c r="J1185" s="538"/>
      <c r="M1185" s="538"/>
      <c r="R1185" s="538"/>
      <c r="S1185" s="343"/>
      <c r="T1185" s="343"/>
      <c r="U1185" s="538"/>
      <c r="V1185" s="343"/>
      <c r="W1185" s="343"/>
      <c r="X1185" s="538"/>
      <c r="Y1185" s="343"/>
      <c r="Z1185" s="343"/>
      <c r="AA1185" s="538"/>
      <c r="AB1185" s="343"/>
      <c r="AC1185" s="343"/>
      <c r="AE1185" s="343"/>
      <c r="AF1185" s="538"/>
      <c r="AG1185" s="343"/>
      <c r="AH1185" s="343"/>
      <c r="AI1185" s="538"/>
      <c r="AJ1185" s="343"/>
      <c r="AK1185" s="343"/>
      <c r="AL1185" s="538"/>
      <c r="AM1185" s="343"/>
      <c r="AN1185" s="343"/>
      <c r="AO1185" s="538"/>
      <c r="AP1185" s="343"/>
      <c r="AQ1185" s="343"/>
      <c r="AS1185" s="343"/>
      <c r="AT1185" s="538"/>
      <c r="AU1185" s="343"/>
      <c r="AV1185" s="343"/>
      <c r="AW1185" s="538"/>
      <c r="AX1185" s="343"/>
      <c r="AY1185" s="343"/>
      <c r="AZ1185" s="538"/>
      <c r="BA1185" s="343"/>
      <c r="BB1185" s="343"/>
      <c r="BC1185" s="538"/>
      <c r="BD1185" s="343"/>
      <c r="BE1185" s="343"/>
      <c r="BG1185" s="644"/>
      <c r="BH1185" s="515"/>
      <c r="BI1185" s="515"/>
      <c r="BJ1185" s="644"/>
      <c r="BK1185" s="515"/>
      <c r="BL1185" s="515"/>
      <c r="BM1185" s="644"/>
      <c r="BN1185" s="515"/>
      <c r="BO1185" s="515"/>
      <c r="BP1185" s="644"/>
      <c r="BQ1185" s="515"/>
      <c r="BR1185" s="515"/>
    </row>
    <row r="1186" spans="4:70" x14ac:dyDescent="0.25">
      <c r="D1186" s="538"/>
      <c r="G1186" s="538"/>
      <c r="J1186" s="538"/>
      <c r="M1186" s="538"/>
      <c r="R1186" s="538"/>
      <c r="S1186" s="343"/>
      <c r="T1186" s="343"/>
      <c r="U1186" s="538"/>
      <c r="V1186" s="343"/>
      <c r="W1186" s="343"/>
      <c r="X1186" s="538"/>
      <c r="Y1186" s="343"/>
      <c r="Z1186" s="343"/>
      <c r="AA1186" s="538"/>
      <c r="AB1186" s="343"/>
      <c r="AC1186" s="343"/>
      <c r="AE1186" s="343"/>
      <c r="AF1186" s="538"/>
      <c r="AG1186" s="343"/>
      <c r="AH1186" s="343"/>
      <c r="AI1186" s="538"/>
      <c r="AJ1186" s="343"/>
      <c r="AK1186" s="343"/>
      <c r="AL1186" s="538"/>
      <c r="AM1186" s="343"/>
      <c r="AN1186" s="343"/>
      <c r="AO1186" s="538"/>
      <c r="AP1186" s="343"/>
      <c r="AQ1186" s="343"/>
      <c r="AS1186" s="343"/>
      <c r="AT1186" s="538"/>
      <c r="AU1186" s="343"/>
      <c r="AV1186" s="343"/>
      <c r="AW1186" s="538"/>
      <c r="AX1186" s="343"/>
      <c r="AY1186" s="343"/>
      <c r="AZ1186" s="538"/>
      <c r="BA1186" s="343"/>
      <c r="BB1186" s="343"/>
      <c r="BC1186" s="538"/>
      <c r="BD1186" s="343"/>
      <c r="BE1186" s="343"/>
      <c r="BG1186" s="644"/>
      <c r="BH1186" s="515"/>
      <c r="BI1186" s="515"/>
      <c r="BJ1186" s="644"/>
      <c r="BK1186" s="515"/>
      <c r="BL1186" s="515"/>
      <c r="BM1186" s="644"/>
      <c r="BN1186" s="515"/>
      <c r="BO1186" s="515"/>
      <c r="BP1186" s="644"/>
      <c r="BQ1186" s="515"/>
      <c r="BR1186" s="515"/>
    </row>
    <row r="1187" spans="4:70" x14ac:dyDescent="0.25">
      <c r="D1187" s="538"/>
      <c r="G1187" s="538"/>
      <c r="J1187" s="538"/>
      <c r="M1187" s="538"/>
      <c r="R1187" s="538"/>
      <c r="S1187" s="343"/>
      <c r="T1187" s="343"/>
      <c r="U1187" s="538"/>
      <c r="V1187" s="343"/>
      <c r="W1187" s="343"/>
      <c r="X1187" s="538"/>
      <c r="Y1187" s="343"/>
      <c r="Z1187" s="343"/>
      <c r="AA1187" s="538"/>
      <c r="AB1187" s="343"/>
      <c r="AC1187" s="343"/>
      <c r="AE1187" s="343"/>
      <c r="AF1187" s="538"/>
      <c r="AG1187" s="343"/>
      <c r="AH1187" s="343"/>
      <c r="AI1187" s="538"/>
      <c r="AJ1187" s="343"/>
      <c r="AK1187" s="343"/>
      <c r="AL1187" s="538"/>
      <c r="AM1187" s="343"/>
      <c r="AN1187" s="343"/>
      <c r="AO1187" s="538"/>
      <c r="AP1187" s="343"/>
      <c r="AQ1187" s="343"/>
      <c r="AS1187" s="343"/>
      <c r="AT1187" s="538"/>
      <c r="AU1187" s="343"/>
      <c r="AV1187" s="343"/>
      <c r="AW1187" s="538"/>
      <c r="AX1187" s="343"/>
      <c r="AY1187" s="343"/>
      <c r="AZ1187" s="538"/>
      <c r="BA1187" s="343"/>
      <c r="BB1187" s="343"/>
      <c r="BC1187" s="538"/>
      <c r="BD1187" s="343"/>
      <c r="BE1187" s="343"/>
      <c r="BG1187" s="644"/>
      <c r="BH1187" s="515"/>
      <c r="BI1187" s="515"/>
      <c r="BJ1187" s="644"/>
      <c r="BK1187" s="515"/>
      <c r="BL1187" s="515"/>
      <c r="BM1187" s="644"/>
      <c r="BN1187" s="515"/>
      <c r="BO1187" s="515"/>
      <c r="BP1187" s="644"/>
      <c r="BQ1187" s="515"/>
      <c r="BR1187" s="515"/>
    </row>
    <row r="1188" spans="4:70" x14ac:dyDescent="0.25">
      <c r="D1188" s="538"/>
      <c r="G1188" s="538"/>
      <c r="J1188" s="538"/>
      <c r="M1188" s="538"/>
      <c r="R1188" s="538"/>
      <c r="S1188" s="343"/>
      <c r="T1188" s="343"/>
      <c r="U1188" s="538"/>
      <c r="V1188" s="343"/>
      <c r="W1188" s="343"/>
      <c r="X1188" s="538"/>
      <c r="Y1188" s="343"/>
      <c r="Z1188" s="343"/>
      <c r="AA1188" s="538"/>
      <c r="AB1188" s="343"/>
      <c r="AC1188" s="343"/>
      <c r="AE1188" s="343"/>
      <c r="AF1188" s="538"/>
      <c r="AG1188" s="343"/>
      <c r="AH1188" s="343"/>
      <c r="AI1188" s="538"/>
      <c r="AJ1188" s="343"/>
      <c r="AK1188" s="343"/>
      <c r="AL1188" s="538"/>
      <c r="AM1188" s="343"/>
      <c r="AN1188" s="343"/>
      <c r="AO1188" s="538"/>
      <c r="AP1188" s="343"/>
      <c r="AQ1188" s="343"/>
      <c r="AS1188" s="343"/>
      <c r="AT1188" s="538"/>
      <c r="AU1188" s="343"/>
      <c r="AV1188" s="343"/>
      <c r="AW1188" s="538"/>
      <c r="AX1188" s="343"/>
      <c r="AY1188" s="343"/>
      <c r="AZ1188" s="538"/>
      <c r="BA1188" s="343"/>
      <c r="BB1188" s="343"/>
      <c r="BC1188" s="538"/>
      <c r="BD1188" s="343"/>
      <c r="BE1188" s="343"/>
      <c r="BG1188" s="644"/>
      <c r="BH1188" s="515"/>
      <c r="BI1188" s="515"/>
      <c r="BJ1188" s="644"/>
      <c r="BK1188" s="515"/>
      <c r="BL1188" s="515"/>
      <c r="BM1188" s="644"/>
      <c r="BN1188" s="515"/>
      <c r="BO1188" s="515"/>
      <c r="BP1188" s="644"/>
      <c r="BQ1188" s="515"/>
      <c r="BR1188" s="515"/>
    </row>
    <row r="1189" spans="4:70" x14ac:dyDescent="0.25">
      <c r="D1189" s="538"/>
      <c r="G1189" s="538"/>
      <c r="J1189" s="538"/>
      <c r="M1189" s="538"/>
      <c r="R1189" s="538"/>
      <c r="S1189" s="343"/>
      <c r="T1189" s="343"/>
      <c r="U1189" s="538"/>
      <c r="V1189" s="343"/>
      <c r="W1189" s="343"/>
      <c r="X1189" s="538"/>
      <c r="Y1189" s="343"/>
      <c r="Z1189" s="343"/>
      <c r="AA1189" s="538"/>
      <c r="AB1189" s="343"/>
      <c r="AC1189" s="343"/>
      <c r="AE1189" s="343"/>
      <c r="AF1189" s="538"/>
      <c r="AG1189" s="343"/>
      <c r="AH1189" s="343"/>
      <c r="AI1189" s="538"/>
      <c r="AJ1189" s="343"/>
      <c r="AK1189" s="343"/>
      <c r="AL1189" s="538"/>
      <c r="AM1189" s="343"/>
      <c r="AN1189" s="343"/>
      <c r="AO1189" s="538"/>
      <c r="AP1189" s="343"/>
      <c r="AQ1189" s="343"/>
      <c r="AS1189" s="343"/>
      <c r="AT1189" s="538"/>
      <c r="AU1189" s="343"/>
      <c r="AV1189" s="343"/>
      <c r="AW1189" s="538"/>
      <c r="AX1189" s="343"/>
      <c r="AY1189" s="343"/>
      <c r="AZ1189" s="538"/>
      <c r="BA1189" s="343"/>
      <c r="BB1189" s="343"/>
      <c r="BC1189" s="538"/>
      <c r="BD1189" s="343"/>
      <c r="BE1189" s="343"/>
      <c r="BG1189" s="644"/>
      <c r="BH1189" s="515"/>
      <c r="BI1189" s="515"/>
      <c r="BJ1189" s="644"/>
      <c r="BK1189" s="515"/>
      <c r="BL1189" s="515"/>
      <c r="BM1189" s="644"/>
      <c r="BN1189" s="515"/>
      <c r="BO1189" s="515"/>
      <c r="BP1189" s="644"/>
      <c r="BQ1189" s="515"/>
      <c r="BR1189" s="515"/>
    </row>
    <row r="1190" spans="4:70" x14ac:dyDescent="0.25">
      <c r="D1190" s="538"/>
      <c r="G1190" s="538"/>
      <c r="J1190" s="538"/>
      <c r="M1190" s="538"/>
      <c r="R1190" s="538"/>
      <c r="S1190" s="343"/>
      <c r="T1190" s="343"/>
      <c r="U1190" s="538"/>
      <c r="V1190" s="343"/>
      <c r="W1190" s="343"/>
      <c r="X1190" s="538"/>
      <c r="Y1190" s="343"/>
      <c r="Z1190" s="343"/>
      <c r="AA1190" s="538"/>
      <c r="AB1190" s="343"/>
      <c r="AC1190" s="343"/>
      <c r="AE1190" s="343"/>
      <c r="AF1190" s="538"/>
      <c r="AG1190" s="343"/>
      <c r="AH1190" s="343"/>
      <c r="AI1190" s="538"/>
      <c r="AJ1190" s="343"/>
      <c r="AK1190" s="343"/>
      <c r="AL1190" s="538"/>
      <c r="AM1190" s="343"/>
      <c r="AN1190" s="343"/>
      <c r="AO1190" s="538"/>
      <c r="AP1190" s="343"/>
      <c r="AQ1190" s="343"/>
      <c r="AS1190" s="343"/>
      <c r="AT1190" s="538"/>
      <c r="AU1190" s="343"/>
      <c r="AV1190" s="343"/>
      <c r="AW1190" s="538"/>
      <c r="AX1190" s="343"/>
      <c r="AY1190" s="343"/>
      <c r="AZ1190" s="538"/>
      <c r="BA1190" s="343"/>
      <c r="BB1190" s="343"/>
      <c r="BC1190" s="538"/>
      <c r="BD1190" s="343"/>
      <c r="BE1190" s="343"/>
      <c r="BG1190" s="644"/>
      <c r="BH1190" s="515"/>
      <c r="BI1190" s="515"/>
      <c r="BJ1190" s="644"/>
      <c r="BK1190" s="515"/>
      <c r="BL1190" s="515"/>
      <c r="BM1190" s="644"/>
      <c r="BN1190" s="515"/>
      <c r="BO1190" s="515"/>
      <c r="BP1190" s="644"/>
      <c r="BQ1190" s="515"/>
      <c r="BR1190" s="515"/>
    </row>
    <row r="1191" spans="4:70" x14ac:dyDescent="0.25">
      <c r="D1191" s="538"/>
      <c r="G1191" s="538"/>
      <c r="J1191" s="538"/>
      <c r="M1191" s="538"/>
      <c r="R1191" s="538"/>
      <c r="S1191" s="343"/>
      <c r="T1191" s="343"/>
      <c r="U1191" s="538"/>
      <c r="V1191" s="343"/>
      <c r="W1191" s="343"/>
      <c r="X1191" s="538"/>
      <c r="Y1191" s="343"/>
      <c r="Z1191" s="343"/>
      <c r="AA1191" s="538"/>
      <c r="AB1191" s="343"/>
      <c r="AC1191" s="343"/>
      <c r="AE1191" s="343"/>
      <c r="AF1191" s="538"/>
      <c r="AG1191" s="343"/>
      <c r="AH1191" s="343"/>
      <c r="AI1191" s="538"/>
      <c r="AJ1191" s="343"/>
      <c r="AK1191" s="343"/>
      <c r="AL1191" s="538"/>
      <c r="AM1191" s="343"/>
      <c r="AN1191" s="343"/>
      <c r="AO1191" s="538"/>
      <c r="AP1191" s="343"/>
      <c r="AQ1191" s="343"/>
      <c r="AS1191" s="343"/>
      <c r="AT1191" s="538"/>
      <c r="AU1191" s="343"/>
      <c r="AV1191" s="343"/>
      <c r="AW1191" s="538"/>
      <c r="AX1191" s="343"/>
      <c r="AY1191" s="343"/>
      <c r="AZ1191" s="538"/>
      <c r="BA1191" s="343"/>
      <c r="BB1191" s="343"/>
      <c r="BC1191" s="538"/>
      <c r="BD1191" s="343"/>
      <c r="BE1191" s="343"/>
      <c r="BG1191" s="644"/>
      <c r="BH1191" s="515"/>
      <c r="BI1191" s="515"/>
      <c r="BJ1191" s="644"/>
      <c r="BK1191" s="515"/>
      <c r="BL1191" s="515"/>
      <c r="BM1191" s="644"/>
      <c r="BN1191" s="515"/>
      <c r="BO1191" s="515"/>
      <c r="BP1191" s="644"/>
      <c r="BQ1191" s="515"/>
      <c r="BR1191" s="515"/>
    </row>
    <row r="1192" spans="4:70" x14ac:dyDescent="0.25">
      <c r="D1192" s="538"/>
      <c r="G1192" s="538"/>
      <c r="J1192" s="538"/>
      <c r="M1192" s="538"/>
      <c r="R1192" s="538"/>
      <c r="S1192" s="343"/>
      <c r="T1192" s="343"/>
      <c r="U1192" s="538"/>
      <c r="V1192" s="343"/>
      <c r="W1192" s="343"/>
      <c r="X1192" s="538"/>
      <c r="Y1192" s="343"/>
      <c r="Z1192" s="343"/>
      <c r="AA1192" s="538"/>
      <c r="AB1192" s="343"/>
      <c r="AC1192" s="343"/>
      <c r="AE1192" s="343"/>
      <c r="AF1192" s="538"/>
      <c r="AG1192" s="343"/>
      <c r="AH1192" s="343"/>
      <c r="AI1192" s="538"/>
      <c r="AJ1192" s="343"/>
      <c r="AK1192" s="343"/>
      <c r="AL1192" s="538"/>
      <c r="AM1192" s="343"/>
      <c r="AN1192" s="343"/>
      <c r="AO1192" s="538"/>
      <c r="AP1192" s="343"/>
      <c r="AQ1192" s="343"/>
      <c r="AS1192" s="343"/>
      <c r="AT1192" s="538"/>
      <c r="AU1192" s="343"/>
      <c r="AV1192" s="343"/>
      <c r="AW1192" s="538"/>
      <c r="AX1192" s="343"/>
      <c r="AY1192" s="343"/>
      <c r="AZ1192" s="538"/>
      <c r="BA1192" s="343"/>
      <c r="BB1192" s="343"/>
      <c r="BC1192" s="538"/>
      <c r="BD1192" s="343"/>
      <c r="BE1192" s="343"/>
      <c r="BG1192" s="644"/>
      <c r="BH1192" s="515"/>
      <c r="BI1192" s="515"/>
      <c r="BJ1192" s="644"/>
      <c r="BK1192" s="515"/>
      <c r="BL1192" s="515"/>
      <c r="BM1192" s="644"/>
      <c r="BN1192" s="515"/>
      <c r="BO1192" s="515"/>
      <c r="BP1192" s="644"/>
      <c r="BQ1192" s="515"/>
      <c r="BR1192" s="515"/>
    </row>
    <row r="1193" spans="4:70" x14ac:dyDescent="0.25">
      <c r="D1193" s="538"/>
      <c r="G1193" s="538"/>
      <c r="J1193" s="538"/>
      <c r="M1193" s="538"/>
      <c r="R1193" s="538"/>
      <c r="S1193" s="343"/>
      <c r="T1193" s="343"/>
      <c r="U1193" s="538"/>
      <c r="V1193" s="343"/>
      <c r="W1193" s="343"/>
      <c r="X1193" s="538"/>
      <c r="Y1193" s="343"/>
      <c r="Z1193" s="343"/>
      <c r="AA1193" s="538"/>
      <c r="AB1193" s="343"/>
      <c r="AC1193" s="343"/>
      <c r="AE1193" s="343"/>
      <c r="AF1193" s="538"/>
      <c r="AG1193" s="343"/>
      <c r="AH1193" s="343"/>
      <c r="AI1193" s="538"/>
      <c r="AJ1193" s="343"/>
      <c r="AK1193" s="343"/>
      <c r="AL1193" s="538"/>
      <c r="AM1193" s="343"/>
      <c r="AN1193" s="343"/>
      <c r="AO1193" s="538"/>
      <c r="AP1193" s="343"/>
      <c r="AQ1193" s="343"/>
      <c r="AS1193" s="343"/>
      <c r="AT1193" s="538"/>
      <c r="AU1193" s="343"/>
      <c r="AV1193" s="343"/>
      <c r="AW1193" s="538"/>
      <c r="AX1193" s="343"/>
      <c r="AY1193" s="343"/>
      <c r="AZ1193" s="538"/>
      <c r="BA1193" s="343"/>
      <c r="BB1193" s="343"/>
      <c r="BC1193" s="538"/>
      <c r="BD1193" s="343"/>
      <c r="BE1193" s="343"/>
      <c r="BG1193" s="644"/>
      <c r="BH1193" s="515"/>
      <c r="BI1193" s="515"/>
      <c r="BJ1193" s="644"/>
      <c r="BK1193" s="515"/>
      <c r="BL1193" s="515"/>
      <c r="BM1193" s="644"/>
      <c r="BN1193" s="515"/>
      <c r="BO1193" s="515"/>
      <c r="BP1193" s="644"/>
      <c r="BQ1193" s="515"/>
      <c r="BR1193" s="515"/>
    </row>
    <row r="1194" spans="4:70" x14ac:dyDescent="0.25">
      <c r="D1194" s="538"/>
      <c r="G1194" s="538"/>
      <c r="J1194" s="538"/>
      <c r="M1194" s="538"/>
      <c r="R1194" s="538"/>
      <c r="S1194" s="343"/>
      <c r="T1194" s="343"/>
      <c r="U1194" s="538"/>
      <c r="V1194" s="343"/>
      <c r="W1194" s="343"/>
      <c r="X1194" s="538"/>
      <c r="Y1194" s="343"/>
      <c r="Z1194" s="343"/>
      <c r="AA1194" s="538"/>
      <c r="AB1194" s="343"/>
      <c r="AC1194" s="343"/>
      <c r="AE1194" s="343"/>
      <c r="AF1194" s="538"/>
      <c r="AG1194" s="343"/>
      <c r="AH1194" s="343"/>
      <c r="AI1194" s="538"/>
      <c r="AJ1194" s="343"/>
      <c r="AK1194" s="343"/>
      <c r="AL1194" s="538"/>
      <c r="AM1194" s="343"/>
      <c r="AN1194" s="343"/>
      <c r="AO1194" s="538"/>
      <c r="AP1194" s="343"/>
      <c r="AQ1194" s="343"/>
      <c r="AS1194" s="343"/>
      <c r="AT1194" s="538"/>
      <c r="AU1194" s="343"/>
      <c r="AV1194" s="343"/>
      <c r="AW1194" s="538"/>
      <c r="AX1194" s="343"/>
      <c r="AY1194" s="343"/>
      <c r="AZ1194" s="538"/>
      <c r="BA1194" s="343"/>
      <c r="BB1194" s="343"/>
      <c r="BC1194" s="538"/>
      <c r="BD1194" s="343"/>
      <c r="BE1194" s="343"/>
      <c r="BG1194" s="644"/>
      <c r="BH1194" s="515"/>
      <c r="BI1194" s="515"/>
      <c r="BJ1194" s="644"/>
      <c r="BK1194" s="515"/>
      <c r="BL1194" s="515"/>
      <c r="BM1194" s="644"/>
      <c r="BN1194" s="515"/>
      <c r="BO1194" s="515"/>
      <c r="BP1194" s="644"/>
      <c r="BQ1194" s="515"/>
      <c r="BR1194" s="515"/>
    </row>
    <row r="1195" spans="4:70" x14ac:dyDescent="0.25">
      <c r="D1195" s="538"/>
      <c r="G1195" s="538"/>
      <c r="J1195" s="538"/>
      <c r="M1195" s="538"/>
      <c r="R1195" s="538"/>
      <c r="S1195" s="343"/>
      <c r="T1195" s="343"/>
      <c r="U1195" s="538"/>
      <c r="V1195" s="343"/>
      <c r="W1195" s="343"/>
      <c r="X1195" s="538"/>
      <c r="Y1195" s="343"/>
      <c r="Z1195" s="343"/>
      <c r="AA1195" s="538"/>
      <c r="AB1195" s="343"/>
      <c r="AC1195" s="343"/>
      <c r="AE1195" s="343"/>
      <c r="AF1195" s="538"/>
      <c r="AG1195" s="343"/>
      <c r="AH1195" s="343"/>
      <c r="AI1195" s="538"/>
      <c r="AJ1195" s="343"/>
      <c r="AK1195" s="343"/>
      <c r="AL1195" s="538"/>
      <c r="AM1195" s="343"/>
      <c r="AN1195" s="343"/>
      <c r="AO1195" s="538"/>
      <c r="AP1195" s="343"/>
      <c r="AQ1195" s="343"/>
      <c r="AS1195" s="343"/>
      <c r="AT1195" s="538"/>
      <c r="AU1195" s="343"/>
      <c r="AV1195" s="343"/>
      <c r="AW1195" s="538"/>
      <c r="AX1195" s="343"/>
      <c r="AY1195" s="343"/>
      <c r="AZ1195" s="538"/>
      <c r="BA1195" s="343"/>
      <c r="BB1195" s="343"/>
      <c r="BC1195" s="538"/>
      <c r="BD1195" s="343"/>
      <c r="BE1195" s="343"/>
      <c r="BG1195" s="644"/>
      <c r="BH1195" s="515"/>
      <c r="BI1195" s="515"/>
      <c r="BJ1195" s="644"/>
      <c r="BK1195" s="515"/>
      <c r="BL1195" s="515"/>
      <c r="BM1195" s="644"/>
      <c r="BN1195" s="515"/>
      <c r="BO1195" s="515"/>
      <c r="BP1195" s="644"/>
      <c r="BQ1195" s="515"/>
      <c r="BR1195" s="515"/>
    </row>
    <row r="1196" spans="4:70" x14ac:dyDescent="0.25">
      <c r="D1196" s="538"/>
      <c r="G1196" s="538"/>
      <c r="J1196" s="538"/>
      <c r="M1196" s="538"/>
      <c r="R1196" s="538"/>
      <c r="S1196" s="343"/>
      <c r="T1196" s="343"/>
      <c r="U1196" s="538"/>
      <c r="V1196" s="343"/>
      <c r="W1196" s="343"/>
      <c r="X1196" s="538"/>
      <c r="Y1196" s="343"/>
      <c r="Z1196" s="343"/>
      <c r="AA1196" s="538"/>
      <c r="AB1196" s="343"/>
      <c r="AC1196" s="343"/>
      <c r="AE1196" s="343"/>
      <c r="AF1196" s="538"/>
      <c r="AG1196" s="343"/>
      <c r="AH1196" s="343"/>
      <c r="AI1196" s="538"/>
      <c r="AJ1196" s="343"/>
      <c r="AK1196" s="343"/>
      <c r="AL1196" s="538"/>
      <c r="AM1196" s="343"/>
      <c r="AN1196" s="343"/>
      <c r="AO1196" s="538"/>
      <c r="AP1196" s="343"/>
      <c r="AQ1196" s="343"/>
      <c r="AS1196" s="343"/>
      <c r="AT1196" s="538"/>
      <c r="AU1196" s="343"/>
      <c r="AV1196" s="343"/>
      <c r="AW1196" s="538"/>
      <c r="AX1196" s="343"/>
      <c r="AY1196" s="343"/>
      <c r="AZ1196" s="538"/>
      <c r="BA1196" s="343"/>
      <c r="BB1196" s="343"/>
      <c r="BC1196" s="538"/>
      <c r="BD1196" s="343"/>
      <c r="BE1196" s="343"/>
      <c r="BG1196" s="644"/>
      <c r="BH1196" s="515"/>
      <c r="BI1196" s="515"/>
      <c r="BJ1196" s="644"/>
      <c r="BK1196" s="515"/>
      <c r="BL1196" s="515"/>
      <c r="BM1196" s="644"/>
      <c r="BN1196" s="515"/>
      <c r="BO1196" s="515"/>
      <c r="BP1196" s="644"/>
      <c r="BQ1196" s="515"/>
      <c r="BR1196" s="515"/>
    </row>
    <row r="1197" spans="4:70" x14ac:dyDescent="0.25">
      <c r="D1197" s="538"/>
      <c r="G1197" s="538"/>
      <c r="J1197" s="538"/>
      <c r="M1197" s="538"/>
      <c r="R1197" s="538"/>
      <c r="S1197" s="343"/>
      <c r="T1197" s="343"/>
      <c r="U1197" s="538"/>
      <c r="V1197" s="343"/>
      <c r="W1197" s="343"/>
      <c r="X1197" s="538"/>
      <c r="Y1197" s="343"/>
      <c r="Z1197" s="343"/>
      <c r="AA1197" s="538"/>
      <c r="AB1197" s="343"/>
      <c r="AC1197" s="343"/>
      <c r="AE1197" s="343"/>
      <c r="AF1197" s="538"/>
      <c r="AG1197" s="343"/>
      <c r="AH1197" s="343"/>
      <c r="AI1197" s="538"/>
      <c r="AJ1197" s="343"/>
      <c r="AK1197" s="343"/>
      <c r="AL1197" s="538"/>
      <c r="AM1197" s="343"/>
      <c r="AN1197" s="343"/>
      <c r="AO1197" s="538"/>
      <c r="AP1197" s="343"/>
      <c r="AQ1197" s="343"/>
      <c r="AS1197" s="343"/>
      <c r="AT1197" s="538"/>
      <c r="AU1197" s="343"/>
      <c r="AV1197" s="343"/>
      <c r="AW1197" s="538"/>
      <c r="AX1197" s="343"/>
      <c r="AY1197" s="343"/>
      <c r="AZ1197" s="538"/>
      <c r="BA1197" s="343"/>
      <c r="BB1197" s="343"/>
      <c r="BC1197" s="538"/>
      <c r="BD1197" s="343"/>
      <c r="BE1197" s="343"/>
      <c r="BG1197" s="644"/>
      <c r="BH1197" s="515"/>
      <c r="BI1197" s="515"/>
      <c r="BJ1197" s="644"/>
      <c r="BK1197" s="515"/>
      <c r="BL1197" s="515"/>
      <c r="BM1197" s="644"/>
      <c r="BN1197" s="515"/>
      <c r="BO1197" s="515"/>
      <c r="BP1197" s="644"/>
      <c r="BQ1197" s="515"/>
      <c r="BR1197" s="515"/>
    </row>
    <row r="1198" spans="4:70" x14ac:dyDescent="0.25">
      <c r="D1198" s="538"/>
      <c r="G1198" s="538"/>
      <c r="J1198" s="538"/>
      <c r="M1198" s="538"/>
      <c r="R1198" s="538"/>
      <c r="S1198" s="343"/>
      <c r="T1198" s="343"/>
      <c r="U1198" s="538"/>
      <c r="V1198" s="343"/>
      <c r="W1198" s="343"/>
      <c r="X1198" s="538"/>
      <c r="Y1198" s="343"/>
      <c r="Z1198" s="343"/>
      <c r="AA1198" s="538"/>
      <c r="AB1198" s="343"/>
      <c r="AC1198" s="343"/>
      <c r="AE1198" s="343"/>
      <c r="AF1198" s="538"/>
      <c r="AG1198" s="343"/>
      <c r="AH1198" s="343"/>
      <c r="AI1198" s="538"/>
      <c r="AJ1198" s="343"/>
      <c r="AK1198" s="343"/>
      <c r="AL1198" s="538"/>
      <c r="AM1198" s="343"/>
      <c r="AN1198" s="343"/>
      <c r="AO1198" s="538"/>
      <c r="AP1198" s="343"/>
      <c r="AQ1198" s="343"/>
      <c r="AS1198" s="343"/>
      <c r="AT1198" s="538"/>
      <c r="AU1198" s="343"/>
      <c r="AV1198" s="343"/>
      <c r="AW1198" s="538"/>
      <c r="AX1198" s="343"/>
      <c r="AY1198" s="343"/>
      <c r="AZ1198" s="538"/>
      <c r="BA1198" s="343"/>
      <c r="BB1198" s="343"/>
      <c r="BC1198" s="538"/>
      <c r="BD1198" s="343"/>
      <c r="BE1198" s="343"/>
      <c r="BG1198" s="644"/>
      <c r="BH1198" s="515"/>
      <c r="BI1198" s="515"/>
      <c r="BJ1198" s="644"/>
      <c r="BK1198" s="515"/>
      <c r="BL1198" s="515"/>
      <c r="BM1198" s="644"/>
      <c r="BN1198" s="515"/>
      <c r="BO1198" s="515"/>
      <c r="BP1198" s="644"/>
      <c r="BQ1198" s="515"/>
      <c r="BR1198" s="515"/>
    </row>
    <row r="1199" spans="4:70" x14ac:dyDescent="0.25">
      <c r="D1199" s="538"/>
      <c r="G1199" s="538"/>
      <c r="J1199" s="538"/>
      <c r="M1199" s="538"/>
      <c r="R1199" s="538"/>
      <c r="S1199" s="343"/>
      <c r="T1199" s="343"/>
      <c r="U1199" s="538"/>
      <c r="V1199" s="343"/>
      <c r="W1199" s="343"/>
      <c r="X1199" s="538"/>
      <c r="Y1199" s="343"/>
      <c r="Z1199" s="343"/>
      <c r="AA1199" s="538"/>
      <c r="AB1199" s="343"/>
      <c r="AC1199" s="343"/>
      <c r="AE1199" s="343"/>
      <c r="AF1199" s="538"/>
      <c r="AG1199" s="343"/>
      <c r="AH1199" s="343"/>
      <c r="AI1199" s="538"/>
      <c r="AJ1199" s="343"/>
      <c r="AK1199" s="343"/>
      <c r="AL1199" s="538"/>
      <c r="AM1199" s="343"/>
      <c r="AN1199" s="343"/>
      <c r="AO1199" s="538"/>
      <c r="AP1199" s="343"/>
      <c r="AQ1199" s="343"/>
      <c r="AS1199" s="343"/>
      <c r="AT1199" s="538"/>
      <c r="AU1199" s="343"/>
      <c r="AV1199" s="343"/>
      <c r="AW1199" s="538"/>
      <c r="AX1199" s="343"/>
      <c r="AY1199" s="343"/>
      <c r="AZ1199" s="538"/>
      <c r="BA1199" s="343"/>
      <c r="BB1199" s="343"/>
      <c r="BC1199" s="538"/>
      <c r="BD1199" s="343"/>
      <c r="BE1199" s="343"/>
      <c r="BG1199" s="644"/>
      <c r="BH1199" s="515"/>
      <c r="BI1199" s="515"/>
      <c r="BJ1199" s="644"/>
      <c r="BK1199" s="515"/>
      <c r="BL1199" s="515"/>
      <c r="BM1199" s="644"/>
      <c r="BN1199" s="515"/>
      <c r="BO1199" s="515"/>
      <c r="BP1199" s="644"/>
      <c r="BQ1199" s="515"/>
      <c r="BR1199" s="515"/>
    </row>
    <row r="1200" spans="4:70" x14ac:dyDescent="0.25">
      <c r="D1200" s="538"/>
      <c r="G1200" s="538"/>
      <c r="J1200" s="538"/>
      <c r="M1200" s="538"/>
      <c r="R1200" s="538"/>
      <c r="S1200" s="343"/>
      <c r="T1200" s="343"/>
      <c r="U1200" s="538"/>
      <c r="V1200" s="343"/>
      <c r="W1200" s="343"/>
      <c r="X1200" s="538"/>
      <c r="Y1200" s="343"/>
      <c r="Z1200" s="343"/>
      <c r="AA1200" s="538"/>
      <c r="AB1200" s="343"/>
      <c r="AC1200" s="343"/>
      <c r="AE1200" s="343"/>
      <c r="AF1200" s="538"/>
      <c r="AG1200" s="343"/>
      <c r="AH1200" s="343"/>
      <c r="AI1200" s="538"/>
      <c r="AJ1200" s="343"/>
      <c r="AK1200" s="343"/>
      <c r="AL1200" s="538"/>
      <c r="AM1200" s="343"/>
      <c r="AN1200" s="343"/>
      <c r="AO1200" s="538"/>
      <c r="AP1200" s="343"/>
      <c r="AQ1200" s="343"/>
      <c r="AS1200" s="343"/>
      <c r="AT1200" s="538"/>
      <c r="AU1200" s="343"/>
      <c r="AV1200" s="343"/>
      <c r="AW1200" s="538"/>
      <c r="AX1200" s="343"/>
      <c r="AY1200" s="343"/>
      <c r="AZ1200" s="538"/>
      <c r="BA1200" s="343"/>
      <c r="BB1200" s="343"/>
      <c r="BC1200" s="538"/>
      <c r="BD1200" s="343"/>
      <c r="BE1200" s="343"/>
      <c r="BG1200" s="644"/>
      <c r="BH1200" s="515"/>
      <c r="BI1200" s="515"/>
      <c r="BJ1200" s="644"/>
      <c r="BK1200" s="515"/>
      <c r="BL1200" s="515"/>
      <c r="BM1200" s="644"/>
      <c r="BN1200" s="515"/>
      <c r="BO1200" s="515"/>
      <c r="BP1200" s="644"/>
      <c r="BQ1200" s="515"/>
      <c r="BR1200" s="515"/>
    </row>
    <row r="1201" spans="4:70" x14ac:dyDescent="0.25">
      <c r="D1201" s="538"/>
      <c r="G1201" s="538"/>
      <c r="J1201" s="538"/>
      <c r="M1201" s="538"/>
      <c r="R1201" s="538"/>
      <c r="S1201" s="343"/>
      <c r="T1201" s="343"/>
      <c r="U1201" s="538"/>
      <c r="V1201" s="343"/>
      <c r="W1201" s="343"/>
      <c r="X1201" s="538"/>
      <c r="Y1201" s="343"/>
      <c r="Z1201" s="343"/>
      <c r="AA1201" s="538"/>
      <c r="AB1201" s="343"/>
      <c r="AC1201" s="343"/>
      <c r="AE1201" s="343"/>
      <c r="AF1201" s="538"/>
      <c r="AG1201" s="343"/>
      <c r="AH1201" s="343"/>
      <c r="AI1201" s="538"/>
      <c r="AJ1201" s="343"/>
      <c r="AK1201" s="343"/>
      <c r="AL1201" s="538"/>
      <c r="AM1201" s="343"/>
      <c r="AN1201" s="343"/>
      <c r="AO1201" s="538"/>
      <c r="AP1201" s="343"/>
      <c r="AQ1201" s="343"/>
      <c r="AS1201" s="343"/>
      <c r="AT1201" s="538"/>
      <c r="AU1201" s="343"/>
      <c r="AV1201" s="343"/>
      <c r="AW1201" s="538"/>
      <c r="AX1201" s="343"/>
      <c r="AY1201" s="343"/>
      <c r="AZ1201" s="538"/>
      <c r="BA1201" s="343"/>
      <c r="BB1201" s="343"/>
      <c r="BC1201" s="538"/>
      <c r="BD1201" s="343"/>
      <c r="BE1201" s="343"/>
      <c r="BG1201" s="644"/>
      <c r="BH1201" s="515"/>
      <c r="BI1201" s="515"/>
      <c r="BJ1201" s="644"/>
      <c r="BK1201" s="515"/>
      <c r="BL1201" s="515"/>
      <c r="BM1201" s="644"/>
      <c r="BN1201" s="515"/>
      <c r="BO1201" s="515"/>
      <c r="BP1201" s="644"/>
      <c r="BQ1201" s="515"/>
      <c r="BR1201" s="515"/>
    </row>
    <row r="1202" spans="4:70" x14ac:dyDescent="0.25">
      <c r="D1202" s="538"/>
      <c r="G1202" s="538"/>
      <c r="J1202" s="538"/>
      <c r="M1202" s="538"/>
      <c r="R1202" s="538"/>
      <c r="S1202" s="343"/>
      <c r="T1202" s="343"/>
      <c r="U1202" s="538"/>
      <c r="V1202" s="343"/>
      <c r="W1202" s="343"/>
      <c r="X1202" s="538"/>
      <c r="Y1202" s="343"/>
      <c r="Z1202" s="343"/>
      <c r="AA1202" s="538"/>
      <c r="AB1202" s="343"/>
      <c r="AC1202" s="343"/>
      <c r="AE1202" s="343"/>
      <c r="AF1202" s="538"/>
      <c r="AG1202" s="343"/>
      <c r="AH1202" s="343"/>
      <c r="AI1202" s="538"/>
      <c r="AJ1202" s="343"/>
      <c r="AK1202" s="343"/>
      <c r="AL1202" s="538"/>
      <c r="AM1202" s="343"/>
      <c r="AN1202" s="343"/>
      <c r="AO1202" s="538"/>
      <c r="AP1202" s="343"/>
      <c r="AQ1202" s="343"/>
      <c r="AS1202" s="343"/>
      <c r="AT1202" s="538"/>
      <c r="AU1202" s="343"/>
      <c r="AV1202" s="343"/>
      <c r="AW1202" s="538"/>
      <c r="AX1202" s="343"/>
      <c r="AY1202" s="343"/>
      <c r="AZ1202" s="538"/>
      <c r="BA1202" s="343"/>
      <c r="BB1202" s="343"/>
      <c r="BC1202" s="538"/>
      <c r="BD1202" s="343"/>
      <c r="BE1202" s="343"/>
      <c r="BG1202" s="644"/>
      <c r="BH1202" s="515"/>
      <c r="BI1202" s="515"/>
      <c r="BJ1202" s="644"/>
      <c r="BK1202" s="515"/>
      <c r="BL1202" s="515"/>
      <c r="BM1202" s="644"/>
      <c r="BN1202" s="515"/>
      <c r="BO1202" s="515"/>
      <c r="BP1202" s="644"/>
      <c r="BQ1202" s="515"/>
      <c r="BR1202" s="515"/>
    </row>
    <row r="1203" spans="4:70" x14ac:dyDescent="0.25">
      <c r="D1203" s="538"/>
      <c r="G1203" s="538"/>
      <c r="J1203" s="538"/>
      <c r="M1203" s="538"/>
      <c r="R1203" s="538"/>
      <c r="S1203" s="343"/>
      <c r="T1203" s="343"/>
      <c r="U1203" s="538"/>
      <c r="V1203" s="343"/>
      <c r="W1203" s="343"/>
      <c r="X1203" s="538"/>
      <c r="Y1203" s="343"/>
      <c r="Z1203" s="343"/>
      <c r="AA1203" s="538"/>
      <c r="AB1203" s="343"/>
      <c r="AC1203" s="343"/>
      <c r="AE1203" s="343"/>
      <c r="AF1203" s="538"/>
      <c r="AG1203" s="343"/>
      <c r="AH1203" s="343"/>
      <c r="AI1203" s="538"/>
      <c r="AJ1203" s="343"/>
      <c r="AK1203" s="343"/>
      <c r="AL1203" s="538"/>
      <c r="AM1203" s="343"/>
      <c r="AN1203" s="343"/>
      <c r="AO1203" s="538"/>
      <c r="AP1203" s="343"/>
      <c r="AQ1203" s="343"/>
      <c r="AS1203" s="343"/>
      <c r="AT1203" s="538"/>
      <c r="AU1203" s="343"/>
      <c r="AV1203" s="343"/>
      <c r="AW1203" s="538"/>
      <c r="AX1203" s="343"/>
      <c r="AY1203" s="343"/>
      <c r="AZ1203" s="538"/>
      <c r="BA1203" s="343"/>
      <c r="BB1203" s="343"/>
      <c r="BC1203" s="538"/>
      <c r="BD1203" s="343"/>
      <c r="BE1203" s="343"/>
      <c r="BG1203" s="644"/>
      <c r="BH1203" s="515"/>
      <c r="BI1203" s="515"/>
      <c r="BJ1203" s="644"/>
      <c r="BK1203" s="515"/>
      <c r="BL1203" s="515"/>
      <c r="BM1203" s="644"/>
      <c r="BN1203" s="515"/>
      <c r="BO1203" s="515"/>
      <c r="BP1203" s="644"/>
      <c r="BQ1203" s="515"/>
      <c r="BR1203" s="515"/>
    </row>
    <row r="1204" spans="4:70" x14ac:dyDescent="0.25">
      <c r="D1204" s="538"/>
      <c r="G1204" s="538"/>
      <c r="J1204" s="538"/>
      <c r="M1204" s="538"/>
      <c r="R1204" s="538"/>
      <c r="S1204" s="343"/>
      <c r="T1204" s="343"/>
      <c r="U1204" s="538"/>
      <c r="V1204" s="343"/>
      <c r="W1204" s="343"/>
      <c r="X1204" s="538"/>
      <c r="Y1204" s="343"/>
      <c r="Z1204" s="343"/>
      <c r="AA1204" s="538"/>
      <c r="AB1204" s="343"/>
      <c r="AC1204" s="343"/>
      <c r="AE1204" s="343"/>
      <c r="AF1204" s="538"/>
      <c r="AG1204" s="343"/>
      <c r="AH1204" s="343"/>
      <c r="AI1204" s="538"/>
      <c r="AJ1204" s="343"/>
      <c r="AK1204" s="343"/>
      <c r="AL1204" s="538"/>
      <c r="AM1204" s="343"/>
      <c r="AN1204" s="343"/>
      <c r="AO1204" s="538"/>
      <c r="AP1204" s="343"/>
      <c r="AQ1204" s="343"/>
      <c r="AS1204" s="343"/>
      <c r="AT1204" s="538"/>
      <c r="AU1204" s="343"/>
      <c r="AV1204" s="343"/>
      <c r="AW1204" s="538"/>
      <c r="AX1204" s="343"/>
      <c r="AY1204" s="343"/>
      <c r="AZ1204" s="538"/>
      <c r="BA1204" s="343"/>
      <c r="BB1204" s="343"/>
      <c r="BC1204" s="538"/>
      <c r="BD1204" s="343"/>
      <c r="BE1204" s="343"/>
      <c r="BG1204" s="644"/>
      <c r="BH1204" s="515"/>
      <c r="BI1204" s="515"/>
      <c r="BJ1204" s="644"/>
      <c r="BK1204" s="515"/>
      <c r="BL1204" s="515"/>
      <c r="BM1204" s="644"/>
      <c r="BN1204" s="515"/>
      <c r="BO1204" s="515"/>
      <c r="BP1204" s="644"/>
      <c r="BQ1204" s="515"/>
      <c r="BR1204" s="515"/>
    </row>
    <row r="1205" spans="4:70" x14ac:dyDescent="0.25">
      <c r="D1205" s="538"/>
      <c r="G1205" s="538"/>
      <c r="J1205" s="538"/>
      <c r="M1205" s="538"/>
      <c r="R1205" s="538"/>
      <c r="S1205" s="343"/>
      <c r="T1205" s="343"/>
      <c r="U1205" s="538"/>
      <c r="V1205" s="343"/>
      <c r="W1205" s="343"/>
      <c r="X1205" s="538"/>
      <c r="Y1205" s="343"/>
      <c r="Z1205" s="343"/>
      <c r="AA1205" s="538"/>
      <c r="AB1205" s="343"/>
      <c r="AC1205" s="343"/>
      <c r="AE1205" s="343"/>
      <c r="AF1205" s="538"/>
      <c r="AG1205" s="343"/>
      <c r="AH1205" s="343"/>
      <c r="AI1205" s="538"/>
      <c r="AJ1205" s="343"/>
      <c r="AK1205" s="343"/>
      <c r="AL1205" s="538"/>
      <c r="AM1205" s="343"/>
      <c r="AN1205" s="343"/>
      <c r="AO1205" s="538"/>
      <c r="AP1205" s="343"/>
      <c r="AQ1205" s="343"/>
      <c r="AS1205" s="343"/>
      <c r="AT1205" s="538"/>
      <c r="AU1205" s="343"/>
      <c r="AV1205" s="343"/>
      <c r="AW1205" s="538"/>
      <c r="AX1205" s="343"/>
      <c r="AY1205" s="343"/>
      <c r="AZ1205" s="538"/>
      <c r="BA1205" s="343"/>
      <c r="BB1205" s="343"/>
      <c r="BC1205" s="538"/>
      <c r="BD1205" s="343"/>
      <c r="BE1205" s="343"/>
      <c r="BG1205" s="644"/>
      <c r="BH1205" s="515"/>
      <c r="BI1205" s="515"/>
      <c r="BJ1205" s="644"/>
      <c r="BK1205" s="515"/>
      <c r="BL1205" s="515"/>
      <c r="BM1205" s="644"/>
      <c r="BN1205" s="515"/>
      <c r="BO1205" s="515"/>
      <c r="BP1205" s="644"/>
      <c r="BQ1205" s="515"/>
      <c r="BR1205" s="515"/>
    </row>
    <row r="1206" spans="4:70" x14ac:dyDescent="0.25">
      <c r="D1206" s="538"/>
      <c r="G1206" s="538"/>
      <c r="J1206" s="538"/>
      <c r="M1206" s="538"/>
      <c r="R1206" s="538"/>
      <c r="S1206" s="343"/>
      <c r="T1206" s="343"/>
      <c r="U1206" s="538"/>
      <c r="V1206" s="343"/>
      <c r="W1206" s="343"/>
      <c r="X1206" s="538"/>
      <c r="Y1206" s="343"/>
      <c r="Z1206" s="343"/>
      <c r="AA1206" s="538"/>
      <c r="AB1206" s="343"/>
      <c r="AC1206" s="343"/>
      <c r="AE1206" s="343"/>
      <c r="AF1206" s="538"/>
      <c r="AG1206" s="343"/>
      <c r="AH1206" s="343"/>
      <c r="AI1206" s="538"/>
      <c r="AJ1206" s="343"/>
      <c r="AK1206" s="343"/>
      <c r="AL1206" s="538"/>
      <c r="AM1206" s="343"/>
      <c r="AN1206" s="343"/>
      <c r="AO1206" s="538"/>
      <c r="AP1206" s="343"/>
      <c r="AQ1206" s="343"/>
      <c r="AS1206" s="343"/>
      <c r="AT1206" s="538"/>
      <c r="AU1206" s="343"/>
      <c r="AV1206" s="343"/>
      <c r="AW1206" s="538"/>
      <c r="AX1206" s="343"/>
      <c r="AY1206" s="343"/>
      <c r="AZ1206" s="538"/>
      <c r="BA1206" s="343"/>
      <c r="BB1206" s="343"/>
      <c r="BC1206" s="538"/>
      <c r="BD1206" s="343"/>
      <c r="BE1206" s="343"/>
      <c r="BG1206" s="644"/>
      <c r="BH1206" s="515"/>
      <c r="BI1206" s="515"/>
      <c r="BJ1206" s="644"/>
      <c r="BK1206" s="515"/>
      <c r="BL1206" s="515"/>
      <c r="BM1206" s="644"/>
      <c r="BN1206" s="515"/>
      <c r="BO1206" s="515"/>
      <c r="BP1206" s="644"/>
      <c r="BQ1206" s="515"/>
      <c r="BR1206" s="515"/>
    </row>
    <row r="1207" spans="4:70" x14ac:dyDescent="0.25">
      <c r="D1207" s="538"/>
      <c r="G1207" s="538"/>
      <c r="J1207" s="538"/>
      <c r="M1207" s="538"/>
      <c r="R1207" s="538"/>
      <c r="S1207" s="343"/>
      <c r="T1207" s="343"/>
      <c r="U1207" s="538"/>
      <c r="V1207" s="343"/>
      <c r="W1207" s="343"/>
      <c r="X1207" s="538"/>
      <c r="Y1207" s="343"/>
      <c r="Z1207" s="343"/>
      <c r="AA1207" s="538"/>
      <c r="AB1207" s="343"/>
      <c r="AC1207" s="343"/>
      <c r="AE1207" s="343"/>
      <c r="AF1207" s="538"/>
      <c r="AG1207" s="343"/>
      <c r="AH1207" s="343"/>
      <c r="AI1207" s="538"/>
      <c r="AJ1207" s="343"/>
      <c r="AK1207" s="343"/>
      <c r="AL1207" s="538"/>
      <c r="AM1207" s="343"/>
      <c r="AN1207" s="343"/>
      <c r="AO1207" s="538"/>
      <c r="AP1207" s="343"/>
      <c r="AQ1207" s="343"/>
      <c r="AS1207" s="343"/>
      <c r="AT1207" s="538"/>
      <c r="AU1207" s="343"/>
      <c r="AV1207" s="343"/>
      <c r="AW1207" s="538"/>
      <c r="AX1207" s="343"/>
      <c r="AY1207" s="343"/>
      <c r="AZ1207" s="538"/>
      <c r="BA1207" s="343"/>
      <c r="BB1207" s="343"/>
      <c r="BC1207" s="538"/>
      <c r="BD1207" s="343"/>
      <c r="BE1207" s="343"/>
      <c r="BG1207" s="644"/>
      <c r="BH1207" s="515"/>
      <c r="BI1207" s="515"/>
      <c r="BJ1207" s="644"/>
      <c r="BK1207" s="515"/>
      <c r="BL1207" s="515"/>
      <c r="BM1207" s="644"/>
      <c r="BN1207" s="515"/>
      <c r="BO1207" s="515"/>
      <c r="BP1207" s="644"/>
      <c r="BQ1207" s="515"/>
      <c r="BR1207" s="515"/>
    </row>
    <row r="1208" spans="4:70" x14ac:dyDescent="0.25">
      <c r="D1208" s="538"/>
      <c r="G1208" s="538"/>
      <c r="J1208" s="538"/>
      <c r="M1208" s="538"/>
      <c r="R1208" s="538"/>
      <c r="S1208" s="343"/>
      <c r="T1208" s="343"/>
      <c r="U1208" s="538"/>
      <c r="V1208" s="343"/>
      <c r="W1208" s="343"/>
      <c r="X1208" s="538"/>
      <c r="Y1208" s="343"/>
      <c r="Z1208" s="343"/>
      <c r="AA1208" s="538"/>
      <c r="AB1208" s="343"/>
      <c r="AC1208" s="343"/>
      <c r="AE1208" s="343"/>
      <c r="AF1208" s="538"/>
      <c r="AG1208" s="343"/>
      <c r="AH1208" s="343"/>
      <c r="AI1208" s="538"/>
      <c r="AJ1208" s="343"/>
      <c r="AK1208" s="343"/>
      <c r="AL1208" s="538"/>
      <c r="AM1208" s="343"/>
      <c r="AN1208" s="343"/>
      <c r="AO1208" s="538"/>
      <c r="AP1208" s="343"/>
      <c r="AQ1208" s="343"/>
      <c r="AS1208" s="343"/>
      <c r="AT1208" s="538"/>
      <c r="AU1208" s="343"/>
      <c r="AV1208" s="343"/>
      <c r="AW1208" s="538"/>
      <c r="AX1208" s="343"/>
      <c r="AY1208" s="343"/>
      <c r="AZ1208" s="538"/>
      <c r="BA1208" s="343"/>
      <c r="BB1208" s="343"/>
      <c r="BC1208" s="538"/>
      <c r="BD1208" s="343"/>
      <c r="BE1208" s="343"/>
      <c r="BG1208" s="644"/>
      <c r="BH1208" s="515"/>
      <c r="BI1208" s="515"/>
      <c r="BJ1208" s="644"/>
      <c r="BK1208" s="515"/>
      <c r="BL1208" s="515"/>
      <c r="BM1208" s="644"/>
      <c r="BN1208" s="515"/>
      <c r="BO1208" s="515"/>
      <c r="BP1208" s="644"/>
      <c r="BQ1208" s="515"/>
      <c r="BR1208" s="515"/>
    </row>
    <row r="1209" spans="4:70" x14ac:dyDescent="0.25">
      <c r="D1209" s="538"/>
      <c r="G1209" s="538"/>
      <c r="J1209" s="538"/>
      <c r="M1209" s="538"/>
      <c r="R1209" s="538"/>
      <c r="S1209" s="343"/>
      <c r="T1209" s="343"/>
      <c r="U1209" s="538"/>
      <c r="V1209" s="343"/>
      <c r="W1209" s="343"/>
      <c r="X1209" s="538"/>
      <c r="Y1209" s="343"/>
      <c r="Z1209" s="343"/>
      <c r="AA1209" s="538"/>
      <c r="AB1209" s="343"/>
      <c r="AC1209" s="343"/>
      <c r="AE1209" s="343"/>
      <c r="AF1209" s="538"/>
      <c r="AG1209" s="343"/>
      <c r="AH1209" s="343"/>
      <c r="AI1209" s="538"/>
      <c r="AJ1209" s="343"/>
      <c r="AK1209" s="343"/>
      <c r="AL1209" s="538"/>
      <c r="AM1209" s="343"/>
      <c r="AN1209" s="343"/>
      <c r="AO1209" s="538"/>
      <c r="AP1209" s="343"/>
      <c r="AQ1209" s="343"/>
      <c r="AS1209" s="343"/>
      <c r="AT1209" s="538"/>
      <c r="AU1209" s="343"/>
      <c r="AV1209" s="343"/>
      <c r="AW1209" s="538"/>
      <c r="AX1209" s="343"/>
      <c r="AY1209" s="343"/>
      <c r="AZ1209" s="538"/>
      <c r="BA1209" s="343"/>
      <c r="BB1209" s="343"/>
      <c r="BC1209" s="538"/>
      <c r="BD1209" s="343"/>
      <c r="BE1209" s="343"/>
      <c r="BG1209" s="644"/>
      <c r="BH1209" s="515"/>
      <c r="BI1209" s="515"/>
      <c r="BJ1209" s="644"/>
      <c r="BK1209" s="515"/>
      <c r="BL1209" s="515"/>
      <c r="BM1209" s="644"/>
      <c r="BN1209" s="515"/>
      <c r="BO1209" s="515"/>
      <c r="BP1209" s="644"/>
      <c r="BQ1209" s="515"/>
      <c r="BR1209" s="515"/>
    </row>
    <row r="1210" spans="4:70" x14ac:dyDescent="0.25">
      <c r="D1210" s="538"/>
      <c r="G1210" s="538"/>
      <c r="J1210" s="538"/>
      <c r="M1210" s="538"/>
      <c r="R1210" s="538"/>
      <c r="S1210" s="343"/>
      <c r="T1210" s="343"/>
      <c r="U1210" s="538"/>
      <c r="V1210" s="343"/>
      <c r="W1210" s="343"/>
      <c r="X1210" s="538"/>
      <c r="Y1210" s="343"/>
      <c r="Z1210" s="343"/>
      <c r="AA1210" s="538"/>
      <c r="AB1210" s="343"/>
      <c r="AC1210" s="343"/>
      <c r="AE1210" s="343"/>
      <c r="AF1210" s="538"/>
      <c r="AG1210" s="343"/>
      <c r="AH1210" s="343"/>
      <c r="AI1210" s="538"/>
      <c r="AJ1210" s="343"/>
      <c r="AK1210" s="343"/>
      <c r="AL1210" s="538"/>
      <c r="AM1210" s="343"/>
      <c r="AN1210" s="343"/>
      <c r="AO1210" s="538"/>
      <c r="AP1210" s="343"/>
      <c r="AQ1210" s="343"/>
      <c r="AS1210" s="343"/>
      <c r="AT1210" s="538"/>
      <c r="AU1210" s="343"/>
      <c r="AV1210" s="343"/>
      <c r="AW1210" s="538"/>
      <c r="AX1210" s="343"/>
      <c r="AY1210" s="343"/>
      <c r="AZ1210" s="538"/>
      <c r="BA1210" s="343"/>
      <c r="BB1210" s="343"/>
      <c r="BC1210" s="538"/>
      <c r="BD1210" s="343"/>
      <c r="BE1210" s="343"/>
      <c r="BG1210" s="644"/>
      <c r="BH1210" s="515"/>
      <c r="BI1210" s="515"/>
      <c r="BJ1210" s="644"/>
      <c r="BK1210" s="515"/>
      <c r="BL1210" s="515"/>
      <c r="BM1210" s="644"/>
      <c r="BN1210" s="515"/>
      <c r="BO1210" s="515"/>
      <c r="BP1210" s="644"/>
      <c r="BQ1210" s="515"/>
      <c r="BR1210" s="515"/>
    </row>
    <row r="1211" spans="4:70" x14ac:dyDescent="0.25">
      <c r="D1211" s="538"/>
      <c r="G1211" s="538"/>
      <c r="J1211" s="538"/>
      <c r="M1211" s="538"/>
      <c r="R1211" s="538"/>
      <c r="S1211" s="343"/>
      <c r="T1211" s="343"/>
      <c r="U1211" s="538"/>
      <c r="V1211" s="343"/>
      <c r="W1211" s="343"/>
      <c r="X1211" s="538"/>
      <c r="Y1211" s="343"/>
      <c r="Z1211" s="343"/>
      <c r="AA1211" s="538"/>
      <c r="AB1211" s="343"/>
      <c r="AC1211" s="343"/>
      <c r="AE1211" s="343"/>
      <c r="AF1211" s="538"/>
      <c r="AG1211" s="343"/>
      <c r="AH1211" s="343"/>
      <c r="AI1211" s="538"/>
      <c r="AJ1211" s="343"/>
      <c r="AK1211" s="343"/>
      <c r="AL1211" s="538"/>
      <c r="AM1211" s="343"/>
      <c r="AN1211" s="343"/>
      <c r="AO1211" s="538"/>
      <c r="AP1211" s="343"/>
      <c r="AQ1211" s="343"/>
      <c r="AS1211" s="343"/>
      <c r="AT1211" s="538"/>
      <c r="AU1211" s="343"/>
      <c r="AV1211" s="343"/>
      <c r="AW1211" s="538"/>
      <c r="AX1211" s="343"/>
      <c r="AY1211" s="343"/>
      <c r="AZ1211" s="538"/>
      <c r="BA1211" s="343"/>
      <c r="BB1211" s="343"/>
      <c r="BC1211" s="538"/>
      <c r="BD1211" s="343"/>
      <c r="BE1211" s="343"/>
      <c r="BG1211" s="644"/>
      <c r="BH1211" s="515"/>
      <c r="BI1211" s="515"/>
      <c r="BJ1211" s="644"/>
      <c r="BK1211" s="515"/>
      <c r="BL1211" s="515"/>
      <c r="BM1211" s="644"/>
      <c r="BN1211" s="515"/>
      <c r="BO1211" s="515"/>
      <c r="BP1211" s="644"/>
      <c r="BQ1211" s="515"/>
      <c r="BR1211" s="515"/>
    </row>
    <row r="1212" spans="4:70" x14ac:dyDescent="0.25">
      <c r="D1212" s="538"/>
      <c r="G1212" s="538"/>
      <c r="J1212" s="538"/>
      <c r="M1212" s="538"/>
      <c r="R1212" s="538"/>
      <c r="S1212" s="343"/>
      <c r="T1212" s="343"/>
      <c r="U1212" s="538"/>
      <c r="V1212" s="343"/>
      <c r="W1212" s="343"/>
      <c r="X1212" s="538"/>
      <c r="Y1212" s="343"/>
      <c r="Z1212" s="343"/>
      <c r="AA1212" s="538"/>
      <c r="AB1212" s="343"/>
      <c r="AC1212" s="343"/>
      <c r="AE1212" s="343"/>
      <c r="AF1212" s="538"/>
      <c r="AG1212" s="343"/>
      <c r="AH1212" s="343"/>
      <c r="AI1212" s="538"/>
      <c r="AJ1212" s="343"/>
      <c r="AK1212" s="343"/>
      <c r="AL1212" s="538"/>
      <c r="AM1212" s="343"/>
      <c r="AN1212" s="343"/>
      <c r="AO1212" s="538"/>
      <c r="AP1212" s="343"/>
      <c r="AQ1212" s="343"/>
      <c r="AS1212" s="343"/>
      <c r="AT1212" s="538"/>
      <c r="AU1212" s="343"/>
      <c r="AV1212" s="343"/>
      <c r="AW1212" s="538"/>
      <c r="AX1212" s="343"/>
      <c r="AY1212" s="343"/>
      <c r="AZ1212" s="538"/>
      <c r="BA1212" s="343"/>
      <c r="BB1212" s="343"/>
      <c r="BC1212" s="538"/>
      <c r="BD1212" s="343"/>
      <c r="BE1212" s="343"/>
      <c r="BG1212" s="644"/>
      <c r="BH1212" s="515"/>
      <c r="BI1212" s="515"/>
      <c r="BJ1212" s="644"/>
      <c r="BK1212" s="515"/>
      <c r="BL1212" s="515"/>
      <c r="BM1212" s="644"/>
      <c r="BN1212" s="515"/>
      <c r="BO1212" s="515"/>
      <c r="BP1212" s="644"/>
      <c r="BQ1212" s="515"/>
      <c r="BR1212" s="515"/>
    </row>
    <row r="1213" spans="4:70" x14ac:dyDescent="0.25">
      <c r="D1213" s="538"/>
      <c r="G1213" s="538"/>
      <c r="J1213" s="538"/>
      <c r="M1213" s="538"/>
      <c r="R1213" s="538"/>
      <c r="S1213" s="343"/>
      <c r="T1213" s="343"/>
      <c r="U1213" s="538"/>
      <c r="V1213" s="343"/>
      <c r="W1213" s="343"/>
      <c r="X1213" s="538"/>
      <c r="Y1213" s="343"/>
      <c r="Z1213" s="343"/>
      <c r="AA1213" s="538"/>
      <c r="AB1213" s="343"/>
      <c r="AC1213" s="343"/>
      <c r="AE1213" s="343"/>
      <c r="AF1213" s="538"/>
      <c r="AG1213" s="343"/>
      <c r="AH1213" s="343"/>
      <c r="AI1213" s="538"/>
      <c r="AJ1213" s="343"/>
      <c r="AK1213" s="343"/>
      <c r="AL1213" s="538"/>
      <c r="AM1213" s="343"/>
      <c r="AN1213" s="343"/>
      <c r="AO1213" s="538"/>
      <c r="AP1213" s="343"/>
      <c r="AQ1213" s="343"/>
      <c r="AS1213" s="343"/>
      <c r="AT1213" s="538"/>
      <c r="AU1213" s="343"/>
      <c r="AV1213" s="343"/>
      <c r="AW1213" s="538"/>
      <c r="AX1213" s="343"/>
      <c r="AY1213" s="343"/>
      <c r="AZ1213" s="538"/>
      <c r="BA1213" s="343"/>
      <c r="BB1213" s="343"/>
      <c r="BC1213" s="538"/>
      <c r="BD1213" s="343"/>
      <c r="BE1213" s="343"/>
      <c r="BG1213" s="644"/>
      <c r="BH1213" s="515"/>
      <c r="BI1213" s="515"/>
      <c r="BJ1213" s="644"/>
      <c r="BK1213" s="515"/>
      <c r="BL1213" s="515"/>
      <c r="BM1213" s="644"/>
      <c r="BN1213" s="515"/>
      <c r="BO1213" s="515"/>
      <c r="BP1213" s="644"/>
      <c r="BQ1213" s="515"/>
      <c r="BR1213" s="515"/>
    </row>
    <row r="1214" spans="4:70" x14ac:dyDescent="0.25">
      <c r="D1214" s="538"/>
      <c r="G1214" s="538"/>
      <c r="J1214" s="538"/>
      <c r="M1214" s="538"/>
      <c r="R1214" s="538"/>
      <c r="S1214" s="343"/>
      <c r="T1214" s="343"/>
      <c r="U1214" s="538"/>
      <c r="V1214" s="343"/>
      <c r="W1214" s="343"/>
      <c r="X1214" s="538"/>
      <c r="Y1214" s="343"/>
      <c r="Z1214" s="343"/>
      <c r="AA1214" s="538"/>
      <c r="AB1214" s="343"/>
      <c r="AC1214" s="343"/>
      <c r="AE1214" s="343"/>
      <c r="AF1214" s="538"/>
      <c r="AG1214" s="343"/>
      <c r="AH1214" s="343"/>
      <c r="AI1214" s="538"/>
      <c r="AJ1214" s="343"/>
      <c r="AK1214" s="343"/>
      <c r="AL1214" s="538"/>
      <c r="AM1214" s="343"/>
      <c r="AN1214" s="343"/>
      <c r="AO1214" s="538"/>
      <c r="AP1214" s="343"/>
      <c r="AQ1214" s="343"/>
      <c r="AS1214" s="343"/>
      <c r="AT1214" s="538"/>
      <c r="AU1214" s="343"/>
      <c r="AV1214" s="343"/>
      <c r="AW1214" s="538"/>
      <c r="AX1214" s="343"/>
      <c r="AY1214" s="343"/>
      <c r="AZ1214" s="538"/>
      <c r="BA1214" s="343"/>
      <c r="BB1214" s="343"/>
      <c r="BC1214" s="538"/>
      <c r="BD1214" s="343"/>
      <c r="BE1214" s="343"/>
      <c r="BG1214" s="644"/>
      <c r="BH1214" s="515"/>
      <c r="BI1214" s="515"/>
      <c r="BJ1214" s="644"/>
      <c r="BK1214" s="515"/>
      <c r="BL1214" s="515"/>
      <c r="BM1214" s="644"/>
      <c r="BN1214" s="515"/>
      <c r="BO1214" s="515"/>
      <c r="BP1214" s="644"/>
      <c r="BQ1214" s="515"/>
      <c r="BR1214" s="515"/>
    </row>
    <row r="1215" spans="4:70" x14ac:dyDescent="0.25">
      <c r="D1215" s="538"/>
      <c r="G1215" s="538"/>
      <c r="J1215" s="538"/>
      <c r="M1215" s="538"/>
      <c r="R1215" s="538"/>
      <c r="S1215" s="343"/>
      <c r="T1215" s="343"/>
      <c r="U1215" s="538"/>
      <c r="V1215" s="343"/>
      <c r="W1215" s="343"/>
      <c r="X1215" s="538"/>
      <c r="Y1215" s="343"/>
      <c r="Z1215" s="343"/>
      <c r="AA1215" s="538"/>
      <c r="AB1215" s="343"/>
      <c r="AC1215" s="343"/>
      <c r="AE1215" s="343"/>
      <c r="AF1215" s="538"/>
      <c r="AG1215" s="343"/>
      <c r="AH1215" s="343"/>
      <c r="AI1215" s="538"/>
      <c r="AJ1215" s="343"/>
      <c r="AK1215" s="343"/>
      <c r="AL1215" s="538"/>
      <c r="AM1215" s="343"/>
      <c r="AN1215" s="343"/>
      <c r="AO1215" s="538"/>
      <c r="AP1215" s="343"/>
      <c r="AQ1215" s="343"/>
      <c r="AS1215" s="343"/>
      <c r="AT1215" s="538"/>
      <c r="AU1215" s="343"/>
      <c r="AV1215" s="343"/>
      <c r="AW1215" s="538"/>
      <c r="AX1215" s="343"/>
      <c r="AY1215" s="343"/>
      <c r="AZ1215" s="538"/>
      <c r="BA1215" s="343"/>
      <c r="BB1215" s="343"/>
      <c r="BC1215" s="538"/>
      <c r="BD1215" s="343"/>
      <c r="BE1215" s="343"/>
      <c r="BG1215" s="644"/>
      <c r="BH1215" s="515"/>
      <c r="BI1215" s="515"/>
      <c r="BJ1215" s="644"/>
      <c r="BK1215" s="515"/>
      <c r="BL1215" s="515"/>
      <c r="BM1215" s="644"/>
      <c r="BN1215" s="515"/>
      <c r="BO1215" s="515"/>
      <c r="BP1215" s="644"/>
      <c r="BQ1215" s="515"/>
      <c r="BR1215" s="515"/>
    </row>
    <row r="1216" spans="4:70" x14ac:dyDescent="0.25">
      <c r="D1216" s="538"/>
      <c r="G1216" s="538"/>
      <c r="J1216" s="538"/>
      <c r="M1216" s="538"/>
      <c r="R1216" s="538"/>
      <c r="S1216" s="343"/>
      <c r="T1216" s="343"/>
      <c r="U1216" s="538"/>
      <c r="V1216" s="343"/>
      <c r="W1216" s="343"/>
      <c r="X1216" s="538"/>
      <c r="Y1216" s="343"/>
      <c r="Z1216" s="343"/>
      <c r="AA1216" s="538"/>
      <c r="AB1216" s="343"/>
      <c r="AC1216" s="343"/>
      <c r="AE1216" s="343"/>
      <c r="AF1216" s="538"/>
      <c r="AG1216" s="343"/>
      <c r="AH1216" s="343"/>
      <c r="AI1216" s="538"/>
      <c r="AJ1216" s="343"/>
      <c r="AK1216" s="343"/>
      <c r="AL1216" s="538"/>
      <c r="AM1216" s="343"/>
      <c r="AN1216" s="343"/>
      <c r="AO1216" s="538"/>
      <c r="AP1216" s="343"/>
      <c r="AQ1216" s="343"/>
      <c r="AS1216" s="343"/>
      <c r="AT1216" s="538"/>
      <c r="AU1216" s="343"/>
      <c r="AV1216" s="343"/>
      <c r="AW1216" s="538"/>
      <c r="AX1216" s="343"/>
      <c r="AY1216" s="343"/>
      <c r="AZ1216" s="538"/>
      <c r="BA1216" s="343"/>
      <c r="BB1216" s="343"/>
      <c r="BC1216" s="538"/>
      <c r="BD1216" s="343"/>
      <c r="BE1216" s="343"/>
      <c r="BG1216" s="644"/>
      <c r="BH1216" s="515"/>
      <c r="BI1216" s="515"/>
      <c r="BJ1216" s="644"/>
      <c r="BK1216" s="515"/>
      <c r="BL1216" s="515"/>
      <c r="BM1216" s="644"/>
      <c r="BN1216" s="515"/>
      <c r="BO1216" s="515"/>
      <c r="BP1216" s="644"/>
      <c r="BQ1216" s="515"/>
      <c r="BR1216" s="515"/>
    </row>
    <row r="1217" spans="4:70" x14ac:dyDescent="0.25">
      <c r="D1217" s="538"/>
      <c r="G1217" s="538"/>
      <c r="J1217" s="538"/>
      <c r="M1217" s="538"/>
      <c r="R1217" s="538"/>
      <c r="S1217" s="343"/>
      <c r="T1217" s="343"/>
      <c r="U1217" s="538"/>
      <c r="V1217" s="343"/>
      <c r="W1217" s="343"/>
      <c r="X1217" s="538"/>
      <c r="Y1217" s="343"/>
      <c r="Z1217" s="343"/>
      <c r="AA1217" s="538"/>
      <c r="AB1217" s="343"/>
      <c r="AC1217" s="343"/>
      <c r="AE1217" s="343"/>
      <c r="AF1217" s="538"/>
      <c r="AG1217" s="343"/>
      <c r="AH1217" s="343"/>
      <c r="AI1217" s="538"/>
      <c r="AJ1217" s="343"/>
      <c r="AK1217" s="343"/>
      <c r="AL1217" s="538"/>
      <c r="AM1217" s="343"/>
      <c r="AN1217" s="343"/>
      <c r="AO1217" s="538"/>
      <c r="AP1217" s="343"/>
      <c r="AQ1217" s="343"/>
      <c r="AS1217" s="343"/>
      <c r="AT1217" s="538"/>
      <c r="AU1217" s="343"/>
      <c r="AV1217" s="343"/>
      <c r="AW1217" s="538"/>
      <c r="AX1217" s="343"/>
      <c r="AY1217" s="343"/>
      <c r="AZ1217" s="538"/>
      <c r="BA1217" s="343"/>
      <c r="BB1217" s="343"/>
      <c r="BC1217" s="538"/>
      <c r="BD1217" s="343"/>
      <c r="BE1217" s="343"/>
      <c r="BG1217" s="644"/>
      <c r="BH1217" s="515"/>
      <c r="BI1217" s="515"/>
      <c r="BJ1217" s="644"/>
      <c r="BK1217" s="515"/>
      <c r="BL1217" s="515"/>
      <c r="BM1217" s="644"/>
      <c r="BN1217" s="515"/>
      <c r="BO1217" s="515"/>
      <c r="BP1217" s="644"/>
      <c r="BQ1217" s="515"/>
      <c r="BR1217" s="515"/>
    </row>
    <row r="1218" spans="4:70" x14ac:dyDescent="0.25">
      <c r="D1218" s="538"/>
      <c r="G1218" s="538"/>
      <c r="J1218" s="538"/>
      <c r="M1218" s="538"/>
      <c r="R1218" s="538"/>
      <c r="S1218" s="343"/>
      <c r="T1218" s="343"/>
      <c r="U1218" s="538"/>
      <c r="V1218" s="343"/>
      <c r="W1218" s="343"/>
      <c r="X1218" s="538"/>
      <c r="Y1218" s="343"/>
      <c r="Z1218" s="343"/>
      <c r="AA1218" s="538"/>
      <c r="AB1218" s="343"/>
      <c r="AC1218" s="343"/>
      <c r="AE1218" s="343"/>
      <c r="AF1218" s="538"/>
      <c r="AG1218" s="343"/>
      <c r="AH1218" s="343"/>
      <c r="AI1218" s="538"/>
      <c r="AJ1218" s="343"/>
      <c r="AK1218" s="343"/>
      <c r="AL1218" s="538"/>
      <c r="AM1218" s="343"/>
      <c r="AN1218" s="343"/>
      <c r="AO1218" s="538"/>
      <c r="AP1218" s="343"/>
      <c r="AQ1218" s="343"/>
      <c r="AS1218" s="343"/>
      <c r="AT1218" s="538"/>
      <c r="AU1218" s="343"/>
      <c r="AV1218" s="343"/>
      <c r="AW1218" s="538"/>
      <c r="AX1218" s="343"/>
      <c r="AY1218" s="343"/>
      <c r="AZ1218" s="538"/>
      <c r="BA1218" s="343"/>
      <c r="BB1218" s="343"/>
      <c r="BC1218" s="538"/>
      <c r="BD1218" s="343"/>
      <c r="BE1218" s="343"/>
      <c r="BG1218" s="644"/>
      <c r="BH1218" s="515"/>
      <c r="BI1218" s="515"/>
      <c r="BJ1218" s="644"/>
      <c r="BK1218" s="515"/>
      <c r="BL1218" s="515"/>
      <c r="BM1218" s="644"/>
      <c r="BN1218" s="515"/>
      <c r="BO1218" s="515"/>
      <c r="BP1218" s="644"/>
      <c r="BQ1218" s="515"/>
      <c r="BR1218" s="515"/>
    </row>
    <row r="1219" spans="4:70" x14ac:dyDescent="0.25">
      <c r="D1219" s="538"/>
      <c r="G1219" s="538"/>
      <c r="J1219" s="538"/>
      <c r="M1219" s="538"/>
      <c r="R1219" s="538"/>
      <c r="S1219" s="343"/>
      <c r="T1219" s="343"/>
      <c r="U1219" s="538"/>
      <c r="V1219" s="343"/>
      <c r="W1219" s="343"/>
      <c r="X1219" s="538"/>
      <c r="Y1219" s="343"/>
      <c r="Z1219" s="343"/>
      <c r="AA1219" s="538"/>
      <c r="AB1219" s="343"/>
      <c r="AC1219" s="343"/>
      <c r="AE1219" s="343"/>
      <c r="AF1219" s="538"/>
      <c r="AG1219" s="343"/>
      <c r="AH1219" s="343"/>
      <c r="AI1219" s="538"/>
      <c r="AJ1219" s="343"/>
      <c r="AK1219" s="343"/>
      <c r="AL1219" s="538"/>
      <c r="AM1219" s="343"/>
      <c r="AN1219" s="343"/>
      <c r="AO1219" s="538"/>
      <c r="AP1219" s="343"/>
      <c r="AQ1219" s="343"/>
      <c r="AS1219" s="343"/>
      <c r="AT1219" s="538"/>
      <c r="AU1219" s="343"/>
      <c r="AV1219" s="343"/>
      <c r="AW1219" s="538"/>
      <c r="AX1219" s="343"/>
      <c r="AY1219" s="343"/>
      <c r="AZ1219" s="538"/>
      <c r="BA1219" s="343"/>
      <c r="BB1219" s="343"/>
      <c r="BC1219" s="538"/>
      <c r="BD1219" s="343"/>
      <c r="BE1219" s="343"/>
      <c r="BG1219" s="644"/>
      <c r="BH1219" s="515"/>
      <c r="BI1219" s="515"/>
      <c r="BJ1219" s="644"/>
      <c r="BK1219" s="515"/>
      <c r="BL1219" s="515"/>
      <c r="BM1219" s="644"/>
      <c r="BN1219" s="515"/>
      <c r="BO1219" s="515"/>
      <c r="BP1219" s="644"/>
      <c r="BQ1219" s="515"/>
      <c r="BR1219" s="515"/>
    </row>
    <row r="1220" spans="4:70" x14ac:dyDescent="0.25">
      <c r="D1220" s="538"/>
      <c r="G1220" s="538"/>
      <c r="J1220" s="538"/>
      <c r="M1220" s="538"/>
      <c r="R1220" s="538"/>
      <c r="S1220" s="343"/>
      <c r="T1220" s="343"/>
      <c r="U1220" s="538"/>
      <c r="V1220" s="343"/>
      <c r="W1220" s="343"/>
      <c r="X1220" s="538"/>
      <c r="Y1220" s="343"/>
      <c r="Z1220" s="343"/>
      <c r="AA1220" s="538"/>
      <c r="AB1220" s="343"/>
      <c r="AC1220" s="343"/>
      <c r="AE1220" s="343"/>
      <c r="AF1220" s="538"/>
      <c r="AG1220" s="343"/>
      <c r="AH1220" s="343"/>
      <c r="AI1220" s="538"/>
      <c r="AJ1220" s="343"/>
      <c r="AK1220" s="343"/>
      <c r="AL1220" s="538"/>
      <c r="AM1220" s="343"/>
      <c r="AN1220" s="343"/>
      <c r="AO1220" s="538"/>
      <c r="AP1220" s="343"/>
      <c r="AQ1220" s="343"/>
      <c r="AS1220" s="343"/>
      <c r="AT1220" s="538"/>
      <c r="AU1220" s="343"/>
      <c r="AV1220" s="343"/>
      <c r="AW1220" s="538"/>
      <c r="AX1220" s="343"/>
      <c r="AY1220" s="343"/>
      <c r="AZ1220" s="538"/>
      <c r="BA1220" s="343"/>
      <c r="BB1220" s="343"/>
      <c r="BC1220" s="538"/>
      <c r="BD1220" s="343"/>
      <c r="BE1220" s="343"/>
      <c r="BG1220" s="644"/>
      <c r="BH1220" s="515"/>
      <c r="BI1220" s="515"/>
      <c r="BJ1220" s="644"/>
      <c r="BK1220" s="515"/>
      <c r="BL1220" s="515"/>
      <c r="BM1220" s="644"/>
      <c r="BN1220" s="515"/>
      <c r="BO1220" s="515"/>
      <c r="BP1220" s="644"/>
      <c r="BQ1220" s="515"/>
      <c r="BR1220" s="515"/>
    </row>
    <row r="1221" spans="4:70" x14ac:dyDescent="0.25">
      <c r="D1221" s="538"/>
      <c r="G1221" s="538"/>
      <c r="J1221" s="538"/>
      <c r="M1221" s="538"/>
      <c r="R1221" s="538"/>
      <c r="S1221" s="343"/>
      <c r="T1221" s="343"/>
      <c r="U1221" s="538"/>
      <c r="V1221" s="343"/>
      <c r="W1221" s="343"/>
      <c r="X1221" s="538"/>
      <c r="Y1221" s="343"/>
      <c r="Z1221" s="343"/>
      <c r="AA1221" s="538"/>
      <c r="AB1221" s="343"/>
      <c r="AC1221" s="343"/>
      <c r="AE1221" s="343"/>
      <c r="AF1221" s="538"/>
      <c r="AG1221" s="343"/>
      <c r="AH1221" s="343"/>
      <c r="AI1221" s="538"/>
      <c r="AJ1221" s="343"/>
      <c r="AK1221" s="343"/>
      <c r="AL1221" s="538"/>
      <c r="AM1221" s="343"/>
      <c r="AN1221" s="343"/>
      <c r="AO1221" s="538"/>
      <c r="AP1221" s="343"/>
      <c r="AQ1221" s="343"/>
      <c r="AS1221" s="343"/>
      <c r="AT1221" s="538"/>
      <c r="AU1221" s="343"/>
      <c r="AV1221" s="343"/>
      <c r="AW1221" s="538"/>
      <c r="AX1221" s="343"/>
      <c r="AY1221" s="343"/>
      <c r="AZ1221" s="538"/>
      <c r="BA1221" s="343"/>
      <c r="BB1221" s="343"/>
      <c r="BC1221" s="538"/>
      <c r="BD1221" s="343"/>
      <c r="BE1221" s="343"/>
      <c r="BG1221" s="644"/>
      <c r="BH1221" s="515"/>
      <c r="BI1221" s="515"/>
      <c r="BJ1221" s="644"/>
      <c r="BK1221" s="515"/>
      <c r="BL1221" s="515"/>
      <c r="BM1221" s="644"/>
      <c r="BN1221" s="515"/>
      <c r="BO1221" s="515"/>
      <c r="BP1221" s="644"/>
      <c r="BQ1221" s="515"/>
      <c r="BR1221" s="515"/>
    </row>
    <row r="1222" spans="4:70" x14ac:dyDescent="0.25">
      <c r="D1222" s="538"/>
      <c r="G1222" s="538"/>
      <c r="J1222" s="538"/>
      <c r="M1222" s="538"/>
      <c r="R1222" s="538"/>
      <c r="S1222" s="343"/>
      <c r="T1222" s="343"/>
      <c r="U1222" s="538"/>
      <c r="V1222" s="343"/>
      <c r="W1222" s="343"/>
      <c r="X1222" s="538"/>
      <c r="Y1222" s="343"/>
      <c r="Z1222" s="343"/>
      <c r="AA1222" s="538"/>
      <c r="AB1222" s="343"/>
      <c r="AC1222" s="343"/>
      <c r="AE1222" s="343"/>
      <c r="AF1222" s="538"/>
      <c r="AG1222" s="343"/>
      <c r="AH1222" s="343"/>
      <c r="AI1222" s="538"/>
      <c r="AJ1222" s="343"/>
      <c r="AK1222" s="343"/>
      <c r="AL1222" s="538"/>
      <c r="AM1222" s="343"/>
      <c r="AN1222" s="343"/>
      <c r="AO1222" s="538"/>
      <c r="AP1222" s="343"/>
      <c r="AQ1222" s="343"/>
      <c r="AS1222" s="343"/>
      <c r="AT1222" s="538"/>
      <c r="AU1222" s="343"/>
      <c r="AV1222" s="343"/>
      <c r="AW1222" s="538"/>
      <c r="AX1222" s="343"/>
      <c r="AY1222" s="343"/>
      <c r="AZ1222" s="538"/>
      <c r="BA1222" s="343"/>
      <c r="BB1222" s="343"/>
      <c r="BC1222" s="538"/>
      <c r="BD1222" s="343"/>
      <c r="BE1222" s="343"/>
      <c r="BG1222" s="644"/>
      <c r="BH1222" s="515"/>
      <c r="BI1222" s="515"/>
      <c r="BJ1222" s="644"/>
      <c r="BK1222" s="515"/>
      <c r="BL1222" s="515"/>
      <c r="BM1222" s="644"/>
      <c r="BN1222" s="515"/>
      <c r="BO1222" s="515"/>
      <c r="BP1222" s="644"/>
      <c r="BQ1222" s="515"/>
      <c r="BR1222" s="515"/>
    </row>
    <row r="1223" spans="4:70" x14ac:dyDescent="0.25">
      <c r="D1223" s="538"/>
      <c r="G1223" s="538"/>
      <c r="J1223" s="538"/>
      <c r="M1223" s="538"/>
      <c r="R1223" s="538"/>
      <c r="S1223" s="343"/>
      <c r="T1223" s="343"/>
      <c r="U1223" s="538"/>
      <c r="V1223" s="343"/>
      <c r="W1223" s="343"/>
      <c r="X1223" s="538"/>
      <c r="Y1223" s="343"/>
      <c r="Z1223" s="343"/>
      <c r="AA1223" s="538"/>
      <c r="AB1223" s="343"/>
      <c r="AC1223" s="343"/>
      <c r="AE1223" s="343"/>
      <c r="AF1223" s="538"/>
      <c r="AG1223" s="343"/>
      <c r="AH1223" s="343"/>
      <c r="AI1223" s="538"/>
      <c r="AJ1223" s="343"/>
      <c r="AK1223" s="343"/>
      <c r="AL1223" s="538"/>
      <c r="AM1223" s="343"/>
      <c r="AN1223" s="343"/>
      <c r="AO1223" s="538"/>
      <c r="AP1223" s="343"/>
      <c r="AQ1223" s="343"/>
      <c r="AS1223" s="343"/>
      <c r="AT1223" s="538"/>
      <c r="AU1223" s="343"/>
      <c r="AV1223" s="343"/>
      <c r="AW1223" s="538"/>
      <c r="AX1223" s="343"/>
      <c r="AY1223" s="343"/>
      <c r="AZ1223" s="538"/>
      <c r="BA1223" s="343"/>
      <c r="BB1223" s="343"/>
      <c r="BC1223" s="538"/>
      <c r="BD1223" s="343"/>
      <c r="BE1223" s="343"/>
      <c r="BG1223" s="644"/>
      <c r="BH1223" s="515"/>
      <c r="BI1223" s="515"/>
      <c r="BJ1223" s="644"/>
      <c r="BK1223" s="515"/>
      <c r="BL1223" s="515"/>
      <c r="BM1223" s="644"/>
      <c r="BN1223" s="515"/>
      <c r="BO1223" s="515"/>
      <c r="BP1223" s="644"/>
      <c r="BQ1223" s="515"/>
      <c r="BR1223" s="515"/>
    </row>
    <row r="1224" spans="4:70" x14ac:dyDescent="0.25">
      <c r="D1224" s="538"/>
      <c r="G1224" s="538"/>
      <c r="J1224" s="538"/>
      <c r="M1224" s="538"/>
      <c r="R1224" s="538"/>
      <c r="S1224" s="343"/>
      <c r="T1224" s="343"/>
      <c r="U1224" s="538"/>
      <c r="V1224" s="343"/>
      <c r="W1224" s="343"/>
      <c r="X1224" s="538"/>
      <c r="Y1224" s="343"/>
      <c r="Z1224" s="343"/>
      <c r="AA1224" s="538"/>
      <c r="AB1224" s="343"/>
      <c r="AC1224" s="343"/>
      <c r="AE1224" s="343"/>
      <c r="AF1224" s="538"/>
      <c r="AG1224" s="343"/>
      <c r="AH1224" s="343"/>
      <c r="AI1224" s="538"/>
      <c r="AJ1224" s="343"/>
      <c r="AK1224" s="343"/>
      <c r="AL1224" s="538"/>
      <c r="AM1224" s="343"/>
      <c r="AN1224" s="343"/>
      <c r="AO1224" s="538"/>
      <c r="AP1224" s="343"/>
      <c r="AQ1224" s="343"/>
      <c r="AS1224" s="343"/>
      <c r="AT1224" s="538"/>
      <c r="AU1224" s="343"/>
      <c r="AV1224" s="343"/>
      <c r="AW1224" s="538"/>
      <c r="AX1224" s="343"/>
      <c r="AY1224" s="343"/>
      <c r="AZ1224" s="538"/>
      <c r="BA1224" s="343"/>
      <c r="BB1224" s="343"/>
      <c r="BC1224" s="538"/>
      <c r="BD1224" s="343"/>
      <c r="BE1224" s="343"/>
      <c r="BG1224" s="644"/>
      <c r="BH1224" s="515"/>
      <c r="BI1224" s="515"/>
      <c r="BJ1224" s="644"/>
      <c r="BK1224" s="515"/>
      <c r="BL1224" s="515"/>
      <c r="BM1224" s="644"/>
      <c r="BN1224" s="515"/>
      <c r="BO1224" s="515"/>
      <c r="BP1224" s="644"/>
      <c r="BQ1224" s="515"/>
      <c r="BR1224" s="515"/>
    </row>
    <row r="1225" spans="4:70" x14ac:dyDescent="0.25">
      <c r="D1225" s="538"/>
      <c r="G1225" s="538"/>
      <c r="J1225" s="538"/>
      <c r="M1225" s="538"/>
      <c r="R1225" s="538"/>
      <c r="S1225" s="343"/>
      <c r="T1225" s="343"/>
      <c r="U1225" s="538"/>
      <c r="V1225" s="343"/>
      <c r="W1225" s="343"/>
      <c r="X1225" s="538"/>
      <c r="Y1225" s="343"/>
      <c r="Z1225" s="343"/>
      <c r="AA1225" s="538"/>
      <c r="AB1225" s="343"/>
      <c r="AC1225" s="343"/>
      <c r="AE1225" s="343"/>
      <c r="AF1225" s="538"/>
      <c r="AG1225" s="343"/>
      <c r="AH1225" s="343"/>
      <c r="AI1225" s="538"/>
      <c r="AJ1225" s="343"/>
      <c r="AK1225" s="343"/>
      <c r="AL1225" s="538"/>
      <c r="AM1225" s="343"/>
      <c r="AN1225" s="343"/>
      <c r="AO1225" s="538"/>
      <c r="AP1225" s="343"/>
      <c r="AQ1225" s="343"/>
      <c r="AS1225" s="343"/>
      <c r="AT1225" s="538"/>
      <c r="AU1225" s="343"/>
      <c r="AV1225" s="343"/>
      <c r="AW1225" s="538"/>
      <c r="AX1225" s="343"/>
      <c r="AY1225" s="343"/>
      <c r="AZ1225" s="538"/>
      <c r="BA1225" s="343"/>
      <c r="BB1225" s="343"/>
      <c r="BC1225" s="538"/>
      <c r="BD1225" s="343"/>
      <c r="BE1225" s="343"/>
      <c r="BG1225" s="644"/>
      <c r="BH1225" s="515"/>
      <c r="BI1225" s="515"/>
      <c r="BJ1225" s="644"/>
      <c r="BK1225" s="515"/>
      <c r="BL1225" s="515"/>
      <c r="BM1225" s="644"/>
      <c r="BN1225" s="515"/>
      <c r="BO1225" s="515"/>
      <c r="BP1225" s="644"/>
      <c r="BQ1225" s="515"/>
      <c r="BR1225" s="515"/>
    </row>
    <row r="1226" spans="4:70" x14ac:dyDescent="0.25">
      <c r="D1226" s="538"/>
      <c r="G1226" s="538"/>
      <c r="J1226" s="538"/>
      <c r="M1226" s="538"/>
      <c r="R1226" s="538"/>
      <c r="S1226" s="343"/>
      <c r="T1226" s="343"/>
      <c r="U1226" s="538"/>
      <c r="V1226" s="343"/>
      <c r="W1226" s="343"/>
      <c r="X1226" s="538"/>
      <c r="Y1226" s="343"/>
      <c r="Z1226" s="343"/>
      <c r="AA1226" s="538"/>
      <c r="AB1226" s="343"/>
      <c r="AC1226" s="343"/>
      <c r="AE1226" s="343"/>
      <c r="AF1226" s="538"/>
      <c r="AG1226" s="343"/>
      <c r="AH1226" s="343"/>
      <c r="AI1226" s="538"/>
      <c r="AJ1226" s="343"/>
      <c r="AK1226" s="343"/>
      <c r="AL1226" s="538"/>
      <c r="AM1226" s="343"/>
      <c r="AN1226" s="343"/>
      <c r="AO1226" s="538"/>
      <c r="AP1226" s="343"/>
      <c r="AQ1226" s="343"/>
      <c r="AS1226" s="343"/>
      <c r="AT1226" s="538"/>
      <c r="AU1226" s="343"/>
      <c r="AV1226" s="343"/>
      <c r="AW1226" s="538"/>
      <c r="AX1226" s="343"/>
      <c r="AY1226" s="343"/>
      <c r="AZ1226" s="538"/>
      <c r="BA1226" s="343"/>
      <c r="BB1226" s="343"/>
      <c r="BC1226" s="538"/>
      <c r="BD1226" s="343"/>
      <c r="BE1226" s="343"/>
      <c r="BG1226" s="644"/>
      <c r="BH1226" s="515"/>
      <c r="BI1226" s="515"/>
      <c r="BJ1226" s="644"/>
      <c r="BK1226" s="515"/>
      <c r="BL1226" s="515"/>
      <c r="BM1226" s="644"/>
      <c r="BN1226" s="515"/>
      <c r="BO1226" s="515"/>
      <c r="BP1226" s="644"/>
      <c r="BQ1226" s="515"/>
      <c r="BR1226" s="515"/>
    </row>
    <row r="1227" spans="4:70" x14ac:dyDescent="0.25">
      <c r="D1227" s="538"/>
      <c r="G1227" s="538"/>
      <c r="J1227" s="538"/>
      <c r="M1227" s="538"/>
      <c r="R1227" s="538"/>
      <c r="S1227" s="343"/>
      <c r="T1227" s="343"/>
      <c r="U1227" s="538"/>
      <c r="V1227" s="343"/>
      <c r="W1227" s="343"/>
      <c r="X1227" s="538"/>
      <c r="Y1227" s="343"/>
      <c r="Z1227" s="343"/>
      <c r="AA1227" s="538"/>
      <c r="AB1227" s="343"/>
      <c r="AC1227" s="343"/>
      <c r="AE1227" s="343"/>
      <c r="AF1227" s="538"/>
      <c r="AG1227" s="343"/>
      <c r="AH1227" s="343"/>
      <c r="AI1227" s="538"/>
      <c r="AJ1227" s="343"/>
      <c r="AK1227" s="343"/>
      <c r="AL1227" s="538"/>
      <c r="AM1227" s="343"/>
      <c r="AN1227" s="343"/>
      <c r="AO1227" s="538"/>
      <c r="AP1227" s="343"/>
      <c r="AQ1227" s="343"/>
      <c r="AS1227" s="343"/>
      <c r="AT1227" s="538"/>
      <c r="AU1227" s="343"/>
      <c r="AV1227" s="343"/>
      <c r="AW1227" s="538"/>
      <c r="AX1227" s="343"/>
      <c r="AY1227" s="343"/>
      <c r="AZ1227" s="538"/>
      <c r="BA1227" s="343"/>
      <c r="BB1227" s="343"/>
      <c r="BC1227" s="538"/>
      <c r="BD1227" s="343"/>
      <c r="BE1227" s="343"/>
      <c r="BG1227" s="644"/>
      <c r="BH1227" s="515"/>
      <c r="BI1227" s="515"/>
      <c r="BJ1227" s="644"/>
      <c r="BK1227" s="515"/>
      <c r="BL1227" s="515"/>
      <c r="BM1227" s="644"/>
      <c r="BN1227" s="515"/>
      <c r="BO1227" s="515"/>
      <c r="BP1227" s="644"/>
      <c r="BQ1227" s="515"/>
      <c r="BR1227" s="515"/>
    </row>
    <row r="1228" spans="4:70" x14ac:dyDescent="0.25">
      <c r="D1228" s="538"/>
      <c r="G1228" s="538"/>
      <c r="J1228" s="538"/>
      <c r="M1228" s="538"/>
      <c r="R1228" s="538"/>
      <c r="S1228" s="343"/>
      <c r="T1228" s="343"/>
      <c r="U1228" s="538"/>
      <c r="V1228" s="343"/>
      <c r="W1228" s="343"/>
      <c r="X1228" s="538"/>
      <c r="Y1228" s="343"/>
      <c r="Z1228" s="343"/>
      <c r="AA1228" s="538"/>
      <c r="AB1228" s="343"/>
      <c r="AC1228" s="343"/>
      <c r="AE1228" s="343"/>
      <c r="AF1228" s="538"/>
      <c r="AG1228" s="343"/>
      <c r="AH1228" s="343"/>
      <c r="AI1228" s="538"/>
      <c r="AJ1228" s="343"/>
      <c r="AK1228" s="343"/>
      <c r="AL1228" s="538"/>
      <c r="AM1228" s="343"/>
      <c r="AN1228" s="343"/>
      <c r="AO1228" s="538"/>
      <c r="AP1228" s="343"/>
      <c r="AQ1228" s="343"/>
      <c r="AS1228" s="343"/>
      <c r="AT1228" s="538"/>
      <c r="AU1228" s="343"/>
      <c r="AV1228" s="343"/>
      <c r="AW1228" s="538"/>
      <c r="AX1228" s="343"/>
      <c r="AY1228" s="343"/>
      <c r="AZ1228" s="538"/>
      <c r="BA1228" s="343"/>
      <c r="BB1228" s="343"/>
      <c r="BC1228" s="538"/>
      <c r="BD1228" s="343"/>
      <c r="BE1228" s="343"/>
      <c r="BG1228" s="644"/>
      <c r="BH1228" s="515"/>
      <c r="BI1228" s="515"/>
      <c r="BJ1228" s="644"/>
      <c r="BK1228" s="515"/>
      <c r="BL1228" s="515"/>
      <c r="BM1228" s="644"/>
      <c r="BN1228" s="515"/>
      <c r="BO1228" s="515"/>
      <c r="BP1228" s="644"/>
      <c r="BQ1228" s="515"/>
      <c r="BR1228" s="515"/>
    </row>
    <row r="1229" spans="4:70" x14ac:dyDescent="0.25">
      <c r="D1229" s="538"/>
      <c r="G1229" s="538"/>
      <c r="J1229" s="538"/>
      <c r="M1229" s="538"/>
      <c r="R1229" s="538"/>
      <c r="S1229" s="343"/>
      <c r="T1229" s="343"/>
      <c r="U1229" s="538"/>
      <c r="V1229" s="343"/>
      <c r="W1229" s="343"/>
      <c r="X1229" s="538"/>
      <c r="Y1229" s="343"/>
      <c r="Z1229" s="343"/>
      <c r="AA1229" s="538"/>
      <c r="AB1229" s="343"/>
      <c r="AC1229" s="343"/>
      <c r="AE1229" s="343"/>
      <c r="AF1229" s="538"/>
      <c r="AG1229" s="343"/>
      <c r="AH1229" s="343"/>
      <c r="AI1229" s="538"/>
      <c r="AJ1229" s="343"/>
      <c r="AK1229" s="343"/>
      <c r="AL1229" s="538"/>
      <c r="AM1229" s="343"/>
      <c r="AN1229" s="343"/>
      <c r="AO1229" s="538"/>
      <c r="AP1229" s="343"/>
      <c r="AQ1229" s="343"/>
      <c r="AS1229" s="343"/>
      <c r="AT1229" s="538"/>
      <c r="AU1229" s="343"/>
      <c r="AV1229" s="343"/>
      <c r="AW1229" s="538"/>
      <c r="AX1229" s="343"/>
      <c r="AY1229" s="343"/>
      <c r="AZ1229" s="538"/>
      <c r="BA1229" s="343"/>
      <c r="BB1229" s="343"/>
      <c r="BC1229" s="538"/>
      <c r="BD1229" s="343"/>
      <c r="BE1229" s="343"/>
      <c r="BG1229" s="644"/>
      <c r="BH1229" s="515"/>
      <c r="BI1229" s="515"/>
      <c r="BJ1229" s="644"/>
      <c r="BK1229" s="515"/>
      <c r="BL1229" s="515"/>
      <c r="BM1229" s="644"/>
      <c r="BN1229" s="515"/>
      <c r="BO1229" s="515"/>
      <c r="BP1229" s="644"/>
      <c r="BQ1229" s="515"/>
      <c r="BR1229" s="515"/>
    </row>
    <row r="1230" spans="4:70" x14ac:dyDescent="0.25">
      <c r="D1230" s="538"/>
      <c r="G1230" s="538"/>
      <c r="J1230" s="538"/>
      <c r="M1230" s="538"/>
      <c r="R1230" s="538"/>
      <c r="S1230" s="343"/>
      <c r="T1230" s="343"/>
      <c r="U1230" s="538"/>
      <c r="V1230" s="343"/>
      <c r="W1230" s="343"/>
      <c r="X1230" s="538"/>
      <c r="Y1230" s="343"/>
      <c r="Z1230" s="343"/>
      <c r="AA1230" s="538"/>
      <c r="AB1230" s="343"/>
      <c r="AC1230" s="343"/>
      <c r="AE1230" s="343"/>
      <c r="AF1230" s="538"/>
      <c r="AG1230" s="343"/>
      <c r="AH1230" s="343"/>
      <c r="AI1230" s="538"/>
      <c r="AJ1230" s="343"/>
      <c r="AK1230" s="343"/>
      <c r="AL1230" s="538"/>
      <c r="AM1230" s="343"/>
      <c r="AN1230" s="343"/>
      <c r="AO1230" s="538"/>
      <c r="AP1230" s="343"/>
      <c r="AQ1230" s="343"/>
      <c r="AS1230" s="343"/>
      <c r="AT1230" s="538"/>
      <c r="AU1230" s="343"/>
      <c r="AV1230" s="343"/>
      <c r="AW1230" s="538"/>
      <c r="AX1230" s="343"/>
      <c r="AY1230" s="343"/>
      <c r="AZ1230" s="538"/>
      <c r="BA1230" s="343"/>
      <c r="BB1230" s="343"/>
      <c r="BC1230" s="538"/>
      <c r="BD1230" s="343"/>
      <c r="BE1230" s="343"/>
      <c r="BG1230" s="644"/>
      <c r="BH1230" s="515"/>
      <c r="BI1230" s="515"/>
      <c r="BJ1230" s="644"/>
      <c r="BK1230" s="515"/>
      <c r="BL1230" s="515"/>
      <c r="BM1230" s="644"/>
      <c r="BN1230" s="515"/>
      <c r="BO1230" s="515"/>
      <c r="BP1230" s="644"/>
      <c r="BQ1230" s="515"/>
      <c r="BR1230" s="515"/>
    </row>
    <row r="1231" spans="4:70" x14ac:dyDescent="0.25">
      <c r="D1231" s="538"/>
      <c r="G1231" s="538"/>
      <c r="J1231" s="538"/>
      <c r="M1231" s="538"/>
      <c r="R1231" s="538"/>
      <c r="S1231" s="343"/>
      <c r="T1231" s="343"/>
      <c r="U1231" s="538"/>
      <c r="V1231" s="343"/>
      <c r="W1231" s="343"/>
      <c r="X1231" s="538"/>
      <c r="Y1231" s="343"/>
      <c r="Z1231" s="343"/>
      <c r="AA1231" s="538"/>
      <c r="AB1231" s="343"/>
      <c r="AC1231" s="343"/>
      <c r="AE1231" s="343"/>
      <c r="AF1231" s="538"/>
      <c r="AG1231" s="343"/>
      <c r="AH1231" s="343"/>
      <c r="AI1231" s="538"/>
      <c r="AJ1231" s="343"/>
      <c r="AK1231" s="343"/>
      <c r="AL1231" s="538"/>
      <c r="AM1231" s="343"/>
      <c r="AN1231" s="343"/>
      <c r="AO1231" s="538"/>
      <c r="AP1231" s="343"/>
      <c r="AQ1231" s="343"/>
      <c r="AS1231" s="343"/>
      <c r="AT1231" s="538"/>
      <c r="AU1231" s="343"/>
      <c r="AV1231" s="343"/>
      <c r="AW1231" s="538"/>
      <c r="AX1231" s="343"/>
      <c r="AY1231" s="343"/>
      <c r="AZ1231" s="538"/>
      <c r="BA1231" s="343"/>
      <c r="BB1231" s="343"/>
      <c r="BC1231" s="538"/>
      <c r="BD1231" s="343"/>
      <c r="BE1231" s="343"/>
      <c r="BG1231" s="644"/>
      <c r="BH1231" s="515"/>
      <c r="BI1231" s="515"/>
      <c r="BJ1231" s="644"/>
      <c r="BK1231" s="515"/>
      <c r="BL1231" s="515"/>
      <c r="BM1231" s="644"/>
      <c r="BN1231" s="515"/>
      <c r="BO1231" s="515"/>
      <c r="BP1231" s="644"/>
      <c r="BQ1231" s="515"/>
      <c r="BR1231" s="515"/>
    </row>
    <row r="1232" spans="4:70" x14ac:dyDescent="0.25">
      <c r="D1232" s="538"/>
      <c r="G1232" s="538"/>
      <c r="J1232" s="538"/>
      <c r="M1232" s="538"/>
      <c r="R1232" s="538"/>
      <c r="S1232" s="343"/>
      <c r="T1232" s="343"/>
      <c r="U1232" s="538"/>
      <c r="V1232" s="343"/>
      <c r="W1232" s="343"/>
      <c r="X1232" s="538"/>
      <c r="Y1232" s="343"/>
      <c r="Z1232" s="343"/>
      <c r="AA1232" s="538"/>
      <c r="AB1232" s="343"/>
      <c r="AC1232" s="343"/>
      <c r="AE1232" s="343"/>
      <c r="AF1232" s="538"/>
      <c r="AG1232" s="343"/>
      <c r="AH1232" s="343"/>
      <c r="AI1232" s="538"/>
      <c r="AJ1232" s="343"/>
      <c r="AK1232" s="343"/>
      <c r="AL1232" s="538"/>
      <c r="AM1232" s="343"/>
      <c r="AN1232" s="343"/>
      <c r="AO1232" s="538"/>
      <c r="AP1232" s="343"/>
      <c r="AQ1232" s="343"/>
      <c r="AS1232" s="343"/>
      <c r="AT1232" s="538"/>
      <c r="AU1232" s="343"/>
      <c r="AV1232" s="343"/>
      <c r="AW1232" s="538"/>
      <c r="AX1232" s="343"/>
      <c r="AY1232" s="343"/>
      <c r="AZ1232" s="538"/>
      <c r="BA1232" s="343"/>
      <c r="BB1232" s="343"/>
      <c r="BC1232" s="538"/>
      <c r="BD1232" s="343"/>
      <c r="BE1232" s="343"/>
      <c r="BG1232" s="644"/>
      <c r="BH1232" s="515"/>
      <c r="BI1232" s="515"/>
      <c r="BJ1232" s="644"/>
      <c r="BK1232" s="515"/>
      <c r="BL1232" s="515"/>
      <c r="BM1232" s="644"/>
      <c r="BN1232" s="515"/>
      <c r="BO1232" s="515"/>
      <c r="BP1232" s="644"/>
      <c r="BQ1232" s="515"/>
      <c r="BR1232" s="515"/>
    </row>
    <row r="1233" spans="4:70" x14ac:dyDescent="0.25">
      <c r="D1233" s="538"/>
      <c r="G1233" s="538"/>
      <c r="J1233" s="538"/>
      <c r="M1233" s="538"/>
      <c r="R1233" s="538"/>
      <c r="S1233" s="343"/>
      <c r="T1233" s="343"/>
      <c r="U1233" s="538"/>
      <c r="V1233" s="343"/>
      <c r="W1233" s="343"/>
      <c r="X1233" s="538"/>
      <c r="Y1233" s="343"/>
      <c r="Z1233" s="343"/>
      <c r="AA1233" s="538"/>
      <c r="AB1233" s="343"/>
      <c r="AC1233" s="343"/>
      <c r="AE1233" s="343"/>
      <c r="AF1233" s="538"/>
      <c r="AG1233" s="343"/>
      <c r="AH1233" s="343"/>
      <c r="AI1233" s="538"/>
      <c r="AJ1233" s="343"/>
      <c r="AK1233" s="343"/>
      <c r="AL1233" s="538"/>
      <c r="AM1233" s="343"/>
      <c r="AN1233" s="343"/>
      <c r="AO1233" s="538"/>
      <c r="AP1233" s="343"/>
      <c r="AQ1233" s="343"/>
      <c r="AS1233" s="343"/>
      <c r="AT1233" s="538"/>
      <c r="AU1233" s="343"/>
      <c r="AV1233" s="343"/>
      <c r="AW1233" s="538"/>
      <c r="AX1233" s="343"/>
      <c r="AY1233" s="343"/>
      <c r="AZ1233" s="538"/>
      <c r="BA1233" s="343"/>
      <c r="BB1233" s="343"/>
      <c r="BC1233" s="538"/>
      <c r="BD1233" s="343"/>
      <c r="BE1233" s="343"/>
      <c r="BG1233" s="644"/>
      <c r="BH1233" s="515"/>
      <c r="BI1233" s="515"/>
      <c r="BJ1233" s="644"/>
      <c r="BK1233" s="515"/>
      <c r="BL1233" s="515"/>
      <c r="BM1233" s="644"/>
      <c r="BN1233" s="515"/>
      <c r="BO1233" s="515"/>
      <c r="BP1233" s="644"/>
      <c r="BQ1233" s="515"/>
      <c r="BR1233" s="515"/>
    </row>
    <row r="1234" spans="4:70" x14ac:dyDescent="0.25">
      <c r="D1234" s="538"/>
      <c r="G1234" s="538"/>
      <c r="J1234" s="538"/>
      <c r="M1234" s="538"/>
      <c r="R1234" s="538"/>
      <c r="S1234" s="343"/>
      <c r="T1234" s="343"/>
      <c r="U1234" s="538"/>
      <c r="V1234" s="343"/>
      <c r="W1234" s="343"/>
      <c r="X1234" s="538"/>
      <c r="Y1234" s="343"/>
      <c r="Z1234" s="343"/>
      <c r="AA1234" s="538"/>
      <c r="AB1234" s="343"/>
      <c r="AC1234" s="343"/>
      <c r="AE1234" s="343"/>
      <c r="AF1234" s="538"/>
      <c r="AG1234" s="343"/>
      <c r="AH1234" s="343"/>
      <c r="AI1234" s="538"/>
      <c r="AJ1234" s="343"/>
      <c r="AK1234" s="343"/>
      <c r="AL1234" s="538"/>
      <c r="AM1234" s="343"/>
      <c r="AN1234" s="343"/>
      <c r="AO1234" s="538"/>
      <c r="AP1234" s="343"/>
      <c r="AQ1234" s="343"/>
      <c r="AS1234" s="343"/>
      <c r="AT1234" s="538"/>
      <c r="AU1234" s="343"/>
      <c r="AV1234" s="343"/>
      <c r="AW1234" s="538"/>
      <c r="AX1234" s="343"/>
      <c r="AY1234" s="343"/>
      <c r="AZ1234" s="538"/>
      <c r="BA1234" s="343"/>
      <c r="BB1234" s="343"/>
      <c r="BC1234" s="538"/>
      <c r="BD1234" s="343"/>
      <c r="BE1234" s="343"/>
      <c r="BG1234" s="644"/>
      <c r="BH1234" s="515"/>
      <c r="BI1234" s="515"/>
      <c r="BJ1234" s="644"/>
      <c r="BK1234" s="515"/>
      <c r="BL1234" s="515"/>
      <c r="BM1234" s="644"/>
      <c r="BN1234" s="515"/>
      <c r="BO1234" s="515"/>
      <c r="BP1234" s="644"/>
      <c r="BQ1234" s="515"/>
      <c r="BR1234" s="515"/>
    </row>
    <row r="1235" spans="4:70" x14ac:dyDescent="0.25">
      <c r="D1235" s="538"/>
      <c r="G1235" s="538"/>
      <c r="J1235" s="538"/>
      <c r="M1235" s="538"/>
      <c r="R1235" s="538"/>
      <c r="S1235" s="343"/>
      <c r="T1235" s="343"/>
      <c r="U1235" s="538"/>
      <c r="V1235" s="343"/>
      <c r="W1235" s="343"/>
      <c r="X1235" s="538"/>
      <c r="Y1235" s="343"/>
      <c r="Z1235" s="343"/>
      <c r="AA1235" s="538"/>
      <c r="AB1235" s="343"/>
      <c r="AC1235" s="343"/>
      <c r="AE1235" s="343"/>
      <c r="AF1235" s="538"/>
      <c r="AG1235" s="343"/>
      <c r="AH1235" s="343"/>
      <c r="AI1235" s="538"/>
      <c r="AJ1235" s="343"/>
      <c r="AK1235" s="343"/>
      <c r="AL1235" s="538"/>
      <c r="AM1235" s="343"/>
      <c r="AN1235" s="343"/>
      <c r="AO1235" s="538"/>
      <c r="AP1235" s="343"/>
      <c r="AQ1235" s="343"/>
      <c r="AS1235" s="343"/>
      <c r="AT1235" s="538"/>
      <c r="AU1235" s="343"/>
      <c r="AV1235" s="343"/>
      <c r="AW1235" s="538"/>
      <c r="AX1235" s="343"/>
      <c r="AY1235" s="343"/>
      <c r="AZ1235" s="538"/>
      <c r="BA1235" s="343"/>
      <c r="BB1235" s="343"/>
      <c r="BC1235" s="538"/>
      <c r="BD1235" s="343"/>
      <c r="BE1235" s="343"/>
      <c r="BG1235" s="644"/>
      <c r="BH1235" s="515"/>
      <c r="BI1235" s="515"/>
      <c r="BJ1235" s="644"/>
      <c r="BK1235" s="515"/>
      <c r="BL1235" s="515"/>
      <c r="BM1235" s="644"/>
      <c r="BN1235" s="515"/>
      <c r="BO1235" s="515"/>
      <c r="BP1235" s="644"/>
      <c r="BQ1235" s="515"/>
      <c r="BR1235" s="515"/>
    </row>
    <row r="1236" spans="4:70" x14ac:dyDescent="0.25">
      <c r="D1236" s="538"/>
      <c r="G1236" s="538"/>
      <c r="J1236" s="538"/>
      <c r="M1236" s="538"/>
      <c r="R1236" s="538"/>
      <c r="S1236" s="343"/>
      <c r="T1236" s="343"/>
      <c r="U1236" s="538"/>
      <c r="V1236" s="343"/>
      <c r="W1236" s="343"/>
      <c r="X1236" s="538"/>
      <c r="Y1236" s="343"/>
      <c r="Z1236" s="343"/>
      <c r="AA1236" s="538"/>
      <c r="AB1236" s="343"/>
      <c r="AC1236" s="343"/>
      <c r="AE1236" s="343"/>
      <c r="AF1236" s="538"/>
      <c r="AG1236" s="343"/>
      <c r="AH1236" s="343"/>
      <c r="AI1236" s="538"/>
      <c r="AJ1236" s="343"/>
      <c r="AK1236" s="343"/>
      <c r="AL1236" s="538"/>
      <c r="AM1236" s="343"/>
      <c r="AN1236" s="343"/>
      <c r="AO1236" s="538"/>
      <c r="AP1236" s="343"/>
      <c r="AQ1236" s="343"/>
      <c r="AS1236" s="343"/>
      <c r="AT1236" s="538"/>
      <c r="AU1236" s="343"/>
      <c r="AV1236" s="343"/>
      <c r="AW1236" s="538"/>
      <c r="AX1236" s="343"/>
      <c r="AY1236" s="343"/>
      <c r="AZ1236" s="538"/>
      <c r="BA1236" s="343"/>
      <c r="BB1236" s="343"/>
      <c r="BC1236" s="538"/>
      <c r="BD1236" s="343"/>
      <c r="BE1236" s="343"/>
      <c r="BG1236" s="644"/>
      <c r="BH1236" s="515"/>
      <c r="BI1236" s="515"/>
      <c r="BJ1236" s="644"/>
      <c r="BK1236" s="515"/>
      <c r="BL1236" s="515"/>
      <c r="BM1236" s="644"/>
      <c r="BN1236" s="515"/>
      <c r="BO1236" s="515"/>
      <c r="BP1236" s="644"/>
      <c r="BQ1236" s="515"/>
      <c r="BR1236" s="515"/>
    </row>
    <row r="1237" spans="4:70" x14ac:dyDescent="0.25">
      <c r="D1237" s="538"/>
      <c r="G1237" s="538"/>
      <c r="J1237" s="538"/>
      <c r="M1237" s="538"/>
      <c r="R1237" s="538"/>
      <c r="S1237" s="343"/>
      <c r="T1237" s="343"/>
      <c r="U1237" s="538"/>
      <c r="V1237" s="343"/>
      <c r="W1237" s="343"/>
      <c r="X1237" s="538"/>
      <c r="Y1237" s="343"/>
      <c r="Z1237" s="343"/>
      <c r="AA1237" s="538"/>
      <c r="AB1237" s="343"/>
      <c r="AC1237" s="343"/>
      <c r="AE1237" s="343"/>
      <c r="AF1237" s="538"/>
      <c r="AG1237" s="343"/>
      <c r="AH1237" s="343"/>
      <c r="AI1237" s="538"/>
      <c r="AJ1237" s="343"/>
      <c r="AK1237" s="343"/>
      <c r="AL1237" s="538"/>
      <c r="AM1237" s="343"/>
      <c r="AN1237" s="343"/>
      <c r="AO1237" s="538"/>
      <c r="AP1237" s="343"/>
      <c r="AQ1237" s="343"/>
      <c r="AS1237" s="343"/>
      <c r="AT1237" s="538"/>
      <c r="AU1237" s="343"/>
      <c r="AV1237" s="343"/>
      <c r="AW1237" s="538"/>
      <c r="AX1237" s="343"/>
      <c r="AY1237" s="343"/>
      <c r="AZ1237" s="538"/>
      <c r="BA1237" s="343"/>
      <c r="BB1237" s="343"/>
      <c r="BC1237" s="538"/>
      <c r="BD1237" s="343"/>
      <c r="BE1237" s="343"/>
      <c r="BG1237" s="644"/>
      <c r="BH1237" s="515"/>
      <c r="BI1237" s="515"/>
      <c r="BJ1237" s="644"/>
      <c r="BK1237" s="515"/>
      <c r="BL1237" s="515"/>
      <c r="BM1237" s="644"/>
      <c r="BN1237" s="515"/>
      <c r="BO1237" s="515"/>
      <c r="BP1237" s="644"/>
      <c r="BQ1237" s="515"/>
      <c r="BR1237" s="515"/>
    </row>
    <row r="1238" spans="4:70" x14ac:dyDescent="0.25">
      <c r="D1238" s="538"/>
      <c r="G1238" s="538"/>
      <c r="J1238" s="538"/>
      <c r="M1238" s="538"/>
      <c r="R1238" s="538"/>
      <c r="S1238" s="343"/>
      <c r="T1238" s="343"/>
      <c r="U1238" s="538"/>
      <c r="V1238" s="343"/>
      <c r="W1238" s="343"/>
      <c r="X1238" s="538"/>
      <c r="Y1238" s="343"/>
      <c r="Z1238" s="343"/>
      <c r="AA1238" s="538"/>
      <c r="AB1238" s="343"/>
      <c r="AC1238" s="343"/>
      <c r="AE1238" s="343"/>
      <c r="AF1238" s="538"/>
      <c r="AG1238" s="343"/>
      <c r="AH1238" s="343"/>
      <c r="AI1238" s="538"/>
      <c r="AJ1238" s="343"/>
      <c r="AK1238" s="343"/>
      <c r="AL1238" s="538"/>
      <c r="AM1238" s="343"/>
      <c r="AN1238" s="343"/>
      <c r="AO1238" s="538"/>
      <c r="AP1238" s="343"/>
      <c r="AQ1238" s="343"/>
      <c r="AS1238" s="343"/>
      <c r="AT1238" s="538"/>
      <c r="AU1238" s="343"/>
      <c r="AV1238" s="343"/>
      <c r="AW1238" s="538"/>
      <c r="AX1238" s="343"/>
      <c r="AY1238" s="343"/>
      <c r="AZ1238" s="538"/>
      <c r="BA1238" s="343"/>
      <c r="BB1238" s="343"/>
      <c r="BC1238" s="538"/>
      <c r="BD1238" s="343"/>
      <c r="BE1238" s="343"/>
      <c r="BG1238" s="644"/>
      <c r="BH1238" s="515"/>
      <c r="BI1238" s="515"/>
      <c r="BJ1238" s="644"/>
      <c r="BK1238" s="515"/>
      <c r="BL1238" s="515"/>
      <c r="BM1238" s="644"/>
      <c r="BN1238" s="515"/>
      <c r="BO1238" s="515"/>
      <c r="BP1238" s="644"/>
      <c r="BQ1238" s="515"/>
      <c r="BR1238" s="515"/>
    </row>
    <row r="1239" spans="4:70" x14ac:dyDescent="0.25">
      <c r="D1239" s="538"/>
      <c r="G1239" s="538"/>
      <c r="J1239" s="538"/>
      <c r="M1239" s="538"/>
      <c r="R1239" s="538"/>
      <c r="S1239" s="343"/>
      <c r="T1239" s="343"/>
      <c r="U1239" s="538"/>
      <c r="V1239" s="343"/>
      <c r="W1239" s="343"/>
      <c r="X1239" s="538"/>
      <c r="Y1239" s="343"/>
      <c r="Z1239" s="343"/>
      <c r="AA1239" s="538"/>
      <c r="AB1239" s="343"/>
      <c r="AC1239" s="343"/>
      <c r="AE1239" s="343"/>
      <c r="AF1239" s="538"/>
      <c r="AG1239" s="343"/>
      <c r="AH1239" s="343"/>
      <c r="AI1239" s="538"/>
      <c r="AJ1239" s="343"/>
      <c r="AK1239" s="343"/>
      <c r="AL1239" s="538"/>
      <c r="AM1239" s="343"/>
      <c r="AN1239" s="343"/>
      <c r="AO1239" s="538"/>
      <c r="AP1239" s="343"/>
      <c r="AQ1239" s="343"/>
      <c r="AS1239" s="343"/>
      <c r="AT1239" s="538"/>
      <c r="AU1239" s="343"/>
      <c r="AV1239" s="343"/>
      <c r="AW1239" s="538"/>
      <c r="AX1239" s="343"/>
      <c r="AY1239" s="343"/>
      <c r="AZ1239" s="538"/>
      <c r="BA1239" s="343"/>
      <c r="BB1239" s="343"/>
      <c r="BC1239" s="538"/>
      <c r="BD1239" s="343"/>
      <c r="BE1239" s="343"/>
      <c r="BG1239" s="644"/>
      <c r="BH1239" s="515"/>
      <c r="BI1239" s="515"/>
      <c r="BJ1239" s="644"/>
      <c r="BK1239" s="515"/>
      <c r="BL1239" s="515"/>
      <c r="BM1239" s="644"/>
      <c r="BN1239" s="515"/>
      <c r="BO1239" s="515"/>
      <c r="BP1239" s="644"/>
      <c r="BQ1239" s="515"/>
      <c r="BR1239" s="515"/>
    </row>
    <row r="1240" spans="4:70" x14ac:dyDescent="0.25">
      <c r="D1240" s="538"/>
      <c r="G1240" s="538"/>
      <c r="J1240" s="538"/>
      <c r="M1240" s="538"/>
      <c r="R1240" s="538"/>
      <c r="S1240" s="343"/>
      <c r="T1240" s="343"/>
      <c r="U1240" s="538"/>
      <c r="V1240" s="343"/>
      <c r="W1240" s="343"/>
      <c r="X1240" s="538"/>
      <c r="Y1240" s="343"/>
      <c r="Z1240" s="343"/>
      <c r="AA1240" s="538"/>
      <c r="AB1240" s="343"/>
      <c r="AC1240" s="343"/>
      <c r="AE1240" s="343"/>
      <c r="AF1240" s="538"/>
      <c r="AG1240" s="343"/>
      <c r="AH1240" s="343"/>
      <c r="AI1240" s="538"/>
      <c r="AJ1240" s="343"/>
      <c r="AK1240" s="343"/>
      <c r="AL1240" s="538"/>
      <c r="AM1240" s="343"/>
      <c r="AN1240" s="343"/>
      <c r="AO1240" s="538"/>
      <c r="AP1240" s="343"/>
      <c r="AQ1240" s="343"/>
      <c r="AS1240" s="343"/>
      <c r="AT1240" s="538"/>
      <c r="AU1240" s="343"/>
      <c r="AV1240" s="343"/>
      <c r="AW1240" s="538"/>
      <c r="AX1240" s="343"/>
      <c r="AY1240" s="343"/>
      <c r="AZ1240" s="538"/>
      <c r="BA1240" s="343"/>
      <c r="BB1240" s="343"/>
      <c r="BC1240" s="538"/>
      <c r="BD1240" s="343"/>
      <c r="BE1240" s="343"/>
      <c r="BG1240" s="644"/>
      <c r="BH1240" s="515"/>
      <c r="BI1240" s="515"/>
      <c r="BJ1240" s="644"/>
      <c r="BK1240" s="515"/>
      <c r="BL1240" s="515"/>
      <c r="BM1240" s="644"/>
      <c r="BN1240" s="515"/>
      <c r="BO1240" s="515"/>
      <c r="BP1240" s="644"/>
      <c r="BQ1240" s="515"/>
      <c r="BR1240" s="515"/>
    </row>
    <row r="1241" spans="4:70" x14ac:dyDescent="0.25">
      <c r="D1241" s="538"/>
      <c r="G1241" s="538"/>
      <c r="J1241" s="538"/>
      <c r="M1241" s="538"/>
      <c r="R1241" s="538"/>
      <c r="S1241" s="343"/>
      <c r="T1241" s="343"/>
      <c r="U1241" s="538"/>
      <c r="V1241" s="343"/>
      <c r="W1241" s="343"/>
      <c r="X1241" s="538"/>
      <c r="Y1241" s="343"/>
      <c r="Z1241" s="343"/>
      <c r="AA1241" s="538"/>
      <c r="AB1241" s="343"/>
      <c r="AC1241" s="343"/>
      <c r="AE1241" s="343"/>
      <c r="AF1241" s="538"/>
      <c r="AG1241" s="343"/>
      <c r="AH1241" s="343"/>
      <c r="AI1241" s="538"/>
      <c r="AJ1241" s="343"/>
      <c r="AK1241" s="343"/>
      <c r="AL1241" s="538"/>
      <c r="AM1241" s="343"/>
      <c r="AN1241" s="343"/>
      <c r="AO1241" s="538"/>
      <c r="AP1241" s="343"/>
      <c r="AQ1241" s="343"/>
      <c r="AS1241" s="343"/>
      <c r="AT1241" s="538"/>
      <c r="AU1241" s="343"/>
      <c r="AV1241" s="343"/>
      <c r="AW1241" s="538"/>
      <c r="AX1241" s="343"/>
      <c r="AY1241" s="343"/>
      <c r="AZ1241" s="538"/>
      <c r="BA1241" s="343"/>
      <c r="BB1241" s="343"/>
      <c r="BC1241" s="538"/>
      <c r="BD1241" s="343"/>
      <c r="BE1241" s="343"/>
      <c r="BG1241" s="644"/>
      <c r="BH1241" s="515"/>
      <c r="BI1241" s="515"/>
      <c r="BJ1241" s="644"/>
      <c r="BK1241" s="515"/>
      <c r="BL1241" s="515"/>
      <c r="BM1241" s="644"/>
      <c r="BN1241" s="515"/>
      <c r="BO1241" s="515"/>
      <c r="BP1241" s="644"/>
      <c r="BQ1241" s="515"/>
      <c r="BR1241" s="515"/>
    </row>
    <row r="1242" spans="4:70" x14ac:dyDescent="0.25">
      <c r="D1242" s="538"/>
      <c r="G1242" s="538"/>
      <c r="J1242" s="538"/>
      <c r="M1242" s="538"/>
      <c r="R1242" s="538"/>
      <c r="S1242" s="343"/>
      <c r="T1242" s="343"/>
      <c r="U1242" s="538"/>
      <c r="V1242" s="343"/>
      <c r="W1242" s="343"/>
      <c r="X1242" s="538"/>
      <c r="Y1242" s="343"/>
      <c r="Z1242" s="343"/>
      <c r="AA1242" s="538"/>
      <c r="AB1242" s="343"/>
      <c r="AC1242" s="343"/>
      <c r="AE1242" s="343"/>
      <c r="AF1242" s="538"/>
      <c r="AG1242" s="343"/>
      <c r="AH1242" s="343"/>
      <c r="AI1242" s="538"/>
      <c r="AJ1242" s="343"/>
      <c r="AK1242" s="343"/>
      <c r="AL1242" s="538"/>
      <c r="AM1242" s="343"/>
      <c r="AN1242" s="343"/>
      <c r="AO1242" s="538"/>
      <c r="AP1242" s="343"/>
      <c r="AQ1242" s="343"/>
      <c r="AS1242" s="343"/>
      <c r="AT1242" s="538"/>
      <c r="AU1242" s="343"/>
      <c r="AV1242" s="343"/>
      <c r="AW1242" s="538"/>
      <c r="AX1242" s="343"/>
      <c r="AY1242" s="343"/>
      <c r="AZ1242" s="538"/>
      <c r="BA1242" s="343"/>
      <c r="BB1242" s="343"/>
      <c r="BC1242" s="538"/>
      <c r="BD1242" s="343"/>
      <c r="BE1242" s="343"/>
      <c r="BG1242" s="644"/>
      <c r="BH1242" s="515"/>
      <c r="BI1242" s="515"/>
      <c r="BJ1242" s="644"/>
      <c r="BK1242" s="515"/>
      <c r="BL1242" s="515"/>
      <c r="BM1242" s="644"/>
      <c r="BN1242" s="515"/>
      <c r="BO1242" s="515"/>
      <c r="BP1242" s="644"/>
      <c r="BQ1242" s="515"/>
      <c r="BR1242" s="515"/>
    </row>
    <row r="1243" spans="4:70" x14ac:dyDescent="0.25">
      <c r="D1243" s="538"/>
      <c r="G1243" s="538"/>
      <c r="J1243" s="538"/>
      <c r="M1243" s="538"/>
      <c r="R1243" s="538"/>
      <c r="S1243" s="343"/>
      <c r="T1243" s="343"/>
      <c r="U1243" s="538"/>
      <c r="V1243" s="343"/>
      <c r="W1243" s="343"/>
      <c r="X1243" s="538"/>
      <c r="Y1243" s="343"/>
      <c r="Z1243" s="343"/>
      <c r="AA1243" s="538"/>
      <c r="AB1243" s="343"/>
      <c r="AC1243" s="343"/>
      <c r="AE1243" s="343"/>
      <c r="AF1243" s="538"/>
      <c r="AG1243" s="343"/>
      <c r="AH1243" s="343"/>
      <c r="AI1243" s="538"/>
      <c r="AJ1243" s="343"/>
      <c r="AK1243" s="343"/>
      <c r="AL1243" s="538"/>
      <c r="AM1243" s="343"/>
      <c r="AN1243" s="343"/>
      <c r="AO1243" s="538"/>
      <c r="AP1243" s="343"/>
      <c r="AQ1243" s="343"/>
      <c r="AS1243" s="343"/>
      <c r="AT1243" s="538"/>
      <c r="AU1243" s="343"/>
      <c r="AV1243" s="343"/>
      <c r="AW1243" s="538"/>
      <c r="AX1243" s="343"/>
      <c r="AY1243" s="343"/>
      <c r="AZ1243" s="538"/>
      <c r="BA1243" s="343"/>
      <c r="BB1243" s="343"/>
      <c r="BC1243" s="538"/>
      <c r="BD1243" s="343"/>
      <c r="BE1243" s="343"/>
      <c r="BG1243" s="644"/>
      <c r="BH1243" s="515"/>
      <c r="BI1243" s="515"/>
      <c r="BJ1243" s="644"/>
      <c r="BK1243" s="515"/>
      <c r="BL1243" s="515"/>
      <c r="BM1243" s="644"/>
      <c r="BN1243" s="515"/>
      <c r="BO1243" s="515"/>
      <c r="BP1243" s="644"/>
      <c r="BQ1243" s="515"/>
      <c r="BR1243" s="515"/>
    </row>
    <row r="1244" spans="4:70" x14ac:dyDescent="0.25">
      <c r="D1244" s="538"/>
      <c r="G1244" s="538"/>
      <c r="J1244" s="538"/>
      <c r="M1244" s="538"/>
      <c r="R1244" s="538"/>
      <c r="S1244" s="343"/>
      <c r="T1244" s="343"/>
      <c r="U1244" s="538"/>
      <c r="V1244" s="343"/>
      <c r="W1244" s="343"/>
      <c r="X1244" s="538"/>
      <c r="Y1244" s="343"/>
      <c r="Z1244" s="343"/>
      <c r="AA1244" s="538"/>
      <c r="AB1244" s="343"/>
      <c r="AC1244" s="343"/>
      <c r="AE1244" s="343"/>
      <c r="AF1244" s="538"/>
      <c r="AG1244" s="343"/>
      <c r="AH1244" s="343"/>
      <c r="AI1244" s="538"/>
      <c r="AJ1244" s="343"/>
      <c r="AK1244" s="343"/>
      <c r="AL1244" s="538"/>
      <c r="AM1244" s="343"/>
      <c r="AN1244" s="343"/>
      <c r="AO1244" s="538"/>
      <c r="AP1244" s="343"/>
      <c r="AQ1244" s="343"/>
      <c r="AS1244" s="343"/>
      <c r="AT1244" s="538"/>
      <c r="AU1244" s="343"/>
      <c r="AV1244" s="343"/>
      <c r="AW1244" s="538"/>
      <c r="AX1244" s="343"/>
      <c r="AY1244" s="343"/>
      <c r="AZ1244" s="538"/>
      <c r="BA1244" s="343"/>
      <c r="BB1244" s="343"/>
      <c r="BC1244" s="538"/>
      <c r="BD1244" s="343"/>
      <c r="BE1244" s="343"/>
      <c r="BG1244" s="644"/>
      <c r="BH1244" s="515"/>
      <c r="BI1244" s="515"/>
      <c r="BJ1244" s="644"/>
      <c r="BK1244" s="515"/>
      <c r="BL1244" s="515"/>
      <c r="BM1244" s="644"/>
      <c r="BN1244" s="515"/>
      <c r="BO1244" s="515"/>
      <c r="BP1244" s="644"/>
      <c r="BQ1244" s="515"/>
      <c r="BR1244" s="515"/>
    </row>
    <row r="1245" spans="4:70" x14ac:dyDescent="0.25">
      <c r="D1245" s="538"/>
      <c r="G1245" s="538"/>
      <c r="J1245" s="538"/>
      <c r="M1245" s="538"/>
      <c r="R1245" s="538"/>
      <c r="S1245" s="343"/>
      <c r="T1245" s="343"/>
      <c r="U1245" s="538"/>
      <c r="V1245" s="343"/>
      <c r="W1245" s="343"/>
      <c r="X1245" s="538"/>
      <c r="Y1245" s="343"/>
      <c r="Z1245" s="343"/>
      <c r="AA1245" s="538"/>
      <c r="AB1245" s="343"/>
      <c r="AC1245" s="343"/>
      <c r="AE1245" s="343"/>
      <c r="AF1245" s="538"/>
      <c r="AG1245" s="343"/>
      <c r="AH1245" s="343"/>
      <c r="AI1245" s="538"/>
      <c r="AJ1245" s="343"/>
      <c r="AK1245" s="343"/>
      <c r="AL1245" s="538"/>
      <c r="AM1245" s="343"/>
      <c r="AN1245" s="343"/>
      <c r="AO1245" s="538"/>
      <c r="AP1245" s="343"/>
      <c r="AQ1245" s="343"/>
      <c r="AS1245" s="343"/>
      <c r="AT1245" s="538"/>
      <c r="AU1245" s="343"/>
      <c r="AV1245" s="343"/>
      <c r="AW1245" s="538"/>
      <c r="AX1245" s="343"/>
      <c r="AY1245" s="343"/>
      <c r="AZ1245" s="538"/>
      <c r="BA1245" s="343"/>
      <c r="BB1245" s="343"/>
      <c r="BC1245" s="538"/>
      <c r="BD1245" s="343"/>
      <c r="BE1245" s="343"/>
      <c r="BG1245" s="644"/>
      <c r="BH1245" s="515"/>
      <c r="BI1245" s="515"/>
      <c r="BJ1245" s="644"/>
      <c r="BK1245" s="515"/>
      <c r="BL1245" s="515"/>
      <c r="BM1245" s="644"/>
      <c r="BN1245" s="515"/>
      <c r="BO1245" s="515"/>
      <c r="BP1245" s="644"/>
      <c r="BQ1245" s="515"/>
      <c r="BR1245" s="515"/>
    </row>
    <row r="1246" spans="4:70" x14ac:dyDescent="0.25">
      <c r="D1246" s="538"/>
      <c r="G1246" s="538"/>
      <c r="J1246" s="538"/>
      <c r="M1246" s="538"/>
      <c r="R1246" s="538"/>
      <c r="S1246" s="343"/>
      <c r="T1246" s="343"/>
      <c r="U1246" s="538"/>
      <c r="V1246" s="343"/>
      <c r="W1246" s="343"/>
      <c r="X1246" s="538"/>
      <c r="Y1246" s="343"/>
      <c r="Z1246" s="343"/>
      <c r="AA1246" s="538"/>
      <c r="AB1246" s="343"/>
      <c r="AC1246" s="343"/>
      <c r="AE1246" s="343"/>
      <c r="AF1246" s="538"/>
      <c r="AG1246" s="343"/>
      <c r="AH1246" s="343"/>
      <c r="AI1246" s="538"/>
      <c r="AJ1246" s="343"/>
      <c r="AK1246" s="343"/>
      <c r="AL1246" s="538"/>
      <c r="AM1246" s="343"/>
      <c r="AN1246" s="343"/>
      <c r="AO1246" s="538"/>
      <c r="AP1246" s="343"/>
      <c r="AQ1246" s="343"/>
      <c r="AS1246" s="343"/>
      <c r="AT1246" s="538"/>
      <c r="AU1246" s="343"/>
      <c r="AV1246" s="343"/>
      <c r="AW1246" s="538"/>
      <c r="AX1246" s="343"/>
      <c r="AY1246" s="343"/>
      <c r="AZ1246" s="538"/>
      <c r="BA1246" s="343"/>
      <c r="BB1246" s="343"/>
      <c r="BC1246" s="538"/>
      <c r="BD1246" s="343"/>
      <c r="BE1246" s="343"/>
      <c r="BG1246" s="644"/>
      <c r="BH1246" s="515"/>
      <c r="BI1246" s="515"/>
      <c r="BJ1246" s="644"/>
      <c r="BK1246" s="515"/>
      <c r="BL1246" s="515"/>
      <c r="BM1246" s="644"/>
      <c r="BN1246" s="515"/>
      <c r="BO1246" s="515"/>
      <c r="BP1246" s="644"/>
      <c r="BQ1246" s="515"/>
      <c r="BR1246" s="515"/>
    </row>
    <row r="1247" spans="4:70" x14ac:dyDescent="0.25">
      <c r="D1247" s="538"/>
      <c r="G1247" s="538"/>
      <c r="J1247" s="538"/>
      <c r="M1247" s="538"/>
      <c r="R1247" s="538"/>
      <c r="S1247" s="343"/>
      <c r="T1247" s="343"/>
      <c r="U1247" s="538"/>
      <c r="V1247" s="343"/>
      <c r="W1247" s="343"/>
      <c r="X1247" s="538"/>
      <c r="Y1247" s="343"/>
      <c r="Z1247" s="343"/>
      <c r="AA1247" s="538"/>
      <c r="AB1247" s="343"/>
      <c r="AC1247" s="343"/>
      <c r="AE1247" s="343"/>
      <c r="AF1247" s="538"/>
      <c r="AG1247" s="343"/>
      <c r="AH1247" s="343"/>
      <c r="AI1247" s="538"/>
      <c r="AJ1247" s="343"/>
      <c r="AK1247" s="343"/>
      <c r="AL1247" s="538"/>
      <c r="AM1247" s="343"/>
      <c r="AN1247" s="343"/>
      <c r="AO1247" s="538"/>
      <c r="AP1247" s="343"/>
      <c r="AQ1247" s="343"/>
      <c r="AS1247" s="343"/>
      <c r="AT1247" s="538"/>
      <c r="AU1247" s="343"/>
      <c r="AV1247" s="343"/>
      <c r="AW1247" s="538"/>
      <c r="AX1247" s="343"/>
      <c r="AY1247" s="343"/>
      <c r="AZ1247" s="538"/>
      <c r="BA1247" s="343"/>
      <c r="BB1247" s="343"/>
      <c r="BC1247" s="538"/>
      <c r="BD1247" s="343"/>
      <c r="BE1247" s="343"/>
      <c r="BG1247" s="644"/>
      <c r="BH1247" s="515"/>
      <c r="BI1247" s="515"/>
      <c r="BJ1247" s="644"/>
      <c r="BK1247" s="515"/>
      <c r="BL1247" s="515"/>
      <c r="BM1247" s="644"/>
      <c r="BN1247" s="515"/>
      <c r="BO1247" s="515"/>
      <c r="BP1247" s="644"/>
      <c r="BQ1247" s="515"/>
      <c r="BR1247" s="515"/>
    </row>
    <row r="1248" spans="4:70" x14ac:dyDescent="0.25">
      <c r="D1248" s="538"/>
      <c r="G1248" s="538"/>
      <c r="J1248" s="538"/>
      <c r="M1248" s="538"/>
      <c r="R1248" s="538"/>
      <c r="S1248" s="343"/>
      <c r="T1248" s="343"/>
      <c r="U1248" s="538"/>
      <c r="V1248" s="343"/>
      <c r="W1248" s="343"/>
      <c r="X1248" s="538"/>
      <c r="Y1248" s="343"/>
      <c r="Z1248" s="343"/>
      <c r="AA1248" s="538"/>
      <c r="AB1248" s="343"/>
      <c r="AC1248" s="343"/>
      <c r="AE1248" s="343"/>
      <c r="AF1248" s="538"/>
      <c r="AG1248" s="343"/>
      <c r="AH1248" s="343"/>
      <c r="AI1248" s="538"/>
      <c r="AJ1248" s="343"/>
      <c r="AK1248" s="343"/>
      <c r="AL1248" s="538"/>
      <c r="AM1248" s="343"/>
      <c r="AN1248" s="343"/>
      <c r="AO1248" s="538"/>
      <c r="AP1248" s="343"/>
      <c r="AQ1248" s="343"/>
      <c r="AS1248" s="343"/>
      <c r="AT1248" s="538"/>
      <c r="AU1248" s="343"/>
      <c r="AV1248" s="343"/>
      <c r="AW1248" s="538"/>
      <c r="AX1248" s="343"/>
      <c r="AY1248" s="343"/>
      <c r="AZ1248" s="538"/>
      <c r="BA1248" s="343"/>
      <c r="BB1248" s="343"/>
      <c r="BC1248" s="538"/>
      <c r="BD1248" s="343"/>
      <c r="BE1248" s="343"/>
      <c r="BG1248" s="644"/>
      <c r="BH1248" s="515"/>
      <c r="BI1248" s="515"/>
      <c r="BJ1248" s="644"/>
      <c r="BK1248" s="515"/>
      <c r="BL1248" s="515"/>
      <c r="BM1248" s="644"/>
      <c r="BN1248" s="515"/>
      <c r="BO1248" s="515"/>
      <c r="BP1248" s="644"/>
      <c r="BQ1248" s="515"/>
      <c r="BR1248" s="515"/>
    </row>
    <row r="1249" spans="4:70" x14ac:dyDescent="0.25">
      <c r="D1249" s="538"/>
      <c r="G1249" s="538"/>
      <c r="J1249" s="538"/>
      <c r="M1249" s="538"/>
      <c r="R1249" s="538"/>
      <c r="S1249" s="343"/>
      <c r="T1249" s="343"/>
      <c r="U1249" s="538"/>
      <c r="V1249" s="343"/>
      <c r="W1249" s="343"/>
      <c r="X1249" s="538"/>
      <c r="Y1249" s="343"/>
      <c r="Z1249" s="343"/>
      <c r="AA1249" s="538"/>
      <c r="AB1249" s="343"/>
      <c r="AC1249" s="343"/>
      <c r="AE1249" s="343"/>
      <c r="AF1249" s="538"/>
      <c r="AG1249" s="343"/>
      <c r="AH1249" s="343"/>
      <c r="AI1249" s="538"/>
      <c r="AJ1249" s="343"/>
      <c r="AK1249" s="343"/>
      <c r="AL1249" s="538"/>
      <c r="AM1249" s="343"/>
      <c r="AN1249" s="343"/>
      <c r="AO1249" s="538"/>
      <c r="AP1249" s="343"/>
      <c r="AQ1249" s="343"/>
      <c r="AS1249" s="343"/>
      <c r="AT1249" s="538"/>
      <c r="AU1249" s="343"/>
      <c r="AV1249" s="343"/>
      <c r="AW1249" s="538"/>
      <c r="AX1249" s="343"/>
      <c r="AY1249" s="343"/>
      <c r="AZ1249" s="538"/>
      <c r="BA1249" s="343"/>
      <c r="BB1249" s="343"/>
      <c r="BC1249" s="538"/>
      <c r="BD1249" s="343"/>
      <c r="BE1249" s="343"/>
      <c r="BG1249" s="644"/>
      <c r="BH1249" s="515"/>
      <c r="BI1249" s="515"/>
      <c r="BJ1249" s="644"/>
      <c r="BK1249" s="515"/>
      <c r="BL1249" s="515"/>
      <c r="BM1249" s="644"/>
      <c r="BN1249" s="515"/>
      <c r="BO1249" s="515"/>
      <c r="BP1249" s="644"/>
      <c r="BQ1249" s="515"/>
      <c r="BR1249" s="515"/>
    </row>
    <row r="1250" spans="4:70" x14ac:dyDescent="0.25">
      <c r="D1250" s="538"/>
      <c r="G1250" s="538"/>
      <c r="J1250" s="538"/>
      <c r="M1250" s="538"/>
      <c r="R1250" s="538"/>
      <c r="S1250" s="343"/>
      <c r="T1250" s="343"/>
      <c r="U1250" s="538"/>
      <c r="V1250" s="343"/>
      <c r="W1250" s="343"/>
      <c r="X1250" s="538"/>
      <c r="Y1250" s="343"/>
      <c r="Z1250" s="343"/>
      <c r="AA1250" s="538"/>
      <c r="AB1250" s="343"/>
      <c r="AC1250" s="343"/>
      <c r="AE1250" s="343"/>
      <c r="AF1250" s="538"/>
      <c r="AG1250" s="343"/>
      <c r="AH1250" s="343"/>
      <c r="AI1250" s="538"/>
      <c r="AJ1250" s="343"/>
      <c r="AK1250" s="343"/>
      <c r="AL1250" s="538"/>
      <c r="AM1250" s="343"/>
      <c r="AN1250" s="343"/>
      <c r="AO1250" s="538"/>
      <c r="AP1250" s="343"/>
      <c r="AQ1250" s="343"/>
      <c r="AS1250" s="343"/>
      <c r="AT1250" s="538"/>
      <c r="AU1250" s="343"/>
      <c r="AV1250" s="343"/>
      <c r="AW1250" s="538"/>
      <c r="AX1250" s="343"/>
      <c r="AY1250" s="343"/>
      <c r="AZ1250" s="538"/>
      <c r="BA1250" s="343"/>
      <c r="BB1250" s="343"/>
      <c r="BC1250" s="538"/>
      <c r="BD1250" s="343"/>
      <c r="BE1250" s="343"/>
      <c r="BG1250" s="644"/>
      <c r="BH1250" s="515"/>
      <c r="BI1250" s="515"/>
      <c r="BJ1250" s="644"/>
      <c r="BK1250" s="515"/>
      <c r="BL1250" s="515"/>
      <c r="BM1250" s="644"/>
      <c r="BN1250" s="515"/>
      <c r="BO1250" s="515"/>
      <c r="BP1250" s="644"/>
      <c r="BQ1250" s="515"/>
      <c r="BR1250" s="515"/>
    </row>
    <row r="1251" spans="4:70" x14ac:dyDescent="0.25">
      <c r="D1251" s="538"/>
      <c r="G1251" s="538"/>
      <c r="J1251" s="538"/>
      <c r="M1251" s="538"/>
      <c r="R1251" s="538"/>
      <c r="S1251" s="343"/>
      <c r="T1251" s="343"/>
      <c r="U1251" s="538"/>
      <c r="V1251" s="343"/>
      <c r="W1251" s="343"/>
      <c r="X1251" s="538"/>
      <c r="Y1251" s="343"/>
      <c r="Z1251" s="343"/>
      <c r="AA1251" s="538"/>
      <c r="AB1251" s="343"/>
      <c r="AC1251" s="343"/>
      <c r="AE1251" s="343"/>
      <c r="AF1251" s="538"/>
      <c r="AG1251" s="343"/>
      <c r="AH1251" s="343"/>
      <c r="AI1251" s="538"/>
      <c r="AJ1251" s="343"/>
      <c r="AK1251" s="343"/>
      <c r="AL1251" s="538"/>
      <c r="AM1251" s="343"/>
      <c r="AN1251" s="343"/>
      <c r="AO1251" s="538"/>
      <c r="AP1251" s="343"/>
      <c r="AQ1251" s="343"/>
      <c r="AS1251" s="343"/>
      <c r="AT1251" s="538"/>
      <c r="AU1251" s="343"/>
      <c r="AV1251" s="343"/>
      <c r="AW1251" s="538"/>
      <c r="AX1251" s="343"/>
      <c r="AY1251" s="343"/>
      <c r="AZ1251" s="538"/>
      <c r="BA1251" s="343"/>
      <c r="BB1251" s="343"/>
      <c r="BC1251" s="538"/>
      <c r="BD1251" s="343"/>
      <c r="BE1251" s="343"/>
      <c r="BG1251" s="644"/>
      <c r="BH1251" s="515"/>
      <c r="BI1251" s="515"/>
      <c r="BJ1251" s="644"/>
      <c r="BK1251" s="515"/>
      <c r="BL1251" s="515"/>
      <c r="BM1251" s="644"/>
      <c r="BN1251" s="515"/>
      <c r="BO1251" s="515"/>
      <c r="BP1251" s="644"/>
      <c r="BQ1251" s="515"/>
      <c r="BR1251" s="515"/>
    </row>
    <row r="1252" spans="4:70" x14ac:dyDescent="0.25">
      <c r="D1252" s="538"/>
      <c r="G1252" s="538"/>
      <c r="J1252" s="538"/>
      <c r="M1252" s="538"/>
      <c r="R1252" s="538"/>
      <c r="S1252" s="343"/>
      <c r="T1252" s="343"/>
      <c r="U1252" s="538"/>
      <c r="V1252" s="343"/>
      <c r="W1252" s="343"/>
      <c r="X1252" s="538"/>
      <c r="Y1252" s="343"/>
      <c r="Z1252" s="343"/>
      <c r="AA1252" s="538"/>
      <c r="AB1252" s="343"/>
      <c r="AC1252" s="343"/>
      <c r="AE1252" s="343"/>
      <c r="AF1252" s="538"/>
      <c r="AG1252" s="343"/>
      <c r="AH1252" s="343"/>
      <c r="AI1252" s="538"/>
      <c r="AJ1252" s="343"/>
      <c r="AK1252" s="343"/>
      <c r="AL1252" s="538"/>
      <c r="AM1252" s="343"/>
      <c r="AN1252" s="343"/>
      <c r="AO1252" s="538"/>
      <c r="AP1252" s="343"/>
      <c r="AQ1252" s="343"/>
      <c r="AS1252" s="343"/>
      <c r="AT1252" s="538"/>
      <c r="AU1252" s="343"/>
      <c r="AV1252" s="343"/>
      <c r="AW1252" s="538"/>
      <c r="AX1252" s="343"/>
      <c r="AY1252" s="343"/>
      <c r="AZ1252" s="538"/>
      <c r="BA1252" s="343"/>
      <c r="BB1252" s="343"/>
      <c r="BC1252" s="538"/>
      <c r="BD1252" s="343"/>
      <c r="BE1252" s="343"/>
      <c r="BG1252" s="644"/>
      <c r="BH1252" s="515"/>
      <c r="BI1252" s="515"/>
      <c r="BJ1252" s="644"/>
      <c r="BK1252" s="515"/>
      <c r="BL1252" s="515"/>
      <c r="BM1252" s="644"/>
      <c r="BN1252" s="515"/>
      <c r="BO1252" s="515"/>
      <c r="BP1252" s="644"/>
      <c r="BQ1252" s="515"/>
      <c r="BR1252" s="515"/>
    </row>
    <row r="1253" spans="4:70" x14ac:dyDescent="0.25">
      <c r="D1253" s="538"/>
      <c r="G1253" s="538"/>
      <c r="J1253" s="538"/>
      <c r="M1253" s="538"/>
      <c r="R1253" s="538"/>
      <c r="S1253" s="343"/>
      <c r="T1253" s="343"/>
      <c r="U1253" s="538"/>
      <c r="V1253" s="343"/>
      <c r="W1253" s="343"/>
      <c r="X1253" s="538"/>
      <c r="Y1253" s="343"/>
      <c r="Z1253" s="343"/>
      <c r="AA1253" s="538"/>
      <c r="AB1253" s="343"/>
      <c r="AC1253" s="343"/>
      <c r="AE1253" s="343"/>
      <c r="AF1253" s="538"/>
      <c r="AG1253" s="343"/>
      <c r="AH1253" s="343"/>
      <c r="AI1253" s="538"/>
      <c r="AJ1253" s="343"/>
      <c r="AK1253" s="343"/>
      <c r="AL1253" s="538"/>
      <c r="AM1253" s="343"/>
      <c r="AN1253" s="343"/>
      <c r="AO1253" s="538"/>
      <c r="AP1253" s="343"/>
      <c r="AQ1253" s="343"/>
      <c r="AS1253" s="343"/>
      <c r="AT1253" s="538"/>
      <c r="AU1253" s="343"/>
      <c r="AV1253" s="343"/>
      <c r="AW1253" s="538"/>
      <c r="AX1253" s="343"/>
      <c r="AY1253" s="343"/>
      <c r="AZ1253" s="538"/>
      <c r="BA1253" s="343"/>
      <c r="BB1253" s="343"/>
      <c r="BC1253" s="538"/>
      <c r="BD1253" s="343"/>
      <c r="BE1253" s="343"/>
      <c r="BG1253" s="644"/>
      <c r="BH1253" s="515"/>
      <c r="BI1253" s="515"/>
      <c r="BJ1253" s="644"/>
      <c r="BK1253" s="515"/>
      <c r="BL1253" s="515"/>
      <c r="BM1253" s="644"/>
      <c r="BN1253" s="515"/>
      <c r="BO1253" s="515"/>
      <c r="BP1253" s="644"/>
      <c r="BQ1253" s="515"/>
      <c r="BR1253" s="515"/>
    </row>
    <row r="1254" spans="4:70" x14ac:dyDescent="0.25">
      <c r="D1254" s="538"/>
      <c r="G1254" s="538"/>
      <c r="J1254" s="538"/>
      <c r="M1254" s="538"/>
      <c r="R1254" s="538"/>
      <c r="S1254" s="343"/>
      <c r="T1254" s="343"/>
      <c r="U1254" s="538"/>
      <c r="V1254" s="343"/>
      <c r="W1254" s="343"/>
      <c r="X1254" s="538"/>
      <c r="Y1254" s="343"/>
      <c r="Z1254" s="343"/>
      <c r="AA1254" s="538"/>
      <c r="AB1254" s="343"/>
      <c r="AC1254" s="343"/>
      <c r="AE1254" s="343"/>
      <c r="AF1254" s="538"/>
      <c r="AG1254" s="343"/>
      <c r="AH1254" s="343"/>
      <c r="AI1254" s="538"/>
      <c r="AJ1254" s="343"/>
      <c r="AK1254" s="343"/>
      <c r="AL1254" s="538"/>
      <c r="AM1254" s="343"/>
      <c r="AN1254" s="343"/>
      <c r="AO1254" s="538"/>
      <c r="AP1254" s="343"/>
      <c r="AQ1254" s="343"/>
      <c r="AS1254" s="343"/>
      <c r="AT1254" s="538"/>
      <c r="AU1254" s="343"/>
      <c r="AV1254" s="343"/>
      <c r="AW1254" s="538"/>
      <c r="AX1254" s="343"/>
      <c r="AY1254" s="343"/>
      <c r="AZ1254" s="538"/>
      <c r="BA1254" s="343"/>
      <c r="BB1254" s="343"/>
      <c r="BC1254" s="538"/>
      <c r="BD1254" s="343"/>
      <c r="BE1254" s="343"/>
      <c r="BG1254" s="644"/>
      <c r="BH1254" s="515"/>
      <c r="BI1254" s="515"/>
      <c r="BJ1254" s="644"/>
      <c r="BK1254" s="515"/>
      <c r="BL1254" s="515"/>
      <c r="BM1254" s="644"/>
      <c r="BN1254" s="515"/>
      <c r="BO1254" s="515"/>
      <c r="BP1254" s="644"/>
      <c r="BQ1254" s="515"/>
      <c r="BR1254" s="515"/>
    </row>
    <row r="1255" spans="4:70" x14ac:dyDescent="0.25">
      <c r="D1255" s="538"/>
      <c r="G1255" s="538"/>
      <c r="J1255" s="538"/>
      <c r="M1255" s="538"/>
      <c r="R1255" s="538"/>
      <c r="S1255" s="343"/>
      <c r="T1255" s="343"/>
      <c r="U1255" s="538"/>
      <c r="V1255" s="343"/>
      <c r="W1255" s="343"/>
      <c r="X1255" s="538"/>
      <c r="Y1255" s="343"/>
      <c r="Z1255" s="343"/>
      <c r="AA1255" s="538"/>
      <c r="AB1255" s="343"/>
      <c r="AC1255" s="343"/>
      <c r="AE1255" s="343"/>
      <c r="AF1255" s="538"/>
      <c r="AG1255" s="343"/>
      <c r="AH1255" s="343"/>
      <c r="AI1255" s="538"/>
      <c r="AJ1255" s="343"/>
      <c r="AK1255" s="343"/>
      <c r="AL1255" s="538"/>
      <c r="AM1255" s="343"/>
      <c r="AN1255" s="343"/>
      <c r="AO1255" s="538"/>
      <c r="AP1255" s="343"/>
      <c r="AQ1255" s="343"/>
      <c r="AS1255" s="343"/>
      <c r="AT1255" s="538"/>
      <c r="AU1255" s="343"/>
      <c r="AV1255" s="343"/>
      <c r="AW1255" s="538"/>
      <c r="AX1255" s="343"/>
      <c r="AY1255" s="343"/>
      <c r="AZ1255" s="538"/>
      <c r="BA1255" s="343"/>
      <c r="BB1255" s="343"/>
      <c r="BC1255" s="538"/>
      <c r="BD1255" s="343"/>
      <c r="BE1255" s="343"/>
      <c r="BG1255" s="644"/>
      <c r="BH1255" s="515"/>
      <c r="BI1255" s="515"/>
      <c r="BJ1255" s="644"/>
      <c r="BK1255" s="515"/>
      <c r="BL1255" s="515"/>
      <c r="BM1255" s="644"/>
      <c r="BN1255" s="515"/>
      <c r="BO1255" s="515"/>
      <c r="BP1255" s="644"/>
      <c r="BQ1255" s="515"/>
      <c r="BR1255" s="515"/>
    </row>
    <row r="1256" spans="4:70" x14ac:dyDescent="0.25">
      <c r="D1256" s="538"/>
      <c r="G1256" s="538"/>
      <c r="J1256" s="538"/>
      <c r="M1256" s="538"/>
      <c r="R1256" s="538"/>
      <c r="S1256" s="343"/>
      <c r="T1256" s="343"/>
      <c r="U1256" s="538"/>
      <c r="V1256" s="343"/>
      <c r="W1256" s="343"/>
      <c r="X1256" s="538"/>
      <c r="Y1256" s="343"/>
      <c r="Z1256" s="343"/>
      <c r="AA1256" s="538"/>
      <c r="AB1256" s="343"/>
      <c r="AC1256" s="343"/>
      <c r="AE1256" s="343"/>
      <c r="AF1256" s="538"/>
      <c r="AG1256" s="343"/>
      <c r="AH1256" s="343"/>
      <c r="AI1256" s="538"/>
      <c r="AJ1256" s="343"/>
      <c r="AK1256" s="343"/>
      <c r="AL1256" s="538"/>
      <c r="AM1256" s="343"/>
      <c r="AN1256" s="343"/>
      <c r="AO1256" s="538"/>
      <c r="AP1256" s="343"/>
      <c r="AQ1256" s="343"/>
      <c r="AS1256" s="343"/>
      <c r="AT1256" s="538"/>
      <c r="AU1256" s="343"/>
      <c r="AV1256" s="343"/>
      <c r="AW1256" s="538"/>
      <c r="AX1256" s="343"/>
      <c r="AY1256" s="343"/>
      <c r="AZ1256" s="538"/>
      <c r="BA1256" s="343"/>
      <c r="BB1256" s="343"/>
      <c r="BC1256" s="538"/>
      <c r="BD1256" s="343"/>
      <c r="BE1256" s="343"/>
      <c r="BG1256" s="644"/>
      <c r="BH1256" s="515"/>
      <c r="BI1256" s="515"/>
      <c r="BJ1256" s="644"/>
      <c r="BK1256" s="515"/>
      <c r="BL1256" s="515"/>
      <c r="BM1256" s="644"/>
      <c r="BN1256" s="515"/>
      <c r="BO1256" s="515"/>
      <c r="BP1256" s="644"/>
      <c r="BQ1256" s="515"/>
      <c r="BR1256" s="515"/>
    </row>
    <row r="1257" spans="4:70" x14ac:dyDescent="0.25">
      <c r="D1257" s="538"/>
      <c r="G1257" s="538"/>
      <c r="J1257" s="538"/>
      <c r="M1257" s="538"/>
      <c r="R1257" s="538"/>
      <c r="S1257" s="343"/>
      <c r="T1257" s="343"/>
      <c r="U1257" s="538"/>
      <c r="V1257" s="343"/>
      <c r="W1257" s="343"/>
      <c r="X1257" s="538"/>
      <c r="Y1257" s="343"/>
      <c r="Z1257" s="343"/>
      <c r="AA1257" s="538"/>
      <c r="AB1257" s="343"/>
      <c r="AC1257" s="343"/>
      <c r="AE1257" s="343"/>
      <c r="AF1257" s="538"/>
      <c r="AG1257" s="343"/>
      <c r="AH1257" s="343"/>
      <c r="AI1257" s="538"/>
      <c r="AJ1257" s="343"/>
      <c r="AK1257" s="343"/>
      <c r="AL1257" s="538"/>
      <c r="AM1257" s="343"/>
      <c r="AN1257" s="343"/>
      <c r="AO1257" s="538"/>
      <c r="AP1257" s="343"/>
      <c r="AQ1257" s="343"/>
      <c r="AS1257" s="343"/>
      <c r="AT1257" s="538"/>
      <c r="AU1257" s="343"/>
      <c r="AV1257" s="343"/>
      <c r="AW1257" s="538"/>
      <c r="AX1257" s="343"/>
      <c r="AY1257" s="343"/>
      <c r="AZ1257" s="538"/>
      <c r="BA1257" s="343"/>
      <c r="BB1257" s="343"/>
      <c r="BC1257" s="538"/>
      <c r="BD1257" s="343"/>
      <c r="BE1257" s="343"/>
      <c r="BG1257" s="644"/>
      <c r="BH1257" s="515"/>
      <c r="BI1257" s="515"/>
      <c r="BJ1257" s="644"/>
      <c r="BK1257" s="515"/>
      <c r="BL1257" s="515"/>
      <c r="BM1257" s="644"/>
      <c r="BN1257" s="515"/>
      <c r="BO1257" s="515"/>
      <c r="BP1257" s="644"/>
      <c r="BQ1257" s="515"/>
      <c r="BR1257" s="515"/>
    </row>
    <row r="1258" spans="4:70" x14ac:dyDescent="0.25">
      <c r="D1258" s="538"/>
      <c r="G1258" s="538"/>
      <c r="J1258" s="538"/>
      <c r="M1258" s="538"/>
      <c r="R1258" s="538"/>
      <c r="S1258" s="343"/>
      <c r="T1258" s="343"/>
      <c r="U1258" s="538"/>
      <c r="V1258" s="343"/>
      <c r="W1258" s="343"/>
      <c r="X1258" s="538"/>
      <c r="Y1258" s="343"/>
      <c r="Z1258" s="343"/>
      <c r="AA1258" s="538"/>
      <c r="AB1258" s="343"/>
      <c r="AC1258" s="343"/>
      <c r="AE1258" s="343"/>
      <c r="AF1258" s="538"/>
      <c r="AG1258" s="343"/>
      <c r="AH1258" s="343"/>
      <c r="AI1258" s="538"/>
      <c r="AJ1258" s="343"/>
      <c r="AK1258" s="343"/>
      <c r="AL1258" s="538"/>
      <c r="AM1258" s="343"/>
      <c r="AN1258" s="343"/>
      <c r="AO1258" s="538"/>
      <c r="AP1258" s="343"/>
      <c r="AQ1258" s="343"/>
      <c r="AS1258" s="343"/>
      <c r="AT1258" s="538"/>
      <c r="AU1258" s="343"/>
      <c r="AV1258" s="343"/>
      <c r="AW1258" s="538"/>
      <c r="AX1258" s="343"/>
      <c r="AY1258" s="343"/>
      <c r="AZ1258" s="538"/>
      <c r="BA1258" s="343"/>
      <c r="BB1258" s="343"/>
      <c r="BC1258" s="538"/>
      <c r="BD1258" s="343"/>
      <c r="BE1258" s="343"/>
      <c r="BG1258" s="644"/>
      <c r="BH1258" s="515"/>
      <c r="BI1258" s="515"/>
      <c r="BJ1258" s="644"/>
      <c r="BK1258" s="515"/>
      <c r="BL1258" s="515"/>
      <c r="BM1258" s="644"/>
      <c r="BN1258" s="515"/>
      <c r="BO1258" s="515"/>
      <c r="BP1258" s="644"/>
      <c r="BQ1258" s="515"/>
      <c r="BR1258" s="515"/>
    </row>
    <row r="1259" spans="4:70" x14ac:dyDescent="0.25">
      <c r="D1259" s="538"/>
      <c r="G1259" s="538"/>
      <c r="J1259" s="538"/>
      <c r="M1259" s="538"/>
      <c r="R1259" s="538"/>
      <c r="S1259" s="343"/>
      <c r="T1259" s="343"/>
      <c r="U1259" s="538"/>
      <c r="V1259" s="343"/>
      <c r="W1259" s="343"/>
      <c r="X1259" s="538"/>
      <c r="Y1259" s="343"/>
      <c r="Z1259" s="343"/>
      <c r="AA1259" s="538"/>
      <c r="AB1259" s="343"/>
      <c r="AC1259" s="343"/>
      <c r="AE1259" s="343"/>
      <c r="AF1259" s="538"/>
      <c r="AG1259" s="343"/>
      <c r="AH1259" s="343"/>
      <c r="AI1259" s="538"/>
      <c r="AJ1259" s="343"/>
      <c r="AK1259" s="343"/>
      <c r="AL1259" s="538"/>
      <c r="AM1259" s="343"/>
      <c r="AN1259" s="343"/>
      <c r="AO1259" s="538"/>
      <c r="AP1259" s="343"/>
      <c r="AQ1259" s="343"/>
      <c r="AS1259" s="343"/>
      <c r="AT1259" s="538"/>
      <c r="AU1259" s="343"/>
      <c r="AV1259" s="343"/>
      <c r="AW1259" s="538"/>
      <c r="AX1259" s="343"/>
      <c r="AY1259" s="343"/>
      <c r="AZ1259" s="538"/>
      <c r="BA1259" s="343"/>
      <c r="BB1259" s="343"/>
      <c r="BC1259" s="538"/>
      <c r="BD1259" s="343"/>
      <c r="BE1259" s="343"/>
      <c r="BG1259" s="644"/>
      <c r="BH1259" s="515"/>
      <c r="BI1259" s="515"/>
      <c r="BJ1259" s="644"/>
      <c r="BK1259" s="515"/>
      <c r="BL1259" s="515"/>
      <c r="BM1259" s="644"/>
      <c r="BN1259" s="515"/>
      <c r="BO1259" s="515"/>
      <c r="BP1259" s="644"/>
      <c r="BQ1259" s="515"/>
      <c r="BR1259" s="515"/>
    </row>
    <row r="1260" spans="4:70" x14ac:dyDescent="0.25">
      <c r="D1260" s="538"/>
      <c r="G1260" s="538"/>
      <c r="J1260" s="538"/>
      <c r="M1260" s="538"/>
      <c r="R1260" s="538"/>
      <c r="S1260" s="343"/>
      <c r="T1260" s="343"/>
      <c r="U1260" s="538"/>
      <c r="V1260" s="343"/>
      <c r="W1260" s="343"/>
      <c r="X1260" s="538"/>
      <c r="Y1260" s="343"/>
      <c r="Z1260" s="343"/>
      <c r="AA1260" s="538"/>
      <c r="AB1260" s="343"/>
      <c r="AC1260" s="343"/>
      <c r="AE1260" s="343"/>
      <c r="AF1260" s="538"/>
      <c r="AG1260" s="343"/>
      <c r="AH1260" s="343"/>
      <c r="AI1260" s="538"/>
      <c r="AJ1260" s="343"/>
      <c r="AK1260" s="343"/>
      <c r="AL1260" s="538"/>
      <c r="AM1260" s="343"/>
      <c r="AN1260" s="343"/>
      <c r="AO1260" s="538"/>
      <c r="AP1260" s="343"/>
      <c r="AQ1260" s="343"/>
      <c r="AS1260" s="343"/>
      <c r="AT1260" s="538"/>
      <c r="AU1260" s="343"/>
      <c r="AV1260" s="343"/>
      <c r="AW1260" s="538"/>
      <c r="AX1260" s="343"/>
      <c r="AY1260" s="343"/>
      <c r="AZ1260" s="538"/>
      <c r="BA1260" s="343"/>
      <c r="BB1260" s="343"/>
      <c r="BC1260" s="538"/>
      <c r="BD1260" s="343"/>
      <c r="BE1260" s="343"/>
      <c r="BG1260" s="644"/>
      <c r="BH1260" s="515"/>
      <c r="BI1260" s="515"/>
      <c r="BJ1260" s="644"/>
      <c r="BK1260" s="515"/>
      <c r="BL1260" s="515"/>
      <c r="BM1260" s="644"/>
      <c r="BN1260" s="515"/>
      <c r="BO1260" s="515"/>
      <c r="BP1260" s="644"/>
      <c r="BQ1260" s="515"/>
      <c r="BR1260" s="515"/>
    </row>
    <row r="1261" spans="4:70" x14ac:dyDescent="0.25">
      <c r="D1261" s="538"/>
      <c r="G1261" s="538"/>
      <c r="J1261" s="538"/>
      <c r="M1261" s="538"/>
      <c r="R1261" s="538"/>
      <c r="S1261" s="343"/>
      <c r="T1261" s="343"/>
      <c r="U1261" s="538"/>
      <c r="V1261" s="343"/>
      <c r="W1261" s="343"/>
      <c r="X1261" s="538"/>
      <c r="Y1261" s="343"/>
      <c r="Z1261" s="343"/>
      <c r="AA1261" s="538"/>
      <c r="AB1261" s="343"/>
      <c r="AC1261" s="343"/>
      <c r="AE1261" s="343"/>
      <c r="AF1261" s="538"/>
      <c r="AG1261" s="343"/>
      <c r="AH1261" s="343"/>
      <c r="AI1261" s="538"/>
      <c r="AJ1261" s="343"/>
      <c r="AK1261" s="343"/>
      <c r="AL1261" s="538"/>
      <c r="AM1261" s="343"/>
      <c r="AN1261" s="343"/>
      <c r="AO1261" s="538"/>
      <c r="AP1261" s="343"/>
      <c r="AQ1261" s="343"/>
      <c r="AS1261" s="343"/>
      <c r="AT1261" s="538"/>
      <c r="AU1261" s="343"/>
      <c r="AV1261" s="343"/>
      <c r="AW1261" s="538"/>
      <c r="AX1261" s="343"/>
      <c r="AY1261" s="343"/>
      <c r="AZ1261" s="538"/>
      <c r="BA1261" s="343"/>
      <c r="BB1261" s="343"/>
      <c r="BC1261" s="538"/>
      <c r="BD1261" s="343"/>
      <c r="BE1261" s="343"/>
      <c r="BG1261" s="644"/>
      <c r="BH1261" s="515"/>
      <c r="BI1261" s="515"/>
      <c r="BJ1261" s="644"/>
      <c r="BK1261" s="515"/>
      <c r="BL1261" s="515"/>
      <c r="BM1261" s="644"/>
      <c r="BN1261" s="515"/>
      <c r="BO1261" s="515"/>
      <c r="BP1261" s="644"/>
      <c r="BQ1261" s="515"/>
      <c r="BR1261" s="515"/>
    </row>
    <row r="1262" spans="4:70" x14ac:dyDescent="0.25">
      <c r="D1262" s="538"/>
      <c r="G1262" s="538"/>
      <c r="J1262" s="538"/>
      <c r="M1262" s="538"/>
      <c r="R1262" s="538"/>
      <c r="S1262" s="343"/>
      <c r="T1262" s="343"/>
      <c r="U1262" s="538"/>
      <c r="V1262" s="343"/>
      <c r="W1262" s="343"/>
      <c r="X1262" s="538"/>
      <c r="Y1262" s="343"/>
      <c r="Z1262" s="343"/>
      <c r="AA1262" s="538"/>
      <c r="AB1262" s="343"/>
      <c r="AC1262" s="343"/>
      <c r="AE1262" s="343"/>
      <c r="AF1262" s="538"/>
      <c r="AG1262" s="343"/>
      <c r="AH1262" s="343"/>
      <c r="AI1262" s="538"/>
      <c r="AJ1262" s="343"/>
      <c r="AK1262" s="343"/>
      <c r="AL1262" s="538"/>
      <c r="AM1262" s="343"/>
      <c r="AN1262" s="343"/>
      <c r="AO1262" s="538"/>
      <c r="AP1262" s="343"/>
      <c r="AQ1262" s="343"/>
      <c r="AS1262" s="343"/>
      <c r="AT1262" s="538"/>
      <c r="AU1262" s="343"/>
      <c r="AV1262" s="343"/>
      <c r="AW1262" s="538"/>
      <c r="AX1262" s="343"/>
      <c r="AY1262" s="343"/>
      <c r="AZ1262" s="538"/>
      <c r="BA1262" s="343"/>
      <c r="BB1262" s="343"/>
      <c r="BC1262" s="538"/>
      <c r="BD1262" s="343"/>
      <c r="BE1262" s="343"/>
      <c r="BG1262" s="644"/>
      <c r="BH1262" s="515"/>
      <c r="BI1262" s="515"/>
      <c r="BJ1262" s="644"/>
      <c r="BK1262" s="515"/>
      <c r="BL1262" s="515"/>
      <c r="BM1262" s="644"/>
      <c r="BN1262" s="515"/>
      <c r="BO1262" s="515"/>
      <c r="BP1262" s="644"/>
      <c r="BQ1262" s="515"/>
      <c r="BR1262" s="515"/>
    </row>
    <row r="1263" spans="4:70" x14ac:dyDescent="0.25">
      <c r="D1263" s="538"/>
      <c r="G1263" s="538"/>
      <c r="J1263" s="538"/>
      <c r="M1263" s="538"/>
      <c r="R1263" s="538"/>
      <c r="S1263" s="343"/>
      <c r="T1263" s="343"/>
      <c r="U1263" s="538"/>
      <c r="V1263" s="343"/>
      <c r="W1263" s="343"/>
      <c r="X1263" s="538"/>
      <c r="Y1263" s="343"/>
      <c r="Z1263" s="343"/>
      <c r="AA1263" s="538"/>
      <c r="AB1263" s="343"/>
      <c r="AC1263" s="343"/>
      <c r="AE1263" s="343"/>
      <c r="AF1263" s="538"/>
      <c r="AG1263" s="343"/>
      <c r="AH1263" s="343"/>
      <c r="AI1263" s="538"/>
      <c r="AJ1263" s="343"/>
      <c r="AK1263" s="343"/>
      <c r="AL1263" s="538"/>
      <c r="AM1263" s="343"/>
      <c r="AN1263" s="343"/>
      <c r="AO1263" s="538"/>
      <c r="AP1263" s="343"/>
      <c r="AQ1263" s="343"/>
      <c r="AS1263" s="343"/>
      <c r="AT1263" s="538"/>
      <c r="AU1263" s="343"/>
      <c r="AV1263" s="343"/>
      <c r="AW1263" s="538"/>
      <c r="AX1263" s="343"/>
      <c r="AY1263" s="343"/>
      <c r="AZ1263" s="538"/>
      <c r="BA1263" s="343"/>
      <c r="BB1263" s="343"/>
      <c r="BC1263" s="538"/>
      <c r="BD1263" s="343"/>
      <c r="BE1263" s="343"/>
      <c r="BG1263" s="644"/>
      <c r="BH1263" s="515"/>
      <c r="BI1263" s="515"/>
      <c r="BJ1263" s="644"/>
      <c r="BK1263" s="515"/>
      <c r="BL1263" s="515"/>
      <c r="BM1263" s="644"/>
      <c r="BN1263" s="515"/>
      <c r="BO1263" s="515"/>
      <c r="BP1263" s="644"/>
      <c r="BQ1263" s="515"/>
      <c r="BR1263" s="515"/>
    </row>
    <row r="1264" spans="4:70" x14ac:dyDescent="0.25">
      <c r="D1264" s="538"/>
      <c r="G1264" s="538"/>
      <c r="J1264" s="538"/>
      <c r="M1264" s="538"/>
      <c r="R1264" s="538"/>
      <c r="S1264" s="343"/>
      <c r="T1264" s="343"/>
      <c r="U1264" s="538"/>
      <c r="V1264" s="343"/>
      <c r="W1264" s="343"/>
      <c r="X1264" s="538"/>
      <c r="Y1264" s="343"/>
      <c r="Z1264" s="343"/>
      <c r="AA1264" s="538"/>
      <c r="AB1264" s="343"/>
      <c r="AC1264" s="343"/>
      <c r="AE1264" s="343"/>
      <c r="AF1264" s="538"/>
      <c r="AG1264" s="343"/>
      <c r="AH1264" s="343"/>
      <c r="AI1264" s="538"/>
      <c r="AJ1264" s="343"/>
      <c r="AK1264" s="343"/>
      <c r="AL1264" s="538"/>
      <c r="AM1264" s="343"/>
      <c r="AN1264" s="343"/>
      <c r="AO1264" s="538"/>
      <c r="AP1264" s="343"/>
      <c r="AQ1264" s="343"/>
      <c r="AS1264" s="343"/>
      <c r="AT1264" s="538"/>
      <c r="AU1264" s="343"/>
      <c r="AV1264" s="343"/>
      <c r="AW1264" s="538"/>
      <c r="AX1264" s="343"/>
      <c r="AY1264" s="343"/>
      <c r="AZ1264" s="538"/>
      <c r="BA1264" s="343"/>
      <c r="BB1264" s="343"/>
      <c r="BC1264" s="538"/>
      <c r="BD1264" s="343"/>
      <c r="BE1264" s="343"/>
      <c r="BG1264" s="644"/>
      <c r="BH1264" s="515"/>
      <c r="BI1264" s="515"/>
      <c r="BJ1264" s="644"/>
      <c r="BK1264" s="515"/>
      <c r="BL1264" s="515"/>
      <c r="BM1264" s="644"/>
      <c r="BN1264" s="515"/>
      <c r="BO1264" s="515"/>
      <c r="BP1264" s="644"/>
      <c r="BQ1264" s="515"/>
      <c r="BR1264" s="515"/>
    </row>
    <row r="1265" spans="4:70" x14ac:dyDescent="0.25">
      <c r="D1265" s="538"/>
      <c r="G1265" s="538"/>
      <c r="J1265" s="538"/>
      <c r="M1265" s="538"/>
      <c r="R1265" s="538"/>
      <c r="S1265" s="343"/>
      <c r="T1265" s="343"/>
      <c r="U1265" s="538"/>
      <c r="V1265" s="343"/>
      <c r="W1265" s="343"/>
      <c r="X1265" s="538"/>
      <c r="Y1265" s="343"/>
      <c r="Z1265" s="343"/>
      <c r="AA1265" s="538"/>
      <c r="AB1265" s="343"/>
      <c r="AC1265" s="343"/>
      <c r="AE1265" s="343"/>
      <c r="AF1265" s="538"/>
      <c r="AG1265" s="343"/>
      <c r="AH1265" s="343"/>
      <c r="AI1265" s="538"/>
      <c r="AJ1265" s="343"/>
      <c r="AK1265" s="343"/>
      <c r="AL1265" s="538"/>
      <c r="AM1265" s="343"/>
      <c r="AN1265" s="343"/>
      <c r="AO1265" s="538"/>
      <c r="AP1265" s="343"/>
      <c r="AQ1265" s="343"/>
      <c r="AS1265" s="343"/>
      <c r="AT1265" s="538"/>
      <c r="AU1265" s="343"/>
      <c r="AV1265" s="343"/>
      <c r="AW1265" s="538"/>
      <c r="AX1265" s="343"/>
      <c r="AY1265" s="343"/>
      <c r="AZ1265" s="538"/>
      <c r="BA1265" s="343"/>
      <c r="BB1265" s="343"/>
      <c r="BC1265" s="538"/>
      <c r="BD1265" s="343"/>
      <c r="BE1265" s="343"/>
      <c r="BG1265" s="644"/>
      <c r="BH1265" s="515"/>
      <c r="BI1265" s="515"/>
      <c r="BJ1265" s="644"/>
      <c r="BK1265" s="515"/>
      <c r="BL1265" s="515"/>
      <c r="BM1265" s="644"/>
      <c r="BN1265" s="515"/>
      <c r="BO1265" s="515"/>
      <c r="BP1265" s="644"/>
      <c r="BQ1265" s="515"/>
      <c r="BR1265" s="515"/>
    </row>
    <row r="1266" spans="4:70" x14ac:dyDescent="0.25">
      <c r="D1266" s="538"/>
      <c r="G1266" s="538"/>
      <c r="J1266" s="538"/>
      <c r="M1266" s="538"/>
      <c r="R1266" s="538"/>
      <c r="S1266" s="343"/>
      <c r="T1266" s="343"/>
      <c r="U1266" s="538"/>
      <c r="V1266" s="343"/>
      <c r="W1266" s="343"/>
      <c r="X1266" s="538"/>
      <c r="Y1266" s="343"/>
      <c r="Z1266" s="343"/>
      <c r="AA1266" s="538"/>
      <c r="AB1266" s="343"/>
      <c r="AC1266" s="343"/>
      <c r="AE1266" s="343"/>
      <c r="AF1266" s="538"/>
      <c r="AG1266" s="343"/>
      <c r="AH1266" s="343"/>
      <c r="AI1266" s="538"/>
      <c r="AJ1266" s="343"/>
      <c r="AK1266" s="343"/>
      <c r="AL1266" s="538"/>
      <c r="AM1266" s="343"/>
      <c r="AN1266" s="343"/>
      <c r="AO1266" s="538"/>
      <c r="AP1266" s="343"/>
      <c r="AQ1266" s="343"/>
      <c r="AS1266" s="343"/>
      <c r="AT1266" s="538"/>
      <c r="AU1266" s="343"/>
      <c r="AV1266" s="343"/>
      <c r="AW1266" s="538"/>
      <c r="AX1266" s="343"/>
      <c r="AY1266" s="343"/>
      <c r="AZ1266" s="538"/>
      <c r="BA1266" s="343"/>
      <c r="BB1266" s="343"/>
      <c r="BC1266" s="538"/>
      <c r="BD1266" s="343"/>
      <c r="BE1266" s="343"/>
      <c r="BG1266" s="644"/>
      <c r="BH1266" s="515"/>
      <c r="BI1266" s="515"/>
      <c r="BJ1266" s="644"/>
      <c r="BK1266" s="515"/>
      <c r="BL1266" s="515"/>
      <c r="BM1266" s="644"/>
      <c r="BN1266" s="515"/>
      <c r="BO1266" s="515"/>
      <c r="BP1266" s="644"/>
      <c r="BQ1266" s="515"/>
      <c r="BR1266" s="515"/>
    </row>
    <row r="1267" spans="4:70" x14ac:dyDescent="0.25">
      <c r="D1267" s="538"/>
      <c r="G1267" s="538"/>
      <c r="J1267" s="538"/>
      <c r="M1267" s="538"/>
      <c r="R1267" s="538"/>
      <c r="S1267" s="343"/>
      <c r="T1267" s="343"/>
      <c r="U1267" s="538"/>
      <c r="V1267" s="343"/>
      <c r="W1267" s="343"/>
      <c r="X1267" s="538"/>
      <c r="Y1267" s="343"/>
      <c r="Z1267" s="343"/>
      <c r="AA1267" s="538"/>
      <c r="AB1267" s="343"/>
      <c r="AC1267" s="343"/>
      <c r="AE1267" s="343"/>
      <c r="AF1267" s="538"/>
      <c r="AG1267" s="343"/>
      <c r="AH1267" s="343"/>
      <c r="AI1267" s="538"/>
      <c r="AJ1267" s="343"/>
      <c r="AK1267" s="343"/>
      <c r="AL1267" s="538"/>
      <c r="AM1267" s="343"/>
      <c r="AN1267" s="343"/>
      <c r="AO1267" s="538"/>
      <c r="AP1267" s="343"/>
      <c r="AQ1267" s="343"/>
      <c r="AS1267" s="343"/>
      <c r="AT1267" s="538"/>
      <c r="AU1267" s="343"/>
      <c r="AV1267" s="343"/>
      <c r="AW1267" s="538"/>
      <c r="AX1267" s="343"/>
      <c r="AY1267" s="343"/>
      <c r="AZ1267" s="538"/>
      <c r="BA1267" s="343"/>
      <c r="BB1267" s="343"/>
      <c r="BC1267" s="538"/>
      <c r="BD1267" s="343"/>
      <c r="BE1267" s="343"/>
      <c r="BG1267" s="644"/>
      <c r="BH1267" s="515"/>
      <c r="BI1267" s="515"/>
      <c r="BJ1267" s="644"/>
      <c r="BK1267" s="515"/>
      <c r="BL1267" s="515"/>
      <c r="BM1267" s="644"/>
      <c r="BN1267" s="515"/>
      <c r="BO1267" s="515"/>
      <c r="BP1267" s="644"/>
      <c r="BQ1267" s="515"/>
      <c r="BR1267" s="515"/>
    </row>
    <row r="1268" spans="4:70" x14ac:dyDescent="0.25">
      <c r="D1268" s="538"/>
      <c r="G1268" s="538"/>
      <c r="J1268" s="538"/>
      <c r="M1268" s="538"/>
      <c r="R1268" s="538"/>
      <c r="S1268" s="343"/>
      <c r="T1268" s="343"/>
      <c r="U1268" s="538"/>
      <c r="V1268" s="343"/>
      <c r="W1268" s="343"/>
      <c r="X1268" s="538"/>
      <c r="Y1268" s="343"/>
      <c r="Z1268" s="343"/>
      <c r="AA1268" s="538"/>
      <c r="AB1268" s="343"/>
      <c r="AC1268" s="343"/>
      <c r="AE1268" s="343"/>
      <c r="AF1268" s="538"/>
      <c r="AG1268" s="343"/>
      <c r="AH1268" s="343"/>
      <c r="AI1268" s="538"/>
      <c r="AJ1268" s="343"/>
      <c r="AK1268" s="343"/>
      <c r="AL1268" s="538"/>
      <c r="AM1268" s="343"/>
      <c r="AN1268" s="343"/>
      <c r="AO1268" s="538"/>
      <c r="AP1268" s="343"/>
      <c r="AQ1268" s="343"/>
      <c r="AS1268" s="343"/>
      <c r="AT1268" s="538"/>
      <c r="AU1268" s="343"/>
      <c r="AV1268" s="343"/>
      <c r="AW1268" s="538"/>
      <c r="AX1268" s="343"/>
      <c r="AY1268" s="343"/>
      <c r="AZ1268" s="538"/>
      <c r="BA1268" s="343"/>
      <c r="BB1268" s="343"/>
      <c r="BC1268" s="538"/>
      <c r="BD1268" s="343"/>
      <c r="BE1268" s="343"/>
      <c r="BG1268" s="644"/>
      <c r="BH1268" s="515"/>
      <c r="BI1268" s="515"/>
      <c r="BJ1268" s="644"/>
      <c r="BK1268" s="515"/>
      <c r="BL1268" s="515"/>
      <c r="BM1268" s="644"/>
      <c r="BN1268" s="515"/>
      <c r="BO1268" s="515"/>
      <c r="BP1268" s="644"/>
      <c r="BQ1268" s="515"/>
      <c r="BR1268" s="515"/>
    </row>
    <row r="1269" spans="4:70" x14ac:dyDescent="0.25">
      <c r="D1269" s="538"/>
      <c r="G1269" s="538"/>
      <c r="J1269" s="538"/>
      <c r="M1269" s="538"/>
      <c r="R1269" s="538"/>
      <c r="S1269" s="343"/>
      <c r="T1269" s="343"/>
      <c r="U1269" s="538"/>
      <c r="V1269" s="343"/>
      <c r="W1269" s="343"/>
      <c r="X1269" s="538"/>
      <c r="Y1269" s="343"/>
      <c r="Z1269" s="343"/>
      <c r="AA1269" s="538"/>
      <c r="AB1269" s="343"/>
      <c r="AC1269" s="343"/>
      <c r="AE1269" s="343"/>
      <c r="AF1269" s="538"/>
      <c r="AG1269" s="343"/>
      <c r="AH1269" s="343"/>
      <c r="AI1269" s="538"/>
      <c r="AJ1269" s="343"/>
      <c r="AK1269" s="343"/>
      <c r="AL1269" s="538"/>
      <c r="AM1269" s="343"/>
      <c r="AN1269" s="343"/>
      <c r="AO1269" s="538"/>
      <c r="AP1269" s="343"/>
      <c r="AQ1269" s="343"/>
      <c r="AS1269" s="343"/>
      <c r="AT1269" s="538"/>
      <c r="AU1269" s="343"/>
      <c r="AV1269" s="343"/>
      <c r="AW1269" s="538"/>
      <c r="AX1269" s="343"/>
      <c r="AY1269" s="343"/>
      <c r="AZ1269" s="538"/>
      <c r="BA1269" s="343"/>
      <c r="BB1269" s="343"/>
      <c r="BC1269" s="538"/>
      <c r="BD1269" s="343"/>
      <c r="BE1269" s="343"/>
      <c r="BG1269" s="644"/>
      <c r="BH1269" s="515"/>
      <c r="BI1269" s="515"/>
      <c r="BJ1269" s="644"/>
      <c r="BK1269" s="515"/>
      <c r="BL1269" s="515"/>
      <c r="BM1269" s="644"/>
      <c r="BN1269" s="515"/>
      <c r="BO1269" s="515"/>
      <c r="BP1269" s="644"/>
      <c r="BQ1269" s="515"/>
      <c r="BR1269" s="515"/>
    </row>
    <row r="1270" spans="4:70" x14ac:dyDescent="0.25">
      <c r="D1270" s="538"/>
      <c r="G1270" s="538"/>
      <c r="J1270" s="538"/>
      <c r="M1270" s="538"/>
      <c r="R1270" s="538"/>
      <c r="S1270" s="343"/>
      <c r="T1270" s="343"/>
      <c r="U1270" s="538"/>
      <c r="V1270" s="343"/>
      <c r="W1270" s="343"/>
      <c r="X1270" s="538"/>
      <c r="Y1270" s="343"/>
      <c r="Z1270" s="343"/>
      <c r="AA1270" s="538"/>
      <c r="AB1270" s="343"/>
      <c r="AC1270" s="343"/>
      <c r="AE1270" s="343"/>
      <c r="AF1270" s="538"/>
      <c r="AG1270" s="343"/>
      <c r="AH1270" s="343"/>
      <c r="AI1270" s="538"/>
      <c r="AJ1270" s="343"/>
      <c r="AK1270" s="343"/>
      <c r="AL1270" s="538"/>
      <c r="AM1270" s="343"/>
      <c r="AN1270" s="343"/>
      <c r="AO1270" s="538"/>
      <c r="AP1270" s="343"/>
      <c r="AQ1270" s="343"/>
      <c r="AS1270" s="343"/>
      <c r="AT1270" s="538"/>
      <c r="AU1270" s="343"/>
      <c r="AV1270" s="343"/>
      <c r="AW1270" s="538"/>
      <c r="AX1270" s="343"/>
      <c r="AY1270" s="343"/>
      <c r="AZ1270" s="538"/>
      <c r="BA1270" s="343"/>
      <c r="BB1270" s="343"/>
      <c r="BC1270" s="538"/>
      <c r="BD1270" s="343"/>
      <c r="BE1270" s="343"/>
      <c r="BG1270" s="644"/>
      <c r="BH1270" s="515"/>
      <c r="BI1270" s="515"/>
      <c r="BJ1270" s="644"/>
      <c r="BK1270" s="515"/>
      <c r="BL1270" s="515"/>
      <c r="BM1270" s="644"/>
      <c r="BN1270" s="515"/>
      <c r="BO1270" s="515"/>
      <c r="BP1270" s="644"/>
      <c r="BQ1270" s="515"/>
      <c r="BR1270" s="515"/>
    </row>
    <row r="1271" spans="4:70" x14ac:dyDescent="0.25">
      <c r="D1271" s="538"/>
      <c r="G1271" s="538"/>
      <c r="J1271" s="538"/>
      <c r="M1271" s="538"/>
      <c r="R1271" s="538"/>
      <c r="S1271" s="343"/>
      <c r="T1271" s="343"/>
      <c r="U1271" s="538"/>
      <c r="V1271" s="343"/>
      <c r="W1271" s="343"/>
      <c r="X1271" s="538"/>
      <c r="Y1271" s="343"/>
      <c r="Z1271" s="343"/>
      <c r="AA1271" s="538"/>
      <c r="AB1271" s="343"/>
      <c r="AC1271" s="343"/>
      <c r="AE1271" s="343"/>
      <c r="AF1271" s="538"/>
      <c r="AG1271" s="343"/>
      <c r="AH1271" s="343"/>
      <c r="AI1271" s="538"/>
      <c r="AJ1271" s="343"/>
      <c r="AK1271" s="343"/>
      <c r="AL1271" s="538"/>
      <c r="AM1271" s="343"/>
      <c r="AN1271" s="343"/>
      <c r="AO1271" s="538"/>
      <c r="AP1271" s="343"/>
      <c r="AQ1271" s="343"/>
      <c r="AS1271" s="343"/>
      <c r="AT1271" s="538"/>
      <c r="AU1271" s="343"/>
      <c r="AV1271" s="343"/>
      <c r="AW1271" s="538"/>
      <c r="AX1271" s="343"/>
      <c r="AY1271" s="343"/>
      <c r="AZ1271" s="538"/>
      <c r="BA1271" s="343"/>
      <c r="BB1271" s="343"/>
      <c r="BC1271" s="538"/>
      <c r="BD1271" s="343"/>
      <c r="BE1271" s="343"/>
      <c r="BG1271" s="644"/>
      <c r="BH1271" s="515"/>
      <c r="BI1271" s="515"/>
      <c r="BJ1271" s="644"/>
      <c r="BK1271" s="515"/>
      <c r="BL1271" s="515"/>
      <c r="BM1271" s="644"/>
      <c r="BN1271" s="515"/>
      <c r="BO1271" s="515"/>
      <c r="BP1271" s="644"/>
      <c r="BQ1271" s="515"/>
      <c r="BR1271" s="515"/>
    </row>
    <row r="1272" spans="4:70" x14ac:dyDescent="0.25">
      <c r="D1272" s="538"/>
      <c r="G1272" s="538"/>
      <c r="J1272" s="538"/>
      <c r="M1272" s="538"/>
      <c r="R1272" s="538"/>
      <c r="S1272" s="343"/>
      <c r="T1272" s="343"/>
      <c r="U1272" s="538"/>
      <c r="V1272" s="343"/>
      <c r="W1272" s="343"/>
      <c r="X1272" s="538"/>
      <c r="Y1272" s="343"/>
      <c r="Z1272" s="343"/>
      <c r="AA1272" s="538"/>
      <c r="AB1272" s="343"/>
      <c r="AC1272" s="343"/>
      <c r="AE1272" s="343"/>
      <c r="AF1272" s="538"/>
      <c r="AG1272" s="343"/>
      <c r="AH1272" s="343"/>
      <c r="AI1272" s="538"/>
      <c r="AJ1272" s="343"/>
      <c r="AK1272" s="343"/>
      <c r="AL1272" s="538"/>
      <c r="AM1272" s="343"/>
      <c r="AN1272" s="343"/>
      <c r="AO1272" s="538"/>
      <c r="AP1272" s="343"/>
      <c r="AQ1272" s="343"/>
      <c r="AS1272" s="343"/>
      <c r="AT1272" s="538"/>
      <c r="AU1272" s="343"/>
      <c r="AV1272" s="343"/>
      <c r="AW1272" s="538"/>
      <c r="AX1272" s="343"/>
      <c r="AY1272" s="343"/>
      <c r="AZ1272" s="538"/>
      <c r="BA1272" s="343"/>
      <c r="BB1272" s="343"/>
      <c r="BC1272" s="538"/>
      <c r="BD1272" s="343"/>
      <c r="BE1272" s="343"/>
      <c r="BG1272" s="644"/>
      <c r="BH1272" s="515"/>
      <c r="BI1272" s="515"/>
      <c r="BJ1272" s="644"/>
      <c r="BK1272" s="515"/>
      <c r="BL1272" s="515"/>
      <c r="BM1272" s="644"/>
      <c r="BN1272" s="515"/>
      <c r="BO1272" s="515"/>
      <c r="BP1272" s="644"/>
      <c r="BQ1272" s="515"/>
      <c r="BR1272" s="515"/>
    </row>
    <row r="1273" spans="4:70" x14ac:dyDescent="0.25">
      <c r="D1273" s="538"/>
      <c r="G1273" s="538"/>
      <c r="J1273" s="538"/>
      <c r="M1273" s="538"/>
      <c r="R1273" s="538"/>
      <c r="S1273" s="343"/>
      <c r="T1273" s="343"/>
      <c r="U1273" s="538"/>
      <c r="V1273" s="343"/>
      <c r="W1273" s="343"/>
      <c r="X1273" s="538"/>
      <c r="Y1273" s="343"/>
      <c r="Z1273" s="343"/>
      <c r="AA1273" s="538"/>
      <c r="AB1273" s="343"/>
      <c r="AC1273" s="343"/>
      <c r="AE1273" s="343"/>
      <c r="AF1273" s="538"/>
      <c r="AG1273" s="343"/>
      <c r="AH1273" s="343"/>
      <c r="AI1273" s="538"/>
      <c r="AJ1273" s="343"/>
      <c r="AK1273" s="343"/>
      <c r="AL1273" s="538"/>
      <c r="AM1273" s="343"/>
      <c r="AN1273" s="343"/>
      <c r="AO1273" s="538"/>
      <c r="AP1273" s="343"/>
      <c r="AQ1273" s="343"/>
      <c r="AS1273" s="343"/>
      <c r="AT1273" s="538"/>
      <c r="AU1273" s="343"/>
      <c r="AV1273" s="343"/>
      <c r="AW1273" s="538"/>
      <c r="AX1273" s="343"/>
      <c r="AY1273" s="343"/>
      <c r="AZ1273" s="538"/>
      <c r="BA1273" s="343"/>
      <c r="BB1273" s="343"/>
      <c r="BC1273" s="538"/>
      <c r="BD1273" s="343"/>
      <c r="BE1273" s="343"/>
      <c r="BG1273" s="644"/>
      <c r="BH1273" s="515"/>
      <c r="BI1273" s="515"/>
      <c r="BJ1273" s="644"/>
      <c r="BK1273" s="515"/>
      <c r="BL1273" s="515"/>
      <c r="BM1273" s="644"/>
      <c r="BN1273" s="515"/>
      <c r="BO1273" s="515"/>
      <c r="BP1273" s="644"/>
      <c r="BQ1273" s="515"/>
      <c r="BR1273" s="515"/>
    </row>
    <row r="1274" spans="4:70" x14ac:dyDescent="0.25">
      <c r="D1274" s="538"/>
      <c r="G1274" s="538"/>
      <c r="J1274" s="538"/>
      <c r="M1274" s="538"/>
      <c r="R1274" s="538"/>
      <c r="S1274" s="343"/>
      <c r="T1274" s="343"/>
      <c r="U1274" s="538"/>
      <c r="V1274" s="343"/>
      <c r="W1274" s="343"/>
      <c r="X1274" s="538"/>
      <c r="Y1274" s="343"/>
      <c r="Z1274" s="343"/>
      <c r="AA1274" s="538"/>
      <c r="AB1274" s="343"/>
      <c r="AC1274" s="343"/>
      <c r="AE1274" s="343"/>
      <c r="AF1274" s="538"/>
      <c r="AG1274" s="343"/>
      <c r="AH1274" s="343"/>
      <c r="AI1274" s="538"/>
      <c r="AJ1274" s="343"/>
      <c r="AK1274" s="343"/>
      <c r="AL1274" s="538"/>
      <c r="AM1274" s="343"/>
      <c r="AN1274" s="343"/>
      <c r="AO1274" s="538"/>
      <c r="AP1274" s="343"/>
      <c r="AQ1274" s="343"/>
      <c r="AS1274" s="343"/>
      <c r="AT1274" s="538"/>
      <c r="AU1274" s="343"/>
      <c r="AV1274" s="343"/>
      <c r="AW1274" s="538"/>
      <c r="AX1274" s="343"/>
      <c r="AY1274" s="343"/>
      <c r="AZ1274" s="538"/>
      <c r="BA1274" s="343"/>
      <c r="BB1274" s="343"/>
      <c r="BC1274" s="538"/>
      <c r="BD1274" s="343"/>
      <c r="BE1274" s="343"/>
      <c r="BG1274" s="644"/>
      <c r="BH1274" s="515"/>
      <c r="BI1274" s="515"/>
      <c r="BJ1274" s="644"/>
      <c r="BK1274" s="515"/>
      <c r="BL1274" s="515"/>
      <c r="BM1274" s="644"/>
      <c r="BN1274" s="515"/>
      <c r="BO1274" s="515"/>
      <c r="BP1274" s="644"/>
      <c r="BQ1274" s="515"/>
      <c r="BR1274" s="515"/>
    </row>
    <row r="1275" spans="4:70" x14ac:dyDescent="0.25">
      <c r="D1275" s="538"/>
      <c r="G1275" s="538"/>
      <c r="J1275" s="538"/>
      <c r="M1275" s="538"/>
      <c r="R1275" s="538"/>
      <c r="S1275" s="343"/>
      <c r="T1275" s="343"/>
      <c r="U1275" s="538"/>
      <c r="V1275" s="343"/>
      <c r="W1275" s="343"/>
      <c r="X1275" s="538"/>
      <c r="Y1275" s="343"/>
      <c r="Z1275" s="343"/>
      <c r="AA1275" s="538"/>
      <c r="AB1275" s="343"/>
      <c r="AC1275" s="343"/>
      <c r="AE1275" s="343"/>
      <c r="AF1275" s="538"/>
      <c r="AG1275" s="343"/>
      <c r="AH1275" s="343"/>
      <c r="AI1275" s="538"/>
      <c r="AJ1275" s="343"/>
      <c r="AK1275" s="343"/>
      <c r="AL1275" s="538"/>
      <c r="AM1275" s="343"/>
      <c r="AN1275" s="343"/>
      <c r="AO1275" s="538"/>
      <c r="AP1275" s="343"/>
      <c r="AQ1275" s="343"/>
      <c r="AS1275" s="343"/>
      <c r="AT1275" s="538"/>
      <c r="AU1275" s="343"/>
      <c r="AV1275" s="343"/>
      <c r="AW1275" s="538"/>
      <c r="AX1275" s="343"/>
      <c r="AY1275" s="343"/>
      <c r="AZ1275" s="538"/>
      <c r="BA1275" s="343"/>
      <c r="BB1275" s="343"/>
      <c r="BC1275" s="538"/>
      <c r="BD1275" s="343"/>
      <c r="BE1275" s="343"/>
      <c r="BG1275" s="644"/>
      <c r="BH1275" s="515"/>
      <c r="BI1275" s="515"/>
      <c r="BJ1275" s="644"/>
      <c r="BK1275" s="515"/>
      <c r="BL1275" s="515"/>
      <c r="BM1275" s="644"/>
      <c r="BN1275" s="515"/>
      <c r="BO1275" s="515"/>
      <c r="BP1275" s="644"/>
      <c r="BQ1275" s="515"/>
      <c r="BR1275" s="515"/>
    </row>
    <row r="1276" spans="4:70" x14ac:dyDescent="0.25">
      <c r="D1276" s="538"/>
      <c r="G1276" s="538"/>
      <c r="J1276" s="538"/>
      <c r="M1276" s="538"/>
      <c r="R1276" s="538"/>
      <c r="S1276" s="343"/>
      <c r="T1276" s="343"/>
      <c r="U1276" s="538"/>
      <c r="V1276" s="343"/>
      <c r="W1276" s="343"/>
      <c r="X1276" s="538"/>
      <c r="Y1276" s="343"/>
      <c r="Z1276" s="343"/>
      <c r="AA1276" s="538"/>
      <c r="AB1276" s="343"/>
      <c r="AC1276" s="343"/>
      <c r="AE1276" s="343"/>
      <c r="AF1276" s="538"/>
      <c r="AG1276" s="343"/>
      <c r="AH1276" s="343"/>
      <c r="AI1276" s="538"/>
      <c r="AJ1276" s="343"/>
      <c r="AK1276" s="343"/>
      <c r="AL1276" s="538"/>
      <c r="AM1276" s="343"/>
      <c r="AN1276" s="343"/>
      <c r="AO1276" s="538"/>
      <c r="AP1276" s="343"/>
      <c r="AQ1276" s="343"/>
      <c r="AS1276" s="343"/>
      <c r="AT1276" s="538"/>
      <c r="AU1276" s="343"/>
      <c r="AV1276" s="343"/>
      <c r="AW1276" s="538"/>
      <c r="AX1276" s="343"/>
      <c r="AY1276" s="343"/>
      <c r="AZ1276" s="538"/>
      <c r="BA1276" s="343"/>
      <c r="BB1276" s="343"/>
      <c r="BC1276" s="538"/>
      <c r="BD1276" s="343"/>
      <c r="BE1276" s="343"/>
      <c r="BG1276" s="644"/>
      <c r="BH1276" s="515"/>
      <c r="BI1276" s="515"/>
      <c r="BJ1276" s="644"/>
      <c r="BK1276" s="515"/>
      <c r="BL1276" s="515"/>
      <c r="BM1276" s="644"/>
      <c r="BN1276" s="515"/>
      <c r="BO1276" s="515"/>
      <c r="BP1276" s="644"/>
      <c r="BQ1276" s="515"/>
      <c r="BR1276" s="515"/>
    </row>
    <row r="1277" spans="4:70" x14ac:dyDescent="0.25">
      <c r="D1277" s="538"/>
      <c r="G1277" s="538"/>
      <c r="J1277" s="538"/>
      <c r="M1277" s="538"/>
      <c r="R1277" s="538"/>
      <c r="S1277" s="343"/>
      <c r="T1277" s="343"/>
      <c r="U1277" s="538"/>
      <c r="V1277" s="343"/>
      <c r="W1277" s="343"/>
      <c r="X1277" s="538"/>
      <c r="Y1277" s="343"/>
      <c r="Z1277" s="343"/>
      <c r="AA1277" s="538"/>
      <c r="AB1277" s="343"/>
      <c r="AC1277" s="343"/>
      <c r="AE1277" s="343"/>
      <c r="AF1277" s="538"/>
      <c r="AG1277" s="343"/>
      <c r="AH1277" s="343"/>
      <c r="AI1277" s="538"/>
      <c r="AJ1277" s="343"/>
      <c r="AK1277" s="343"/>
      <c r="AL1277" s="538"/>
      <c r="AM1277" s="343"/>
      <c r="AN1277" s="343"/>
      <c r="AO1277" s="538"/>
      <c r="AP1277" s="343"/>
      <c r="AQ1277" s="343"/>
      <c r="AS1277" s="343"/>
      <c r="AT1277" s="538"/>
      <c r="AU1277" s="343"/>
      <c r="AV1277" s="343"/>
      <c r="AW1277" s="538"/>
      <c r="AX1277" s="343"/>
      <c r="AY1277" s="343"/>
      <c r="AZ1277" s="538"/>
      <c r="BA1277" s="343"/>
      <c r="BB1277" s="343"/>
      <c r="BC1277" s="538"/>
      <c r="BD1277" s="343"/>
      <c r="BE1277" s="343"/>
      <c r="BG1277" s="644"/>
      <c r="BH1277" s="515"/>
      <c r="BI1277" s="515"/>
      <c r="BJ1277" s="644"/>
      <c r="BK1277" s="515"/>
      <c r="BL1277" s="515"/>
      <c r="BM1277" s="644"/>
      <c r="BN1277" s="515"/>
      <c r="BO1277" s="515"/>
      <c r="BP1277" s="644"/>
      <c r="BQ1277" s="515"/>
      <c r="BR1277" s="515"/>
    </row>
    <row r="1278" spans="4:70" x14ac:dyDescent="0.25">
      <c r="D1278" s="538"/>
      <c r="G1278" s="538"/>
      <c r="J1278" s="538"/>
      <c r="M1278" s="538"/>
      <c r="R1278" s="538"/>
      <c r="S1278" s="343"/>
      <c r="T1278" s="343"/>
      <c r="U1278" s="538"/>
      <c r="V1278" s="343"/>
      <c r="W1278" s="343"/>
      <c r="X1278" s="538"/>
      <c r="Y1278" s="343"/>
      <c r="Z1278" s="343"/>
      <c r="AA1278" s="538"/>
      <c r="AB1278" s="343"/>
      <c r="AC1278" s="343"/>
      <c r="AE1278" s="343"/>
      <c r="AF1278" s="538"/>
      <c r="AG1278" s="343"/>
      <c r="AH1278" s="343"/>
      <c r="AI1278" s="538"/>
      <c r="AJ1278" s="343"/>
      <c r="AK1278" s="343"/>
      <c r="AL1278" s="538"/>
      <c r="AM1278" s="343"/>
      <c r="AN1278" s="343"/>
      <c r="AO1278" s="538"/>
      <c r="AP1278" s="343"/>
      <c r="AQ1278" s="343"/>
      <c r="AS1278" s="343"/>
      <c r="AT1278" s="538"/>
      <c r="AU1278" s="343"/>
      <c r="AV1278" s="343"/>
      <c r="AW1278" s="538"/>
      <c r="AX1278" s="343"/>
      <c r="AY1278" s="343"/>
      <c r="AZ1278" s="538"/>
      <c r="BA1278" s="343"/>
      <c r="BB1278" s="343"/>
      <c r="BC1278" s="538"/>
      <c r="BD1278" s="343"/>
      <c r="BE1278" s="343"/>
      <c r="BG1278" s="644"/>
      <c r="BH1278" s="515"/>
      <c r="BI1278" s="515"/>
      <c r="BJ1278" s="644"/>
      <c r="BK1278" s="515"/>
      <c r="BL1278" s="515"/>
      <c r="BM1278" s="644"/>
      <c r="BN1278" s="515"/>
      <c r="BO1278" s="515"/>
      <c r="BP1278" s="644"/>
      <c r="BQ1278" s="515"/>
      <c r="BR1278" s="515"/>
    </row>
    <row r="1279" spans="4:70" x14ac:dyDescent="0.25">
      <c r="D1279" s="538"/>
      <c r="G1279" s="538"/>
      <c r="J1279" s="538"/>
      <c r="M1279" s="538"/>
      <c r="R1279" s="538"/>
      <c r="S1279" s="343"/>
      <c r="T1279" s="343"/>
      <c r="U1279" s="538"/>
      <c r="V1279" s="343"/>
      <c r="W1279" s="343"/>
      <c r="X1279" s="538"/>
      <c r="Y1279" s="343"/>
      <c r="Z1279" s="343"/>
      <c r="AA1279" s="538"/>
      <c r="AB1279" s="343"/>
      <c r="AC1279" s="343"/>
      <c r="AE1279" s="343"/>
      <c r="AF1279" s="538"/>
      <c r="AG1279" s="343"/>
      <c r="AH1279" s="343"/>
      <c r="AI1279" s="538"/>
      <c r="AJ1279" s="343"/>
      <c r="AK1279" s="343"/>
      <c r="AL1279" s="538"/>
      <c r="AM1279" s="343"/>
      <c r="AN1279" s="343"/>
      <c r="AO1279" s="538"/>
      <c r="AP1279" s="343"/>
      <c r="AQ1279" s="343"/>
      <c r="AS1279" s="343"/>
      <c r="AT1279" s="538"/>
      <c r="AU1279" s="343"/>
      <c r="AV1279" s="343"/>
      <c r="AW1279" s="538"/>
      <c r="AX1279" s="343"/>
      <c r="AY1279" s="343"/>
      <c r="AZ1279" s="538"/>
      <c r="BA1279" s="343"/>
      <c r="BB1279" s="343"/>
      <c r="BC1279" s="538"/>
      <c r="BD1279" s="343"/>
      <c r="BE1279" s="343"/>
      <c r="BG1279" s="644"/>
      <c r="BH1279" s="515"/>
      <c r="BI1279" s="515"/>
      <c r="BJ1279" s="644"/>
      <c r="BK1279" s="515"/>
      <c r="BL1279" s="515"/>
      <c r="BM1279" s="644"/>
      <c r="BN1279" s="515"/>
      <c r="BO1279" s="515"/>
      <c r="BP1279" s="644"/>
      <c r="BQ1279" s="515"/>
      <c r="BR1279" s="515"/>
    </row>
    <row r="1280" spans="4:70" x14ac:dyDescent="0.25">
      <c r="D1280" s="538"/>
      <c r="G1280" s="538"/>
      <c r="J1280" s="538"/>
      <c r="M1280" s="538"/>
      <c r="R1280" s="538"/>
      <c r="S1280" s="343"/>
      <c r="T1280" s="343"/>
      <c r="U1280" s="538"/>
      <c r="V1280" s="343"/>
      <c r="W1280" s="343"/>
      <c r="X1280" s="538"/>
      <c r="Y1280" s="343"/>
      <c r="Z1280" s="343"/>
      <c r="AA1280" s="538"/>
      <c r="AB1280" s="343"/>
      <c r="AC1280" s="343"/>
      <c r="AE1280" s="343"/>
      <c r="AF1280" s="538"/>
      <c r="AG1280" s="343"/>
      <c r="AH1280" s="343"/>
      <c r="AI1280" s="538"/>
      <c r="AJ1280" s="343"/>
      <c r="AK1280" s="343"/>
      <c r="AL1280" s="538"/>
      <c r="AM1280" s="343"/>
      <c r="AN1280" s="343"/>
      <c r="AO1280" s="538"/>
      <c r="AP1280" s="343"/>
      <c r="AQ1280" s="343"/>
      <c r="AS1280" s="343"/>
      <c r="AT1280" s="538"/>
      <c r="AU1280" s="343"/>
      <c r="AV1280" s="343"/>
      <c r="AW1280" s="538"/>
      <c r="AX1280" s="343"/>
      <c r="AY1280" s="343"/>
      <c r="AZ1280" s="538"/>
      <c r="BA1280" s="343"/>
      <c r="BB1280" s="343"/>
      <c r="BC1280" s="538"/>
      <c r="BD1280" s="343"/>
      <c r="BE1280" s="343"/>
      <c r="BG1280" s="644"/>
      <c r="BH1280" s="515"/>
      <c r="BI1280" s="515"/>
      <c r="BJ1280" s="644"/>
      <c r="BK1280" s="515"/>
      <c r="BL1280" s="515"/>
      <c r="BM1280" s="644"/>
      <c r="BN1280" s="515"/>
      <c r="BO1280" s="515"/>
      <c r="BP1280" s="644"/>
      <c r="BQ1280" s="515"/>
      <c r="BR1280" s="515"/>
    </row>
    <row r="1281" spans="4:70" x14ac:dyDescent="0.25">
      <c r="D1281" s="538"/>
      <c r="G1281" s="538"/>
      <c r="J1281" s="538"/>
      <c r="M1281" s="538"/>
      <c r="R1281" s="538"/>
      <c r="S1281" s="343"/>
      <c r="T1281" s="343"/>
      <c r="U1281" s="538"/>
      <c r="V1281" s="343"/>
      <c r="W1281" s="343"/>
      <c r="X1281" s="538"/>
      <c r="Y1281" s="343"/>
      <c r="Z1281" s="343"/>
      <c r="AA1281" s="538"/>
      <c r="AB1281" s="343"/>
      <c r="AC1281" s="343"/>
      <c r="AE1281" s="343"/>
      <c r="AF1281" s="538"/>
      <c r="AG1281" s="343"/>
      <c r="AH1281" s="343"/>
      <c r="AI1281" s="538"/>
      <c r="AJ1281" s="343"/>
      <c r="AK1281" s="343"/>
      <c r="AL1281" s="538"/>
      <c r="AM1281" s="343"/>
      <c r="AN1281" s="343"/>
      <c r="AO1281" s="538"/>
      <c r="AP1281" s="343"/>
      <c r="AQ1281" s="343"/>
      <c r="AS1281" s="343"/>
      <c r="AT1281" s="538"/>
      <c r="AU1281" s="343"/>
      <c r="AV1281" s="343"/>
      <c r="AW1281" s="538"/>
      <c r="AX1281" s="343"/>
      <c r="AY1281" s="343"/>
      <c r="AZ1281" s="538"/>
      <c r="BA1281" s="343"/>
      <c r="BB1281" s="343"/>
      <c r="BC1281" s="538"/>
      <c r="BD1281" s="343"/>
      <c r="BE1281" s="343"/>
      <c r="BG1281" s="644"/>
      <c r="BH1281" s="515"/>
      <c r="BI1281" s="515"/>
      <c r="BJ1281" s="644"/>
      <c r="BK1281" s="515"/>
      <c r="BL1281" s="515"/>
      <c r="BM1281" s="644"/>
      <c r="BN1281" s="515"/>
      <c r="BO1281" s="515"/>
      <c r="BP1281" s="644"/>
      <c r="BQ1281" s="515"/>
      <c r="BR1281" s="515"/>
    </row>
    <row r="1282" spans="4:70" x14ac:dyDescent="0.25">
      <c r="D1282" s="538"/>
      <c r="G1282" s="538"/>
      <c r="J1282" s="538"/>
      <c r="M1282" s="538"/>
      <c r="R1282" s="538"/>
      <c r="S1282" s="343"/>
      <c r="T1282" s="343"/>
      <c r="U1282" s="538"/>
      <c r="V1282" s="343"/>
      <c r="W1282" s="343"/>
      <c r="X1282" s="538"/>
      <c r="Y1282" s="343"/>
      <c r="Z1282" s="343"/>
      <c r="AA1282" s="538"/>
      <c r="AB1282" s="343"/>
      <c r="AC1282" s="343"/>
      <c r="AE1282" s="343"/>
      <c r="AF1282" s="538"/>
      <c r="AG1282" s="343"/>
      <c r="AH1282" s="343"/>
      <c r="AI1282" s="538"/>
      <c r="AJ1282" s="343"/>
      <c r="AK1282" s="343"/>
      <c r="AL1282" s="538"/>
      <c r="AM1282" s="343"/>
      <c r="AN1282" s="343"/>
      <c r="AO1282" s="538"/>
      <c r="AP1282" s="343"/>
      <c r="AQ1282" s="343"/>
      <c r="AS1282" s="343"/>
      <c r="AT1282" s="538"/>
      <c r="AU1282" s="343"/>
      <c r="AV1282" s="343"/>
      <c r="AW1282" s="538"/>
      <c r="AX1282" s="343"/>
      <c r="AY1282" s="343"/>
      <c r="AZ1282" s="538"/>
      <c r="BA1282" s="343"/>
      <c r="BB1282" s="343"/>
      <c r="BC1282" s="538"/>
      <c r="BD1282" s="343"/>
      <c r="BE1282" s="343"/>
      <c r="BG1282" s="644"/>
      <c r="BH1282" s="515"/>
      <c r="BI1282" s="515"/>
      <c r="BJ1282" s="644"/>
      <c r="BK1282" s="515"/>
      <c r="BL1282" s="515"/>
      <c r="BM1282" s="644"/>
      <c r="BN1282" s="515"/>
      <c r="BO1282" s="515"/>
      <c r="BP1282" s="644"/>
      <c r="BQ1282" s="515"/>
      <c r="BR1282" s="515"/>
    </row>
    <row r="1283" spans="4:70" x14ac:dyDescent="0.25">
      <c r="D1283" s="538"/>
      <c r="G1283" s="538"/>
      <c r="J1283" s="538"/>
      <c r="M1283" s="538"/>
      <c r="R1283" s="538"/>
      <c r="S1283" s="343"/>
      <c r="T1283" s="343"/>
      <c r="U1283" s="538"/>
      <c r="V1283" s="343"/>
      <c r="W1283" s="343"/>
      <c r="X1283" s="538"/>
      <c r="Y1283" s="343"/>
      <c r="Z1283" s="343"/>
      <c r="AA1283" s="538"/>
      <c r="AB1283" s="343"/>
      <c r="AC1283" s="343"/>
      <c r="AE1283" s="343"/>
      <c r="AF1283" s="538"/>
      <c r="AG1283" s="343"/>
      <c r="AH1283" s="343"/>
      <c r="AI1283" s="538"/>
      <c r="AJ1283" s="343"/>
      <c r="AK1283" s="343"/>
      <c r="AL1283" s="538"/>
      <c r="AM1283" s="343"/>
      <c r="AN1283" s="343"/>
      <c r="AO1283" s="538"/>
      <c r="AP1283" s="343"/>
      <c r="AQ1283" s="343"/>
      <c r="AS1283" s="343"/>
      <c r="AT1283" s="538"/>
      <c r="AU1283" s="343"/>
      <c r="AV1283" s="343"/>
      <c r="AW1283" s="538"/>
      <c r="AX1283" s="343"/>
      <c r="AY1283" s="343"/>
      <c r="AZ1283" s="538"/>
      <c r="BA1283" s="343"/>
      <c r="BB1283" s="343"/>
      <c r="BC1283" s="538"/>
      <c r="BD1283" s="343"/>
      <c r="BE1283" s="343"/>
      <c r="BG1283" s="644"/>
      <c r="BH1283" s="515"/>
      <c r="BI1283" s="515"/>
      <c r="BJ1283" s="644"/>
      <c r="BK1283" s="515"/>
      <c r="BL1283" s="515"/>
      <c r="BM1283" s="644"/>
      <c r="BN1283" s="515"/>
      <c r="BO1283" s="515"/>
      <c r="BP1283" s="644"/>
      <c r="BQ1283" s="515"/>
      <c r="BR1283" s="515"/>
    </row>
    <row r="1284" spans="4:70" x14ac:dyDescent="0.25">
      <c r="D1284" s="538"/>
      <c r="G1284" s="538"/>
      <c r="J1284" s="538"/>
      <c r="M1284" s="538"/>
      <c r="R1284" s="538"/>
      <c r="S1284" s="343"/>
      <c r="T1284" s="343"/>
      <c r="U1284" s="538"/>
      <c r="V1284" s="343"/>
      <c r="W1284" s="343"/>
      <c r="X1284" s="538"/>
      <c r="Y1284" s="343"/>
      <c r="Z1284" s="343"/>
      <c r="AA1284" s="538"/>
      <c r="AB1284" s="343"/>
      <c r="AC1284" s="343"/>
      <c r="AE1284" s="343"/>
      <c r="AF1284" s="538"/>
      <c r="AG1284" s="343"/>
      <c r="AH1284" s="343"/>
      <c r="AI1284" s="538"/>
      <c r="AJ1284" s="343"/>
      <c r="AK1284" s="343"/>
      <c r="AL1284" s="538"/>
      <c r="AM1284" s="343"/>
      <c r="AN1284" s="343"/>
      <c r="AO1284" s="538"/>
      <c r="AP1284" s="343"/>
      <c r="AQ1284" s="343"/>
      <c r="AS1284" s="343"/>
      <c r="AT1284" s="538"/>
      <c r="AU1284" s="343"/>
      <c r="AV1284" s="343"/>
      <c r="AW1284" s="538"/>
      <c r="AX1284" s="343"/>
      <c r="AY1284" s="343"/>
      <c r="AZ1284" s="538"/>
      <c r="BA1284" s="343"/>
      <c r="BB1284" s="343"/>
      <c r="BC1284" s="538"/>
      <c r="BD1284" s="343"/>
      <c r="BE1284" s="343"/>
      <c r="BG1284" s="644"/>
      <c r="BH1284" s="515"/>
      <c r="BI1284" s="515"/>
      <c r="BJ1284" s="644"/>
      <c r="BK1284" s="515"/>
      <c r="BL1284" s="515"/>
      <c r="BM1284" s="644"/>
      <c r="BN1284" s="515"/>
      <c r="BO1284" s="515"/>
      <c r="BP1284" s="644"/>
      <c r="BQ1284" s="515"/>
      <c r="BR1284" s="515"/>
    </row>
    <row r="1285" spans="4:70" x14ac:dyDescent="0.25">
      <c r="D1285" s="538"/>
      <c r="G1285" s="538"/>
      <c r="J1285" s="538"/>
      <c r="M1285" s="538"/>
      <c r="R1285" s="538"/>
      <c r="S1285" s="343"/>
      <c r="T1285" s="343"/>
      <c r="U1285" s="538"/>
      <c r="V1285" s="343"/>
      <c r="W1285" s="343"/>
      <c r="X1285" s="538"/>
      <c r="Y1285" s="343"/>
      <c r="Z1285" s="343"/>
      <c r="AA1285" s="538"/>
      <c r="AB1285" s="343"/>
      <c r="AC1285" s="343"/>
      <c r="AE1285" s="343"/>
      <c r="AF1285" s="538"/>
      <c r="AG1285" s="343"/>
      <c r="AH1285" s="343"/>
      <c r="AI1285" s="538"/>
      <c r="AJ1285" s="343"/>
      <c r="AK1285" s="343"/>
      <c r="AL1285" s="538"/>
      <c r="AM1285" s="343"/>
      <c r="AN1285" s="343"/>
      <c r="AO1285" s="538"/>
      <c r="AP1285" s="343"/>
      <c r="AQ1285" s="343"/>
      <c r="AS1285" s="343"/>
      <c r="AT1285" s="538"/>
      <c r="AU1285" s="343"/>
      <c r="AV1285" s="343"/>
      <c r="AW1285" s="538"/>
      <c r="AX1285" s="343"/>
      <c r="AY1285" s="343"/>
      <c r="AZ1285" s="538"/>
      <c r="BA1285" s="343"/>
      <c r="BB1285" s="343"/>
      <c r="BC1285" s="538"/>
      <c r="BD1285" s="343"/>
      <c r="BE1285" s="343"/>
      <c r="BG1285" s="644"/>
      <c r="BH1285" s="515"/>
      <c r="BI1285" s="515"/>
      <c r="BJ1285" s="644"/>
      <c r="BK1285" s="515"/>
      <c r="BL1285" s="515"/>
      <c r="BM1285" s="644"/>
      <c r="BN1285" s="515"/>
      <c r="BO1285" s="515"/>
      <c r="BP1285" s="644"/>
      <c r="BQ1285" s="515"/>
      <c r="BR1285" s="515"/>
    </row>
    <row r="1286" spans="4:70" x14ac:dyDescent="0.25">
      <c r="D1286" s="538"/>
      <c r="G1286" s="538"/>
      <c r="J1286" s="538"/>
      <c r="M1286" s="538"/>
      <c r="R1286" s="538"/>
      <c r="S1286" s="343"/>
      <c r="T1286" s="343"/>
      <c r="U1286" s="538"/>
      <c r="V1286" s="343"/>
      <c r="W1286" s="343"/>
      <c r="X1286" s="538"/>
      <c r="Y1286" s="343"/>
      <c r="Z1286" s="343"/>
      <c r="AA1286" s="538"/>
      <c r="AB1286" s="343"/>
      <c r="AC1286" s="343"/>
      <c r="AE1286" s="343"/>
      <c r="AF1286" s="538"/>
      <c r="AG1286" s="343"/>
      <c r="AH1286" s="343"/>
      <c r="AI1286" s="538"/>
      <c r="AJ1286" s="343"/>
      <c r="AK1286" s="343"/>
      <c r="AL1286" s="538"/>
      <c r="AM1286" s="343"/>
      <c r="AN1286" s="343"/>
      <c r="AO1286" s="538"/>
      <c r="AP1286" s="343"/>
      <c r="AQ1286" s="343"/>
      <c r="AS1286" s="343"/>
      <c r="AT1286" s="538"/>
      <c r="AU1286" s="343"/>
      <c r="AV1286" s="343"/>
      <c r="AW1286" s="538"/>
      <c r="AX1286" s="343"/>
      <c r="AY1286" s="343"/>
      <c r="AZ1286" s="538"/>
      <c r="BA1286" s="343"/>
      <c r="BB1286" s="343"/>
      <c r="BC1286" s="538"/>
      <c r="BD1286" s="343"/>
      <c r="BE1286" s="343"/>
      <c r="BG1286" s="644"/>
      <c r="BH1286" s="515"/>
      <c r="BI1286" s="515"/>
      <c r="BJ1286" s="644"/>
      <c r="BK1286" s="515"/>
      <c r="BL1286" s="515"/>
      <c r="BM1286" s="644"/>
      <c r="BN1286" s="515"/>
      <c r="BO1286" s="515"/>
      <c r="BP1286" s="644"/>
      <c r="BQ1286" s="515"/>
      <c r="BR1286" s="515"/>
    </row>
    <row r="1287" spans="4:70" x14ac:dyDescent="0.25">
      <c r="D1287" s="538"/>
      <c r="G1287" s="538"/>
      <c r="J1287" s="538"/>
      <c r="M1287" s="538"/>
      <c r="R1287" s="538"/>
      <c r="S1287" s="343"/>
      <c r="T1287" s="343"/>
      <c r="U1287" s="538"/>
      <c r="V1287" s="343"/>
      <c r="W1287" s="343"/>
      <c r="X1287" s="538"/>
      <c r="Y1287" s="343"/>
      <c r="Z1287" s="343"/>
      <c r="AA1287" s="538"/>
      <c r="AB1287" s="343"/>
      <c r="AC1287" s="343"/>
      <c r="AE1287" s="343"/>
      <c r="AF1287" s="538"/>
      <c r="AG1287" s="343"/>
      <c r="AH1287" s="343"/>
      <c r="AI1287" s="538"/>
      <c r="AJ1287" s="343"/>
      <c r="AK1287" s="343"/>
      <c r="AL1287" s="538"/>
      <c r="AM1287" s="343"/>
      <c r="AN1287" s="343"/>
      <c r="AO1287" s="538"/>
      <c r="AP1287" s="343"/>
      <c r="AQ1287" s="343"/>
      <c r="AS1287" s="343"/>
      <c r="AT1287" s="538"/>
      <c r="AU1287" s="343"/>
      <c r="AV1287" s="343"/>
      <c r="AW1287" s="538"/>
      <c r="AX1287" s="343"/>
      <c r="AY1287" s="343"/>
      <c r="AZ1287" s="538"/>
      <c r="BA1287" s="343"/>
      <c r="BB1287" s="343"/>
      <c r="BC1287" s="538"/>
      <c r="BD1287" s="343"/>
      <c r="BE1287" s="343"/>
      <c r="BG1287" s="644"/>
      <c r="BH1287" s="515"/>
      <c r="BI1287" s="515"/>
      <c r="BJ1287" s="644"/>
      <c r="BK1287" s="515"/>
      <c r="BL1287" s="515"/>
      <c r="BM1287" s="644"/>
      <c r="BN1287" s="515"/>
      <c r="BO1287" s="515"/>
      <c r="BP1287" s="644"/>
      <c r="BQ1287" s="515"/>
      <c r="BR1287" s="515"/>
    </row>
    <row r="1288" spans="4:70" x14ac:dyDescent="0.25">
      <c r="D1288" s="538"/>
      <c r="G1288" s="538"/>
      <c r="J1288" s="538"/>
      <c r="M1288" s="538"/>
      <c r="R1288" s="538"/>
      <c r="S1288" s="343"/>
      <c r="T1288" s="343"/>
      <c r="U1288" s="538"/>
      <c r="V1288" s="343"/>
      <c r="W1288" s="343"/>
      <c r="X1288" s="538"/>
      <c r="Y1288" s="343"/>
      <c r="Z1288" s="343"/>
      <c r="AA1288" s="538"/>
      <c r="AB1288" s="343"/>
      <c r="AC1288" s="343"/>
      <c r="AE1288" s="343"/>
      <c r="AF1288" s="538"/>
      <c r="AG1288" s="343"/>
      <c r="AH1288" s="343"/>
      <c r="AI1288" s="538"/>
      <c r="AJ1288" s="343"/>
      <c r="AK1288" s="343"/>
      <c r="AL1288" s="538"/>
      <c r="AM1288" s="343"/>
      <c r="AN1288" s="343"/>
      <c r="AO1288" s="538"/>
      <c r="AP1288" s="343"/>
      <c r="AQ1288" s="343"/>
      <c r="AS1288" s="343"/>
      <c r="AT1288" s="538"/>
      <c r="AU1288" s="343"/>
      <c r="AV1288" s="343"/>
      <c r="AW1288" s="538"/>
      <c r="AX1288" s="343"/>
      <c r="AY1288" s="343"/>
      <c r="AZ1288" s="538"/>
      <c r="BA1288" s="343"/>
      <c r="BB1288" s="343"/>
      <c r="BC1288" s="538"/>
      <c r="BD1288" s="343"/>
      <c r="BE1288" s="343"/>
      <c r="BG1288" s="644"/>
      <c r="BH1288" s="515"/>
      <c r="BI1288" s="515"/>
      <c r="BJ1288" s="644"/>
      <c r="BK1288" s="515"/>
      <c r="BL1288" s="515"/>
      <c r="BM1288" s="644"/>
      <c r="BN1288" s="515"/>
      <c r="BO1288" s="515"/>
      <c r="BP1288" s="644"/>
      <c r="BQ1288" s="515"/>
      <c r="BR1288" s="515"/>
    </row>
    <row r="1289" spans="4:70" x14ac:dyDescent="0.25">
      <c r="D1289" s="538"/>
      <c r="G1289" s="538"/>
      <c r="J1289" s="538"/>
      <c r="M1289" s="538"/>
      <c r="R1289" s="538"/>
      <c r="S1289" s="343"/>
      <c r="T1289" s="343"/>
      <c r="U1289" s="538"/>
      <c r="V1289" s="343"/>
      <c r="W1289" s="343"/>
      <c r="X1289" s="538"/>
      <c r="Y1289" s="343"/>
      <c r="Z1289" s="343"/>
      <c r="AA1289" s="538"/>
      <c r="AB1289" s="343"/>
      <c r="AC1289" s="343"/>
      <c r="AE1289" s="343"/>
      <c r="AF1289" s="538"/>
      <c r="AG1289" s="343"/>
      <c r="AH1289" s="343"/>
      <c r="AI1289" s="538"/>
      <c r="AJ1289" s="343"/>
      <c r="AK1289" s="343"/>
      <c r="AL1289" s="538"/>
      <c r="AM1289" s="343"/>
      <c r="AN1289" s="343"/>
      <c r="AO1289" s="538"/>
      <c r="AP1289" s="343"/>
      <c r="AQ1289" s="343"/>
      <c r="AS1289" s="343"/>
      <c r="AT1289" s="538"/>
      <c r="AU1289" s="343"/>
      <c r="AV1289" s="343"/>
      <c r="AW1289" s="538"/>
      <c r="AX1289" s="343"/>
      <c r="AY1289" s="343"/>
      <c r="AZ1289" s="538"/>
      <c r="BA1289" s="343"/>
      <c r="BB1289" s="343"/>
      <c r="BC1289" s="538"/>
      <c r="BD1289" s="343"/>
      <c r="BE1289" s="343"/>
      <c r="BG1289" s="644"/>
      <c r="BH1289" s="515"/>
      <c r="BI1289" s="515"/>
      <c r="BJ1289" s="644"/>
      <c r="BK1289" s="515"/>
      <c r="BL1289" s="515"/>
      <c r="BM1289" s="644"/>
      <c r="BN1289" s="515"/>
      <c r="BO1289" s="515"/>
      <c r="BP1289" s="644"/>
      <c r="BQ1289" s="515"/>
      <c r="BR1289" s="515"/>
    </row>
    <row r="1290" spans="4:70" x14ac:dyDescent="0.25">
      <c r="D1290" s="538"/>
      <c r="G1290" s="538"/>
      <c r="J1290" s="538"/>
      <c r="M1290" s="538"/>
      <c r="R1290" s="538"/>
      <c r="S1290" s="343"/>
      <c r="T1290" s="343"/>
      <c r="U1290" s="538"/>
      <c r="V1290" s="343"/>
      <c r="W1290" s="343"/>
      <c r="X1290" s="538"/>
      <c r="Y1290" s="343"/>
      <c r="Z1290" s="343"/>
      <c r="AA1290" s="538"/>
      <c r="AB1290" s="343"/>
      <c r="AC1290" s="343"/>
      <c r="AE1290" s="343"/>
      <c r="AF1290" s="538"/>
      <c r="AG1290" s="343"/>
      <c r="AH1290" s="343"/>
      <c r="AI1290" s="538"/>
      <c r="AJ1290" s="343"/>
      <c r="AK1290" s="343"/>
      <c r="AL1290" s="538"/>
      <c r="AM1290" s="343"/>
      <c r="AN1290" s="343"/>
      <c r="AO1290" s="538"/>
      <c r="AP1290" s="343"/>
      <c r="AQ1290" s="343"/>
      <c r="AS1290" s="343"/>
      <c r="AT1290" s="538"/>
      <c r="AU1290" s="343"/>
      <c r="AV1290" s="343"/>
      <c r="AW1290" s="538"/>
      <c r="AX1290" s="343"/>
      <c r="AY1290" s="343"/>
      <c r="AZ1290" s="538"/>
      <c r="BA1290" s="343"/>
      <c r="BB1290" s="343"/>
      <c r="BC1290" s="538"/>
      <c r="BD1290" s="343"/>
      <c r="BE1290" s="343"/>
      <c r="BG1290" s="644"/>
      <c r="BH1290" s="515"/>
      <c r="BI1290" s="515"/>
      <c r="BJ1290" s="644"/>
      <c r="BK1290" s="515"/>
      <c r="BL1290" s="515"/>
      <c r="BM1290" s="644"/>
      <c r="BN1290" s="515"/>
      <c r="BO1290" s="515"/>
      <c r="BP1290" s="644"/>
      <c r="BQ1290" s="515"/>
      <c r="BR1290" s="515"/>
    </row>
    <row r="1291" spans="4:70" x14ac:dyDescent="0.25">
      <c r="D1291" s="538"/>
      <c r="G1291" s="538"/>
      <c r="J1291" s="538"/>
      <c r="M1291" s="538"/>
      <c r="R1291" s="538"/>
      <c r="S1291" s="343"/>
      <c r="T1291" s="343"/>
      <c r="U1291" s="538"/>
      <c r="V1291" s="343"/>
      <c r="W1291" s="343"/>
      <c r="X1291" s="538"/>
      <c r="Y1291" s="343"/>
      <c r="Z1291" s="343"/>
      <c r="AA1291" s="538"/>
      <c r="AB1291" s="343"/>
      <c r="AC1291" s="343"/>
      <c r="AE1291" s="343"/>
      <c r="AF1291" s="538"/>
      <c r="AG1291" s="343"/>
      <c r="AH1291" s="343"/>
      <c r="AI1291" s="538"/>
      <c r="AJ1291" s="343"/>
      <c r="AK1291" s="343"/>
      <c r="AL1291" s="538"/>
      <c r="AM1291" s="343"/>
      <c r="AN1291" s="343"/>
      <c r="AO1291" s="538"/>
      <c r="AP1291" s="343"/>
      <c r="AQ1291" s="343"/>
      <c r="AS1291" s="343"/>
      <c r="AT1291" s="538"/>
      <c r="AU1291" s="343"/>
      <c r="AV1291" s="343"/>
      <c r="AW1291" s="538"/>
      <c r="AX1291" s="343"/>
      <c r="AY1291" s="343"/>
      <c r="AZ1291" s="538"/>
      <c r="BA1291" s="343"/>
      <c r="BB1291" s="343"/>
      <c r="BC1291" s="538"/>
      <c r="BD1291" s="343"/>
      <c r="BE1291" s="343"/>
      <c r="BG1291" s="644"/>
      <c r="BH1291" s="515"/>
      <c r="BI1291" s="515"/>
      <c r="BJ1291" s="644"/>
      <c r="BK1291" s="515"/>
      <c r="BL1291" s="515"/>
      <c r="BM1291" s="644"/>
      <c r="BN1291" s="515"/>
      <c r="BO1291" s="515"/>
      <c r="BP1291" s="644"/>
      <c r="BQ1291" s="515"/>
      <c r="BR1291" s="515"/>
    </row>
    <row r="1292" spans="4:70" x14ac:dyDescent="0.25">
      <c r="D1292" s="538"/>
      <c r="G1292" s="538"/>
      <c r="J1292" s="538"/>
      <c r="M1292" s="538"/>
      <c r="R1292" s="538"/>
      <c r="S1292" s="343"/>
      <c r="T1292" s="343"/>
      <c r="U1292" s="538"/>
      <c r="V1292" s="343"/>
      <c r="W1292" s="343"/>
      <c r="X1292" s="538"/>
      <c r="Y1292" s="343"/>
      <c r="Z1292" s="343"/>
      <c r="AA1292" s="538"/>
      <c r="AB1292" s="343"/>
      <c r="AC1292" s="343"/>
      <c r="AE1292" s="343"/>
      <c r="AF1292" s="538"/>
      <c r="AG1292" s="343"/>
      <c r="AH1292" s="343"/>
      <c r="AI1292" s="538"/>
      <c r="AJ1292" s="343"/>
      <c r="AK1292" s="343"/>
      <c r="AL1292" s="538"/>
      <c r="AM1292" s="343"/>
      <c r="AN1292" s="343"/>
      <c r="AO1292" s="538"/>
      <c r="AP1292" s="343"/>
      <c r="AQ1292" s="343"/>
      <c r="AS1292" s="343"/>
      <c r="AT1292" s="538"/>
      <c r="AU1292" s="343"/>
      <c r="AV1292" s="343"/>
      <c r="AW1292" s="538"/>
      <c r="AX1292" s="343"/>
      <c r="AY1292" s="343"/>
      <c r="AZ1292" s="538"/>
      <c r="BA1292" s="343"/>
      <c r="BB1292" s="343"/>
      <c r="BC1292" s="538"/>
      <c r="BD1292" s="343"/>
      <c r="BE1292" s="343"/>
      <c r="BG1292" s="644"/>
      <c r="BH1292" s="515"/>
      <c r="BI1292" s="515"/>
      <c r="BJ1292" s="644"/>
      <c r="BK1292" s="515"/>
      <c r="BL1292" s="515"/>
      <c r="BM1292" s="644"/>
      <c r="BN1292" s="515"/>
      <c r="BO1292" s="515"/>
      <c r="BP1292" s="644"/>
      <c r="BQ1292" s="515"/>
      <c r="BR1292" s="515"/>
    </row>
    <row r="1293" spans="4:70" x14ac:dyDescent="0.25">
      <c r="D1293" s="538"/>
      <c r="G1293" s="538"/>
      <c r="J1293" s="538"/>
      <c r="M1293" s="538"/>
      <c r="R1293" s="538"/>
      <c r="S1293" s="343"/>
      <c r="T1293" s="343"/>
      <c r="U1293" s="538"/>
      <c r="V1293" s="343"/>
      <c r="W1293" s="343"/>
      <c r="X1293" s="538"/>
      <c r="Y1293" s="343"/>
      <c r="Z1293" s="343"/>
      <c r="AA1293" s="538"/>
      <c r="AB1293" s="343"/>
      <c r="AC1293" s="343"/>
      <c r="AE1293" s="343"/>
      <c r="AF1293" s="538"/>
      <c r="AG1293" s="343"/>
      <c r="AH1293" s="343"/>
      <c r="AI1293" s="538"/>
      <c r="AJ1293" s="343"/>
      <c r="AK1293" s="343"/>
      <c r="AL1293" s="538"/>
      <c r="AM1293" s="343"/>
      <c r="AN1293" s="343"/>
      <c r="AO1293" s="538"/>
      <c r="AP1293" s="343"/>
      <c r="AQ1293" s="343"/>
      <c r="AS1293" s="343"/>
      <c r="AT1293" s="538"/>
      <c r="AU1293" s="343"/>
      <c r="AV1293" s="343"/>
      <c r="AW1293" s="538"/>
      <c r="AX1293" s="343"/>
      <c r="AY1293" s="343"/>
      <c r="AZ1293" s="538"/>
      <c r="BA1293" s="343"/>
      <c r="BB1293" s="343"/>
      <c r="BC1293" s="538"/>
      <c r="BD1293" s="343"/>
      <c r="BE1293" s="343"/>
      <c r="BG1293" s="644"/>
      <c r="BH1293" s="515"/>
      <c r="BI1293" s="515"/>
      <c r="BJ1293" s="644"/>
      <c r="BK1293" s="515"/>
      <c r="BL1293" s="515"/>
      <c r="BM1293" s="644"/>
      <c r="BN1293" s="515"/>
      <c r="BO1293" s="515"/>
      <c r="BP1293" s="644"/>
      <c r="BQ1293" s="515"/>
      <c r="BR1293" s="515"/>
    </row>
    <row r="1294" spans="4:70" x14ac:dyDescent="0.25">
      <c r="D1294" s="538"/>
      <c r="G1294" s="538"/>
      <c r="J1294" s="538"/>
      <c r="M1294" s="538"/>
      <c r="R1294" s="538"/>
      <c r="S1294" s="343"/>
      <c r="T1294" s="343"/>
      <c r="U1294" s="538"/>
      <c r="V1294" s="343"/>
      <c r="W1294" s="343"/>
      <c r="X1294" s="538"/>
      <c r="Y1294" s="343"/>
      <c r="Z1294" s="343"/>
      <c r="AA1294" s="538"/>
      <c r="AB1294" s="343"/>
      <c r="AC1294" s="343"/>
      <c r="AE1294" s="343"/>
      <c r="AF1294" s="538"/>
      <c r="AG1294" s="343"/>
      <c r="AH1294" s="343"/>
      <c r="AI1294" s="538"/>
      <c r="AJ1294" s="343"/>
      <c r="AK1294" s="343"/>
      <c r="AL1294" s="538"/>
      <c r="AM1294" s="343"/>
      <c r="AN1294" s="343"/>
      <c r="AO1294" s="538"/>
      <c r="AP1294" s="343"/>
      <c r="AQ1294" s="343"/>
      <c r="AS1294" s="343"/>
      <c r="AT1294" s="538"/>
      <c r="AU1294" s="343"/>
      <c r="AV1294" s="343"/>
      <c r="AW1294" s="538"/>
      <c r="AX1294" s="343"/>
      <c r="AY1294" s="343"/>
      <c r="AZ1294" s="538"/>
      <c r="BA1294" s="343"/>
      <c r="BB1294" s="343"/>
      <c r="BC1294" s="538"/>
      <c r="BD1294" s="343"/>
      <c r="BE1294" s="343"/>
      <c r="BG1294" s="644"/>
      <c r="BH1294" s="515"/>
      <c r="BI1294" s="515"/>
      <c r="BJ1294" s="644"/>
      <c r="BK1294" s="515"/>
      <c r="BL1294" s="515"/>
      <c r="BM1294" s="644"/>
      <c r="BN1294" s="515"/>
      <c r="BO1294" s="515"/>
      <c r="BP1294" s="644"/>
      <c r="BQ1294" s="515"/>
      <c r="BR1294" s="515"/>
    </row>
    <row r="1295" spans="4:70" x14ac:dyDescent="0.25">
      <c r="D1295" s="538"/>
      <c r="G1295" s="538"/>
      <c r="J1295" s="538"/>
      <c r="M1295" s="538"/>
      <c r="R1295" s="538"/>
      <c r="S1295" s="343"/>
      <c r="T1295" s="343"/>
      <c r="U1295" s="538"/>
      <c r="V1295" s="343"/>
      <c r="W1295" s="343"/>
      <c r="X1295" s="538"/>
      <c r="Y1295" s="343"/>
      <c r="Z1295" s="343"/>
      <c r="AA1295" s="538"/>
      <c r="AB1295" s="343"/>
      <c r="AC1295" s="343"/>
      <c r="AE1295" s="343"/>
      <c r="AF1295" s="538"/>
      <c r="AG1295" s="343"/>
      <c r="AH1295" s="343"/>
      <c r="AI1295" s="538"/>
      <c r="AJ1295" s="343"/>
      <c r="AK1295" s="343"/>
      <c r="AL1295" s="538"/>
      <c r="AM1295" s="343"/>
      <c r="AN1295" s="343"/>
      <c r="AO1295" s="538"/>
      <c r="AP1295" s="343"/>
      <c r="AQ1295" s="343"/>
      <c r="AS1295" s="343"/>
      <c r="AT1295" s="538"/>
      <c r="AU1295" s="343"/>
      <c r="AV1295" s="343"/>
      <c r="AW1295" s="538"/>
      <c r="AX1295" s="343"/>
      <c r="AY1295" s="343"/>
      <c r="AZ1295" s="538"/>
      <c r="BA1295" s="343"/>
      <c r="BB1295" s="343"/>
      <c r="BC1295" s="538"/>
      <c r="BD1295" s="343"/>
      <c r="BE1295" s="343"/>
      <c r="BG1295" s="644"/>
      <c r="BH1295" s="515"/>
      <c r="BI1295" s="515"/>
      <c r="BJ1295" s="644"/>
      <c r="BK1295" s="515"/>
      <c r="BL1295" s="515"/>
      <c r="BM1295" s="644"/>
      <c r="BN1295" s="515"/>
      <c r="BO1295" s="515"/>
      <c r="BP1295" s="644"/>
      <c r="BQ1295" s="515"/>
      <c r="BR1295" s="515"/>
    </row>
    <row r="1296" spans="4:70" x14ac:dyDescent="0.25">
      <c r="D1296" s="538"/>
      <c r="G1296" s="538"/>
      <c r="J1296" s="538"/>
      <c r="M1296" s="538"/>
      <c r="R1296" s="538"/>
      <c r="S1296" s="343"/>
      <c r="T1296" s="343"/>
      <c r="U1296" s="538"/>
      <c r="V1296" s="343"/>
      <c r="W1296" s="343"/>
      <c r="X1296" s="538"/>
      <c r="Y1296" s="343"/>
      <c r="Z1296" s="343"/>
      <c r="AA1296" s="538"/>
      <c r="AB1296" s="343"/>
      <c r="AC1296" s="343"/>
      <c r="AE1296" s="343"/>
      <c r="AF1296" s="538"/>
      <c r="AG1296" s="343"/>
      <c r="AH1296" s="343"/>
      <c r="AI1296" s="538"/>
      <c r="AJ1296" s="343"/>
      <c r="AK1296" s="343"/>
      <c r="AL1296" s="538"/>
      <c r="AM1296" s="343"/>
      <c r="AN1296" s="343"/>
      <c r="AO1296" s="538"/>
      <c r="AP1296" s="343"/>
      <c r="AQ1296" s="343"/>
      <c r="AS1296" s="343"/>
      <c r="AT1296" s="538"/>
      <c r="AU1296" s="343"/>
      <c r="AV1296" s="343"/>
      <c r="AW1296" s="538"/>
      <c r="AX1296" s="343"/>
      <c r="AY1296" s="343"/>
      <c r="AZ1296" s="538"/>
      <c r="BA1296" s="343"/>
      <c r="BB1296" s="343"/>
      <c r="BC1296" s="538"/>
      <c r="BD1296" s="343"/>
      <c r="BE1296" s="343"/>
      <c r="BG1296" s="644"/>
      <c r="BH1296" s="515"/>
      <c r="BI1296" s="515"/>
      <c r="BJ1296" s="644"/>
      <c r="BK1296" s="515"/>
      <c r="BL1296" s="515"/>
      <c r="BM1296" s="644"/>
      <c r="BN1296" s="515"/>
      <c r="BO1296" s="515"/>
      <c r="BP1296" s="644"/>
      <c r="BQ1296" s="515"/>
      <c r="BR1296" s="515"/>
    </row>
    <row r="1297" spans="4:70" x14ac:dyDescent="0.25">
      <c r="D1297" s="538"/>
      <c r="G1297" s="538"/>
      <c r="J1297" s="538"/>
      <c r="M1297" s="538"/>
      <c r="R1297" s="538"/>
      <c r="S1297" s="343"/>
      <c r="T1297" s="343"/>
      <c r="U1297" s="538"/>
      <c r="V1297" s="343"/>
      <c r="W1297" s="343"/>
      <c r="X1297" s="538"/>
      <c r="Y1297" s="343"/>
      <c r="Z1297" s="343"/>
      <c r="AA1297" s="538"/>
      <c r="AB1297" s="343"/>
      <c r="AC1297" s="343"/>
      <c r="AE1297" s="343"/>
      <c r="AF1297" s="538"/>
      <c r="AG1297" s="343"/>
      <c r="AH1297" s="343"/>
      <c r="AI1297" s="538"/>
      <c r="AJ1297" s="343"/>
      <c r="AK1297" s="343"/>
      <c r="AL1297" s="538"/>
      <c r="AM1297" s="343"/>
      <c r="AN1297" s="343"/>
      <c r="AO1297" s="538"/>
      <c r="AP1297" s="343"/>
      <c r="AQ1297" s="343"/>
      <c r="AS1297" s="343"/>
      <c r="AT1297" s="538"/>
      <c r="AU1297" s="343"/>
      <c r="AV1297" s="343"/>
      <c r="AW1297" s="538"/>
      <c r="AX1297" s="343"/>
      <c r="AY1297" s="343"/>
      <c r="AZ1297" s="538"/>
      <c r="BA1297" s="343"/>
      <c r="BB1297" s="343"/>
      <c r="BC1297" s="538"/>
      <c r="BD1297" s="343"/>
      <c r="BE1297" s="343"/>
      <c r="BG1297" s="644"/>
      <c r="BH1297" s="515"/>
      <c r="BI1297" s="515"/>
      <c r="BJ1297" s="644"/>
      <c r="BK1297" s="515"/>
      <c r="BL1297" s="515"/>
      <c r="BM1297" s="644"/>
      <c r="BN1297" s="515"/>
      <c r="BO1297" s="515"/>
      <c r="BP1297" s="644"/>
      <c r="BQ1297" s="515"/>
      <c r="BR1297" s="515"/>
    </row>
    <row r="1298" spans="4:70" x14ac:dyDescent="0.25">
      <c r="D1298" s="538"/>
      <c r="G1298" s="538"/>
      <c r="J1298" s="538"/>
      <c r="M1298" s="538"/>
      <c r="R1298" s="538"/>
      <c r="S1298" s="343"/>
      <c r="T1298" s="343"/>
      <c r="U1298" s="538"/>
      <c r="V1298" s="343"/>
      <c r="W1298" s="343"/>
      <c r="X1298" s="538"/>
      <c r="Y1298" s="343"/>
      <c r="Z1298" s="343"/>
      <c r="AA1298" s="538"/>
      <c r="AB1298" s="343"/>
      <c r="AC1298" s="343"/>
      <c r="AE1298" s="343"/>
      <c r="AF1298" s="538"/>
      <c r="AG1298" s="343"/>
      <c r="AH1298" s="343"/>
      <c r="AI1298" s="538"/>
      <c r="AJ1298" s="343"/>
      <c r="AK1298" s="343"/>
      <c r="AL1298" s="538"/>
      <c r="AM1298" s="343"/>
      <c r="AN1298" s="343"/>
      <c r="AO1298" s="538"/>
      <c r="AP1298" s="343"/>
      <c r="AQ1298" s="343"/>
      <c r="AS1298" s="343"/>
      <c r="AT1298" s="538"/>
      <c r="AU1298" s="343"/>
      <c r="AV1298" s="343"/>
      <c r="AW1298" s="538"/>
      <c r="AX1298" s="343"/>
      <c r="AY1298" s="343"/>
      <c r="AZ1298" s="538"/>
      <c r="BA1298" s="343"/>
      <c r="BB1298" s="343"/>
      <c r="BC1298" s="538"/>
      <c r="BD1298" s="343"/>
      <c r="BE1298" s="343"/>
      <c r="BG1298" s="644"/>
      <c r="BH1298" s="515"/>
      <c r="BI1298" s="515"/>
      <c r="BJ1298" s="644"/>
      <c r="BK1298" s="515"/>
      <c r="BL1298" s="515"/>
      <c r="BM1298" s="644"/>
      <c r="BN1298" s="515"/>
      <c r="BO1298" s="515"/>
      <c r="BP1298" s="644"/>
      <c r="BQ1298" s="515"/>
      <c r="BR1298" s="515"/>
    </row>
    <row r="1299" spans="4:70" x14ac:dyDescent="0.25">
      <c r="D1299" s="538"/>
      <c r="G1299" s="538"/>
      <c r="J1299" s="538"/>
      <c r="M1299" s="538"/>
      <c r="R1299" s="538"/>
      <c r="S1299" s="343"/>
      <c r="T1299" s="343"/>
      <c r="U1299" s="538"/>
      <c r="V1299" s="343"/>
      <c r="W1299" s="343"/>
      <c r="X1299" s="538"/>
      <c r="Y1299" s="343"/>
      <c r="Z1299" s="343"/>
      <c r="AA1299" s="538"/>
      <c r="AB1299" s="343"/>
      <c r="AC1299" s="343"/>
      <c r="AE1299" s="343"/>
      <c r="AF1299" s="538"/>
      <c r="AG1299" s="343"/>
      <c r="AH1299" s="343"/>
      <c r="AI1299" s="538"/>
      <c r="AJ1299" s="343"/>
      <c r="AK1299" s="343"/>
      <c r="AL1299" s="538"/>
      <c r="AM1299" s="343"/>
      <c r="AN1299" s="343"/>
      <c r="AO1299" s="538"/>
      <c r="AP1299" s="343"/>
      <c r="AQ1299" s="343"/>
      <c r="AS1299" s="343"/>
      <c r="AT1299" s="538"/>
      <c r="AU1299" s="343"/>
      <c r="AV1299" s="343"/>
      <c r="AW1299" s="538"/>
      <c r="AX1299" s="343"/>
      <c r="AY1299" s="343"/>
      <c r="AZ1299" s="538"/>
      <c r="BA1299" s="343"/>
      <c r="BB1299" s="343"/>
      <c r="BC1299" s="538"/>
      <c r="BD1299" s="343"/>
      <c r="BE1299" s="343"/>
      <c r="BG1299" s="644"/>
      <c r="BH1299" s="515"/>
      <c r="BI1299" s="515"/>
      <c r="BJ1299" s="644"/>
      <c r="BK1299" s="515"/>
      <c r="BL1299" s="515"/>
      <c r="BM1299" s="644"/>
      <c r="BN1299" s="515"/>
      <c r="BO1299" s="515"/>
      <c r="BP1299" s="644"/>
      <c r="BQ1299" s="515"/>
      <c r="BR1299" s="515"/>
    </row>
    <row r="1300" spans="4:70" x14ac:dyDescent="0.25">
      <c r="D1300" s="538"/>
      <c r="G1300" s="538"/>
      <c r="J1300" s="538"/>
      <c r="M1300" s="538"/>
      <c r="R1300" s="538"/>
      <c r="S1300" s="343"/>
      <c r="T1300" s="343"/>
      <c r="U1300" s="538"/>
      <c r="V1300" s="343"/>
      <c r="W1300" s="343"/>
      <c r="X1300" s="538"/>
      <c r="Y1300" s="343"/>
      <c r="Z1300" s="343"/>
      <c r="AA1300" s="538"/>
      <c r="AB1300" s="343"/>
      <c r="AC1300" s="343"/>
      <c r="AE1300" s="343"/>
      <c r="AF1300" s="538"/>
      <c r="AG1300" s="343"/>
      <c r="AH1300" s="343"/>
      <c r="AI1300" s="538"/>
      <c r="AJ1300" s="343"/>
      <c r="AK1300" s="343"/>
      <c r="AL1300" s="538"/>
      <c r="AM1300" s="343"/>
      <c r="AN1300" s="343"/>
      <c r="AO1300" s="538"/>
      <c r="AP1300" s="343"/>
      <c r="AQ1300" s="343"/>
      <c r="AS1300" s="343"/>
      <c r="AT1300" s="538"/>
      <c r="AU1300" s="343"/>
      <c r="AV1300" s="343"/>
      <c r="AW1300" s="538"/>
      <c r="AX1300" s="343"/>
      <c r="AY1300" s="343"/>
      <c r="AZ1300" s="538"/>
      <c r="BA1300" s="343"/>
      <c r="BB1300" s="343"/>
      <c r="BC1300" s="538"/>
      <c r="BD1300" s="343"/>
      <c r="BE1300" s="343"/>
      <c r="BG1300" s="644"/>
      <c r="BH1300" s="515"/>
      <c r="BI1300" s="515"/>
      <c r="BJ1300" s="644"/>
      <c r="BK1300" s="515"/>
      <c r="BL1300" s="515"/>
      <c r="BM1300" s="644"/>
      <c r="BN1300" s="515"/>
      <c r="BO1300" s="515"/>
      <c r="BP1300" s="644"/>
      <c r="BQ1300" s="515"/>
      <c r="BR1300" s="515"/>
    </row>
    <row r="1301" spans="4:70" x14ac:dyDescent="0.25">
      <c r="D1301" s="538"/>
      <c r="G1301" s="538"/>
      <c r="J1301" s="538"/>
      <c r="M1301" s="538"/>
      <c r="R1301" s="538"/>
      <c r="S1301" s="343"/>
      <c r="T1301" s="343"/>
      <c r="U1301" s="538"/>
      <c r="V1301" s="343"/>
      <c r="W1301" s="343"/>
      <c r="X1301" s="538"/>
      <c r="Y1301" s="343"/>
      <c r="Z1301" s="343"/>
      <c r="AA1301" s="538"/>
      <c r="AB1301" s="343"/>
      <c r="AC1301" s="343"/>
      <c r="AE1301" s="343"/>
      <c r="AF1301" s="538"/>
      <c r="AG1301" s="343"/>
      <c r="AH1301" s="343"/>
      <c r="AI1301" s="538"/>
      <c r="AJ1301" s="343"/>
      <c r="AK1301" s="343"/>
      <c r="AL1301" s="538"/>
      <c r="AM1301" s="343"/>
      <c r="AN1301" s="343"/>
      <c r="AO1301" s="538"/>
      <c r="AP1301" s="343"/>
      <c r="AQ1301" s="343"/>
      <c r="AS1301" s="343"/>
      <c r="AT1301" s="538"/>
      <c r="AU1301" s="343"/>
      <c r="AV1301" s="343"/>
      <c r="AW1301" s="538"/>
      <c r="AX1301" s="343"/>
      <c r="AY1301" s="343"/>
      <c r="AZ1301" s="538"/>
      <c r="BA1301" s="343"/>
      <c r="BB1301" s="343"/>
      <c r="BC1301" s="538"/>
      <c r="BD1301" s="343"/>
      <c r="BE1301" s="343"/>
      <c r="BG1301" s="644"/>
      <c r="BH1301" s="515"/>
      <c r="BI1301" s="515"/>
      <c r="BJ1301" s="644"/>
      <c r="BK1301" s="515"/>
      <c r="BL1301" s="515"/>
      <c r="BM1301" s="644"/>
      <c r="BN1301" s="515"/>
      <c r="BO1301" s="515"/>
      <c r="BP1301" s="644"/>
      <c r="BQ1301" s="515"/>
      <c r="BR1301" s="515"/>
    </row>
    <row r="1302" spans="4:70" x14ac:dyDescent="0.25">
      <c r="D1302" s="538"/>
      <c r="G1302" s="538"/>
      <c r="J1302" s="538"/>
      <c r="M1302" s="538"/>
      <c r="R1302" s="538"/>
      <c r="S1302" s="343"/>
      <c r="T1302" s="343"/>
      <c r="U1302" s="538"/>
      <c r="V1302" s="343"/>
      <c r="W1302" s="343"/>
      <c r="X1302" s="538"/>
      <c r="Y1302" s="343"/>
      <c r="Z1302" s="343"/>
      <c r="AA1302" s="538"/>
      <c r="AB1302" s="343"/>
      <c r="AC1302" s="343"/>
      <c r="AE1302" s="343"/>
      <c r="AF1302" s="538"/>
      <c r="AG1302" s="343"/>
      <c r="AH1302" s="343"/>
      <c r="AI1302" s="538"/>
      <c r="AJ1302" s="343"/>
      <c r="AK1302" s="343"/>
      <c r="AL1302" s="538"/>
      <c r="AM1302" s="343"/>
      <c r="AN1302" s="343"/>
      <c r="AO1302" s="538"/>
      <c r="AP1302" s="343"/>
      <c r="AQ1302" s="343"/>
      <c r="AS1302" s="343"/>
      <c r="AT1302" s="538"/>
      <c r="AU1302" s="343"/>
      <c r="AV1302" s="343"/>
      <c r="AW1302" s="538"/>
      <c r="AX1302" s="343"/>
      <c r="AY1302" s="343"/>
      <c r="AZ1302" s="538"/>
      <c r="BA1302" s="343"/>
      <c r="BB1302" s="343"/>
      <c r="BC1302" s="538"/>
      <c r="BD1302" s="343"/>
      <c r="BE1302" s="343"/>
      <c r="BG1302" s="644"/>
      <c r="BH1302" s="515"/>
      <c r="BI1302" s="515"/>
      <c r="BJ1302" s="644"/>
      <c r="BK1302" s="515"/>
      <c r="BL1302" s="515"/>
      <c r="BM1302" s="644"/>
      <c r="BN1302" s="515"/>
      <c r="BO1302" s="515"/>
      <c r="BP1302" s="644"/>
      <c r="BQ1302" s="515"/>
      <c r="BR1302" s="515"/>
    </row>
    <row r="1303" spans="4:70" x14ac:dyDescent="0.25">
      <c r="D1303" s="538"/>
      <c r="G1303" s="538"/>
      <c r="J1303" s="538"/>
      <c r="M1303" s="538"/>
      <c r="R1303" s="538"/>
      <c r="S1303" s="343"/>
      <c r="T1303" s="343"/>
      <c r="U1303" s="538"/>
      <c r="V1303" s="343"/>
      <c r="W1303" s="343"/>
      <c r="X1303" s="538"/>
      <c r="Y1303" s="343"/>
      <c r="Z1303" s="343"/>
      <c r="AA1303" s="538"/>
      <c r="AB1303" s="343"/>
      <c r="AC1303" s="343"/>
      <c r="AE1303" s="343"/>
      <c r="AF1303" s="538"/>
      <c r="AG1303" s="343"/>
      <c r="AH1303" s="343"/>
      <c r="AI1303" s="538"/>
      <c r="AJ1303" s="343"/>
      <c r="AK1303" s="343"/>
      <c r="AL1303" s="538"/>
      <c r="AM1303" s="343"/>
      <c r="AN1303" s="343"/>
      <c r="AO1303" s="538"/>
      <c r="AP1303" s="343"/>
      <c r="AQ1303" s="343"/>
      <c r="AS1303" s="343"/>
      <c r="AT1303" s="538"/>
      <c r="AU1303" s="343"/>
      <c r="AV1303" s="343"/>
      <c r="AW1303" s="538"/>
      <c r="AX1303" s="343"/>
      <c r="AY1303" s="343"/>
      <c r="AZ1303" s="538"/>
      <c r="BA1303" s="343"/>
      <c r="BB1303" s="343"/>
      <c r="BC1303" s="538"/>
      <c r="BD1303" s="343"/>
      <c r="BE1303" s="343"/>
      <c r="BG1303" s="644"/>
      <c r="BH1303" s="515"/>
      <c r="BI1303" s="515"/>
      <c r="BJ1303" s="644"/>
      <c r="BK1303" s="515"/>
      <c r="BL1303" s="515"/>
      <c r="BM1303" s="644"/>
      <c r="BN1303" s="515"/>
      <c r="BO1303" s="515"/>
      <c r="BP1303" s="644"/>
      <c r="BQ1303" s="515"/>
      <c r="BR1303" s="515"/>
    </row>
    <row r="1304" spans="4:70" x14ac:dyDescent="0.25">
      <c r="D1304" s="538"/>
      <c r="G1304" s="538"/>
      <c r="J1304" s="538"/>
      <c r="M1304" s="538"/>
      <c r="R1304" s="538"/>
      <c r="S1304" s="343"/>
      <c r="T1304" s="343"/>
      <c r="U1304" s="538"/>
      <c r="V1304" s="343"/>
      <c r="W1304" s="343"/>
      <c r="X1304" s="538"/>
      <c r="Y1304" s="343"/>
      <c r="Z1304" s="343"/>
      <c r="AA1304" s="538"/>
      <c r="AB1304" s="343"/>
      <c r="AC1304" s="343"/>
      <c r="AE1304" s="343"/>
      <c r="AF1304" s="538"/>
      <c r="AG1304" s="343"/>
      <c r="AH1304" s="343"/>
      <c r="AI1304" s="538"/>
      <c r="AJ1304" s="343"/>
      <c r="AK1304" s="343"/>
      <c r="AL1304" s="538"/>
      <c r="AM1304" s="343"/>
      <c r="AN1304" s="343"/>
      <c r="AO1304" s="538"/>
      <c r="AP1304" s="343"/>
      <c r="AQ1304" s="343"/>
      <c r="AS1304" s="343"/>
      <c r="AT1304" s="538"/>
      <c r="AU1304" s="343"/>
      <c r="AV1304" s="343"/>
      <c r="AW1304" s="538"/>
      <c r="AX1304" s="343"/>
      <c r="AY1304" s="343"/>
      <c r="AZ1304" s="538"/>
      <c r="BA1304" s="343"/>
      <c r="BB1304" s="343"/>
      <c r="BC1304" s="538"/>
      <c r="BD1304" s="343"/>
      <c r="BE1304" s="343"/>
      <c r="BG1304" s="644"/>
      <c r="BH1304" s="515"/>
      <c r="BI1304" s="515"/>
      <c r="BJ1304" s="644"/>
      <c r="BK1304" s="515"/>
      <c r="BL1304" s="515"/>
      <c r="BM1304" s="644"/>
      <c r="BN1304" s="515"/>
      <c r="BO1304" s="515"/>
      <c r="BP1304" s="644"/>
      <c r="BQ1304" s="515"/>
      <c r="BR1304" s="515"/>
    </row>
    <row r="1305" spans="4:70" x14ac:dyDescent="0.25">
      <c r="D1305" s="538"/>
      <c r="G1305" s="538"/>
      <c r="J1305" s="538"/>
      <c r="M1305" s="538"/>
      <c r="R1305" s="538"/>
      <c r="S1305" s="343"/>
      <c r="T1305" s="343"/>
      <c r="U1305" s="538"/>
      <c r="V1305" s="343"/>
      <c r="W1305" s="343"/>
      <c r="X1305" s="538"/>
      <c r="Y1305" s="343"/>
      <c r="Z1305" s="343"/>
      <c r="AA1305" s="538"/>
      <c r="AB1305" s="343"/>
      <c r="AC1305" s="343"/>
      <c r="AE1305" s="343"/>
      <c r="AF1305" s="538"/>
      <c r="AG1305" s="343"/>
      <c r="AH1305" s="343"/>
      <c r="AI1305" s="538"/>
      <c r="AJ1305" s="343"/>
      <c r="AK1305" s="343"/>
      <c r="AL1305" s="538"/>
      <c r="AM1305" s="343"/>
      <c r="AN1305" s="343"/>
      <c r="AO1305" s="538"/>
      <c r="AP1305" s="343"/>
      <c r="AQ1305" s="343"/>
      <c r="AS1305" s="343"/>
      <c r="AT1305" s="538"/>
      <c r="AU1305" s="343"/>
      <c r="AV1305" s="343"/>
      <c r="AW1305" s="538"/>
      <c r="AX1305" s="343"/>
      <c r="AY1305" s="343"/>
      <c r="AZ1305" s="538"/>
      <c r="BA1305" s="343"/>
      <c r="BB1305" s="343"/>
      <c r="BC1305" s="538"/>
      <c r="BD1305" s="343"/>
      <c r="BE1305" s="343"/>
      <c r="BG1305" s="644"/>
      <c r="BH1305" s="515"/>
      <c r="BI1305" s="515"/>
      <c r="BJ1305" s="644"/>
      <c r="BK1305" s="515"/>
      <c r="BL1305" s="515"/>
      <c r="BM1305" s="644"/>
      <c r="BN1305" s="515"/>
      <c r="BO1305" s="515"/>
      <c r="BP1305" s="644"/>
      <c r="BQ1305" s="515"/>
      <c r="BR1305" s="515"/>
    </row>
    <row r="1306" spans="4:70" x14ac:dyDescent="0.25">
      <c r="D1306" s="538"/>
      <c r="G1306" s="538"/>
      <c r="J1306" s="538"/>
      <c r="M1306" s="538"/>
      <c r="R1306" s="538"/>
      <c r="S1306" s="343"/>
      <c r="T1306" s="343"/>
      <c r="U1306" s="538"/>
      <c r="V1306" s="343"/>
      <c r="W1306" s="343"/>
      <c r="X1306" s="538"/>
      <c r="Y1306" s="343"/>
      <c r="Z1306" s="343"/>
      <c r="AA1306" s="538"/>
      <c r="AB1306" s="343"/>
      <c r="AC1306" s="343"/>
      <c r="AE1306" s="343"/>
      <c r="AF1306" s="538"/>
      <c r="AG1306" s="343"/>
      <c r="AH1306" s="343"/>
      <c r="AI1306" s="538"/>
      <c r="AJ1306" s="343"/>
      <c r="AK1306" s="343"/>
      <c r="AL1306" s="538"/>
      <c r="AM1306" s="343"/>
      <c r="AN1306" s="343"/>
      <c r="AO1306" s="538"/>
      <c r="AP1306" s="343"/>
      <c r="AQ1306" s="343"/>
      <c r="AS1306" s="343"/>
      <c r="AT1306" s="538"/>
      <c r="AU1306" s="343"/>
      <c r="AV1306" s="343"/>
      <c r="AW1306" s="538"/>
      <c r="AX1306" s="343"/>
      <c r="AY1306" s="343"/>
      <c r="AZ1306" s="538"/>
      <c r="BA1306" s="343"/>
      <c r="BB1306" s="343"/>
      <c r="BC1306" s="538"/>
      <c r="BD1306" s="343"/>
      <c r="BE1306" s="343"/>
      <c r="BG1306" s="644"/>
      <c r="BH1306" s="515"/>
      <c r="BI1306" s="515"/>
      <c r="BJ1306" s="644"/>
      <c r="BK1306" s="515"/>
      <c r="BL1306" s="515"/>
      <c r="BM1306" s="644"/>
      <c r="BN1306" s="515"/>
      <c r="BO1306" s="515"/>
      <c r="BP1306" s="644"/>
      <c r="BQ1306" s="515"/>
      <c r="BR1306" s="515"/>
    </row>
    <row r="1307" spans="4:70" x14ac:dyDescent="0.25">
      <c r="D1307" s="538"/>
      <c r="G1307" s="538"/>
      <c r="J1307" s="538"/>
      <c r="M1307" s="538"/>
      <c r="R1307" s="538"/>
      <c r="S1307" s="343"/>
      <c r="T1307" s="343"/>
      <c r="U1307" s="538"/>
      <c r="V1307" s="343"/>
      <c r="W1307" s="343"/>
      <c r="X1307" s="538"/>
      <c r="Y1307" s="343"/>
      <c r="Z1307" s="343"/>
      <c r="AA1307" s="538"/>
      <c r="AB1307" s="343"/>
      <c r="AC1307" s="343"/>
      <c r="AE1307" s="343"/>
      <c r="AF1307" s="538"/>
      <c r="AG1307" s="343"/>
      <c r="AH1307" s="343"/>
      <c r="AI1307" s="538"/>
      <c r="AJ1307" s="343"/>
      <c r="AK1307" s="343"/>
      <c r="AL1307" s="538"/>
      <c r="AM1307" s="343"/>
      <c r="AN1307" s="343"/>
      <c r="AO1307" s="538"/>
      <c r="AP1307" s="343"/>
      <c r="AQ1307" s="343"/>
      <c r="AS1307" s="343"/>
      <c r="AT1307" s="538"/>
      <c r="AU1307" s="343"/>
      <c r="AV1307" s="343"/>
      <c r="AW1307" s="538"/>
      <c r="AX1307" s="343"/>
      <c r="AY1307" s="343"/>
      <c r="AZ1307" s="538"/>
      <c r="BA1307" s="343"/>
      <c r="BB1307" s="343"/>
      <c r="BC1307" s="538"/>
      <c r="BD1307" s="343"/>
      <c r="BE1307" s="343"/>
      <c r="BG1307" s="644"/>
      <c r="BH1307" s="515"/>
      <c r="BI1307" s="515"/>
      <c r="BJ1307" s="644"/>
      <c r="BK1307" s="515"/>
      <c r="BL1307" s="515"/>
      <c r="BM1307" s="644"/>
      <c r="BN1307" s="515"/>
      <c r="BO1307" s="515"/>
      <c r="BP1307" s="644"/>
      <c r="BQ1307" s="515"/>
      <c r="BR1307" s="515"/>
    </row>
    <row r="1308" spans="4:70" x14ac:dyDescent="0.25">
      <c r="D1308" s="538"/>
      <c r="G1308" s="538"/>
      <c r="J1308" s="538"/>
      <c r="M1308" s="538"/>
      <c r="R1308" s="538"/>
      <c r="S1308" s="343"/>
      <c r="T1308" s="343"/>
      <c r="U1308" s="538"/>
      <c r="V1308" s="343"/>
      <c r="W1308" s="343"/>
      <c r="X1308" s="538"/>
      <c r="Y1308" s="343"/>
      <c r="Z1308" s="343"/>
      <c r="AA1308" s="538"/>
      <c r="AB1308" s="343"/>
      <c r="AC1308" s="343"/>
      <c r="AE1308" s="343"/>
      <c r="AF1308" s="538"/>
      <c r="AG1308" s="343"/>
      <c r="AH1308" s="343"/>
      <c r="AI1308" s="538"/>
      <c r="AJ1308" s="343"/>
      <c r="AK1308" s="343"/>
      <c r="AL1308" s="538"/>
      <c r="AM1308" s="343"/>
      <c r="AN1308" s="343"/>
      <c r="AO1308" s="538"/>
      <c r="AP1308" s="343"/>
      <c r="AQ1308" s="343"/>
      <c r="AS1308" s="343"/>
      <c r="AT1308" s="538"/>
      <c r="AU1308" s="343"/>
      <c r="AV1308" s="343"/>
      <c r="AW1308" s="538"/>
      <c r="AX1308" s="343"/>
      <c r="AY1308" s="343"/>
      <c r="AZ1308" s="538"/>
      <c r="BA1308" s="343"/>
      <c r="BB1308" s="343"/>
      <c r="BC1308" s="538"/>
      <c r="BD1308" s="343"/>
      <c r="BE1308" s="343"/>
      <c r="BG1308" s="644"/>
      <c r="BH1308" s="515"/>
      <c r="BI1308" s="515"/>
      <c r="BJ1308" s="644"/>
      <c r="BK1308" s="515"/>
      <c r="BL1308" s="515"/>
      <c r="BM1308" s="644"/>
      <c r="BN1308" s="515"/>
      <c r="BO1308" s="515"/>
      <c r="BP1308" s="644"/>
      <c r="BQ1308" s="515"/>
      <c r="BR1308" s="515"/>
    </row>
    <row r="1309" spans="4:70" x14ac:dyDescent="0.25">
      <c r="D1309" s="538"/>
      <c r="G1309" s="538"/>
      <c r="J1309" s="538"/>
      <c r="M1309" s="538"/>
      <c r="R1309" s="538"/>
      <c r="S1309" s="343"/>
      <c r="T1309" s="343"/>
      <c r="U1309" s="538"/>
      <c r="V1309" s="343"/>
      <c r="W1309" s="343"/>
      <c r="X1309" s="538"/>
      <c r="Y1309" s="343"/>
      <c r="Z1309" s="343"/>
      <c r="AA1309" s="538"/>
      <c r="AB1309" s="343"/>
      <c r="AC1309" s="343"/>
      <c r="AE1309" s="343"/>
      <c r="AF1309" s="538"/>
      <c r="AG1309" s="343"/>
      <c r="AH1309" s="343"/>
      <c r="AI1309" s="538"/>
      <c r="AJ1309" s="343"/>
      <c r="AK1309" s="343"/>
      <c r="AL1309" s="538"/>
      <c r="AM1309" s="343"/>
      <c r="AN1309" s="343"/>
      <c r="AO1309" s="538"/>
      <c r="AP1309" s="343"/>
      <c r="AQ1309" s="343"/>
      <c r="AS1309" s="343"/>
      <c r="AT1309" s="538"/>
      <c r="AU1309" s="343"/>
      <c r="AV1309" s="343"/>
      <c r="AW1309" s="538"/>
      <c r="AX1309" s="343"/>
      <c r="AY1309" s="343"/>
      <c r="AZ1309" s="538"/>
      <c r="BA1309" s="343"/>
      <c r="BB1309" s="343"/>
      <c r="BC1309" s="538"/>
      <c r="BD1309" s="343"/>
      <c r="BE1309" s="343"/>
      <c r="BG1309" s="644"/>
      <c r="BH1309" s="515"/>
      <c r="BI1309" s="515"/>
      <c r="BJ1309" s="644"/>
      <c r="BK1309" s="515"/>
      <c r="BL1309" s="515"/>
      <c r="BM1309" s="644"/>
      <c r="BN1309" s="515"/>
      <c r="BO1309" s="515"/>
      <c r="BP1309" s="644"/>
      <c r="BQ1309" s="515"/>
      <c r="BR1309" s="515"/>
    </row>
    <row r="1310" spans="4:70" x14ac:dyDescent="0.25">
      <c r="D1310" s="538"/>
      <c r="G1310" s="538"/>
      <c r="J1310" s="538"/>
      <c r="M1310" s="538"/>
      <c r="R1310" s="538"/>
      <c r="S1310" s="343"/>
      <c r="T1310" s="343"/>
      <c r="U1310" s="538"/>
      <c r="V1310" s="343"/>
      <c r="W1310" s="343"/>
      <c r="X1310" s="538"/>
      <c r="Y1310" s="343"/>
      <c r="Z1310" s="343"/>
      <c r="AA1310" s="538"/>
      <c r="AB1310" s="343"/>
      <c r="AC1310" s="343"/>
      <c r="AE1310" s="343"/>
      <c r="AF1310" s="538"/>
      <c r="AG1310" s="343"/>
      <c r="AH1310" s="343"/>
      <c r="AI1310" s="538"/>
      <c r="AJ1310" s="343"/>
      <c r="AK1310" s="343"/>
      <c r="AL1310" s="538"/>
      <c r="AM1310" s="343"/>
      <c r="AN1310" s="343"/>
      <c r="AO1310" s="538"/>
      <c r="AP1310" s="343"/>
      <c r="AQ1310" s="343"/>
      <c r="AS1310" s="343"/>
      <c r="AT1310" s="538"/>
      <c r="AU1310" s="343"/>
      <c r="AV1310" s="343"/>
      <c r="AW1310" s="538"/>
      <c r="AX1310" s="343"/>
      <c r="AY1310" s="343"/>
      <c r="AZ1310" s="538"/>
      <c r="BA1310" s="343"/>
      <c r="BB1310" s="343"/>
      <c r="BC1310" s="538"/>
      <c r="BD1310" s="343"/>
      <c r="BE1310" s="343"/>
      <c r="BG1310" s="644"/>
      <c r="BH1310" s="515"/>
      <c r="BI1310" s="515"/>
      <c r="BJ1310" s="644"/>
      <c r="BK1310" s="515"/>
      <c r="BL1310" s="515"/>
      <c r="BM1310" s="644"/>
      <c r="BN1310" s="515"/>
      <c r="BO1310" s="515"/>
      <c r="BP1310" s="644"/>
      <c r="BQ1310" s="515"/>
      <c r="BR1310" s="515"/>
    </row>
    <row r="1311" spans="4:70" x14ac:dyDescent="0.25">
      <c r="D1311" s="538"/>
      <c r="G1311" s="538"/>
      <c r="J1311" s="538"/>
      <c r="M1311" s="538"/>
      <c r="R1311" s="538"/>
      <c r="S1311" s="343"/>
      <c r="T1311" s="343"/>
      <c r="U1311" s="538"/>
      <c r="V1311" s="343"/>
      <c r="W1311" s="343"/>
      <c r="X1311" s="538"/>
      <c r="Y1311" s="343"/>
      <c r="Z1311" s="343"/>
      <c r="AA1311" s="538"/>
      <c r="AB1311" s="343"/>
      <c r="AC1311" s="343"/>
      <c r="AE1311" s="343"/>
      <c r="AF1311" s="538"/>
      <c r="AG1311" s="343"/>
      <c r="AH1311" s="343"/>
      <c r="AI1311" s="538"/>
      <c r="AJ1311" s="343"/>
      <c r="AK1311" s="343"/>
      <c r="AL1311" s="538"/>
      <c r="AM1311" s="343"/>
      <c r="AN1311" s="343"/>
      <c r="AO1311" s="538"/>
      <c r="AP1311" s="343"/>
      <c r="AQ1311" s="343"/>
      <c r="AS1311" s="343"/>
      <c r="AT1311" s="538"/>
      <c r="AU1311" s="343"/>
      <c r="AV1311" s="343"/>
      <c r="AW1311" s="538"/>
      <c r="AX1311" s="343"/>
      <c r="AY1311" s="343"/>
      <c r="AZ1311" s="538"/>
      <c r="BA1311" s="343"/>
      <c r="BB1311" s="343"/>
      <c r="BC1311" s="538"/>
      <c r="BD1311" s="343"/>
      <c r="BE1311" s="343"/>
      <c r="BG1311" s="644"/>
      <c r="BH1311" s="515"/>
      <c r="BI1311" s="515"/>
      <c r="BJ1311" s="644"/>
      <c r="BK1311" s="515"/>
      <c r="BL1311" s="515"/>
      <c r="BM1311" s="644"/>
      <c r="BN1311" s="515"/>
      <c r="BO1311" s="515"/>
      <c r="BP1311" s="644"/>
      <c r="BQ1311" s="515"/>
      <c r="BR1311" s="515"/>
    </row>
    <row r="1312" spans="4:70" x14ac:dyDescent="0.25">
      <c r="D1312" s="538"/>
      <c r="G1312" s="538"/>
      <c r="J1312" s="538"/>
      <c r="M1312" s="538"/>
      <c r="R1312" s="538"/>
      <c r="S1312" s="343"/>
      <c r="T1312" s="343"/>
      <c r="U1312" s="538"/>
      <c r="V1312" s="343"/>
      <c r="W1312" s="343"/>
      <c r="X1312" s="538"/>
      <c r="Y1312" s="343"/>
      <c r="Z1312" s="343"/>
      <c r="AA1312" s="538"/>
      <c r="AB1312" s="343"/>
      <c r="AC1312" s="343"/>
      <c r="AE1312" s="343"/>
      <c r="AF1312" s="538"/>
      <c r="AG1312" s="343"/>
      <c r="AH1312" s="343"/>
      <c r="AI1312" s="538"/>
      <c r="AJ1312" s="343"/>
      <c r="AK1312" s="343"/>
      <c r="AL1312" s="538"/>
      <c r="AM1312" s="343"/>
      <c r="AN1312" s="343"/>
      <c r="AO1312" s="538"/>
      <c r="AP1312" s="343"/>
      <c r="AQ1312" s="343"/>
      <c r="AS1312" s="343"/>
      <c r="AT1312" s="538"/>
      <c r="AU1312" s="343"/>
      <c r="AV1312" s="343"/>
      <c r="AW1312" s="538"/>
      <c r="AX1312" s="343"/>
      <c r="AY1312" s="343"/>
      <c r="AZ1312" s="538"/>
      <c r="BA1312" s="343"/>
      <c r="BB1312" s="343"/>
      <c r="BC1312" s="538"/>
      <c r="BD1312" s="343"/>
      <c r="BE1312" s="343"/>
      <c r="BG1312" s="644"/>
      <c r="BH1312" s="515"/>
      <c r="BI1312" s="515"/>
      <c r="BJ1312" s="644"/>
      <c r="BK1312" s="515"/>
      <c r="BL1312" s="515"/>
      <c r="BM1312" s="644"/>
      <c r="BN1312" s="515"/>
      <c r="BO1312" s="515"/>
      <c r="BP1312" s="644"/>
      <c r="BQ1312" s="515"/>
      <c r="BR1312" s="515"/>
    </row>
    <row r="1313" spans="4:70" x14ac:dyDescent="0.25">
      <c r="D1313" s="538"/>
      <c r="G1313" s="538"/>
      <c r="J1313" s="538"/>
      <c r="M1313" s="538"/>
      <c r="R1313" s="538"/>
      <c r="S1313" s="343"/>
      <c r="T1313" s="343"/>
      <c r="U1313" s="538"/>
      <c r="V1313" s="343"/>
      <c r="W1313" s="343"/>
      <c r="X1313" s="538"/>
      <c r="Y1313" s="343"/>
      <c r="Z1313" s="343"/>
      <c r="AA1313" s="538"/>
      <c r="AB1313" s="343"/>
      <c r="AC1313" s="343"/>
      <c r="AE1313" s="343"/>
      <c r="AF1313" s="538"/>
      <c r="AG1313" s="343"/>
      <c r="AH1313" s="343"/>
      <c r="AI1313" s="538"/>
      <c r="AJ1313" s="343"/>
      <c r="AK1313" s="343"/>
      <c r="AL1313" s="538"/>
      <c r="AM1313" s="343"/>
      <c r="AN1313" s="343"/>
      <c r="AO1313" s="538"/>
      <c r="AP1313" s="343"/>
      <c r="AQ1313" s="343"/>
      <c r="AS1313" s="343"/>
      <c r="AT1313" s="538"/>
      <c r="AU1313" s="343"/>
      <c r="AV1313" s="343"/>
      <c r="AW1313" s="538"/>
      <c r="AX1313" s="343"/>
      <c r="AY1313" s="343"/>
      <c r="AZ1313" s="538"/>
      <c r="BA1313" s="343"/>
      <c r="BB1313" s="343"/>
      <c r="BC1313" s="538"/>
      <c r="BD1313" s="343"/>
      <c r="BE1313" s="343"/>
      <c r="BG1313" s="644"/>
      <c r="BH1313" s="515"/>
      <c r="BI1313" s="515"/>
      <c r="BJ1313" s="644"/>
      <c r="BK1313" s="515"/>
      <c r="BL1313" s="515"/>
      <c r="BM1313" s="644"/>
      <c r="BN1313" s="515"/>
      <c r="BO1313" s="515"/>
      <c r="BP1313" s="644"/>
      <c r="BQ1313" s="515"/>
      <c r="BR1313" s="515"/>
    </row>
    <row r="1314" spans="4:70" x14ac:dyDescent="0.25">
      <c r="D1314" s="538"/>
      <c r="G1314" s="538"/>
      <c r="J1314" s="538"/>
      <c r="M1314" s="538"/>
      <c r="R1314" s="538"/>
      <c r="S1314" s="343"/>
      <c r="T1314" s="343"/>
      <c r="U1314" s="538"/>
      <c r="V1314" s="343"/>
      <c r="W1314" s="343"/>
      <c r="X1314" s="538"/>
      <c r="Y1314" s="343"/>
      <c r="Z1314" s="343"/>
      <c r="AA1314" s="538"/>
      <c r="AB1314" s="343"/>
      <c r="AC1314" s="343"/>
      <c r="AE1314" s="343"/>
      <c r="AF1314" s="538"/>
      <c r="AG1314" s="343"/>
      <c r="AH1314" s="343"/>
      <c r="AI1314" s="538"/>
      <c r="AJ1314" s="343"/>
      <c r="AK1314" s="343"/>
      <c r="AL1314" s="538"/>
      <c r="AM1314" s="343"/>
      <c r="AN1314" s="343"/>
      <c r="AO1314" s="538"/>
      <c r="AP1314" s="343"/>
      <c r="AQ1314" s="343"/>
      <c r="AS1314" s="343"/>
      <c r="AT1314" s="538"/>
      <c r="AU1314" s="343"/>
      <c r="AV1314" s="343"/>
      <c r="AW1314" s="538"/>
      <c r="AX1314" s="343"/>
      <c r="AY1314" s="343"/>
      <c r="AZ1314" s="538"/>
      <c r="BA1314" s="343"/>
      <c r="BB1314" s="343"/>
      <c r="BC1314" s="538"/>
      <c r="BD1314" s="343"/>
      <c r="BE1314" s="343"/>
      <c r="BG1314" s="644"/>
      <c r="BH1314" s="515"/>
      <c r="BI1314" s="515"/>
      <c r="BJ1314" s="644"/>
      <c r="BK1314" s="515"/>
      <c r="BL1314" s="515"/>
      <c r="BM1314" s="644"/>
      <c r="BN1314" s="515"/>
      <c r="BO1314" s="515"/>
      <c r="BP1314" s="644"/>
      <c r="BQ1314" s="515"/>
      <c r="BR1314" s="515"/>
    </row>
    <row r="1315" spans="4:70" x14ac:dyDescent="0.25">
      <c r="D1315" s="538"/>
      <c r="G1315" s="538"/>
      <c r="J1315" s="538"/>
      <c r="M1315" s="538"/>
      <c r="R1315" s="538"/>
      <c r="S1315" s="343"/>
      <c r="T1315" s="343"/>
      <c r="U1315" s="538"/>
      <c r="V1315" s="343"/>
      <c r="W1315" s="343"/>
      <c r="X1315" s="538"/>
      <c r="Y1315" s="343"/>
      <c r="Z1315" s="343"/>
      <c r="AA1315" s="538"/>
      <c r="AB1315" s="343"/>
      <c r="AC1315" s="343"/>
      <c r="AE1315" s="343"/>
      <c r="AF1315" s="538"/>
      <c r="AG1315" s="343"/>
      <c r="AH1315" s="343"/>
      <c r="AI1315" s="538"/>
      <c r="AJ1315" s="343"/>
      <c r="AK1315" s="343"/>
      <c r="AL1315" s="538"/>
      <c r="AM1315" s="343"/>
      <c r="AN1315" s="343"/>
      <c r="AO1315" s="538"/>
      <c r="AP1315" s="343"/>
      <c r="AQ1315" s="343"/>
      <c r="AS1315" s="343"/>
      <c r="AT1315" s="538"/>
      <c r="AU1315" s="343"/>
      <c r="AV1315" s="343"/>
      <c r="AW1315" s="538"/>
      <c r="AX1315" s="343"/>
      <c r="AY1315" s="343"/>
      <c r="AZ1315" s="538"/>
      <c r="BA1315" s="343"/>
      <c r="BB1315" s="343"/>
      <c r="BC1315" s="538"/>
      <c r="BD1315" s="343"/>
      <c r="BE1315" s="343"/>
      <c r="BG1315" s="644"/>
      <c r="BH1315" s="515"/>
      <c r="BI1315" s="515"/>
      <c r="BJ1315" s="644"/>
      <c r="BK1315" s="515"/>
      <c r="BL1315" s="515"/>
      <c r="BM1315" s="644"/>
      <c r="BN1315" s="515"/>
      <c r="BO1315" s="515"/>
      <c r="BP1315" s="644"/>
      <c r="BQ1315" s="515"/>
      <c r="BR1315" s="515"/>
    </row>
    <row r="1316" spans="4:70" x14ac:dyDescent="0.25">
      <c r="D1316" s="538"/>
      <c r="G1316" s="538"/>
      <c r="J1316" s="538"/>
      <c r="M1316" s="538"/>
      <c r="R1316" s="538"/>
      <c r="S1316" s="343"/>
      <c r="T1316" s="343"/>
      <c r="U1316" s="538"/>
      <c r="V1316" s="343"/>
      <c r="W1316" s="343"/>
      <c r="X1316" s="538"/>
      <c r="Y1316" s="343"/>
      <c r="Z1316" s="343"/>
      <c r="AA1316" s="538"/>
      <c r="AB1316" s="343"/>
      <c r="AC1316" s="343"/>
      <c r="AE1316" s="343"/>
      <c r="AF1316" s="538"/>
      <c r="AG1316" s="343"/>
      <c r="AH1316" s="343"/>
      <c r="AI1316" s="538"/>
      <c r="AJ1316" s="343"/>
      <c r="AK1316" s="343"/>
      <c r="AL1316" s="538"/>
      <c r="AM1316" s="343"/>
      <c r="AN1316" s="343"/>
      <c r="AO1316" s="538"/>
      <c r="AP1316" s="343"/>
      <c r="AQ1316" s="343"/>
      <c r="AS1316" s="343"/>
      <c r="AT1316" s="538"/>
      <c r="AU1316" s="343"/>
      <c r="AV1316" s="343"/>
      <c r="AW1316" s="538"/>
      <c r="AX1316" s="343"/>
      <c r="AY1316" s="343"/>
      <c r="AZ1316" s="538"/>
      <c r="BA1316" s="343"/>
      <c r="BB1316" s="343"/>
      <c r="BC1316" s="538"/>
      <c r="BD1316" s="343"/>
      <c r="BE1316" s="343"/>
      <c r="BG1316" s="644"/>
      <c r="BH1316" s="515"/>
      <c r="BI1316" s="515"/>
      <c r="BJ1316" s="644"/>
      <c r="BK1316" s="515"/>
      <c r="BL1316" s="515"/>
      <c r="BM1316" s="644"/>
      <c r="BN1316" s="515"/>
      <c r="BO1316" s="515"/>
      <c r="BP1316" s="644"/>
      <c r="BQ1316" s="515"/>
      <c r="BR1316" s="515"/>
    </row>
    <row r="1317" spans="4:70" x14ac:dyDescent="0.25">
      <c r="D1317" s="538"/>
      <c r="G1317" s="538"/>
      <c r="J1317" s="538"/>
      <c r="M1317" s="538"/>
      <c r="R1317" s="538"/>
      <c r="S1317" s="343"/>
      <c r="T1317" s="343"/>
      <c r="U1317" s="538"/>
      <c r="V1317" s="343"/>
      <c r="W1317" s="343"/>
      <c r="X1317" s="538"/>
      <c r="Y1317" s="343"/>
      <c r="Z1317" s="343"/>
      <c r="AA1317" s="538"/>
      <c r="AB1317" s="343"/>
      <c r="AC1317" s="343"/>
      <c r="AE1317" s="343"/>
      <c r="AF1317" s="538"/>
      <c r="AG1317" s="343"/>
      <c r="AH1317" s="343"/>
      <c r="AI1317" s="538"/>
      <c r="AJ1317" s="343"/>
      <c r="AK1317" s="343"/>
      <c r="AL1317" s="538"/>
      <c r="AM1317" s="343"/>
      <c r="AN1317" s="343"/>
      <c r="AO1317" s="538"/>
      <c r="AP1317" s="343"/>
      <c r="AQ1317" s="343"/>
      <c r="AS1317" s="343"/>
      <c r="AT1317" s="538"/>
      <c r="AU1317" s="343"/>
      <c r="AV1317" s="343"/>
      <c r="AW1317" s="538"/>
      <c r="AX1317" s="343"/>
      <c r="AY1317" s="343"/>
      <c r="AZ1317" s="538"/>
      <c r="BA1317" s="343"/>
      <c r="BB1317" s="343"/>
      <c r="BC1317" s="538"/>
      <c r="BD1317" s="343"/>
      <c r="BE1317" s="343"/>
      <c r="BG1317" s="644"/>
      <c r="BH1317" s="515"/>
      <c r="BI1317" s="515"/>
      <c r="BJ1317" s="644"/>
      <c r="BK1317" s="515"/>
      <c r="BL1317" s="515"/>
      <c r="BM1317" s="644"/>
      <c r="BN1317" s="515"/>
      <c r="BO1317" s="515"/>
      <c r="BP1317" s="644"/>
      <c r="BQ1317" s="515"/>
      <c r="BR1317" s="515"/>
    </row>
    <row r="1318" spans="4:70" x14ac:dyDescent="0.25">
      <c r="D1318" s="538"/>
      <c r="G1318" s="538"/>
      <c r="J1318" s="538"/>
      <c r="M1318" s="538"/>
      <c r="R1318" s="538"/>
      <c r="S1318" s="343"/>
      <c r="T1318" s="343"/>
      <c r="U1318" s="538"/>
      <c r="V1318" s="343"/>
      <c r="W1318" s="343"/>
      <c r="X1318" s="538"/>
      <c r="Y1318" s="343"/>
      <c r="Z1318" s="343"/>
      <c r="AA1318" s="538"/>
      <c r="AB1318" s="343"/>
      <c r="AC1318" s="343"/>
      <c r="AE1318" s="343"/>
      <c r="AF1318" s="538"/>
      <c r="AG1318" s="343"/>
      <c r="AH1318" s="343"/>
      <c r="AI1318" s="538"/>
      <c r="AJ1318" s="343"/>
      <c r="AK1318" s="343"/>
      <c r="AL1318" s="538"/>
      <c r="AM1318" s="343"/>
      <c r="AN1318" s="343"/>
      <c r="AO1318" s="538"/>
      <c r="AP1318" s="343"/>
      <c r="AQ1318" s="343"/>
      <c r="AS1318" s="343"/>
      <c r="AT1318" s="538"/>
      <c r="AU1318" s="343"/>
      <c r="AV1318" s="343"/>
      <c r="AW1318" s="538"/>
      <c r="AX1318" s="343"/>
      <c r="AY1318" s="343"/>
      <c r="AZ1318" s="538"/>
      <c r="BA1318" s="343"/>
      <c r="BB1318" s="343"/>
      <c r="BC1318" s="538"/>
      <c r="BD1318" s="343"/>
      <c r="BE1318" s="343"/>
      <c r="BG1318" s="644"/>
      <c r="BH1318" s="515"/>
      <c r="BI1318" s="515"/>
      <c r="BJ1318" s="644"/>
      <c r="BK1318" s="515"/>
      <c r="BL1318" s="515"/>
      <c r="BM1318" s="644"/>
      <c r="BN1318" s="515"/>
      <c r="BO1318" s="515"/>
      <c r="BP1318" s="644"/>
      <c r="BQ1318" s="515"/>
      <c r="BR1318" s="515"/>
    </row>
    <row r="1319" spans="4:70" x14ac:dyDescent="0.25">
      <c r="D1319" s="538"/>
      <c r="G1319" s="538"/>
      <c r="J1319" s="538"/>
      <c r="M1319" s="538"/>
      <c r="R1319" s="538"/>
      <c r="S1319" s="343"/>
      <c r="T1319" s="343"/>
      <c r="U1319" s="538"/>
      <c r="V1319" s="343"/>
      <c r="W1319" s="343"/>
      <c r="X1319" s="538"/>
      <c r="Y1319" s="343"/>
      <c r="Z1319" s="343"/>
      <c r="AA1319" s="538"/>
      <c r="AB1319" s="343"/>
      <c r="AC1319" s="343"/>
      <c r="AE1319" s="343"/>
      <c r="AF1319" s="538"/>
      <c r="AG1319" s="343"/>
      <c r="AH1319" s="343"/>
      <c r="AI1319" s="538"/>
      <c r="AJ1319" s="343"/>
      <c r="AK1319" s="343"/>
      <c r="AL1319" s="538"/>
      <c r="AM1319" s="343"/>
      <c r="AN1319" s="343"/>
      <c r="AO1319" s="538"/>
      <c r="AP1319" s="343"/>
      <c r="AQ1319" s="343"/>
      <c r="AS1319" s="343"/>
      <c r="AT1319" s="538"/>
      <c r="AU1319" s="343"/>
      <c r="AV1319" s="343"/>
      <c r="AW1319" s="538"/>
      <c r="AX1319" s="343"/>
      <c r="AY1319" s="343"/>
      <c r="AZ1319" s="538"/>
      <c r="BA1319" s="343"/>
      <c r="BB1319" s="343"/>
      <c r="BC1319" s="538"/>
      <c r="BD1319" s="343"/>
      <c r="BE1319" s="343"/>
      <c r="BG1319" s="644"/>
      <c r="BH1319" s="515"/>
      <c r="BI1319" s="515"/>
      <c r="BJ1319" s="644"/>
      <c r="BK1319" s="515"/>
      <c r="BL1319" s="515"/>
      <c r="BM1319" s="644"/>
      <c r="BN1319" s="515"/>
      <c r="BO1319" s="515"/>
      <c r="BP1319" s="644"/>
      <c r="BQ1319" s="515"/>
      <c r="BR1319" s="515"/>
    </row>
    <row r="1320" spans="4:70" x14ac:dyDescent="0.25">
      <c r="D1320" s="538"/>
      <c r="G1320" s="538"/>
      <c r="J1320" s="538"/>
      <c r="M1320" s="538"/>
      <c r="R1320" s="538"/>
      <c r="S1320" s="343"/>
      <c r="T1320" s="343"/>
      <c r="U1320" s="538"/>
      <c r="V1320" s="343"/>
      <c r="W1320" s="343"/>
      <c r="X1320" s="538"/>
      <c r="Y1320" s="343"/>
      <c r="Z1320" s="343"/>
      <c r="AA1320" s="538"/>
      <c r="AB1320" s="343"/>
      <c r="AC1320" s="343"/>
      <c r="AE1320" s="343"/>
      <c r="AF1320" s="538"/>
      <c r="AG1320" s="343"/>
      <c r="AH1320" s="343"/>
      <c r="AI1320" s="538"/>
      <c r="AJ1320" s="343"/>
      <c r="AK1320" s="343"/>
      <c r="AL1320" s="538"/>
      <c r="AM1320" s="343"/>
      <c r="AN1320" s="343"/>
      <c r="AO1320" s="538"/>
      <c r="AP1320" s="343"/>
      <c r="AQ1320" s="343"/>
      <c r="AS1320" s="343"/>
      <c r="AT1320" s="538"/>
      <c r="AU1320" s="343"/>
      <c r="AV1320" s="343"/>
      <c r="AW1320" s="538"/>
      <c r="AX1320" s="343"/>
      <c r="AY1320" s="343"/>
      <c r="AZ1320" s="538"/>
      <c r="BA1320" s="343"/>
      <c r="BB1320" s="343"/>
      <c r="BC1320" s="538"/>
      <c r="BD1320" s="343"/>
      <c r="BE1320" s="343"/>
      <c r="BG1320" s="644"/>
      <c r="BH1320" s="515"/>
      <c r="BI1320" s="515"/>
      <c r="BJ1320" s="644"/>
      <c r="BK1320" s="515"/>
      <c r="BL1320" s="515"/>
      <c r="BM1320" s="644"/>
      <c r="BN1320" s="515"/>
      <c r="BO1320" s="515"/>
      <c r="BP1320" s="644"/>
      <c r="BQ1320" s="515"/>
      <c r="BR1320" s="515"/>
    </row>
    <row r="1321" spans="4:70" x14ac:dyDescent="0.25">
      <c r="D1321" s="538"/>
      <c r="G1321" s="538"/>
      <c r="J1321" s="538"/>
      <c r="M1321" s="538"/>
      <c r="R1321" s="538"/>
      <c r="S1321" s="343"/>
      <c r="T1321" s="343"/>
      <c r="U1321" s="538"/>
      <c r="V1321" s="343"/>
      <c r="W1321" s="343"/>
      <c r="X1321" s="538"/>
      <c r="Y1321" s="343"/>
      <c r="Z1321" s="343"/>
      <c r="AA1321" s="538"/>
      <c r="AB1321" s="343"/>
      <c r="AC1321" s="343"/>
      <c r="AE1321" s="343"/>
      <c r="AF1321" s="538"/>
      <c r="AG1321" s="343"/>
      <c r="AH1321" s="343"/>
      <c r="AI1321" s="538"/>
      <c r="AJ1321" s="343"/>
      <c r="AK1321" s="343"/>
      <c r="AL1321" s="538"/>
      <c r="AM1321" s="343"/>
      <c r="AN1321" s="343"/>
      <c r="AO1321" s="538"/>
      <c r="AP1321" s="343"/>
      <c r="AQ1321" s="343"/>
      <c r="AS1321" s="343"/>
      <c r="AT1321" s="538"/>
      <c r="AU1321" s="343"/>
      <c r="AV1321" s="343"/>
      <c r="AW1321" s="538"/>
      <c r="AX1321" s="343"/>
      <c r="AY1321" s="343"/>
      <c r="AZ1321" s="538"/>
      <c r="BA1321" s="343"/>
      <c r="BB1321" s="343"/>
      <c r="BC1321" s="538"/>
      <c r="BD1321" s="343"/>
      <c r="BE1321" s="343"/>
      <c r="BG1321" s="644"/>
      <c r="BH1321" s="515"/>
      <c r="BI1321" s="515"/>
      <c r="BJ1321" s="644"/>
      <c r="BK1321" s="515"/>
      <c r="BL1321" s="515"/>
      <c r="BM1321" s="644"/>
      <c r="BN1321" s="515"/>
      <c r="BO1321" s="515"/>
      <c r="BP1321" s="644"/>
      <c r="BQ1321" s="515"/>
      <c r="BR1321" s="515"/>
    </row>
    <row r="1322" spans="4:70" x14ac:dyDescent="0.25">
      <c r="D1322" s="538"/>
      <c r="G1322" s="538"/>
      <c r="J1322" s="538"/>
      <c r="M1322" s="538"/>
      <c r="R1322" s="538"/>
      <c r="S1322" s="343"/>
      <c r="T1322" s="343"/>
      <c r="U1322" s="538"/>
      <c r="V1322" s="343"/>
      <c r="W1322" s="343"/>
      <c r="X1322" s="538"/>
      <c r="Y1322" s="343"/>
      <c r="Z1322" s="343"/>
      <c r="AA1322" s="538"/>
      <c r="AB1322" s="343"/>
      <c r="AC1322" s="343"/>
      <c r="AE1322" s="343"/>
      <c r="AF1322" s="538"/>
      <c r="AG1322" s="343"/>
      <c r="AH1322" s="343"/>
      <c r="AI1322" s="538"/>
      <c r="AJ1322" s="343"/>
      <c r="AK1322" s="343"/>
      <c r="AL1322" s="538"/>
      <c r="AM1322" s="343"/>
      <c r="AN1322" s="343"/>
      <c r="AO1322" s="538"/>
      <c r="AP1322" s="343"/>
      <c r="AQ1322" s="343"/>
      <c r="AS1322" s="343"/>
      <c r="AT1322" s="538"/>
      <c r="AU1322" s="343"/>
      <c r="AV1322" s="343"/>
      <c r="AW1322" s="538"/>
      <c r="AX1322" s="343"/>
      <c r="AY1322" s="343"/>
      <c r="AZ1322" s="538"/>
      <c r="BA1322" s="343"/>
      <c r="BB1322" s="343"/>
      <c r="BC1322" s="538"/>
      <c r="BD1322" s="343"/>
      <c r="BE1322" s="343"/>
      <c r="BG1322" s="644"/>
      <c r="BH1322" s="515"/>
      <c r="BI1322" s="515"/>
      <c r="BJ1322" s="644"/>
      <c r="BK1322" s="515"/>
      <c r="BL1322" s="515"/>
      <c r="BM1322" s="644"/>
      <c r="BN1322" s="515"/>
      <c r="BO1322" s="515"/>
      <c r="BP1322" s="644"/>
      <c r="BQ1322" s="515"/>
      <c r="BR1322" s="515"/>
    </row>
    <row r="1323" spans="4:70" x14ac:dyDescent="0.25">
      <c r="D1323" s="538"/>
      <c r="G1323" s="538"/>
      <c r="J1323" s="538"/>
      <c r="M1323" s="538"/>
      <c r="R1323" s="538"/>
      <c r="S1323" s="343"/>
      <c r="T1323" s="343"/>
      <c r="U1323" s="538"/>
      <c r="V1323" s="343"/>
      <c r="W1323" s="343"/>
      <c r="X1323" s="538"/>
      <c r="Y1323" s="343"/>
      <c r="Z1323" s="343"/>
      <c r="AA1323" s="538"/>
      <c r="AB1323" s="343"/>
      <c r="AC1323" s="343"/>
      <c r="AE1323" s="343"/>
      <c r="AF1323" s="538"/>
      <c r="AG1323" s="343"/>
      <c r="AH1323" s="343"/>
      <c r="AI1323" s="538"/>
      <c r="AJ1323" s="343"/>
      <c r="AK1323" s="343"/>
      <c r="AL1323" s="538"/>
      <c r="AM1323" s="343"/>
      <c r="AN1323" s="343"/>
      <c r="AO1323" s="538"/>
      <c r="AP1323" s="343"/>
      <c r="AQ1323" s="343"/>
      <c r="AS1323" s="343"/>
      <c r="AT1323" s="538"/>
      <c r="AU1323" s="343"/>
      <c r="AV1323" s="343"/>
      <c r="AW1323" s="538"/>
      <c r="AX1323" s="343"/>
      <c r="AY1323" s="343"/>
      <c r="AZ1323" s="538"/>
      <c r="BA1323" s="343"/>
      <c r="BB1323" s="343"/>
      <c r="BC1323" s="538"/>
      <c r="BD1323" s="343"/>
      <c r="BE1323" s="343"/>
      <c r="BG1323" s="644"/>
      <c r="BH1323" s="515"/>
      <c r="BI1323" s="515"/>
      <c r="BJ1323" s="644"/>
      <c r="BK1323" s="515"/>
      <c r="BL1323" s="515"/>
      <c r="BM1323" s="644"/>
      <c r="BN1323" s="515"/>
      <c r="BO1323" s="515"/>
      <c r="BP1323" s="644"/>
      <c r="BQ1323" s="515"/>
      <c r="BR1323" s="515"/>
    </row>
    <row r="1324" spans="4:70" x14ac:dyDescent="0.25">
      <c r="D1324" s="538"/>
      <c r="G1324" s="538"/>
      <c r="J1324" s="538"/>
      <c r="M1324" s="538"/>
      <c r="R1324" s="538"/>
      <c r="S1324" s="343"/>
      <c r="T1324" s="343"/>
      <c r="U1324" s="538"/>
      <c r="V1324" s="343"/>
      <c r="W1324" s="343"/>
      <c r="X1324" s="538"/>
      <c r="Y1324" s="343"/>
      <c r="Z1324" s="343"/>
      <c r="AA1324" s="538"/>
      <c r="AB1324" s="343"/>
      <c r="AC1324" s="343"/>
      <c r="AE1324" s="343"/>
      <c r="AF1324" s="538"/>
      <c r="AG1324" s="343"/>
      <c r="AH1324" s="343"/>
      <c r="AI1324" s="538"/>
      <c r="AJ1324" s="343"/>
      <c r="AK1324" s="343"/>
      <c r="AL1324" s="538"/>
      <c r="AM1324" s="343"/>
      <c r="AN1324" s="343"/>
      <c r="AO1324" s="538"/>
      <c r="AP1324" s="343"/>
      <c r="AQ1324" s="343"/>
      <c r="AS1324" s="343"/>
      <c r="AT1324" s="538"/>
      <c r="AU1324" s="343"/>
      <c r="AV1324" s="343"/>
      <c r="AW1324" s="538"/>
      <c r="AX1324" s="343"/>
      <c r="AY1324" s="343"/>
      <c r="AZ1324" s="538"/>
      <c r="BA1324" s="343"/>
      <c r="BB1324" s="343"/>
      <c r="BC1324" s="538"/>
      <c r="BD1324" s="343"/>
      <c r="BE1324" s="343"/>
      <c r="BG1324" s="644"/>
      <c r="BH1324" s="515"/>
      <c r="BI1324" s="515"/>
      <c r="BJ1324" s="644"/>
      <c r="BK1324" s="515"/>
      <c r="BL1324" s="515"/>
      <c r="BM1324" s="644"/>
      <c r="BN1324" s="515"/>
      <c r="BO1324" s="515"/>
      <c r="BP1324" s="644"/>
      <c r="BQ1324" s="515"/>
      <c r="BR1324" s="515"/>
    </row>
    <row r="1325" spans="4:70" x14ac:dyDescent="0.25">
      <c r="D1325" s="538"/>
      <c r="G1325" s="538"/>
      <c r="J1325" s="538"/>
      <c r="M1325" s="538"/>
      <c r="R1325" s="538"/>
      <c r="S1325" s="343"/>
      <c r="T1325" s="343"/>
      <c r="U1325" s="538"/>
      <c r="V1325" s="343"/>
      <c r="W1325" s="343"/>
      <c r="X1325" s="538"/>
      <c r="Y1325" s="343"/>
      <c r="Z1325" s="343"/>
      <c r="AA1325" s="538"/>
      <c r="AB1325" s="343"/>
      <c r="AC1325" s="343"/>
      <c r="AE1325" s="343"/>
      <c r="AF1325" s="538"/>
      <c r="AG1325" s="343"/>
      <c r="AH1325" s="343"/>
      <c r="AI1325" s="538"/>
      <c r="AJ1325" s="343"/>
      <c r="AK1325" s="343"/>
      <c r="AL1325" s="538"/>
      <c r="AM1325" s="343"/>
      <c r="AN1325" s="343"/>
      <c r="AO1325" s="538"/>
      <c r="AP1325" s="343"/>
      <c r="AQ1325" s="343"/>
      <c r="AS1325" s="343"/>
      <c r="AT1325" s="538"/>
      <c r="AU1325" s="343"/>
      <c r="AV1325" s="343"/>
      <c r="AW1325" s="538"/>
      <c r="AX1325" s="343"/>
      <c r="AY1325" s="343"/>
      <c r="AZ1325" s="538"/>
      <c r="BA1325" s="343"/>
      <c r="BB1325" s="343"/>
      <c r="BC1325" s="538"/>
      <c r="BD1325" s="343"/>
      <c r="BE1325" s="343"/>
      <c r="BG1325" s="644"/>
      <c r="BH1325" s="515"/>
      <c r="BI1325" s="515"/>
      <c r="BJ1325" s="644"/>
      <c r="BK1325" s="515"/>
      <c r="BL1325" s="515"/>
      <c r="BM1325" s="644"/>
      <c r="BN1325" s="515"/>
      <c r="BO1325" s="515"/>
      <c r="BP1325" s="644"/>
      <c r="BQ1325" s="515"/>
      <c r="BR1325" s="515"/>
    </row>
    <row r="1326" spans="4:70" x14ac:dyDescent="0.25">
      <c r="D1326" s="538"/>
      <c r="G1326" s="538"/>
      <c r="J1326" s="538"/>
      <c r="M1326" s="538"/>
      <c r="R1326" s="538"/>
      <c r="S1326" s="343"/>
      <c r="T1326" s="343"/>
      <c r="U1326" s="538"/>
      <c r="V1326" s="343"/>
      <c r="W1326" s="343"/>
      <c r="X1326" s="538"/>
      <c r="Y1326" s="343"/>
      <c r="Z1326" s="343"/>
      <c r="AA1326" s="538"/>
      <c r="AB1326" s="343"/>
      <c r="AC1326" s="343"/>
      <c r="AE1326" s="343"/>
      <c r="AF1326" s="538"/>
      <c r="AG1326" s="343"/>
      <c r="AH1326" s="343"/>
      <c r="AI1326" s="538"/>
      <c r="AJ1326" s="343"/>
      <c r="AK1326" s="343"/>
      <c r="AL1326" s="538"/>
      <c r="AM1326" s="343"/>
      <c r="AN1326" s="343"/>
      <c r="AO1326" s="538"/>
      <c r="AP1326" s="343"/>
      <c r="AQ1326" s="343"/>
      <c r="AS1326" s="343"/>
      <c r="AT1326" s="538"/>
      <c r="AU1326" s="343"/>
      <c r="AV1326" s="343"/>
      <c r="AW1326" s="538"/>
      <c r="AX1326" s="343"/>
      <c r="AY1326" s="343"/>
      <c r="AZ1326" s="538"/>
      <c r="BA1326" s="343"/>
      <c r="BB1326" s="343"/>
      <c r="BC1326" s="538"/>
      <c r="BD1326" s="343"/>
      <c r="BE1326" s="343"/>
      <c r="BG1326" s="644"/>
      <c r="BH1326" s="515"/>
      <c r="BI1326" s="515"/>
      <c r="BJ1326" s="644"/>
      <c r="BK1326" s="515"/>
      <c r="BL1326" s="515"/>
      <c r="BM1326" s="644"/>
      <c r="BN1326" s="515"/>
      <c r="BO1326" s="515"/>
      <c r="BP1326" s="644"/>
      <c r="BQ1326" s="515"/>
      <c r="BR1326" s="515"/>
    </row>
    <row r="1327" spans="4:70" x14ac:dyDescent="0.25">
      <c r="D1327" s="538"/>
      <c r="G1327" s="538"/>
      <c r="J1327" s="538"/>
      <c r="M1327" s="538"/>
      <c r="R1327" s="538"/>
      <c r="S1327" s="343"/>
      <c r="T1327" s="343"/>
      <c r="U1327" s="538"/>
      <c r="V1327" s="343"/>
      <c r="W1327" s="343"/>
      <c r="X1327" s="538"/>
      <c r="Y1327" s="343"/>
      <c r="Z1327" s="343"/>
      <c r="AA1327" s="538"/>
      <c r="AB1327" s="343"/>
      <c r="AC1327" s="343"/>
      <c r="AE1327" s="343"/>
      <c r="AF1327" s="538"/>
      <c r="AG1327" s="343"/>
      <c r="AH1327" s="343"/>
      <c r="AI1327" s="538"/>
      <c r="AJ1327" s="343"/>
      <c r="AK1327" s="343"/>
      <c r="AL1327" s="538"/>
      <c r="AM1327" s="343"/>
      <c r="AN1327" s="343"/>
      <c r="AO1327" s="538"/>
      <c r="AP1327" s="343"/>
      <c r="AQ1327" s="343"/>
      <c r="AS1327" s="343"/>
      <c r="AT1327" s="538"/>
      <c r="AU1327" s="343"/>
      <c r="AV1327" s="343"/>
      <c r="AW1327" s="538"/>
      <c r="AX1327" s="343"/>
      <c r="AY1327" s="343"/>
      <c r="AZ1327" s="538"/>
      <c r="BA1327" s="343"/>
      <c r="BB1327" s="343"/>
      <c r="BC1327" s="538"/>
      <c r="BD1327" s="343"/>
      <c r="BE1327" s="343"/>
      <c r="BG1327" s="644"/>
      <c r="BH1327" s="515"/>
      <c r="BI1327" s="515"/>
      <c r="BJ1327" s="644"/>
      <c r="BK1327" s="515"/>
      <c r="BL1327" s="515"/>
      <c r="BM1327" s="644"/>
      <c r="BN1327" s="515"/>
      <c r="BO1327" s="515"/>
      <c r="BP1327" s="644"/>
      <c r="BQ1327" s="515"/>
      <c r="BR1327" s="515"/>
    </row>
    <row r="1328" spans="4:70" x14ac:dyDescent="0.25">
      <c r="D1328" s="538"/>
      <c r="G1328" s="538"/>
      <c r="J1328" s="538"/>
      <c r="M1328" s="538"/>
      <c r="R1328" s="538"/>
      <c r="S1328" s="343"/>
      <c r="T1328" s="343"/>
      <c r="U1328" s="538"/>
      <c r="V1328" s="343"/>
      <c r="W1328" s="343"/>
      <c r="X1328" s="538"/>
      <c r="Y1328" s="343"/>
      <c r="Z1328" s="343"/>
      <c r="AA1328" s="538"/>
      <c r="AB1328" s="343"/>
      <c r="AC1328" s="343"/>
      <c r="AE1328" s="343"/>
      <c r="AF1328" s="538"/>
      <c r="AG1328" s="343"/>
      <c r="AH1328" s="343"/>
      <c r="AI1328" s="538"/>
      <c r="AJ1328" s="343"/>
      <c r="AK1328" s="343"/>
      <c r="AL1328" s="538"/>
      <c r="AM1328" s="343"/>
      <c r="AN1328" s="343"/>
      <c r="AO1328" s="538"/>
      <c r="AP1328" s="343"/>
      <c r="AQ1328" s="343"/>
      <c r="AS1328" s="343"/>
      <c r="AT1328" s="538"/>
      <c r="AU1328" s="343"/>
      <c r="AV1328" s="343"/>
      <c r="AW1328" s="538"/>
      <c r="AX1328" s="343"/>
      <c r="AY1328" s="343"/>
      <c r="AZ1328" s="538"/>
      <c r="BA1328" s="343"/>
      <c r="BB1328" s="343"/>
      <c r="BC1328" s="538"/>
      <c r="BD1328" s="343"/>
      <c r="BE1328" s="343"/>
      <c r="BG1328" s="644"/>
      <c r="BH1328" s="515"/>
      <c r="BI1328" s="515"/>
      <c r="BJ1328" s="644"/>
      <c r="BK1328" s="515"/>
      <c r="BL1328" s="515"/>
      <c r="BM1328" s="644"/>
      <c r="BN1328" s="515"/>
      <c r="BO1328" s="515"/>
      <c r="BP1328" s="644"/>
      <c r="BQ1328" s="515"/>
      <c r="BR1328" s="515"/>
    </row>
    <row r="1329" spans="4:70" x14ac:dyDescent="0.25">
      <c r="D1329" s="538"/>
      <c r="G1329" s="538"/>
      <c r="J1329" s="538"/>
      <c r="M1329" s="538"/>
      <c r="R1329" s="538"/>
      <c r="S1329" s="343"/>
      <c r="T1329" s="343"/>
      <c r="U1329" s="538"/>
      <c r="V1329" s="343"/>
      <c r="W1329" s="343"/>
      <c r="X1329" s="538"/>
      <c r="Y1329" s="343"/>
      <c r="Z1329" s="343"/>
      <c r="AA1329" s="538"/>
      <c r="AB1329" s="343"/>
      <c r="AC1329" s="343"/>
      <c r="AE1329" s="343"/>
      <c r="AF1329" s="538"/>
      <c r="AG1329" s="343"/>
      <c r="AH1329" s="343"/>
      <c r="AI1329" s="538"/>
      <c r="AJ1329" s="343"/>
      <c r="AK1329" s="343"/>
      <c r="AL1329" s="538"/>
      <c r="AM1329" s="343"/>
      <c r="AN1329" s="343"/>
      <c r="AO1329" s="538"/>
      <c r="AP1329" s="343"/>
      <c r="AQ1329" s="343"/>
      <c r="AS1329" s="343"/>
      <c r="AT1329" s="538"/>
      <c r="AU1329" s="343"/>
      <c r="AV1329" s="343"/>
      <c r="AW1329" s="538"/>
      <c r="AX1329" s="343"/>
      <c r="AY1329" s="343"/>
      <c r="AZ1329" s="538"/>
      <c r="BA1329" s="343"/>
      <c r="BB1329" s="343"/>
      <c r="BC1329" s="538"/>
      <c r="BD1329" s="343"/>
      <c r="BE1329" s="343"/>
      <c r="BG1329" s="644"/>
      <c r="BH1329" s="515"/>
      <c r="BI1329" s="515"/>
      <c r="BJ1329" s="644"/>
      <c r="BK1329" s="515"/>
      <c r="BL1329" s="515"/>
      <c r="BM1329" s="644"/>
      <c r="BN1329" s="515"/>
      <c r="BO1329" s="515"/>
      <c r="BP1329" s="644"/>
      <c r="BQ1329" s="515"/>
      <c r="BR1329" s="515"/>
    </row>
    <row r="1330" spans="4:70" x14ac:dyDescent="0.25">
      <c r="D1330" s="538"/>
      <c r="G1330" s="538"/>
      <c r="J1330" s="538"/>
      <c r="M1330" s="538"/>
      <c r="R1330" s="538"/>
      <c r="S1330" s="343"/>
      <c r="T1330" s="343"/>
      <c r="U1330" s="538"/>
      <c r="V1330" s="343"/>
      <c r="W1330" s="343"/>
      <c r="X1330" s="538"/>
      <c r="Y1330" s="343"/>
      <c r="Z1330" s="343"/>
      <c r="AA1330" s="538"/>
      <c r="AB1330" s="343"/>
      <c r="AC1330" s="343"/>
      <c r="AE1330" s="343"/>
      <c r="AF1330" s="538"/>
      <c r="AG1330" s="343"/>
      <c r="AH1330" s="343"/>
      <c r="AI1330" s="538"/>
      <c r="AJ1330" s="343"/>
      <c r="AK1330" s="343"/>
      <c r="AL1330" s="538"/>
      <c r="AM1330" s="343"/>
      <c r="AN1330" s="343"/>
      <c r="AO1330" s="538"/>
      <c r="AP1330" s="343"/>
      <c r="AQ1330" s="343"/>
      <c r="AS1330" s="343"/>
      <c r="AT1330" s="538"/>
      <c r="AU1330" s="343"/>
      <c r="AV1330" s="343"/>
      <c r="AW1330" s="538"/>
      <c r="AX1330" s="343"/>
      <c r="AY1330" s="343"/>
      <c r="AZ1330" s="538"/>
      <c r="BA1330" s="343"/>
      <c r="BB1330" s="343"/>
      <c r="BC1330" s="538"/>
      <c r="BD1330" s="343"/>
      <c r="BE1330" s="343"/>
      <c r="BG1330" s="644"/>
      <c r="BH1330" s="515"/>
      <c r="BI1330" s="515"/>
      <c r="BJ1330" s="644"/>
      <c r="BK1330" s="515"/>
      <c r="BL1330" s="515"/>
      <c r="BM1330" s="644"/>
      <c r="BN1330" s="515"/>
      <c r="BO1330" s="515"/>
      <c r="BP1330" s="644"/>
      <c r="BQ1330" s="515"/>
      <c r="BR1330" s="515"/>
    </row>
    <row r="1331" spans="4:70" x14ac:dyDescent="0.25">
      <c r="D1331" s="538"/>
      <c r="G1331" s="538"/>
      <c r="J1331" s="538"/>
      <c r="M1331" s="538"/>
      <c r="R1331" s="538"/>
      <c r="S1331" s="343"/>
      <c r="T1331" s="343"/>
      <c r="U1331" s="538"/>
      <c r="V1331" s="343"/>
      <c r="W1331" s="343"/>
      <c r="X1331" s="538"/>
      <c r="Y1331" s="343"/>
      <c r="Z1331" s="343"/>
      <c r="AA1331" s="538"/>
      <c r="AB1331" s="343"/>
      <c r="AC1331" s="343"/>
      <c r="AE1331" s="343"/>
      <c r="AF1331" s="538"/>
      <c r="AG1331" s="343"/>
      <c r="AH1331" s="343"/>
      <c r="AI1331" s="538"/>
      <c r="AJ1331" s="343"/>
      <c r="AK1331" s="343"/>
      <c r="AL1331" s="538"/>
      <c r="AM1331" s="343"/>
      <c r="AN1331" s="343"/>
      <c r="AO1331" s="538"/>
      <c r="AP1331" s="343"/>
      <c r="AQ1331" s="343"/>
      <c r="AS1331" s="343"/>
      <c r="AT1331" s="538"/>
      <c r="AU1331" s="343"/>
      <c r="AV1331" s="343"/>
      <c r="AW1331" s="538"/>
      <c r="AX1331" s="343"/>
      <c r="AY1331" s="343"/>
      <c r="AZ1331" s="538"/>
      <c r="BA1331" s="343"/>
      <c r="BB1331" s="343"/>
      <c r="BC1331" s="538"/>
      <c r="BD1331" s="343"/>
      <c r="BE1331" s="343"/>
      <c r="BG1331" s="644"/>
      <c r="BH1331" s="515"/>
      <c r="BI1331" s="515"/>
      <c r="BJ1331" s="644"/>
      <c r="BK1331" s="515"/>
      <c r="BL1331" s="515"/>
      <c r="BM1331" s="644"/>
      <c r="BN1331" s="515"/>
      <c r="BO1331" s="515"/>
      <c r="BP1331" s="644"/>
      <c r="BQ1331" s="515"/>
      <c r="BR1331" s="515"/>
    </row>
    <row r="1332" spans="4:70" x14ac:dyDescent="0.25">
      <c r="D1332" s="538"/>
      <c r="G1332" s="538"/>
      <c r="J1332" s="538"/>
      <c r="M1332" s="538"/>
      <c r="R1332" s="538"/>
      <c r="S1332" s="343"/>
      <c r="T1332" s="343"/>
      <c r="U1332" s="538"/>
      <c r="V1332" s="343"/>
      <c r="W1332" s="343"/>
      <c r="X1332" s="538"/>
      <c r="Y1332" s="343"/>
      <c r="Z1332" s="343"/>
      <c r="AA1332" s="538"/>
      <c r="AB1332" s="343"/>
      <c r="AC1332" s="343"/>
      <c r="AE1332" s="343"/>
      <c r="AF1332" s="538"/>
      <c r="AG1332" s="343"/>
      <c r="AH1332" s="343"/>
      <c r="AI1332" s="538"/>
      <c r="AJ1332" s="343"/>
      <c r="AK1332" s="343"/>
      <c r="AL1332" s="538"/>
      <c r="AM1332" s="343"/>
      <c r="AN1332" s="343"/>
      <c r="AO1332" s="538"/>
      <c r="AP1332" s="343"/>
      <c r="AQ1332" s="343"/>
      <c r="AS1332" s="343"/>
      <c r="AT1332" s="538"/>
      <c r="AU1332" s="343"/>
      <c r="AV1332" s="343"/>
      <c r="AW1332" s="538"/>
      <c r="AX1332" s="343"/>
      <c r="AY1332" s="343"/>
      <c r="AZ1332" s="538"/>
      <c r="BA1332" s="343"/>
      <c r="BB1332" s="343"/>
      <c r="BC1332" s="538"/>
      <c r="BD1332" s="343"/>
      <c r="BE1332" s="343"/>
      <c r="BG1332" s="644"/>
      <c r="BH1332" s="515"/>
      <c r="BI1332" s="515"/>
      <c r="BJ1332" s="644"/>
      <c r="BK1332" s="515"/>
      <c r="BL1332" s="515"/>
      <c r="BM1332" s="644"/>
      <c r="BN1332" s="515"/>
      <c r="BO1332" s="515"/>
      <c r="BP1332" s="644"/>
      <c r="BQ1332" s="515"/>
      <c r="BR1332" s="515"/>
    </row>
    <row r="1333" spans="4:70" x14ac:dyDescent="0.25">
      <c r="D1333" s="538"/>
      <c r="G1333" s="538"/>
      <c r="J1333" s="538"/>
      <c r="M1333" s="538"/>
      <c r="R1333" s="538"/>
      <c r="S1333" s="343"/>
      <c r="T1333" s="343"/>
      <c r="U1333" s="538"/>
      <c r="V1333" s="343"/>
      <c r="W1333" s="343"/>
      <c r="X1333" s="538"/>
      <c r="Y1333" s="343"/>
      <c r="Z1333" s="343"/>
      <c r="AA1333" s="538"/>
      <c r="AB1333" s="343"/>
      <c r="AC1333" s="343"/>
      <c r="AE1333" s="343"/>
      <c r="AF1333" s="538"/>
      <c r="AG1333" s="343"/>
      <c r="AH1333" s="343"/>
      <c r="AI1333" s="538"/>
      <c r="AJ1333" s="343"/>
      <c r="AK1333" s="343"/>
      <c r="AL1333" s="538"/>
      <c r="AM1333" s="343"/>
      <c r="AN1333" s="343"/>
      <c r="AO1333" s="538"/>
      <c r="AP1333" s="343"/>
      <c r="AQ1333" s="343"/>
      <c r="AS1333" s="343"/>
      <c r="AT1333" s="538"/>
      <c r="AU1333" s="343"/>
      <c r="AV1333" s="343"/>
      <c r="AW1333" s="538"/>
      <c r="AX1333" s="343"/>
      <c r="AY1333" s="343"/>
      <c r="AZ1333" s="538"/>
      <c r="BA1333" s="343"/>
      <c r="BB1333" s="343"/>
      <c r="BC1333" s="538"/>
      <c r="BD1333" s="343"/>
      <c r="BE1333" s="343"/>
      <c r="BG1333" s="644"/>
      <c r="BH1333" s="515"/>
      <c r="BI1333" s="515"/>
      <c r="BJ1333" s="644"/>
      <c r="BK1333" s="515"/>
      <c r="BL1333" s="515"/>
      <c r="BM1333" s="644"/>
      <c r="BN1333" s="515"/>
      <c r="BO1333" s="515"/>
      <c r="BP1333" s="644"/>
      <c r="BQ1333" s="515"/>
      <c r="BR1333" s="515"/>
    </row>
    <row r="1334" spans="4:70" x14ac:dyDescent="0.25">
      <c r="D1334" s="538"/>
      <c r="G1334" s="538"/>
      <c r="J1334" s="538"/>
      <c r="M1334" s="538"/>
      <c r="R1334" s="538"/>
      <c r="S1334" s="343"/>
      <c r="T1334" s="343"/>
      <c r="U1334" s="538"/>
      <c r="V1334" s="343"/>
      <c r="W1334" s="343"/>
      <c r="X1334" s="538"/>
      <c r="Y1334" s="343"/>
      <c r="Z1334" s="343"/>
      <c r="AA1334" s="538"/>
      <c r="AB1334" s="343"/>
      <c r="AC1334" s="343"/>
      <c r="AE1334" s="343"/>
      <c r="AF1334" s="538"/>
      <c r="AG1334" s="343"/>
      <c r="AH1334" s="343"/>
      <c r="AI1334" s="538"/>
      <c r="AJ1334" s="343"/>
      <c r="AK1334" s="343"/>
      <c r="AL1334" s="538"/>
      <c r="AM1334" s="343"/>
      <c r="AN1334" s="343"/>
      <c r="AO1334" s="538"/>
      <c r="AP1334" s="343"/>
      <c r="AQ1334" s="343"/>
      <c r="AS1334" s="343"/>
      <c r="AT1334" s="538"/>
      <c r="AU1334" s="343"/>
      <c r="AV1334" s="343"/>
      <c r="AW1334" s="538"/>
      <c r="AX1334" s="343"/>
      <c r="AY1334" s="343"/>
      <c r="AZ1334" s="538"/>
      <c r="BA1334" s="343"/>
      <c r="BB1334" s="343"/>
      <c r="BC1334" s="538"/>
      <c r="BD1334" s="343"/>
      <c r="BE1334" s="343"/>
      <c r="BG1334" s="644"/>
      <c r="BH1334" s="515"/>
      <c r="BI1334" s="515"/>
      <c r="BJ1334" s="644"/>
      <c r="BK1334" s="515"/>
      <c r="BL1334" s="515"/>
      <c r="BM1334" s="644"/>
      <c r="BN1334" s="515"/>
      <c r="BO1334" s="515"/>
      <c r="BP1334" s="644"/>
      <c r="BQ1334" s="515"/>
      <c r="BR1334" s="515"/>
    </row>
    <row r="1335" spans="4:70" x14ac:dyDescent="0.25">
      <c r="D1335" s="538"/>
      <c r="G1335" s="538"/>
      <c r="J1335" s="538"/>
      <c r="M1335" s="538"/>
      <c r="R1335" s="538"/>
      <c r="S1335" s="343"/>
      <c r="T1335" s="343"/>
      <c r="U1335" s="538"/>
      <c r="V1335" s="343"/>
      <c r="W1335" s="343"/>
      <c r="X1335" s="538"/>
      <c r="Y1335" s="343"/>
      <c r="Z1335" s="343"/>
      <c r="AA1335" s="538"/>
      <c r="AB1335" s="343"/>
      <c r="AC1335" s="343"/>
      <c r="AE1335" s="343"/>
      <c r="AF1335" s="538"/>
      <c r="AG1335" s="343"/>
      <c r="AH1335" s="343"/>
      <c r="AI1335" s="538"/>
      <c r="AJ1335" s="343"/>
      <c r="AK1335" s="343"/>
      <c r="AL1335" s="538"/>
      <c r="AM1335" s="343"/>
      <c r="AN1335" s="343"/>
      <c r="AO1335" s="538"/>
      <c r="AP1335" s="343"/>
      <c r="AQ1335" s="343"/>
      <c r="AS1335" s="343"/>
      <c r="AT1335" s="538"/>
      <c r="AU1335" s="343"/>
      <c r="AV1335" s="343"/>
      <c r="AW1335" s="538"/>
      <c r="AX1335" s="343"/>
      <c r="AY1335" s="343"/>
      <c r="AZ1335" s="538"/>
      <c r="BA1335" s="343"/>
      <c r="BB1335" s="343"/>
      <c r="BC1335" s="538"/>
      <c r="BD1335" s="343"/>
      <c r="BE1335" s="343"/>
      <c r="BG1335" s="644"/>
      <c r="BH1335" s="515"/>
      <c r="BI1335" s="515"/>
      <c r="BJ1335" s="644"/>
      <c r="BK1335" s="515"/>
      <c r="BL1335" s="515"/>
      <c r="BM1335" s="644"/>
      <c r="BN1335" s="515"/>
      <c r="BO1335" s="515"/>
      <c r="BP1335" s="644"/>
      <c r="BQ1335" s="515"/>
      <c r="BR1335" s="515"/>
    </row>
    <row r="1336" spans="4:70" x14ac:dyDescent="0.25">
      <c r="D1336" s="538"/>
      <c r="G1336" s="538"/>
      <c r="J1336" s="538"/>
      <c r="M1336" s="538"/>
      <c r="R1336" s="538"/>
      <c r="S1336" s="343"/>
      <c r="T1336" s="343"/>
      <c r="U1336" s="538"/>
      <c r="V1336" s="343"/>
      <c r="W1336" s="343"/>
      <c r="X1336" s="538"/>
      <c r="Y1336" s="343"/>
      <c r="Z1336" s="343"/>
      <c r="AA1336" s="538"/>
      <c r="AB1336" s="343"/>
      <c r="AC1336" s="343"/>
      <c r="AE1336" s="343"/>
      <c r="AF1336" s="538"/>
      <c r="AG1336" s="343"/>
      <c r="AH1336" s="343"/>
      <c r="AI1336" s="538"/>
      <c r="AJ1336" s="343"/>
      <c r="AK1336" s="343"/>
      <c r="AL1336" s="538"/>
      <c r="AM1336" s="343"/>
      <c r="AN1336" s="343"/>
      <c r="AO1336" s="538"/>
      <c r="AP1336" s="343"/>
      <c r="AQ1336" s="343"/>
      <c r="AS1336" s="343"/>
      <c r="AT1336" s="538"/>
      <c r="AU1336" s="343"/>
      <c r="AV1336" s="343"/>
      <c r="AW1336" s="538"/>
      <c r="AX1336" s="343"/>
      <c r="AY1336" s="343"/>
      <c r="AZ1336" s="538"/>
      <c r="BA1336" s="343"/>
      <c r="BB1336" s="343"/>
      <c r="BC1336" s="538"/>
      <c r="BD1336" s="343"/>
      <c r="BE1336" s="343"/>
      <c r="BG1336" s="644"/>
      <c r="BH1336" s="515"/>
      <c r="BI1336" s="515"/>
      <c r="BJ1336" s="644"/>
      <c r="BK1336" s="515"/>
      <c r="BL1336" s="515"/>
      <c r="BM1336" s="644"/>
      <c r="BN1336" s="515"/>
      <c r="BO1336" s="515"/>
      <c r="BP1336" s="644"/>
      <c r="BQ1336" s="515"/>
      <c r="BR1336" s="515"/>
    </row>
    <row r="1337" spans="4:70" x14ac:dyDescent="0.25">
      <c r="D1337" s="538"/>
      <c r="G1337" s="538"/>
      <c r="J1337" s="538"/>
      <c r="M1337" s="538"/>
      <c r="R1337" s="538"/>
      <c r="S1337" s="343"/>
      <c r="T1337" s="343"/>
      <c r="U1337" s="538"/>
      <c r="V1337" s="343"/>
      <c r="W1337" s="343"/>
      <c r="X1337" s="538"/>
      <c r="Y1337" s="343"/>
      <c r="Z1337" s="343"/>
      <c r="AA1337" s="538"/>
      <c r="AB1337" s="343"/>
      <c r="AC1337" s="343"/>
      <c r="AE1337" s="343"/>
      <c r="AF1337" s="538"/>
      <c r="AG1337" s="343"/>
      <c r="AH1337" s="343"/>
      <c r="AI1337" s="538"/>
      <c r="AJ1337" s="343"/>
      <c r="AK1337" s="343"/>
      <c r="AL1337" s="538"/>
      <c r="AM1337" s="343"/>
      <c r="AN1337" s="343"/>
      <c r="AO1337" s="538"/>
      <c r="AP1337" s="343"/>
      <c r="AQ1337" s="343"/>
      <c r="AS1337" s="343"/>
      <c r="AT1337" s="538"/>
      <c r="AU1337" s="343"/>
      <c r="AV1337" s="343"/>
      <c r="AW1337" s="538"/>
      <c r="AX1337" s="343"/>
      <c r="AY1337" s="343"/>
      <c r="AZ1337" s="538"/>
      <c r="BA1337" s="343"/>
      <c r="BB1337" s="343"/>
      <c r="BC1337" s="538"/>
      <c r="BD1337" s="343"/>
      <c r="BE1337" s="343"/>
      <c r="BG1337" s="644"/>
      <c r="BH1337" s="515"/>
      <c r="BI1337" s="515"/>
      <c r="BJ1337" s="644"/>
      <c r="BK1337" s="515"/>
      <c r="BL1337" s="515"/>
      <c r="BM1337" s="644"/>
      <c r="BN1337" s="515"/>
      <c r="BO1337" s="515"/>
      <c r="BP1337" s="644"/>
      <c r="BQ1337" s="515"/>
      <c r="BR1337" s="515"/>
    </row>
    <row r="1338" spans="4:70" x14ac:dyDescent="0.25">
      <c r="D1338" s="538"/>
      <c r="G1338" s="538"/>
      <c r="J1338" s="538"/>
      <c r="M1338" s="538"/>
      <c r="R1338" s="538"/>
      <c r="S1338" s="343"/>
      <c r="T1338" s="343"/>
      <c r="U1338" s="538"/>
      <c r="V1338" s="343"/>
      <c r="W1338" s="343"/>
      <c r="X1338" s="538"/>
      <c r="Y1338" s="343"/>
      <c r="Z1338" s="343"/>
      <c r="AA1338" s="538"/>
      <c r="AB1338" s="343"/>
      <c r="AC1338" s="343"/>
      <c r="AE1338" s="343"/>
      <c r="AF1338" s="538"/>
      <c r="AG1338" s="343"/>
      <c r="AH1338" s="343"/>
      <c r="AI1338" s="538"/>
      <c r="AJ1338" s="343"/>
      <c r="AK1338" s="343"/>
      <c r="AL1338" s="538"/>
      <c r="AM1338" s="343"/>
      <c r="AN1338" s="343"/>
      <c r="AO1338" s="538"/>
      <c r="AP1338" s="343"/>
      <c r="AQ1338" s="343"/>
      <c r="AS1338" s="343"/>
      <c r="AT1338" s="538"/>
      <c r="AU1338" s="343"/>
      <c r="AV1338" s="343"/>
      <c r="AW1338" s="538"/>
      <c r="AX1338" s="343"/>
      <c r="AY1338" s="343"/>
      <c r="AZ1338" s="538"/>
      <c r="BA1338" s="343"/>
      <c r="BB1338" s="343"/>
      <c r="BC1338" s="538"/>
      <c r="BD1338" s="343"/>
      <c r="BE1338" s="343"/>
      <c r="BG1338" s="644"/>
      <c r="BH1338" s="515"/>
      <c r="BI1338" s="515"/>
      <c r="BJ1338" s="644"/>
      <c r="BK1338" s="515"/>
      <c r="BL1338" s="515"/>
      <c r="BM1338" s="644"/>
      <c r="BN1338" s="515"/>
      <c r="BO1338" s="515"/>
      <c r="BP1338" s="644"/>
      <c r="BQ1338" s="515"/>
      <c r="BR1338" s="515"/>
    </row>
    <row r="1339" spans="4:70" x14ac:dyDescent="0.25">
      <c r="D1339" s="538"/>
      <c r="G1339" s="538"/>
      <c r="J1339" s="538"/>
      <c r="M1339" s="538"/>
      <c r="R1339" s="538"/>
      <c r="S1339" s="343"/>
      <c r="T1339" s="343"/>
      <c r="U1339" s="538"/>
      <c r="V1339" s="343"/>
      <c r="W1339" s="343"/>
      <c r="X1339" s="538"/>
      <c r="Y1339" s="343"/>
      <c r="Z1339" s="343"/>
      <c r="AA1339" s="538"/>
      <c r="AB1339" s="343"/>
      <c r="AC1339" s="343"/>
      <c r="AE1339" s="343"/>
      <c r="AF1339" s="538"/>
      <c r="AG1339" s="343"/>
      <c r="AH1339" s="343"/>
      <c r="AI1339" s="538"/>
      <c r="AJ1339" s="343"/>
      <c r="AK1339" s="343"/>
      <c r="AL1339" s="538"/>
      <c r="AM1339" s="343"/>
      <c r="AN1339" s="343"/>
      <c r="AO1339" s="538"/>
      <c r="AP1339" s="343"/>
      <c r="AQ1339" s="343"/>
      <c r="AS1339" s="343"/>
      <c r="AT1339" s="538"/>
      <c r="AU1339" s="343"/>
      <c r="AV1339" s="343"/>
      <c r="AW1339" s="538"/>
      <c r="AX1339" s="343"/>
      <c r="AY1339" s="343"/>
      <c r="AZ1339" s="538"/>
      <c r="BA1339" s="343"/>
      <c r="BB1339" s="343"/>
      <c r="BC1339" s="538"/>
      <c r="BD1339" s="343"/>
      <c r="BE1339" s="343"/>
      <c r="BG1339" s="644"/>
      <c r="BH1339" s="515"/>
      <c r="BI1339" s="515"/>
      <c r="BJ1339" s="644"/>
      <c r="BK1339" s="515"/>
      <c r="BL1339" s="515"/>
      <c r="BM1339" s="644"/>
      <c r="BN1339" s="515"/>
      <c r="BO1339" s="515"/>
      <c r="BP1339" s="644"/>
      <c r="BQ1339" s="515"/>
      <c r="BR1339" s="515"/>
    </row>
    <row r="1340" spans="4:70" x14ac:dyDescent="0.25">
      <c r="D1340" s="538"/>
      <c r="G1340" s="538"/>
      <c r="J1340" s="538"/>
      <c r="M1340" s="538"/>
      <c r="R1340" s="538"/>
      <c r="S1340" s="343"/>
      <c r="T1340" s="343"/>
      <c r="U1340" s="538"/>
      <c r="V1340" s="343"/>
      <c r="W1340" s="343"/>
      <c r="X1340" s="538"/>
      <c r="Y1340" s="343"/>
      <c r="Z1340" s="343"/>
      <c r="AA1340" s="538"/>
      <c r="AB1340" s="343"/>
      <c r="AC1340" s="343"/>
      <c r="AE1340" s="343"/>
      <c r="AF1340" s="538"/>
      <c r="AG1340" s="343"/>
      <c r="AH1340" s="343"/>
      <c r="AI1340" s="538"/>
      <c r="AJ1340" s="343"/>
      <c r="AK1340" s="343"/>
      <c r="AL1340" s="538"/>
      <c r="AM1340" s="343"/>
      <c r="AN1340" s="343"/>
      <c r="AO1340" s="538"/>
      <c r="AP1340" s="343"/>
      <c r="AQ1340" s="343"/>
      <c r="AS1340" s="343"/>
      <c r="AT1340" s="538"/>
      <c r="AU1340" s="343"/>
      <c r="AV1340" s="343"/>
      <c r="AW1340" s="538"/>
      <c r="AX1340" s="343"/>
      <c r="AY1340" s="343"/>
      <c r="AZ1340" s="538"/>
      <c r="BA1340" s="343"/>
      <c r="BB1340" s="343"/>
      <c r="BC1340" s="538"/>
      <c r="BD1340" s="343"/>
      <c r="BE1340" s="343"/>
      <c r="BG1340" s="644"/>
      <c r="BH1340" s="515"/>
      <c r="BI1340" s="515"/>
      <c r="BJ1340" s="644"/>
      <c r="BK1340" s="515"/>
      <c r="BL1340" s="515"/>
      <c r="BM1340" s="644"/>
      <c r="BN1340" s="515"/>
      <c r="BO1340" s="515"/>
      <c r="BP1340" s="644"/>
      <c r="BQ1340" s="515"/>
      <c r="BR1340" s="515"/>
    </row>
    <row r="1341" spans="4:70" x14ac:dyDescent="0.25">
      <c r="D1341" s="538"/>
      <c r="G1341" s="538"/>
      <c r="J1341" s="538"/>
      <c r="M1341" s="538"/>
      <c r="R1341" s="538"/>
      <c r="S1341" s="343"/>
      <c r="T1341" s="343"/>
      <c r="U1341" s="538"/>
      <c r="V1341" s="343"/>
      <c r="W1341" s="343"/>
      <c r="X1341" s="538"/>
      <c r="Y1341" s="343"/>
      <c r="Z1341" s="343"/>
      <c r="AA1341" s="538"/>
      <c r="AB1341" s="343"/>
      <c r="AC1341" s="343"/>
      <c r="AE1341" s="343"/>
      <c r="AF1341" s="538"/>
      <c r="AG1341" s="343"/>
      <c r="AH1341" s="343"/>
      <c r="AI1341" s="538"/>
      <c r="AJ1341" s="343"/>
      <c r="AK1341" s="343"/>
      <c r="AL1341" s="538"/>
      <c r="AM1341" s="343"/>
      <c r="AN1341" s="343"/>
      <c r="AO1341" s="538"/>
      <c r="AP1341" s="343"/>
      <c r="AQ1341" s="343"/>
      <c r="AS1341" s="343"/>
      <c r="AT1341" s="538"/>
      <c r="AU1341" s="343"/>
      <c r="AV1341" s="343"/>
      <c r="AW1341" s="538"/>
      <c r="AX1341" s="343"/>
      <c r="AY1341" s="343"/>
      <c r="AZ1341" s="538"/>
      <c r="BA1341" s="343"/>
      <c r="BB1341" s="343"/>
      <c r="BC1341" s="538"/>
      <c r="BD1341" s="343"/>
      <c r="BE1341" s="343"/>
      <c r="BG1341" s="644"/>
      <c r="BH1341" s="515"/>
      <c r="BI1341" s="515"/>
      <c r="BJ1341" s="644"/>
      <c r="BK1341" s="515"/>
      <c r="BL1341" s="515"/>
      <c r="BM1341" s="644"/>
      <c r="BN1341" s="515"/>
      <c r="BO1341" s="515"/>
      <c r="BP1341" s="644"/>
      <c r="BQ1341" s="515"/>
      <c r="BR1341" s="515"/>
    </row>
    <row r="1342" spans="4:70" x14ac:dyDescent="0.25">
      <c r="D1342" s="538"/>
      <c r="G1342" s="538"/>
      <c r="J1342" s="538"/>
      <c r="M1342" s="538"/>
      <c r="R1342" s="538"/>
      <c r="S1342" s="343"/>
      <c r="T1342" s="343"/>
      <c r="U1342" s="538"/>
      <c r="V1342" s="343"/>
      <c r="W1342" s="343"/>
      <c r="X1342" s="538"/>
      <c r="Y1342" s="343"/>
      <c r="Z1342" s="343"/>
      <c r="AA1342" s="538"/>
      <c r="AB1342" s="343"/>
      <c r="AC1342" s="343"/>
      <c r="AE1342" s="343"/>
      <c r="AF1342" s="538"/>
      <c r="AG1342" s="343"/>
      <c r="AH1342" s="343"/>
      <c r="AI1342" s="538"/>
      <c r="AJ1342" s="343"/>
      <c r="AK1342" s="343"/>
      <c r="AL1342" s="538"/>
      <c r="AM1342" s="343"/>
      <c r="AN1342" s="343"/>
      <c r="AO1342" s="538"/>
      <c r="AP1342" s="343"/>
      <c r="AQ1342" s="343"/>
      <c r="AS1342" s="343"/>
      <c r="AT1342" s="538"/>
      <c r="AU1342" s="343"/>
      <c r="AV1342" s="343"/>
      <c r="AW1342" s="538"/>
      <c r="AX1342" s="343"/>
      <c r="AY1342" s="343"/>
      <c r="AZ1342" s="538"/>
      <c r="BA1342" s="343"/>
      <c r="BB1342" s="343"/>
      <c r="BC1342" s="538"/>
      <c r="BD1342" s="343"/>
      <c r="BE1342" s="343"/>
      <c r="BG1342" s="644"/>
      <c r="BH1342" s="515"/>
      <c r="BI1342" s="515"/>
      <c r="BJ1342" s="644"/>
      <c r="BK1342" s="515"/>
      <c r="BL1342" s="515"/>
      <c r="BM1342" s="644"/>
      <c r="BN1342" s="515"/>
      <c r="BO1342" s="515"/>
      <c r="BP1342" s="644"/>
      <c r="BQ1342" s="515"/>
      <c r="BR1342" s="515"/>
    </row>
    <row r="1343" spans="4:70" x14ac:dyDescent="0.25">
      <c r="D1343" s="538"/>
      <c r="G1343" s="538"/>
      <c r="J1343" s="538"/>
      <c r="M1343" s="538"/>
      <c r="R1343" s="538"/>
      <c r="S1343" s="343"/>
      <c r="T1343" s="343"/>
      <c r="U1343" s="538"/>
      <c r="V1343" s="343"/>
      <c r="W1343" s="343"/>
      <c r="X1343" s="538"/>
      <c r="Y1343" s="343"/>
      <c r="Z1343" s="343"/>
      <c r="AA1343" s="538"/>
      <c r="AB1343" s="343"/>
      <c r="AC1343" s="343"/>
      <c r="AE1343" s="343"/>
      <c r="AF1343" s="538"/>
      <c r="AG1343" s="343"/>
      <c r="AH1343" s="343"/>
      <c r="AI1343" s="538"/>
      <c r="AJ1343" s="343"/>
      <c r="AK1343" s="343"/>
      <c r="AL1343" s="538"/>
      <c r="AM1343" s="343"/>
      <c r="AN1343" s="343"/>
      <c r="AO1343" s="538"/>
      <c r="AP1343" s="343"/>
      <c r="AQ1343" s="343"/>
      <c r="AS1343" s="343"/>
      <c r="AT1343" s="538"/>
      <c r="AU1343" s="343"/>
      <c r="AV1343" s="343"/>
      <c r="AW1343" s="538"/>
      <c r="AX1343" s="343"/>
      <c r="AY1343" s="343"/>
      <c r="AZ1343" s="538"/>
      <c r="BA1343" s="343"/>
      <c r="BB1343" s="343"/>
      <c r="BC1343" s="538"/>
      <c r="BD1343" s="343"/>
      <c r="BE1343" s="343"/>
      <c r="BG1343" s="644"/>
      <c r="BH1343" s="515"/>
      <c r="BI1343" s="515"/>
      <c r="BJ1343" s="644"/>
      <c r="BK1343" s="515"/>
      <c r="BL1343" s="515"/>
      <c r="BM1343" s="644"/>
      <c r="BN1343" s="515"/>
      <c r="BO1343" s="515"/>
      <c r="BP1343" s="644"/>
      <c r="BQ1343" s="515"/>
      <c r="BR1343" s="515"/>
    </row>
    <row r="1344" spans="4:70" x14ac:dyDescent="0.25">
      <c r="D1344" s="538"/>
      <c r="G1344" s="538"/>
      <c r="J1344" s="538"/>
      <c r="M1344" s="538"/>
      <c r="R1344" s="538"/>
      <c r="S1344" s="343"/>
      <c r="T1344" s="343"/>
      <c r="U1344" s="538"/>
      <c r="V1344" s="343"/>
      <c r="W1344" s="343"/>
      <c r="X1344" s="538"/>
      <c r="Y1344" s="343"/>
      <c r="Z1344" s="343"/>
      <c r="AA1344" s="538"/>
      <c r="AB1344" s="343"/>
      <c r="AC1344" s="343"/>
      <c r="AE1344" s="343"/>
      <c r="AF1344" s="538"/>
      <c r="AG1344" s="343"/>
      <c r="AH1344" s="343"/>
      <c r="AI1344" s="538"/>
      <c r="AJ1344" s="343"/>
      <c r="AK1344" s="343"/>
      <c r="AL1344" s="538"/>
      <c r="AM1344" s="343"/>
      <c r="AN1344" s="343"/>
      <c r="AO1344" s="538"/>
      <c r="AP1344" s="343"/>
      <c r="AQ1344" s="343"/>
      <c r="AS1344" s="343"/>
      <c r="AT1344" s="538"/>
      <c r="AU1344" s="343"/>
      <c r="AV1344" s="343"/>
      <c r="AW1344" s="538"/>
      <c r="AX1344" s="343"/>
      <c r="AY1344" s="343"/>
      <c r="AZ1344" s="538"/>
      <c r="BA1344" s="343"/>
      <c r="BB1344" s="343"/>
      <c r="BC1344" s="538"/>
      <c r="BD1344" s="343"/>
      <c r="BE1344" s="343"/>
      <c r="BG1344" s="644"/>
      <c r="BH1344" s="515"/>
      <c r="BI1344" s="515"/>
      <c r="BJ1344" s="644"/>
      <c r="BK1344" s="515"/>
      <c r="BL1344" s="515"/>
      <c r="BM1344" s="644"/>
      <c r="BN1344" s="515"/>
      <c r="BO1344" s="515"/>
      <c r="BP1344" s="644"/>
      <c r="BQ1344" s="515"/>
      <c r="BR1344" s="515"/>
    </row>
    <row r="1345" spans="4:70" x14ac:dyDescent="0.25">
      <c r="D1345" s="538"/>
      <c r="G1345" s="538"/>
      <c r="J1345" s="538"/>
      <c r="M1345" s="538"/>
      <c r="R1345" s="538"/>
      <c r="S1345" s="343"/>
      <c r="T1345" s="343"/>
      <c r="U1345" s="538"/>
      <c r="V1345" s="343"/>
      <c r="W1345" s="343"/>
      <c r="X1345" s="538"/>
      <c r="Y1345" s="343"/>
      <c r="Z1345" s="343"/>
      <c r="AA1345" s="538"/>
      <c r="AB1345" s="343"/>
      <c r="AC1345" s="343"/>
      <c r="AE1345" s="343"/>
      <c r="AF1345" s="538"/>
      <c r="AG1345" s="343"/>
      <c r="AH1345" s="343"/>
      <c r="AI1345" s="538"/>
      <c r="AJ1345" s="343"/>
      <c r="AK1345" s="343"/>
      <c r="AL1345" s="538"/>
      <c r="AM1345" s="343"/>
      <c r="AN1345" s="343"/>
      <c r="AO1345" s="538"/>
      <c r="AP1345" s="343"/>
      <c r="AQ1345" s="343"/>
      <c r="AS1345" s="343"/>
      <c r="AT1345" s="538"/>
      <c r="AU1345" s="343"/>
      <c r="AV1345" s="343"/>
      <c r="AW1345" s="538"/>
      <c r="AX1345" s="343"/>
      <c r="AY1345" s="343"/>
      <c r="AZ1345" s="538"/>
      <c r="BA1345" s="343"/>
      <c r="BB1345" s="343"/>
      <c r="BC1345" s="538"/>
      <c r="BD1345" s="343"/>
      <c r="BE1345" s="343"/>
      <c r="BG1345" s="644"/>
      <c r="BH1345" s="515"/>
      <c r="BI1345" s="515"/>
      <c r="BJ1345" s="644"/>
      <c r="BK1345" s="515"/>
      <c r="BL1345" s="515"/>
      <c r="BM1345" s="644"/>
      <c r="BN1345" s="515"/>
      <c r="BO1345" s="515"/>
      <c r="BP1345" s="644"/>
      <c r="BQ1345" s="515"/>
      <c r="BR1345" s="515"/>
    </row>
    <row r="1346" spans="4:70" x14ac:dyDescent="0.25">
      <c r="D1346" s="538"/>
      <c r="G1346" s="538"/>
      <c r="J1346" s="538"/>
      <c r="M1346" s="538"/>
      <c r="R1346" s="538"/>
      <c r="S1346" s="343"/>
      <c r="T1346" s="343"/>
      <c r="U1346" s="538"/>
      <c r="V1346" s="343"/>
      <c r="W1346" s="343"/>
      <c r="X1346" s="538"/>
      <c r="Y1346" s="343"/>
      <c r="Z1346" s="343"/>
      <c r="AA1346" s="538"/>
      <c r="AB1346" s="343"/>
      <c r="AC1346" s="343"/>
      <c r="AE1346" s="343"/>
      <c r="AF1346" s="538"/>
      <c r="AG1346" s="343"/>
      <c r="AH1346" s="343"/>
      <c r="AI1346" s="538"/>
      <c r="AJ1346" s="343"/>
      <c r="AK1346" s="343"/>
      <c r="AL1346" s="538"/>
      <c r="AM1346" s="343"/>
      <c r="AN1346" s="343"/>
      <c r="AO1346" s="538"/>
      <c r="AP1346" s="343"/>
      <c r="AQ1346" s="343"/>
      <c r="AS1346" s="343"/>
      <c r="AT1346" s="538"/>
      <c r="AU1346" s="343"/>
      <c r="AV1346" s="343"/>
      <c r="AW1346" s="538"/>
      <c r="AX1346" s="343"/>
      <c r="AY1346" s="343"/>
      <c r="AZ1346" s="538"/>
      <c r="BA1346" s="343"/>
      <c r="BB1346" s="343"/>
      <c r="BC1346" s="538"/>
      <c r="BD1346" s="343"/>
      <c r="BE1346" s="343"/>
      <c r="BG1346" s="644"/>
      <c r="BH1346" s="515"/>
      <c r="BI1346" s="515"/>
      <c r="BJ1346" s="644"/>
      <c r="BK1346" s="515"/>
      <c r="BL1346" s="515"/>
      <c r="BM1346" s="644"/>
      <c r="BN1346" s="515"/>
      <c r="BO1346" s="515"/>
      <c r="BP1346" s="644"/>
      <c r="BQ1346" s="515"/>
      <c r="BR1346" s="515"/>
    </row>
    <row r="1347" spans="4:70" x14ac:dyDescent="0.25">
      <c r="D1347" s="538"/>
      <c r="G1347" s="538"/>
      <c r="J1347" s="538"/>
      <c r="M1347" s="538"/>
      <c r="R1347" s="538"/>
      <c r="S1347" s="343"/>
      <c r="T1347" s="343"/>
      <c r="U1347" s="538"/>
      <c r="V1347" s="343"/>
      <c r="W1347" s="343"/>
      <c r="X1347" s="538"/>
      <c r="Y1347" s="343"/>
      <c r="Z1347" s="343"/>
      <c r="AA1347" s="538"/>
      <c r="AB1347" s="343"/>
      <c r="AC1347" s="343"/>
      <c r="AE1347" s="343"/>
      <c r="AF1347" s="538"/>
      <c r="AG1347" s="343"/>
      <c r="AH1347" s="343"/>
      <c r="AI1347" s="538"/>
      <c r="AJ1347" s="343"/>
      <c r="AK1347" s="343"/>
      <c r="AL1347" s="538"/>
      <c r="AM1347" s="343"/>
      <c r="AN1347" s="343"/>
      <c r="AO1347" s="538"/>
      <c r="AP1347" s="343"/>
      <c r="AQ1347" s="343"/>
      <c r="AS1347" s="343"/>
      <c r="AT1347" s="538"/>
      <c r="AU1347" s="343"/>
      <c r="AV1347" s="343"/>
      <c r="AW1347" s="538"/>
      <c r="AX1347" s="343"/>
      <c r="AY1347" s="343"/>
      <c r="AZ1347" s="538"/>
      <c r="BA1347" s="343"/>
      <c r="BB1347" s="343"/>
      <c r="BC1347" s="538"/>
      <c r="BD1347" s="343"/>
      <c r="BE1347" s="343"/>
      <c r="BG1347" s="644"/>
      <c r="BH1347" s="515"/>
      <c r="BI1347" s="515"/>
      <c r="BJ1347" s="644"/>
      <c r="BK1347" s="515"/>
      <c r="BL1347" s="515"/>
      <c r="BM1347" s="644"/>
      <c r="BN1347" s="515"/>
      <c r="BO1347" s="515"/>
      <c r="BP1347" s="644"/>
      <c r="BQ1347" s="515"/>
      <c r="BR1347" s="515"/>
    </row>
    <row r="1348" spans="4:70" x14ac:dyDescent="0.25">
      <c r="D1348" s="538"/>
      <c r="G1348" s="538"/>
      <c r="J1348" s="538"/>
      <c r="M1348" s="538"/>
      <c r="R1348" s="538"/>
      <c r="S1348" s="343"/>
      <c r="T1348" s="343"/>
      <c r="U1348" s="538"/>
      <c r="V1348" s="343"/>
      <c r="W1348" s="343"/>
      <c r="X1348" s="538"/>
      <c r="Y1348" s="343"/>
      <c r="Z1348" s="343"/>
      <c r="AA1348" s="538"/>
      <c r="AB1348" s="343"/>
      <c r="AC1348" s="343"/>
      <c r="AE1348" s="343"/>
      <c r="AF1348" s="538"/>
      <c r="AG1348" s="343"/>
      <c r="AH1348" s="343"/>
      <c r="AI1348" s="538"/>
      <c r="AJ1348" s="343"/>
      <c r="AK1348" s="343"/>
      <c r="AL1348" s="538"/>
      <c r="AM1348" s="343"/>
      <c r="AN1348" s="343"/>
      <c r="AO1348" s="538"/>
      <c r="AP1348" s="343"/>
      <c r="AQ1348" s="343"/>
      <c r="AS1348" s="343"/>
      <c r="AT1348" s="538"/>
      <c r="AU1348" s="343"/>
      <c r="AV1348" s="343"/>
      <c r="AW1348" s="538"/>
      <c r="AX1348" s="343"/>
      <c r="AY1348" s="343"/>
      <c r="AZ1348" s="538"/>
      <c r="BA1348" s="343"/>
      <c r="BB1348" s="343"/>
      <c r="BC1348" s="538"/>
      <c r="BD1348" s="343"/>
      <c r="BE1348" s="343"/>
      <c r="BG1348" s="644"/>
      <c r="BH1348" s="515"/>
      <c r="BI1348" s="515"/>
      <c r="BJ1348" s="644"/>
      <c r="BK1348" s="515"/>
      <c r="BL1348" s="515"/>
      <c r="BM1348" s="644"/>
      <c r="BN1348" s="515"/>
      <c r="BO1348" s="515"/>
      <c r="BP1348" s="644"/>
      <c r="BQ1348" s="515"/>
      <c r="BR1348" s="515"/>
    </row>
    <row r="1349" spans="4:70" x14ac:dyDescent="0.25">
      <c r="D1349" s="538"/>
      <c r="G1349" s="538"/>
      <c r="J1349" s="538"/>
      <c r="M1349" s="538"/>
      <c r="R1349" s="538"/>
      <c r="S1349" s="343"/>
      <c r="T1349" s="343"/>
      <c r="U1349" s="538"/>
      <c r="V1349" s="343"/>
      <c r="W1349" s="343"/>
      <c r="X1349" s="538"/>
      <c r="Y1349" s="343"/>
      <c r="Z1349" s="343"/>
      <c r="AA1349" s="538"/>
      <c r="AB1349" s="343"/>
      <c r="AC1349" s="343"/>
      <c r="AE1349" s="343"/>
      <c r="AF1349" s="538"/>
      <c r="AG1349" s="343"/>
      <c r="AH1349" s="343"/>
      <c r="AI1349" s="538"/>
      <c r="AJ1349" s="343"/>
      <c r="AK1349" s="343"/>
      <c r="AL1349" s="538"/>
      <c r="AM1349" s="343"/>
      <c r="AN1349" s="343"/>
      <c r="AO1349" s="538"/>
      <c r="AP1349" s="343"/>
      <c r="AQ1349" s="343"/>
      <c r="AS1349" s="343"/>
      <c r="AT1349" s="538"/>
      <c r="AU1349" s="343"/>
      <c r="AV1349" s="343"/>
      <c r="AW1349" s="538"/>
      <c r="AX1349" s="343"/>
      <c r="AY1349" s="343"/>
      <c r="AZ1349" s="538"/>
      <c r="BA1349" s="343"/>
      <c r="BB1349" s="343"/>
      <c r="BC1349" s="538"/>
      <c r="BD1349" s="343"/>
      <c r="BE1349" s="343"/>
      <c r="BG1349" s="644"/>
      <c r="BH1349" s="515"/>
      <c r="BI1349" s="515"/>
      <c r="BJ1349" s="644"/>
      <c r="BK1349" s="515"/>
      <c r="BL1349" s="515"/>
      <c r="BM1349" s="644"/>
      <c r="BN1349" s="515"/>
      <c r="BO1349" s="515"/>
      <c r="BP1349" s="644"/>
      <c r="BQ1349" s="515"/>
      <c r="BR1349" s="515"/>
    </row>
    <row r="1350" spans="4:70" x14ac:dyDescent="0.25">
      <c r="D1350" s="538"/>
      <c r="G1350" s="538"/>
      <c r="J1350" s="538"/>
      <c r="M1350" s="538"/>
      <c r="R1350" s="538"/>
      <c r="S1350" s="343"/>
      <c r="T1350" s="343"/>
      <c r="U1350" s="538"/>
      <c r="V1350" s="343"/>
      <c r="W1350" s="343"/>
      <c r="X1350" s="538"/>
      <c r="Y1350" s="343"/>
      <c r="Z1350" s="343"/>
      <c r="AA1350" s="538"/>
      <c r="AB1350" s="343"/>
      <c r="AC1350" s="343"/>
      <c r="AE1350" s="343"/>
      <c r="AF1350" s="538"/>
      <c r="AG1350" s="343"/>
      <c r="AH1350" s="343"/>
      <c r="AI1350" s="538"/>
      <c r="AJ1350" s="343"/>
      <c r="AK1350" s="343"/>
      <c r="AL1350" s="538"/>
      <c r="AM1350" s="343"/>
      <c r="AN1350" s="343"/>
      <c r="AO1350" s="538"/>
      <c r="AP1350" s="343"/>
      <c r="AQ1350" s="343"/>
      <c r="AS1350" s="343"/>
      <c r="AT1350" s="538"/>
      <c r="AU1350" s="343"/>
      <c r="AV1350" s="343"/>
      <c r="AW1350" s="538"/>
      <c r="AX1350" s="343"/>
      <c r="AY1350" s="343"/>
      <c r="AZ1350" s="538"/>
      <c r="BA1350" s="343"/>
      <c r="BB1350" s="343"/>
      <c r="BC1350" s="538"/>
      <c r="BD1350" s="343"/>
      <c r="BE1350" s="343"/>
      <c r="BG1350" s="644"/>
      <c r="BH1350" s="515"/>
      <c r="BI1350" s="515"/>
      <c r="BJ1350" s="644"/>
      <c r="BK1350" s="515"/>
      <c r="BL1350" s="515"/>
      <c r="BM1350" s="644"/>
      <c r="BN1350" s="515"/>
      <c r="BO1350" s="515"/>
      <c r="BP1350" s="644"/>
      <c r="BQ1350" s="515"/>
      <c r="BR1350" s="515"/>
    </row>
    <row r="1351" spans="4:70" x14ac:dyDescent="0.25">
      <c r="D1351" s="538"/>
      <c r="G1351" s="538"/>
      <c r="J1351" s="538"/>
      <c r="M1351" s="538"/>
      <c r="R1351" s="538"/>
      <c r="S1351" s="343"/>
      <c r="T1351" s="343"/>
      <c r="U1351" s="538"/>
      <c r="V1351" s="343"/>
      <c r="W1351" s="343"/>
      <c r="X1351" s="538"/>
      <c r="Y1351" s="343"/>
      <c r="Z1351" s="343"/>
      <c r="AA1351" s="538"/>
      <c r="AB1351" s="343"/>
      <c r="AC1351" s="343"/>
      <c r="AE1351" s="343"/>
      <c r="AF1351" s="538"/>
      <c r="AG1351" s="343"/>
      <c r="AH1351" s="343"/>
      <c r="AI1351" s="538"/>
      <c r="AJ1351" s="343"/>
      <c r="AK1351" s="343"/>
      <c r="AL1351" s="538"/>
      <c r="AM1351" s="343"/>
      <c r="AN1351" s="343"/>
      <c r="AO1351" s="538"/>
      <c r="AP1351" s="343"/>
      <c r="AQ1351" s="343"/>
      <c r="AS1351" s="343"/>
      <c r="AT1351" s="538"/>
      <c r="AU1351" s="343"/>
      <c r="AV1351" s="343"/>
      <c r="AW1351" s="538"/>
      <c r="AX1351" s="343"/>
      <c r="AY1351" s="343"/>
      <c r="AZ1351" s="538"/>
      <c r="BA1351" s="343"/>
      <c r="BB1351" s="343"/>
      <c r="BC1351" s="538"/>
      <c r="BD1351" s="343"/>
      <c r="BE1351" s="343"/>
      <c r="BG1351" s="644"/>
      <c r="BH1351" s="515"/>
      <c r="BI1351" s="515"/>
      <c r="BJ1351" s="644"/>
      <c r="BK1351" s="515"/>
      <c r="BL1351" s="515"/>
      <c r="BM1351" s="644"/>
      <c r="BN1351" s="515"/>
      <c r="BO1351" s="515"/>
      <c r="BP1351" s="644"/>
      <c r="BQ1351" s="515"/>
      <c r="BR1351" s="515"/>
    </row>
    <row r="1352" spans="4:70" x14ac:dyDescent="0.25">
      <c r="D1352" s="538"/>
      <c r="G1352" s="538"/>
      <c r="J1352" s="538"/>
      <c r="M1352" s="538"/>
      <c r="R1352" s="538"/>
      <c r="S1352" s="343"/>
      <c r="T1352" s="343"/>
      <c r="U1352" s="538"/>
      <c r="V1352" s="343"/>
      <c r="W1352" s="343"/>
      <c r="X1352" s="538"/>
      <c r="Y1352" s="343"/>
      <c r="Z1352" s="343"/>
      <c r="AA1352" s="538"/>
      <c r="AB1352" s="343"/>
      <c r="AC1352" s="343"/>
      <c r="AE1352" s="343"/>
      <c r="AF1352" s="538"/>
      <c r="AG1352" s="343"/>
      <c r="AH1352" s="343"/>
      <c r="AI1352" s="538"/>
      <c r="AJ1352" s="343"/>
      <c r="AK1352" s="343"/>
      <c r="AL1352" s="538"/>
      <c r="AM1352" s="343"/>
      <c r="AN1352" s="343"/>
      <c r="AO1352" s="538"/>
      <c r="AP1352" s="343"/>
      <c r="AQ1352" s="343"/>
      <c r="AS1352" s="343"/>
      <c r="AT1352" s="538"/>
      <c r="AU1352" s="343"/>
      <c r="AV1352" s="343"/>
      <c r="AW1352" s="538"/>
      <c r="AX1352" s="343"/>
      <c r="AY1352" s="343"/>
      <c r="AZ1352" s="538"/>
      <c r="BA1352" s="343"/>
      <c r="BB1352" s="343"/>
      <c r="BC1352" s="538"/>
      <c r="BD1352" s="343"/>
      <c r="BE1352" s="343"/>
      <c r="BG1352" s="644"/>
      <c r="BH1352" s="515"/>
      <c r="BI1352" s="515"/>
      <c r="BJ1352" s="644"/>
      <c r="BK1352" s="515"/>
      <c r="BL1352" s="515"/>
      <c r="BM1352" s="644"/>
      <c r="BN1352" s="515"/>
      <c r="BO1352" s="515"/>
      <c r="BP1352" s="644"/>
      <c r="BQ1352" s="515"/>
      <c r="BR1352" s="515"/>
    </row>
    <row r="1353" spans="4:70" x14ac:dyDescent="0.25">
      <c r="D1353" s="538"/>
      <c r="G1353" s="538"/>
      <c r="J1353" s="538"/>
      <c r="M1353" s="538"/>
      <c r="R1353" s="538"/>
      <c r="S1353" s="343"/>
      <c r="T1353" s="343"/>
      <c r="U1353" s="538"/>
      <c r="V1353" s="343"/>
      <c r="W1353" s="343"/>
      <c r="X1353" s="538"/>
      <c r="Y1353" s="343"/>
      <c r="Z1353" s="343"/>
      <c r="AA1353" s="538"/>
      <c r="AB1353" s="343"/>
      <c r="AC1353" s="343"/>
      <c r="AE1353" s="343"/>
      <c r="AF1353" s="538"/>
      <c r="AG1353" s="343"/>
      <c r="AH1353" s="343"/>
      <c r="AI1353" s="538"/>
      <c r="AJ1353" s="343"/>
      <c r="AK1353" s="343"/>
      <c r="AL1353" s="538"/>
      <c r="AM1353" s="343"/>
      <c r="AN1353" s="343"/>
      <c r="AO1353" s="538"/>
      <c r="AP1353" s="343"/>
      <c r="AQ1353" s="343"/>
      <c r="AS1353" s="343"/>
      <c r="AT1353" s="538"/>
      <c r="AU1353" s="343"/>
      <c r="AV1353" s="343"/>
      <c r="AW1353" s="538"/>
      <c r="AX1353" s="343"/>
      <c r="AY1353" s="343"/>
      <c r="AZ1353" s="538"/>
      <c r="BA1353" s="343"/>
      <c r="BB1353" s="343"/>
      <c r="BC1353" s="538"/>
      <c r="BD1353" s="343"/>
      <c r="BE1353" s="343"/>
      <c r="BG1353" s="644"/>
      <c r="BH1353" s="515"/>
      <c r="BI1353" s="515"/>
      <c r="BJ1353" s="644"/>
      <c r="BK1353" s="515"/>
      <c r="BL1353" s="515"/>
      <c r="BM1353" s="644"/>
      <c r="BN1353" s="515"/>
      <c r="BO1353" s="515"/>
      <c r="BP1353" s="644"/>
      <c r="BQ1353" s="515"/>
      <c r="BR1353" s="515"/>
    </row>
    <row r="1354" spans="4:70" x14ac:dyDescent="0.25">
      <c r="D1354" s="538"/>
      <c r="G1354" s="538"/>
      <c r="J1354" s="538"/>
      <c r="M1354" s="538"/>
      <c r="R1354" s="538"/>
      <c r="S1354" s="343"/>
      <c r="T1354" s="343"/>
      <c r="U1354" s="538"/>
      <c r="V1354" s="343"/>
      <c r="W1354" s="343"/>
      <c r="X1354" s="538"/>
      <c r="Y1354" s="343"/>
      <c r="Z1354" s="343"/>
      <c r="AA1354" s="538"/>
      <c r="AB1354" s="343"/>
      <c r="AC1354" s="343"/>
      <c r="AE1354" s="343"/>
      <c r="AF1354" s="538"/>
      <c r="AG1354" s="343"/>
      <c r="AH1354" s="343"/>
      <c r="AI1354" s="538"/>
      <c r="AJ1354" s="343"/>
      <c r="AK1354" s="343"/>
      <c r="AL1354" s="538"/>
      <c r="AM1354" s="343"/>
      <c r="AN1354" s="343"/>
      <c r="AO1354" s="538"/>
      <c r="AP1354" s="343"/>
      <c r="AQ1354" s="343"/>
      <c r="AS1354" s="343"/>
      <c r="AT1354" s="538"/>
      <c r="AU1354" s="343"/>
      <c r="AV1354" s="343"/>
      <c r="AW1354" s="538"/>
      <c r="AX1354" s="343"/>
      <c r="AY1354" s="343"/>
      <c r="AZ1354" s="538"/>
      <c r="BA1354" s="343"/>
      <c r="BB1354" s="343"/>
      <c r="BC1354" s="538"/>
      <c r="BD1354" s="343"/>
      <c r="BE1354" s="343"/>
      <c r="BG1354" s="644"/>
      <c r="BH1354" s="515"/>
      <c r="BI1354" s="515"/>
      <c r="BJ1354" s="644"/>
      <c r="BK1354" s="515"/>
      <c r="BL1354" s="515"/>
      <c r="BM1354" s="644"/>
      <c r="BN1354" s="515"/>
      <c r="BO1354" s="515"/>
      <c r="BP1354" s="644"/>
      <c r="BQ1354" s="515"/>
      <c r="BR1354" s="515"/>
    </row>
    <row r="1355" spans="4:70" x14ac:dyDescent="0.25">
      <c r="D1355" s="538"/>
      <c r="G1355" s="538"/>
      <c r="J1355" s="538"/>
      <c r="M1355" s="538"/>
      <c r="R1355" s="538"/>
      <c r="S1355" s="343"/>
      <c r="T1355" s="343"/>
      <c r="U1355" s="538"/>
      <c r="V1355" s="343"/>
      <c r="W1355" s="343"/>
      <c r="X1355" s="538"/>
      <c r="Y1355" s="343"/>
      <c r="Z1355" s="343"/>
      <c r="AA1355" s="538"/>
      <c r="AB1355" s="343"/>
      <c r="AC1355" s="343"/>
      <c r="AE1355" s="343"/>
      <c r="AF1355" s="538"/>
      <c r="AG1355" s="343"/>
      <c r="AH1355" s="343"/>
      <c r="AI1355" s="538"/>
      <c r="AJ1355" s="343"/>
      <c r="AK1355" s="343"/>
      <c r="AL1355" s="538"/>
      <c r="AM1355" s="343"/>
      <c r="AN1355" s="343"/>
      <c r="AO1355" s="538"/>
      <c r="AP1355" s="343"/>
      <c r="AQ1355" s="343"/>
      <c r="AS1355" s="343"/>
      <c r="AT1355" s="538"/>
      <c r="AU1355" s="343"/>
      <c r="AV1355" s="343"/>
      <c r="AW1355" s="538"/>
      <c r="AX1355" s="343"/>
      <c r="AY1355" s="343"/>
      <c r="AZ1355" s="538"/>
      <c r="BA1355" s="343"/>
      <c r="BB1355" s="343"/>
      <c r="BC1355" s="538"/>
      <c r="BD1355" s="343"/>
      <c r="BE1355" s="343"/>
      <c r="BG1355" s="644"/>
      <c r="BH1355" s="515"/>
      <c r="BI1355" s="515"/>
      <c r="BJ1355" s="644"/>
      <c r="BK1355" s="515"/>
      <c r="BL1355" s="515"/>
      <c r="BM1355" s="644"/>
      <c r="BN1355" s="515"/>
      <c r="BO1355" s="515"/>
      <c r="BP1355" s="644"/>
      <c r="BQ1355" s="515"/>
      <c r="BR1355" s="515"/>
    </row>
    <row r="1356" spans="4:70" x14ac:dyDescent="0.25">
      <c r="D1356" s="538"/>
      <c r="G1356" s="538"/>
      <c r="J1356" s="538"/>
      <c r="M1356" s="538"/>
      <c r="R1356" s="538"/>
      <c r="S1356" s="343"/>
      <c r="T1356" s="343"/>
      <c r="U1356" s="538"/>
      <c r="V1356" s="343"/>
      <c r="W1356" s="343"/>
      <c r="X1356" s="538"/>
      <c r="Y1356" s="343"/>
      <c r="Z1356" s="343"/>
      <c r="AA1356" s="538"/>
      <c r="AB1356" s="343"/>
      <c r="AC1356" s="343"/>
      <c r="AE1356" s="343"/>
      <c r="AF1356" s="538"/>
      <c r="AG1356" s="343"/>
      <c r="AH1356" s="343"/>
      <c r="AI1356" s="538"/>
      <c r="AJ1356" s="343"/>
      <c r="AK1356" s="343"/>
      <c r="AL1356" s="538"/>
      <c r="AM1356" s="343"/>
      <c r="AN1356" s="343"/>
      <c r="AO1356" s="538"/>
      <c r="AP1356" s="343"/>
      <c r="AQ1356" s="343"/>
      <c r="AS1356" s="343"/>
      <c r="AT1356" s="538"/>
      <c r="AU1356" s="343"/>
      <c r="AV1356" s="343"/>
      <c r="AW1356" s="538"/>
      <c r="AX1356" s="343"/>
      <c r="AY1356" s="343"/>
      <c r="AZ1356" s="538"/>
      <c r="BA1356" s="343"/>
      <c r="BB1356" s="343"/>
      <c r="BC1356" s="538"/>
      <c r="BD1356" s="343"/>
      <c r="BE1356" s="343"/>
      <c r="BG1356" s="644"/>
      <c r="BH1356" s="515"/>
      <c r="BI1356" s="515"/>
      <c r="BJ1356" s="644"/>
      <c r="BK1356" s="515"/>
      <c r="BL1356" s="515"/>
      <c r="BM1356" s="644"/>
      <c r="BN1356" s="515"/>
      <c r="BO1356" s="515"/>
      <c r="BP1356" s="644"/>
      <c r="BQ1356" s="515"/>
      <c r="BR1356" s="515"/>
    </row>
    <row r="1357" spans="4:70" x14ac:dyDescent="0.25">
      <c r="D1357" s="538"/>
      <c r="G1357" s="538"/>
      <c r="J1357" s="538"/>
      <c r="M1357" s="538"/>
      <c r="R1357" s="538"/>
      <c r="S1357" s="343"/>
      <c r="T1357" s="343"/>
      <c r="U1357" s="538"/>
      <c r="V1357" s="343"/>
      <c r="W1357" s="343"/>
      <c r="X1357" s="538"/>
      <c r="Y1357" s="343"/>
      <c r="Z1357" s="343"/>
      <c r="AA1357" s="538"/>
      <c r="AB1357" s="343"/>
      <c r="AC1357" s="343"/>
      <c r="AE1357" s="343"/>
      <c r="AF1357" s="538"/>
      <c r="AG1357" s="343"/>
      <c r="AH1357" s="343"/>
      <c r="AI1357" s="538"/>
      <c r="AJ1357" s="343"/>
      <c r="AK1357" s="343"/>
      <c r="AL1357" s="538"/>
      <c r="AM1357" s="343"/>
      <c r="AN1357" s="343"/>
      <c r="AO1357" s="538"/>
      <c r="AP1357" s="343"/>
      <c r="AQ1357" s="343"/>
      <c r="AS1357" s="343"/>
      <c r="AT1357" s="538"/>
      <c r="AU1357" s="343"/>
      <c r="AV1357" s="343"/>
      <c r="AW1357" s="538"/>
      <c r="AX1357" s="343"/>
      <c r="AY1357" s="343"/>
      <c r="AZ1357" s="538"/>
      <c r="BA1357" s="343"/>
      <c r="BB1357" s="343"/>
      <c r="BC1357" s="538"/>
      <c r="BD1357" s="343"/>
      <c r="BE1357" s="343"/>
      <c r="BG1357" s="644"/>
      <c r="BH1357" s="515"/>
      <c r="BI1357" s="515"/>
      <c r="BJ1357" s="644"/>
      <c r="BK1357" s="515"/>
      <c r="BL1357" s="515"/>
      <c r="BM1357" s="644"/>
      <c r="BN1357" s="515"/>
      <c r="BO1357" s="515"/>
      <c r="BP1357" s="644"/>
      <c r="BQ1357" s="515"/>
      <c r="BR1357" s="515"/>
    </row>
    <row r="1358" spans="4:70" x14ac:dyDescent="0.25">
      <c r="D1358" s="538"/>
      <c r="G1358" s="538"/>
      <c r="J1358" s="538"/>
      <c r="M1358" s="538"/>
      <c r="R1358" s="538"/>
      <c r="S1358" s="343"/>
      <c r="T1358" s="343"/>
      <c r="U1358" s="538"/>
      <c r="V1358" s="343"/>
      <c r="W1358" s="343"/>
      <c r="X1358" s="538"/>
      <c r="Y1358" s="343"/>
      <c r="Z1358" s="343"/>
      <c r="AA1358" s="538"/>
      <c r="AB1358" s="343"/>
      <c r="AC1358" s="343"/>
      <c r="AE1358" s="343"/>
      <c r="AF1358" s="538"/>
      <c r="AG1358" s="343"/>
      <c r="AH1358" s="343"/>
      <c r="AI1358" s="538"/>
      <c r="AJ1358" s="343"/>
      <c r="AK1358" s="343"/>
      <c r="AL1358" s="538"/>
      <c r="AM1358" s="343"/>
      <c r="AN1358" s="343"/>
      <c r="AO1358" s="538"/>
      <c r="AP1358" s="343"/>
      <c r="AQ1358" s="343"/>
      <c r="AS1358" s="343"/>
      <c r="AT1358" s="538"/>
      <c r="AU1358" s="343"/>
      <c r="AV1358" s="343"/>
      <c r="AW1358" s="538"/>
      <c r="AX1358" s="343"/>
      <c r="AY1358" s="343"/>
      <c r="AZ1358" s="538"/>
      <c r="BA1358" s="343"/>
      <c r="BB1358" s="343"/>
      <c r="BC1358" s="538"/>
      <c r="BD1358" s="343"/>
      <c r="BE1358" s="343"/>
      <c r="BG1358" s="644"/>
      <c r="BH1358" s="515"/>
      <c r="BI1358" s="515"/>
      <c r="BJ1358" s="644"/>
      <c r="BK1358" s="515"/>
      <c r="BL1358" s="515"/>
      <c r="BM1358" s="644"/>
      <c r="BN1358" s="515"/>
      <c r="BO1358" s="515"/>
      <c r="BP1358" s="644"/>
      <c r="BQ1358" s="515"/>
      <c r="BR1358" s="515"/>
    </row>
    <row r="1359" spans="4:70" x14ac:dyDescent="0.25">
      <c r="D1359" s="538"/>
      <c r="G1359" s="538"/>
      <c r="J1359" s="538"/>
      <c r="M1359" s="538"/>
      <c r="R1359" s="538"/>
      <c r="S1359" s="343"/>
      <c r="T1359" s="343"/>
      <c r="U1359" s="538"/>
      <c r="V1359" s="343"/>
      <c r="W1359" s="343"/>
      <c r="X1359" s="538"/>
      <c r="Y1359" s="343"/>
      <c r="Z1359" s="343"/>
      <c r="AA1359" s="538"/>
      <c r="AB1359" s="343"/>
      <c r="AC1359" s="343"/>
      <c r="AE1359" s="343"/>
      <c r="AF1359" s="538"/>
      <c r="AG1359" s="343"/>
      <c r="AH1359" s="343"/>
      <c r="AI1359" s="538"/>
      <c r="AJ1359" s="343"/>
      <c r="AK1359" s="343"/>
      <c r="AL1359" s="538"/>
      <c r="AM1359" s="343"/>
      <c r="AN1359" s="343"/>
      <c r="AO1359" s="538"/>
      <c r="AP1359" s="343"/>
      <c r="AQ1359" s="343"/>
      <c r="AS1359" s="343"/>
      <c r="AT1359" s="538"/>
      <c r="AU1359" s="343"/>
      <c r="AV1359" s="343"/>
      <c r="AW1359" s="538"/>
      <c r="AX1359" s="343"/>
      <c r="AY1359" s="343"/>
      <c r="AZ1359" s="538"/>
      <c r="BA1359" s="343"/>
      <c r="BB1359" s="343"/>
      <c r="BC1359" s="538"/>
      <c r="BD1359" s="343"/>
      <c r="BE1359" s="343"/>
      <c r="BG1359" s="644"/>
      <c r="BH1359" s="515"/>
      <c r="BI1359" s="515"/>
      <c r="BJ1359" s="644"/>
      <c r="BK1359" s="515"/>
      <c r="BL1359" s="515"/>
      <c r="BM1359" s="644"/>
      <c r="BN1359" s="515"/>
      <c r="BO1359" s="515"/>
      <c r="BP1359" s="644"/>
      <c r="BQ1359" s="515"/>
      <c r="BR1359" s="515"/>
    </row>
    <row r="1360" spans="4:70" x14ac:dyDescent="0.25">
      <c r="D1360" s="538"/>
      <c r="G1360" s="538"/>
      <c r="J1360" s="538"/>
      <c r="M1360" s="538"/>
      <c r="R1360" s="538"/>
      <c r="S1360" s="343"/>
      <c r="T1360" s="343"/>
      <c r="U1360" s="538"/>
      <c r="V1360" s="343"/>
      <c r="W1360" s="343"/>
      <c r="X1360" s="538"/>
      <c r="Y1360" s="343"/>
      <c r="Z1360" s="343"/>
      <c r="AA1360" s="538"/>
      <c r="AB1360" s="343"/>
      <c r="AC1360" s="343"/>
      <c r="AE1360" s="343"/>
      <c r="AF1360" s="538"/>
      <c r="AG1360" s="343"/>
      <c r="AH1360" s="343"/>
      <c r="AI1360" s="538"/>
      <c r="AJ1360" s="343"/>
      <c r="AK1360" s="343"/>
      <c r="AL1360" s="538"/>
      <c r="AM1360" s="343"/>
      <c r="AN1360" s="343"/>
      <c r="AO1360" s="538"/>
      <c r="AP1360" s="343"/>
      <c r="AQ1360" s="343"/>
      <c r="AS1360" s="343"/>
      <c r="AT1360" s="538"/>
      <c r="AU1360" s="343"/>
      <c r="AV1360" s="343"/>
      <c r="AW1360" s="538"/>
      <c r="AX1360" s="343"/>
      <c r="AY1360" s="343"/>
      <c r="AZ1360" s="538"/>
      <c r="BA1360" s="343"/>
      <c r="BB1360" s="343"/>
      <c r="BC1360" s="538"/>
      <c r="BD1360" s="343"/>
      <c r="BE1360" s="343"/>
      <c r="BG1360" s="644"/>
      <c r="BH1360" s="515"/>
      <c r="BI1360" s="515"/>
      <c r="BJ1360" s="644"/>
      <c r="BK1360" s="515"/>
      <c r="BL1360" s="515"/>
      <c r="BM1360" s="644"/>
      <c r="BN1360" s="515"/>
      <c r="BO1360" s="515"/>
      <c r="BP1360" s="644"/>
      <c r="BQ1360" s="515"/>
      <c r="BR1360" s="515"/>
    </row>
    <row r="1361" spans="4:70" x14ac:dyDescent="0.25">
      <c r="D1361" s="538"/>
      <c r="G1361" s="538"/>
      <c r="J1361" s="538"/>
      <c r="M1361" s="538"/>
      <c r="R1361" s="538"/>
      <c r="S1361" s="343"/>
      <c r="T1361" s="343"/>
      <c r="U1361" s="538"/>
      <c r="V1361" s="343"/>
      <c r="W1361" s="343"/>
      <c r="X1361" s="538"/>
      <c r="Y1361" s="343"/>
      <c r="Z1361" s="343"/>
      <c r="AA1361" s="538"/>
      <c r="AB1361" s="343"/>
      <c r="AC1361" s="343"/>
      <c r="AE1361" s="343"/>
      <c r="AF1361" s="538"/>
      <c r="AG1361" s="343"/>
      <c r="AH1361" s="343"/>
      <c r="AI1361" s="538"/>
      <c r="AJ1361" s="343"/>
      <c r="AK1361" s="343"/>
      <c r="AL1361" s="538"/>
      <c r="AM1361" s="343"/>
      <c r="AN1361" s="343"/>
      <c r="AO1361" s="538"/>
      <c r="AP1361" s="343"/>
      <c r="AQ1361" s="343"/>
      <c r="AS1361" s="343"/>
      <c r="AT1361" s="538"/>
      <c r="AU1361" s="343"/>
      <c r="AV1361" s="343"/>
      <c r="AW1361" s="538"/>
      <c r="AX1361" s="343"/>
      <c r="AY1361" s="343"/>
      <c r="AZ1361" s="538"/>
      <c r="BA1361" s="343"/>
      <c r="BB1361" s="343"/>
      <c r="BC1361" s="538"/>
      <c r="BD1361" s="343"/>
      <c r="BE1361" s="343"/>
      <c r="BG1361" s="644"/>
      <c r="BH1361" s="515"/>
      <c r="BI1361" s="515"/>
      <c r="BJ1361" s="644"/>
      <c r="BK1361" s="515"/>
      <c r="BL1361" s="515"/>
      <c r="BM1361" s="644"/>
      <c r="BN1361" s="515"/>
      <c r="BO1361" s="515"/>
      <c r="BP1361" s="644"/>
      <c r="BQ1361" s="515"/>
      <c r="BR1361" s="515"/>
    </row>
    <row r="1362" spans="4:70" x14ac:dyDescent="0.25">
      <c r="D1362" s="538"/>
      <c r="G1362" s="538"/>
      <c r="J1362" s="538"/>
      <c r="M1362" s="538"/>
      <c r="R1362" s="538"/>
      <c r="S1362" s="343"/>
      <c r="T1362" s="343"/>
      <c r="U1362" s="538"/>
      <c r="V1362" s="343"/>
      <c r="W1362" s="343"/>
      <c r="X1362" s="538"/>
      <c r="Y1362" s="343"/>
      <c r="Z1362" s="343"/>
      <c r="AA1362" s="538"/>
      <c r="AB1362" s="343"/>
      <c r="AC1362" s="343"/>
      <c r="AE1362" s="343"/>
      <c r="AF1362" s="538"/>
      <c r="AG1362" s="343"/>
      <c r="AH1362" s="343"/>
      <c r="AI1362" s="538"/>
      <c r="AJ1362" s="343"/>
      <c r="AK1362" s="343"/>
      <c r="AL1362" s="538"/>
      <c r="AM1362" s="343"/>
      <c r="AN1362" s="343"/>
      <c r="AO1362" s="538"/>
      <c r="AP1362" s="343"/>
      <c r="AQ1362" s="343"/>
      <c r="AS1362" s="343"/>
      <c r="AT1362" s="538"/>
      <c r="AU1362" s="343"/>
      <c r="AV1362" s="343"/>
      <c r="AW1362" s="538"/>
      <c r="AX1362" s="343"/>
      <c r="AY1362" s="343"/>
      <c r="AZ1362" s="538"/>
      <c r="BA1362" s="343"/>
      <c r="BB1362" s="343"/>
      <c r="BC1362" s="538"/>
      <c r="BD1362" s="343"/>
      <c r="BE1362" s="343"/>
      <c r="BG1362" s="644"/>
      <c r="BH1362" s="515"/>
      <c r="BI1362" s="515"/>
      <c r="BJ1362" s="644"/>
      <c r="BK1362" s="515"/>
      <c r="BL1362" s="515"/>
      <c r="BM1362" s="644"/>
      <c r="BN1362" s="515"/>
      <c r="BO1362" s="515"/>
      <c r="BP1362" s="644"/>
      <c r="BQ1362" s="515"/>
      <c r="BR1362" s="515"/>
    </row>
    <row r="1363" spans="4:70" x14ac:dyDescent="0.25">
      <c r="D1363" s="538"/>
      <c r="G1363" s="538"/>
      <c r="J1363" s="538"/>
      <c r="M1363" s="538"/>
      <c r="R1363" s="538"/>
      <c r="S1363" s="343"/>
      <c r="T1363" s="343"/>
      <c r="U1363" s="538"/>
      <c r="V1363" s="343"/>
      <c r="W1363" s="343"/>
      <c r="X1363" s="538"/>
      <c r="Y1363" s="343"/>
      <c r="Z1363" s="343"/>
      <c r="AA1363" s="538"/>
      <c r="AB1363" s="343"/>
      <c r="AC1363" s="343"/>
      <c r="AE1363" s="343"/>
      <c r="AF1363" s="538"/>
      <c r="AG1363" s="343"/>
      <c r="AH1363" s="343"/>
      <c r="AI1363" s="538"/>
      <c r="AJ1363" s="343"/>
      <c r="AK1363" s="343"/>
      <c r="AL1363" s="538"/>
      <c r="AM1363" s="343"/>
      <c r="AN1363" s="343"/>
      <c r="AO1363" s="538"/>
      <c r="AP1363" s="343"/>
      <c r="AQ1363" s="343"/>
      <c r="AS1363" s="343"/>
      <c r="AT1363" s="538"/>
      <c r="AU1363" s="343"/>
      <c r="AV1363" s="343"/>
      <c r="AW1363" s="538"/>
      <c r="AX1363" s="343"/>
      <c r="AY1363" s="343"/>
      <c r="AZ1363" s="538"/>
      <c r="BA1363" s="343"/>
      <c r="BB1363" s="343"/>
      <c r="BC1363" s="538"/>
      <c r="BD1363" s="343"/>
      <c r="BE1363" s="343"/>
      <c r="BG1363" s="644"/>
      <c r="BH1363" s="515"/>
      <c r="BI1363" s="515"/>
      <c r="BJ1363" s="644"/>
      <c r="BK1363" s="515"/>
      <c r="BL1363" s="515"/>
      <c r="BM1363" s="644"/>
      <c r="BN1363" s="515"/>
      <c r="BO1363" s="515"/>
      <c r="BP1363" s="644"/>
      <c r="BQ1363" s="515"/>
      <c r="BR1363" s="515"/>
    </row>
    <row r="1364" spans="4:70" x14ac:dyDescent="0.25">
      <c r="D1364" s="538"/>
      <c r="G1364" s="538"/>
      <c r="J1364" s="538"/>
      <c r="M1364" s="538"/>
      <c r="R1364" s="538"/>
      <c r="S1364" s="343"/>
      <c r="T1364" s="343"/>
      <c r="U1364" s="538"/>
      <c r="V1364" s="343"/>
      <c r="W1364" s="343"/>
      <c r="X1364" s="538"/>
      <c r="Y1364" s="343"/>
      <c r="Z1364" s="343"/>
      <c r="AA1364" s="538"/>
      <c r="AB1364" s="343"/>
      <c r="AC1364" s="343"/>
      <c r="AE1364" s="343"/>
      <c r="AF1364" s="538"/>
      <c r="AG1364" s="343"/>
      <c r="AH1364" s="343"/>
      <c r="AI1364" s="538"/>
      <c r="AJ1364" s="343"/>
      <c r="AK1364" s="343"/>
      <c r="AL1364" s="538"/>
      <c r="AM1364" s="343"/>
      <c r="AN1364" s="343"/>
      <c r="AO1364" s="538"/>
      <c r="AP1364" s="343"/>
      <c r="AQ1364" s="343"/>
      <c r="AS1364" s="343"/>
      <c r="AT1364" s="538"/>
      <c r="AU1364" s="343"/>
      <c r="AV1364" s="343"/>
      <c r="AW1364" s="538"/>
      <c r="AX1364" s="343"/>
      <c r="AY1364" s="343"/>
      <c r="AZ1364" s="538"/>
      <c r="BA1364" s="343"/>
      <c r="BB1364" s="343"/>
      <c r="BC1364" s="538"/>
      <c r="BD1364" s="343"/>
      <c r="BE1364" s="343"/>
      <c r="BG1364" s="644"/>
      <c r="BH1364" s="515"/>
      <c r="BI1364" s="515"/>
      <c r="BJ1364" s="644"/>
      <c r="BK1364" s="515"/>
      <c r="BL1364" s="515"/>
      <c r="BM1364" s="644"/>
      <c r="BN1364" s="515"/>
      <c r="BO1364" s="515"/>
      <c r="BP1364" s="644"/>
      <c r="BQ1364" s="515"/>
      <c r="BR1364" s="515"/>
    </row>
    <row r="1365" spans="4:70" x14ac:dyDescent="0.25">
      <c r="D1365" s="538"/>
      <c r="G1365" s="538"/>
      <c r="J1365" s="538"/>
      <c r="M1365" s="538"/>
      <c r="R1365" s="538"/>
      <c r="S1365" s="343"/>
      <c r="T1365" s="343"/>
      <c r="U1365" s="538"/>
      <c r="V1365" s="343"/>
      <c r="W1365" s="343"/>
      <c r="X1365" s="538"/>
      <c r="Y1365" s="343"/>
      <c r="Z1365" s="343"/>
      <c r="AA1365" s="538"/>
      <c r="AB1365" s="343"/>
      <c r="AC1365" s="343"/>
      <c r="AE1365" s="343"/>
      <c r="AF1365" s="538"/>
      <c r="AG1365" s="343"/>
      <c r="AH1365" s="343"/>
      <c r="AI1365" s="538"/>
      <c r="AJ1365" s="343"/>
      <c r="AK1365" s="343"/>
      <c r="AL1365" s="538"/>
      <c r="AM1365" s="343"/>
      <c r="AN1365" s="343"/>
      <c r="AO1365" s="538"/>
      <c r="AP1365" s="343"/>
      <c r="AQ1365" s="343"/>
      <c r="AS1365" s="343"/>
      <c r="AT1365" s="538"/>
      <c r="AU1365" s="343"/>
      <c r="AV1365" s="343"/>
      <c r="AW1365" s="538"/>
      <c r="AX1365" s="343"/>
      <c r="AY1365" s="343"/>
      <c r="AZ1365" s="538"/>
      <c r="BA1365" s="343"/>
      <c r="BB1365" s="343"/>
      <c r="BC1365" s="538"/>
      <c r="BD1365" s="343"/>
      <c r="BE1365" s="343"/>
      <c r="BG1365" s="644"/>
      <c r="BH1365" s="515"/>
      <c r="BI1365" s="515"/>
      <c r="BJ1365" s="644"/>
      <c r="BK1365" s="515"/>
      <c r="BL1365" s="515"/>
      <c r="BM1365" s="644"/>
      <c r="BN1365" s="515"/>
      <c r="BO1365" s="515"/>
      <c r="BP1365" s="644"/>
      <c r="BQ1365" s="515"/>
      <c r="BR1365" s="515"/>
    </row>
    <row r="1366" spans="4:70" x14ac:dyDescent="0.25">
      <c r="D1366" s="538"/>
      <c r="G1366" s="538"/>
      <c r="J1366" s="538"/>
      <c r="M1366" s="538"/>
      <c r="R1366" s="538"/>
      <c r="S1366" s="343"/>
      <c r="T1366" s="343"/>
      <c r="U1366" s="538"/>
      <c r="V1366" s="343"/>
      <c r="W1366" s="343"/>
      <c r="X1366" s="538"/>
      <c r="Y1366" s="343"/>
      <c r="Z1366" s="343"/>
      <c r="AA1366" s="538"/>
      <c r="AB1366" s="343"/>
      <c r="AC1366" s="343"/>
      <c r="AE1366" s="343"/>
      <c r="AF1366" s="538"/>
      <c r="AG1366" s="343"/>
      <c r="AH1366" s="343"/>
      <c r="AI1366" s="538"/>
      <c r="AJ1366" s="343"/>
      <c r="AK1366" s="343"/>
      <c r="AL1366" s="538"/>
      <c r="AM1366" s="343"/>
      <c r="AN1366" s="343"/>
      <c r="AO1366" s="538"/>
      <c r="AP1366" s="343"/>
      <c r="AQ1366" s="343"/>
      <c r="AS1366" s="343"/>
      <c r="AT1366" s="538"/>
      <c r="AU1366" s="343"/>
      <c r="AV1366" s="343"/>
      <c r="AW1366" s="538"/>
      <c r="AX1366" s="343"/>
      <c r="AY1366" s="343"/>
      <c r="AZ1366" s="538"/>
      <c r="BA1366" s="343"/>
      <c r="BB1366" s="343"/>
      <c r="BC1366" s="538"/>
      <c r="BD1366" s="343"/>
      <c r="BE1366" s="343"/>
      <c r="BG1366" s="644"/>
      <c r="BH1366" s="515"/>
      <c r="BI1366" s="515"/>
      <c r="BJ1366" s="644"/>
      <c r="BK1366" s="515"/>
      <c r="BL1366" s="515"/>
      <c r="BM1366" s="644"/>
      <c r="BN1366" s="515"/>
      <c r="BO1366" s="515"/>
      <c r="BP1366" s="644"/>
      <c r="BQ1366" s="515"/>
      <c r="BR1366" s="515"/>
    </row>
    <row r="1367" spans="4:70" x14ac:dyDescent="0.25">
      <c r="D1367" s="538"/>
      <c r="G1367" s="538"/>
      <c r="J1367" s="538"/>
      <c r="M1367" s="538"/>
      <c r="R1367" s="538"/>
      <c r="S1367" s="343"/>
      <c r="T1367" s="343"/>
      <c r="U1367" s="538"/>
      <c r="V1367" s="343"/>
      <c r="W1367" s="343"/>
      <c r="X1367" s="538"/>
      <c r="Y1367" s="343"/>
      <c r="Z1367" s="343"/>
      <c r="AA1367" s="538"/>
      <c r="AB1367" s="343"/>
      <c r="AC1367" s="343"/>
      <c r="AE1367" s="343"/>
      <c r="AF1367" s="538"/>
      <c r="AG1367" s="343"/>
      <c r="AH1367" s="343"/>
      <c r="AI1367" s="538"/>
      <c r="AJ1367" s="343"/>
      <c r="AK1367" s="343"/>
      <c r="AL1367" s="538"/>
      <c r="AM1367" s="343"/>
      <c r="AN1367" s="343"/>
      <c r="AO1367" s="538"/>
      <c r="AP1367" s="343"/>
      <c r="AQ1367" s="343"/>
      <c r="AS1367" s="343"/>
      <c r="AT1367" s="538"/>
      <c r="AU1367" s="343"/>
      <c r="AV1367" s="343"/>
      <c r="AW1367" s="538"/>
      <c r="AX1367" s="343"/>
      <c r="AY1367" s="343"/>
      <c r="AZ1367" s="538"/>
      <c r="BA1367" s="343"/>
      <c r="BB1367" s="343"/>
      <c r="BC1367" s="538"/>
      <c r="BD1367" s="343"/>
      <c r="BE1367" s="343"/>
      <c r="BG1367" s="644"/>
      <c r="BH1367" s="515"/>
      <c r="BI1367" s="515"/>
      <c r="BJ1367" s="644"/>
      <c r="BK1367" s="515"/>
      <c r="BL1367" s="515"/>
      <c r="BM1367" s="644"/>
      <c r="BN1367" s="515"/>
      <c r="BO1367" s="515"/>
      <c r="BP1367" s="644"/>
      <c r="BQ1367" s="515"/>
      <c r="BR1367" s="515"/>
    </row>
    <row r="1368" spans="4:70" x14ac:dyDescent="0.25">
      <c r="D1368" s="538"/>
      <c r="G1368" s="538"/>
      <c r="J1368" s="538"/>
      <c r="M1368" s="538"/>
      <c r="R1368" s="538"/>
      <c r="S1368" s="343"/>
      <c r="T1368" s="343"/>
      <c r="U1368" s="538"/>
      <c r="V1368" s="343"/>
      <c r="W1368" s="343"/>
      <c r="X1368" s="538"/>
      <c r="Y1368" s="343"/>
      <c r="Z1368" s="343"/>
      <c r="AA1368" s="538"/>
      <c r="AB1368" s="343"/>
      <c r="AC1368" s="343"/>
      <c r="AE1368" s="343"/>
      <c r="AF1368" s="538"/>
      <c r="AG1368" s="343"/>
      <c r="AH1368" s="343"/>
      <c r="AI1368" s="538"/>
      <c r="AJ1368" s="343"/>
      <c r="AK1368" s="343"/>
      <c r="AL1368" s="538"/>
      <c r="AM1368" s="343"/>
      <c r="AN1368" s="343"/>
      <c r="AO1368" s="538"/>
      <c r="AP1368" s="343"/>
      <c r="AQ1368" s="343"/>
      <c r="AS1368" s="343"/>
      <c r="AT1368" s="538"/>
      <c r="AU1368" s="343"/>
      <c r="AV1368" s="343"/>
      <c r="AW1368" s="538"/>
      <c r="AX1368" s="343"/>
      <c r="AY1368" s="343"/>
      <c r="AZ1368" s="538"/>
      <c r="BA1368" s="343"/>
      <c r="BB1368" s="343"/>
      <c r="BC1368" s="538"/>
      <c r="BD1368" s="343"/>
      <c r="BE1368" s="343"/>
      <c r="BG1368" s="644"/>
      <c r="BH1368" s="515"/>
      <c r="BI1368" s="515"/>
      <c r="BJ1368" s="644"/>
      <c r="BK1368" s="515"/>
      <c r="BL1368" s="515"/>
      <c r="BM1368" s="644"/>
      <c r="BN1368" s="515"/>
      <c r="BO1368" s="515"/>
      <c r="BP1368" s="644"/>
      <c r="BQ1368" s="515"/>
      <c r="BR1368" s="515"/>
    </row>
    <row r="1369" spans="4:70" x14ac:dyDescent="0.25">
      <c r="D1369" s="538"/>
      <c r="G1369" s="538"/>
      <c r="J1369" s="538"/>
      <c r="M1369" s="538"/>
      <c r="R1369" s="538"/>
      <c r="S1369" s="343"/>
      <c r="T1369" s="343"/>
      <c r="U1369" s="538"/>
      <c r="V1369" s="343"/>
      <c r="W1369" s="343"/>
      <c r="X1369" s="538"/>
      <c r="Y1369" s="343"/>
      <c r="Z1369" s="343"/>
      <c r="AA1369" s="538"/>
      <c r="AB1369" s="343"/>
      <c r="AC1369" s="343"/>
      <c r="AE1369" s="343"/>
      <c r="AF1369" s="538"/>
      <c r="AG1369" s="343"/>
      <c r="AH1369" s="343"/>
      <c r="AI1369" s="538"/>
      <c r="AJ1369" s="343"/>
      <c r="AK1369" s="343"/>
      <c r="AL1369" s="538"/>
      <c r="AM1369" s="343"/>
      <c r="AN1369" s="343"/>
      <c r="AO1369" s="538"/>
      <c r="AP1369" s="343"/>
      <c r="AQ1369" s="343"/>
      <c r="AS1369" s="343"/>
      <c r="AT1369" s="538"/>
      <c r="AU1369" s="343"/>
      <c r="AV1369" s="343"/>
      <c r="AW1369" s="538"/>
      <c r="AX1369" s="343"/>
      <c r="AY1369" s="343"/>
      <c r="AZ1369" s="538"/>
      <c r="BA1369" s="343"/>
      <c r="BB1369" s="343"/>
      <c r="BC1369" s="538"/>
      <c r="BD1369" s="343"/>
      <c r="BE1369" s="343"/>
      <c r="BG1369" s="644"/>
      <c r="BH1369" s="515"/>
      <c r="BI1369" s="515"/>
      <c r="BJ1369" s="644"/>
      <c r="BK1369" s="515"/>
      <c r="BL1369" s="515"/>
      <c r="BM1369" s="644"/>
      <c r="BN1369" s="515"/>
      <c r="BO1369" s="515"/>
      <c r="BP1369" s="644"/>
      <c r="BQ1369" s="515"/>
      <c r="BR1369" s="515"/>
    </row>
    <row r="1370" spans="4:70" x14ac:dyDescent="0.25">
      <c r="D1370" s="538"/>
      <c r="G1370" s="538"/>
      <c r="J1370" s="538"/>
      <c r="M1370" s="538"/>
      <c r="R1370" s="538"/>
      <c r="S1370" s="343"/>
      <c r="T1370" s="343"/>
      <c r="U1370" s="538"/>
      <c r="V1370" s="343"/>
      <c r="W1370" s="343"/>
      <c r="X1370" s="538"/>
      <c r="Y1370" s="343"/>
      <c r="Z1370" s="343"/>
      <c r="AA1370" s="538"/>
      <c r="AB1370" s="343"/>
      <c r="AC1370" s="343"/>
      <c r="AE1370" s="343"/>
      <c r="AF1370" s="538"/>
      <c r="AG1370" s="343"/>
      <c r="AH1370" s="343"/>
      <c r="AI1370" s="538"/>
      <c r="AJ1370" s="343"/>
      <c r="AK1370" s="343"/>
      <c r="AL1370" s="538"/>
      <c r="AM1370" s="343"/>
      <c r="AN1370" s="343"/>
      <c r="AO1370" s="538"/>
      <c r="AP1370" s="343"/>
      <c r="AQ1370" s="343"/>
      <c r="AS1370" s="343"/>
      <c r="AT1370" s="538"/>
      <c r="AU1370" s="343"/>
      <c r="AV1370" s="343"/>
      <c r="AW1370" s="538"/>
      <c r="AX1370" s="343"/>
      <c r="AY1370" s="343"/>
      <c r="AZ1370" s="538"/>
      <c r="BA1370" s="343"/>
      <c r="BB1370" s="343"/>
      <c r="BC1370" s="538"/>
      <c r="BD1370" s="343"/>
      <c r="BE1370" s="343"/>
      <c r="BG1370" s="644"/>
      <c r="BH1370" s="515"/>
      <c r="BI1370" s="515"/>
      <c r="BJ1370" s="644"/>
      <c r="BK1370" s="515"/>
      <c r="BL1370" s="515"/>
      <c r="BM1370" s="644"/>
      <c r="BN1370" s="515"/>
      <c r="BO1370" s="515"/>
      <c r="BP1370" s="644"/>
      <c r="BQ1370" s="515"/>
      <c r="BR1370" s="515"/>
    </row>
    <row r="1371" spans="4:70" x14ac:dyDescent="0.25">
      <c r="D1371" s="538"/>
      <c r="G1371" s="538"/>
      <c r="J1371" s="538"/>
      <c r="M1371" s="538"/>
      <c r="R1371" s="538"/>
      <c r="S1371" s="343"/>
      <c r="T1371" s="343"/>
      <c r="U1371" s="538"/>
      <c r="V1371" s="343"/>
      <c r="W1371" s="343"/>
      <c r="X1371" s="538"/>
      <c r="Y1371" s="343"/>
      <c r="Z1371" s="343"/>
      <c r="AA1371" s="538"/>
      <c r="AB1371" s="343"/>
      <c r="AC1371" s="343"/>
      <c r="AE1371" s="343"/>
      <c r="AF1371" s="538"/>
      <c r="AG1371" s="343"/>
      <c r="AH1371" s="343"/>
      <c r="AI1371" s="538"/>
      <c r="AJ1371" s="343"/>
      <c r="AK1371" s="343"/>
      <c r="AL1371" s="538"/>
      <c r="AM1371" s="343"/>
      <c r="AN1371" s="343"/>
      <c r="AO1371" s="538"/>
      <c r="AP1371" s="343"/>
      <c r="AQ1371" s="343"/>
      <c r="AS1371" s="343"/>
      <c r="AT1371" s="538"/>
      <c r="AU1371" s="343"/>
      <c r="AV1371" s="343"/>
      <c r="AW1371" s="538"/>
      <c r="AX1371" s="343"/>
      <c r="AY1371" s="343"/>
      <c r="AZ1371" s="538"/>
      <c r="BA1371" s="343"/>
      <c r="BB1371" s="343"/>
      <c r="BC1371" s="538"/>
      <c r="BD1371" s="343"/>
      <c r="BE1371" s="343"/>
      <c r="BG1371" s="644"/>
      <c r="BH1371" s="515"/>
      <c r="BI1371" s="515"/>
      <c r="BJ1371" s="644"/>
      <c r="BK1371" s="515"/>
      <c r="BL1371" s="515"/>
      <c r="BM1371" s="644"/>
      <c r="BN1371" s="515"/>
      <c r="BO1371" s="515"/>
      <c r="BP1371" s="644"/>
      <c r="BQ1371" s="515"/>
      <c r="BR1371" s="515"/>
    </row>
    <row r="1372" spans="4:70" x14ac:dyDescent="0.25">
      <c r="D1372" s="538"/>
      <c r="G1372" s="538"/>
      <c r="J1372" s="538"/>
      <c r="M1372" s="538"/>
      <c r="R1372" s="538"/>
      <c r="S1372" s="343"/>
      <c r="T1372" s="343"/>
      <c r="U1372" s="538"/>
      <c r="V1372" s="343"/>
      <c r="W1372" s="343"/>
      <c r="X1372" s="538"/>
      <c r="Y1372" s="343"/>
      <c r="Z1372" s="343"/>
      <c r="AA1372" s="538"/>
      <c r="AB1372" s="343"/>
      <c r="AC1372" s="343"/>
      <c r="AE1372" s="343"/>
      <c r="AF1372" s="538"/>
      <c r="AG1372" s="343"/>
      <c r="AH1372" s="343"/>
      <c r="AI1372" s="538"/>
      <c r="AJ1372" s="343"/>
      <c r="AK1372" s="343"/>
      <c r="AL1372" s="538"/>
      <c r="AM1372" s="343"/>
      <c r="AN1372" s="343"/>
      <c r="AO1372" s="538"/>
      <c r="AP1372" s="343"/>
      <c r="AQ1372" s="343"/>
      <c r="AS1372" s="343"/>
      <c r="AT1372" s="538"/>
      <c r="AU1372" s="343"/>
      <c r="AV1372" s="343"/>
      <c r="AW1372" s="538"/>
      <c r="AX1372" s="343"/>
      <c r="AY1372" s="343"/>
      <c r="AZ1372" s="538"/>
      <c r="BA1372" s="343"/>
      <c r="BB1372" s="343"/>
      <c r="BC1372" s="538"/>
      <c r="BD1372" s="343"/>
      <c r="BE1372" s="343"/>
      <c r="BG1372" s="644"/>
      <c r="BH1372" s="515"/>
      <c r="BI1372" s="515"/>
      <c r="BJ1372" s="644"/>
      <c r="BK1372" s="515"/>
      <c r="BL1372" s="515"/>
      <c r="BM1372" s="644"/>
      <c r="BN1372" s="515"/>
      <c r="BO1372" s="515"/>
      <c r="BP1372" s="644"/>
      <c r="BQ1372" s="515"/>
      <c r="BR1372" s="515"/>
    </row>
    <row r="1373" spans="4:70" x14ac:dyDescent="0.25">
      <c r="D1373" s="538"/>
      <c r="G1373" s="538"/>
      <c r="J1373" s="538"/>
      <c r="M1373" s="538"/>
      <c r="R1373" s="538"/>
      <c r="S1373" s="343"/>
      <c r="T1373" s="343"/>
      <c r="U1373" s="538"/>
      <c r="V1373" s="343"/>
      <c r="W1373" s="343"/>
      <c r="X1373" s="538"/>
      <c r="Y1373" s="343"/>
      <c r="Z1373" s="343"/>
      <c r="AA1373" s="538"/>
      <c r="AB1373" s="343"/>
      <c r="AC1373" s="343"/>
      <c r="AE1373" s="343"/>
      <c r="AF1373" s="538"/>
      <c r="AG1373" s="343"/>
      <c r="AH1373" s="343"/>
      <c r="AI1373" s="538"/>
      <c r="AJ1373" s="343"/>
      <c r="AK1373" s="343"/>
      <c r="AL1373" s="538"/>
      <c r="AM1373" s="343"/>
      <c r="AN1373" s="343"/>
      <c r="AO1373" s="538"/>
      <c r="AP1373" s="343"/>
      <c r="AQ1373" s="343"/>
      <c r="AS1373" s="343"/>
      <c r="AT1373" s="538"/>
      <c r="AU1373" s="343"/>
      <c r="AV1373" s="343"/>
      <c r="AW1373" s="538"/>
      <c r="AX1373" s="343"/>
      <c r="AY1373" s="343"/>
      <c r="AZ1373" s="538"/>
      <c r="BA1373" s="343"/>
      <c r="BB1373" s="343"/>
      <c r="BC1373" s="538"/>
      <c r="BD1373" s="343"/>
      <c r="BE1373" s="343"/>
      <c r="BG1373" s="644"/>
      <c r="BH1373" s="515"/>
      <c r="BI1373" s="515"/>
      <c r="BJ1373" s="644"/>
      <c r="BK1373" s="515"/>
      <c r="BL1373" s="515"/>
      <c r="BM1373" s="644"/>
      <c r="BN1373" s="515"/>
      <c r="BO1373" s="515"/>
      <c r="BP1373" s="644"/>
      <c r="BQ1373" s="515"/>
      <c r="BR1373" s="515"/>
    </row>
    <row r="1374" spans="4:70" x14ac:dyDescent="0.25">
      <c r="D1374" s="538"/>
      <c r="G1374" s="538"/>
      <c r="J1374" s="538"/>
      <c r="M1374" s="538"/>
      <c r="R1374" s="538"/>
      <c r="S1374" s="343"/>
      <c r="T1374" s="343"/>
      <c r="U1374" s="538"/>
      <c r="V1374" s="343"/>
      <c r="W1374" s="343"/>
      <c r="X1374" s="538"/>
      <c r="Y1374" s="343"/>
      <c r="Z1374" s="343"/>
      <c r="AA1374" s="538"/>
      <c r="AB1374" s="343"/>
      <c r="AC1374" s="343"/>
      <c r="AE1374" s="343"/>
      <c r="AF1374" s="538"/>
      <c r="AG1374" s="343"/>
      <c r="AH1374" s="343"/>
      <c r="AI1374" s="538"/>
      <c r="AJ1374" s="343"/>
      <c r="AK1374" s="343"/>
      <c r="AL1374" s="538"/>
      <c r="AM1374" s="343"/>
      <c r="AN1374" s="343"/>
      <c r="AO1374" s="538"/>
      <c r="AP1374" s="343"/>
      <c r="AQ1374" s="343"/>
      <c r="AS1374" s="343"/>
      <c r="AT1374" s="538"/>
      <c r="AU1374" s="343"/>
      <c r="AV1374" s="343"/>
      <c r="AW1374" s="538"/>
      <c r="AX1374" s="343"/>
      <c r="AY1374" s="343"/>
      <c r="AZ1374" s="538"/>
      <c r="BA1374" s="343"/>
      <c r="BB1374" s="343"/>
      <c r="BC1374" s="538"/>
      <c r="BD1374" s="343"/>
      <c r="BE1374" s="343"/>
      <c r="BG1374" s="644"/>
      <c r="BH1374" s="515"/>
      <c r="BI1374" s="515"/>
      <c r="BJ1374" s="644"/>
      <c r="BK1374" s="515"/>
      <c r="BL1374" s="515"/>
      <c r="BM1374" s="644"/>
      <c r="BN1374" s="515"/>
      <c r="BO1374" s="515"/>
      <c r="BP1374" s="644"/>
      <c r="BQ1374" s="515"/>
      <c r="BR1374" s="515"/>
    </row>
    <row r="1375" spans="4:70" x14ac:dyDescent="0.25">
      <c r="D1375" s="538"/>
      <c r="G1375" s="538"/>
      <c r="J1375" s="538"/>
      <c r="M1375" s="538"/>
      <c r="R1375" s="538"/>
      <c r="S1375" s="343"/>
      <c r="T1375" s="343"/>
      <c r="U1375" s="538"/>
      <c r="V1375" s="343"/>
      <c r="W1375" s="343"/>
      <c r="X1375" s="538"/>
      <c r="Y1375" s="343"/>
      <c r="Z1375" s="343"/>
      <c r="AA1375" s="538"/>
      <c r="AB1375" s="343"/>
      <c r="AC1375" s="343"/>
      <c r="AE1375" s="343"/>
      <c r="AF1375" s="538"/>
      <c r="AG1375" s="343"/>
      <c r="AH1375" s="343"/>
      <c r="AI1375" s="538"/>
      <c r="AJ1375" s="343"/>
      <c r="AK1375" s="343"/>
      <c r="AL1375" s="538"/>
      <c r="AM1375" s="343"/>
      <c r="AN1375" s="343"/>
      <c r="AO1375" s="538"/>
      <c r="AP1375" s="343"/>
      <c r="AQ1375" s="343"/>
      <c r="AS1375" s="343"/>
      <c r="AT1375" s="538"/>
      <c r="AU1375" s="343"/>
      <c r="AV1375" s="343"/>
      <c r="AW1375" s="538"/>
      <c r="AX1375" s="343"/>
      <c r="AY1375" s="343"/>
      <c r="AZ1375" s="538"/>
      <c r="BA1375" s="343"/>
      <c r="BB1375" s="343"/>
      <c r="BC1375" s="538"/>
      <c r="BD1375" s="343"/>
      <c r="BE1375" s="343"/>
      <c r="BG1375" s="644"/>
      <c r="BH1375" s="515"/>
      <c r="BI1375" s="515"/>
      <c r="BJ1375" s="644"/>
      <c r="BK1375" s="515"/>
      <c r="BL1375" s="515"/>
      <c r="BM1375" s="644"/>
      <c r="BN1375" s="515"/>
      <c r="BO1375" s="515"/>
      <c r="BP1375" s="644"/>
      <c r="BQ1375" s="515"/>
      <c r="BR1375" s="515"/>
    </row>
    <row r="1376" spans="4:70" x14ac:dyDescent="0.25">
      <c r="D1376" s="538"/>
      <c r="G1376" s="538"/>
      <c r="J1376" s="538"/>
      <c r="M1376" s="538"/>
      <c r="R1376" s="538"/>
      <c r="S1376" s="343"/>
      <c r="T1376" s="343"/>
      <c r="U1376" s="538"/>
      <c r="V1376" s="343"/>
      <c r="W1376" s="343"/>
      <c r="X1376" s="538"/>
      <c r="Y1376" s="343"/>
      <c r="Z1376" s="343"/>
      <c r="AA1376" s="538"/>
      <c r="AB1376" s="343"/>
      <c r="AC1376" s="343"/>
      <c r="AE1376" s="343"/>
      <c r="AF1376" s="538"/>
      <c r="AG1376" s="343"/>
      <c r="AH1376" s="343"/>
      <c r="AI1376" s="538"/>
      <c r="AJ1376" s="343"/>
      <c r="AK1376" s="343"/>
      <c r="AL1376" s="538"/>
      <c r="AM1376" s="343"/>
      <c r="AN1376" s="343"/>
      <c r="AO1376" s="538"/>
      <c r="AP1376" s="343"/>
      <c r="AQ1376" s="343"/>
      <c r="AS1376" s="343"/>
      <c r="AT1376" s="538"/>
      <c r="AU1376" s="343"/>
      <c r="AV1376" s="343"/>
      <c r="AW1376" s="538"/>
      <c r="AX1376" s="343"/>
      <c r="AY1376" s="343"/>
      <c r="AZ1376" s="538"/>
      <c r="BA1376" s="343"/>
      <c r="BB1376" s="343"/>
      <c r="BC1376" s="538"/>
      <c r="BD1376" s="343"/>
      <c r="BE1376" s="343"/>
      <c r="BG1376" s="644"/>
      <c r="BH1376" s="515"/>
      <c r="BI1376" s="515"/>
      <c r="BJ1376" s="644"/>
      <c r="BK1376" s="515"/>
      <c r="BL1376" s="515"/>
      <c r="BM1376" s="644"/>
      <c r="BN1376" s="515"/>
      <c r="BO1376" s="515"/>
      <c r="BP1376" s="644"/>
      <c r="BQ1376" s="515"/>
      <c r="BR1376" s="515"/>
    </row>
    <row r="1377" spans="4:70" x14ac:dyDescent="0.25">
      <c r="D1377" s="538"/>
      <c r="G1377" s="538"/>
      <c r="J1377" s="538"/>
      <c r="M1377" s="538"/>
      <c r="R1377" s="538"/>
      <c r="S1377" s="343"/>
      <c r="T1377" s="343"/>
      <c r="U1377" s="538"/>
      <c r="V1377" s="343"/>
      <c r="W1377" s="343"/>
      <c r="X1377" s="538"/>
      <c r="Y1377" s="343"/>
      <c r="Z1377" s="343"/>
      <c r="AA1377" s="538"/>
      <c r="AB1377" s="343"/>
      <c r="AC1377" s="343"/>
      <c r="AE1377" s="343"/>
      <c r="AF1377" s="538"/>
      <c r="AG1377" s="343"/>
      <c r="AH1377" s="343"/>
      <c r="AI1377" s="538"/>
      <c r="AJ1377" s="343"/>
      <c r="AK1377" s="343"/>
      <c r="AL1377" s="538"/>
      <c r="AM1377" s="343"/>
      <c r="AN1377" s="343"/>
      <c r="AO1377" s="538"/>
      <c r="AP1377" s="343"/>
      <c r="AQ1377" s="343"/>
      <c r="AS1377" s="343"/>
      <c r="AT1377" s="538"/>
      <c r="AU1377" s="343"/>
      <c r="AV1377" s="343"/>
      <c r="AW1377" s="538"/>
      <c r="AX1377" s="343"/>
      <c r="AY1377" s="343"/>
      <c r="AZ1377" s="538"/>
      <c r="BA1377" s="343"/>
      <c r="BB1377" s="343"/>
      <c r="BC1377" s="538"/>
      <c r="BD1377" s="343"/>
      <c r="BE1377" s="343"/>
      <c r="BG1377" s="644"/>
      <c r="BH1377" s="515"/>
      <c r="BI1377" s="515"/>
      <c r="BJ1377" s="644"/>
      <c r="BK1377" s="515"/>
      <c r="BL1377" s="515"/>
      <c r="BM1377" s="644"/>
      <c r="BN1377" s="515"/>
      <c r="BO1377" s="515"/>
      <c r="BP1377" s="644"/>
      <c r="BQ1377" s="515"/>
      <c r="BR1377" s="515"/>
    </row>
    <row r="1378" spans="4:70" x14ac:dyDescent="0.25">
      <c r="D1378" s="538"/>
      <c r="G1378" s="538"/>
      <c r="J1378" s="538"/>
      <c r="M1378" s="538"/>
      <c r="R1378" s="538"/>
      <c r="S1378" s="343"/>
      <c r="T1378" s="343"/>
      <c r="U1378" s="538"/>
      <c r="V1378" s="343"/>
      <c r="W1378" s="343"/>
      <c r="X1378" s="538"/>
      <c r="Y1378" s="343"/>
      <c r="Z1378" s="343"/>
      <c r="AA1378" s="538"/>
      <c r="AB1378" s="343"/>
      <c r="AC1378" s="343"/>
      <c r="AE1378" s="343"/>
      <c r="AF1378" s="538"/>
      <c r="AG1378" s="343"/>
      <c r="AH1378" s="343"/>
      <c r="AI1378" s="538"/>
      <c r="AJ1378" s="343"/>
      <c r="AK1378" s="343"/>
      <c r="AL1378" s="538"/>
      <c r="AM1378" s="343"/>
      <c r="AN1378" s="343"/>
      <c r="AO1378" s="538"/>
      <c r="AP1378" s="343"/>
      <c r="AQ1378" s="343"/>
      <c r="AS1378" s="343"/>
      <c r="AT1378" s="538"/>
      <c r="AU1378" s="343"/>
      <c r="AV1378" s="343"/>
      <c r="AW1378" s="538"/>
      <c r="AX1378" s="343"/>
      <c r="AY1378" s="343"/>
      <c r="AZ1378" s="538"/>
      <c r="BA1378" s="343"/>
      <c r="BB1378" s="343"/>
      <c r="BC1378" s="538"/>
      <c r="BD1378" s="343"/>
      <c r="BE1378" s="343"/>
      <c r="BG1378" s="644"/>
      <c r="BH1378" s="515"/>
      <c r="BI1378" s="515"/>
      <c r="BJ1378" s="644"/>
      <c r="BK1378" s="515"/>
      <c r="BL1378" s="515"/>
      <c r="BM1378" s="644"/>
      <c r="BN1378" s="515"/>
      <c r="BO1378" s="515"/>
      <c r="BP1378" s="644"/>
      <c r="BQ1378" s="515"/>
      <c r="BR1378" s="515"/>
    </row>
    <row r="1379" spans="4:70" x14ac:dyDescent="0.25">
      <c r="D1379" s="538"/>
      <c r="G1379" s="538"/>
      <c r="J1379" s="538"/>
      <c r="M1379" s="538"/>
      <c r="R1379" s="538"/>
      <c r="S1379" s="343"/>
      <c r="T1379" s="343"/>
      <c r="U1379" s="538"/>
      <c r="V1379" s="343"/>
      <c r="W1379" s="343"/>
      <c r="X1379" s="538"/>
      <c r="Y1379" s="343"/>
      <c r="Z1379" s="343"/>
      <c r="AA1379" s="538"/>
      <c r="AB1379" s="343"/>
      <c r="AC1379" s="343"/>
      <c r="AE1379" s="343"/>
      <c r="AF1379" s="538"/>
      <c r="AG1379" s="343"/>
      <c r="AH1379" s="343"/>
      <c r="AI1379" s="538"/>
      <c r="AJ1379" s="343"/>
      <c r="AK1379" s="343"/>
      <c r="AL1379" s="538"/>
      <c r="AM1379" s="343"/>
      <c r="AN1379" s="343"/>
      <c r="AO1379" s="538"/>
      <c r="AP1379" s="343"/>
      <c r="AQ1379" s="343"/>
      <c r="AS1379" s="343"/>
      <c r="AT1379" s="538"/>
      <c r="AU1379" s="343"/>
      <c r="AV1379" s="343"/>
      <c r="AW1379" s="538"/>
      <c r="AX1379" s="343"/>
      <c r="AY1379" s="343"/>
      <c r="AZ1379" s="538"/>
      <c r="BA1379" s="343"/>
      <c r="BB1379" s="343"/>
      <c r="BC1379" s="538"/>
      <c r="BD1379" s="343"/>
      <c r="BE1379" s="343"/>
      <c r="BG1379" s="644"/>
      <c r="BH1379" s="515"/>
      <c r="BI1379" s="515"/>
      <c r="BJ1379" s="644"/>
      <c r="BK1379" s="515"/>
      <c r="BL1379" s="515"/>
      <c r="BM1379" s="644"/>
      <c r="BN1379" s="515"/>
      <c r="BO1379" s="515"/>
      <c r="BP1379" s="644"/>
      <c r="BQ1379" s="515"/>
      <c r="BR1379" s="515"/>
    </row>
    <row r="1380" spans="4:70" x14ac:dyDescent="0.25">
      <c r="D1380" s="538"/>
      <c r="G1380" s="538"/>
      <c r="J1380" s="538"/>
      <c r="M1380" s="538"/>
      <c r="R1380" s="538"/>
      <c r="S1380" s="343"/>
      <c r="T1380" s="343"/>
      <c r="U1380" s="538"/>
      <c r="V1380" s="343"/>
      <c r="W1380" s="343"/>
      <c r="X1380" s="538"/>
      <c r="Y1380" s="343"/>
      <c r="Z1380" s="343"/>
      <c r="AA1380" s="538"/>
      <c r="AB1380" s="343"/>
      <c r="AC1380" s="343"/>
      <c r="AE1380" s="343"/>
      <c r="AF1380" s="538"/>
      <c r="AG1380" s="343"/>
      <c r="AH1380" s="343"/>
      <c r="AI1380" s="538"/>
      <c r="AJ1380" s="343"/>
      <c r="AK1380" s="343"/>
      <c r="AL1380" s="538"/>
      <c r="AM1380" s="343"/>
      <c r="AN1380" s="343"/>
      <c r="AO1380" s="538"/>
      <c r="AP1380" s="343"/>
      <c r="AQ1380" s="343"/>
      <c r="AS1380" s="343"/>
      <c r="AT1380" s="538"/>
      <c r="AU1380" s="343"/>
      <c r="AV1380" s="343"/>
      <c r="AW1380" s="538"/>
      <c r="AX1380" s="343"/>
      <c r="AY1380" s="343"/>
      <c r="AZ1380" s="538"/>
      <c r="BA1380" s="343"/>
      <c r="BB1380" s="343"/>
      <c r="BC1380" s="538"/>
      <c r="BD1380" s="343"/>
      <c r="BE1380" s="343"/>
      <c r="BG1380" s="644"/>
      <c r="BH1380" s="515"/>
      <c r="BI1380" s="515"/>
      <c r="BJ1380" s="644"/>
      <c r="BK1380" s="515"/>
      <c r="BL1380" s="515"/>
      <c r="BM1380" s="644"/>
      <c r="BN1380" s="515"/>
      <c r="BO1380" s="515"/>
      <c r="BP1380" s="644"/>
      <c r="BQ1380" s="515"/>
      <c r="BR1380" s="515"/>
    </row>
    <row r="1381" spans="4:70" x14ac:dyDescent="0.25">
      <c r="D1381" s="538"/>
      <c r="G1381" s="538"/>
      <c r="J1381" s="538"/>
      <c r="M1381" s="538"/>
      <c r="R1381" s="538"/>
      <c r="S1381" s="343"/>
      <c r="T1381" s="343"/>
      <c r="U1381" s="538"/>
      <c r="V1381" s="343"/>
      <c r="W1381" s="343"/>
      <c r="X1381" s="538"/>
      <c r="Y1381" s="343"/>
      <c r="Z1381" s="343"/>
      <c r="AA1381" s="538"/>
      <c r="AB1381" s="343"/>
      <c r="AC1381" s="343"/>
      <c r="AE1381" s="343"/>
      <c r="AF1381" s="538"/>
      <c r="AG1381" s="343"/>
      <c r="AH1381" s="343"/>
      <c r="AI1381" s="538"/>
      <c r="AJ1381" s="343"/>
      <c r="AK1381" s="343"/>
      <c r="AL1381" s="538"/>
      <c r="AM1381" s="343"/>
      <c r="AN1381" s="343"/>
      <c r="AO1381" s="538"/>
      <c r="AP1381" s="343"/>
      <c r="AQ1381" s="343"/>
      <c r="AS1381" s="343"/>
      <c r="AT1381" s="538"/>
      <c r="AU1381" s="343"/>
      <c r="AV1381" s="343"/>
      <c r="AW1381" s="538"/>
      <c r="AX1381" s="343"/>
      <c r="AY1381" s="343"/>
      <c r="AZ1381" s="538"/>
      <c r="BA1381" s="343"/>
      <c r="BB1381" s="343"/>
      <c r="BC1381" s="538"/>
      <c r="BD1381" s="343"/>
      <c r="BE1381" s="343"/>
      <c r="BG1381" s="644"/>
      <c r="BH1381" s="515"/>
      <c r="BI1381" s="515"/>
      <c r="BJ1381" s="644"/>
      <c r="BK1381" s="515"/>
      <c r="BL1381" s="515"/>
      <c r="BM1381" s="644"/>
      <c r="BN1381" s="515"/>
      <c r="BO1381" s="515"/>
      <c r="BP1381" s="644"/>
      <c r="BQ1381" s="515"/>
      <c r="BR1381" s="515"/>
    </row>
    <row r="1382" spans="4:70" x14ac:dyDescent="0.25">
      <c r="D1382" s="538"/>
      <c r="G1382" s="538"/>
      <c r="J1382" s="538"/>
      <c r="M1382" s="538"/>
      <c r="R1382" s="538"/>
      <c r="S1382" s="343"/>
      <c r="T1382" s="343"/>
      <c r="U1382" s="538"/>
      <c r="V1382" s="343"/>
      <c r="W1382" s="343"/>
      <c r="X1382" s="538"/>
      <c r="Y1382" s="343"/>
      <c r="Z1382" s="343"/>
      <c r="AA1382" s="538"/>
      <c r="AB1382" s="343"/>
      <c r="AC1382" s="343"/>
      <c r="AE1382" s="343"/>
      <c r="AF1382" s="538"/>
      <c r="AG1382" s="343"/>
      <c r="AH1382" s="343"/>
      <c r="AI1382" s="538"/>
      <c r="AJ1382" s="343"/>
      <c r="AK1382" s="343"/>
      <c r="AL1382" s="538"/>
      <c r="AM1382" s="343"/>
      <c r="AN1382" s="343"/>
      <c r="AO1382" s="538"/>
      <c r="AP1382" s="343"/>
      <c r="AQ1382" s="343"/>
      <c r="AS1382" s="343"/>
      <c r="AT1382" s="538"/>
      <c r="AU1382" s="343"/>
      <c r="AV1382" s="343"/>
      <c r="AW1382" s="538"/>
      <c r="AX1382" s="343"/>
      <c r="AY1382" s="343"/>
      <c r="AZ1382" s="538"/>
      <c r="BA1382" s="343"/>
      <c r="BB1382" s="343"/>
      <c r="BC1382" s="538"/>
      <c r="BD1382" s="343"/>
      <c r="BE1382" s="343"/>
      <c r="BG1382" s="644"/>
      <c r="BH1382" s="515"/>
      <c r="BI1382" s="515"/>
      <c r="BJ1382" s="644"/>
      <c r="BK1382" s="515"/>
      <c r="BL1382" s="515"/>
      <c r="BM1382" s="644"/>
      <c r="BN1382" s="515"/>
      <c r="BO1382" s="515"/>
      <c r="BP1382" s="644"/>
      <c r="BQ1382" s="515"/>
      <c r="BR1382" s="515"/>
    </row>
    <row r="1383" spans="4:70" x14ac:dyDescent="0.25">
      <c r="D1383" s="538"/>
      <c r="G1383" s="538"/>
      <c r="J1383" s="538"/>
      <c r="M1383" s="538"/>
      <c r="R1383" s="538"/>
      <c r="S1383" s="343"/>
      <c r="T1383" s="343"/>
      <c r="U1383" s="538"/>
      <c r="V1383" s="343"/>
      <c r="W1383" s="343"/>
      <c r="X1383" s="538"/>
      <c r="Y1383" s="343"/>
      <c r="Z1383" s="343"/>
      <c r="AA1383" s="538"/>
      <c r="AB1383" s="343"/>
      <c r="AC1383" s="343"/>
      <c r="AE1383" s="343"/>
      <c r="AF1383" s="538"/>
      <c r="AG1383" s="343"/>
      <c r="AH1383" s="343"/>
      <c r="AI1383" s="538"/>
      <c r="AJ1383" s="343"/>
      <c r="AK1383" s="343"/>
      <c r="AL1383" s="538"/>
      <c r="AM1383" s="343"/>
      <c r="AN1383" s="343"/>
      <c r="AO1383" s="538"/>
      <c r="AP1383" s="343"/>
      <c r="AQ1383" s="343"/>
      <c r="AS1383" s="343"/>
      <c r="AT1383" s="538"/>
      <c r="AU1383" s="343"/>
      <c r="AV1383" s="343"/>
      <c r="AW1383" s="538"/>
      <c r="AX1383" s="343"/>
      <c r="AY1383" s="343"/>
      <c r="AZ1383" s="538"/>
      <c r="BA1383" s="343"/>
      <c r="BB1383" s="343"/>
      <c r="BC1383" s="538"/>
      <c r="BD1383" s="343"/>
      <c r="BE1383" s="343"/>
      <c r="BG1383" s="644"/>
      <c r="BH1383" s="515"/>
      <c r="BI1383" s="515"/>
      <c r="BJ1383" s="644"/>
      <c r="BK1383" s="515"/>
      <c r="BL1383" s="515"/>
      <c r="BM1383" s="644"/>
      <c r="BN1383" s="515"/>
      <c r="BO1383" s="515"/>
      <c r="BP1383" s="644"/>
      <c r="BQ1383" s="515"/>
      <c r="BR1383" s="515"/>
    </row>
    <row r="1384" spans="4:70" x14ac:dyDescent="0.25">
      <c r="D1384" s="538"/>
      <c r="G1384" s="538"/>
      <c r="J1384" s="538"/>
      <c r="M1384" s="538"/>
      <c r="R1384" s="538"/>
      <c r="S1384" s="343"/>
      <c r="T1384" s="343"/>
      <c r="U1384" s="538"/>
      <c r="V1384" s="343"/>
      <c r="W1384" s="343"/>
      <c r="X1384" s="538"/>
      <c r="Y1384" s="343"/>
      <c r="Z1384" s="343"/>
      <c r="AA1384" s="538"/>
      <c r="AB1384" s="343"/>
      <c r="AC1384" s="343"/>
      <c r="AE1384" s="343"/>
      <c r="AF1384" s="538"/>
      <c r="AG1384" s="343"/>
      <c r="AH1384" s="343"/>
      <c r="AI1384" s="538"/>
      <c r="AJ1384" s="343"/>
      <c r="AK1384" s="343"/>
      <c r="AL1384" s="538"/>
      <c r="AM1384" s="343"/>
      <c r="AN1384" s="343"/>
      <c r="AO1384" s="538"/>
      <c r="AP1384" s="343"/>
      <c r="AQ1384" s="343"/>
      <c r="AS1384" s="343"/>
      <c r="AT1384" s="538"/>
      <c r="AU1384" s="343"/>
      <c r="AV1384" s="343"/>
      <c r="AW1384" s="538"/>
      <c r="AX1384" s="343"/>
      <c r="AY1384" s="343"/>
      <c r="AZ1384" s="538"/>
      <c r="BA1384" s="343"/>
      <c r="BB1384" s="343"/>
      <c r="BC1384" s="538"/>
      <c r="BD1384" s="343"/>
      <c r="BE1384" s="343"/>
      <c r="BG1384" s="644"/>
      <c r="BH1384" s="515"/>
      <c r="BI1384" s="515"/>
      <c r="BJ1384" s="644"/>
      <c r="BK1384" s="515"/>
      <c r="BL1384" s="515"/>
      <c r="BM1384" s="644"/>
      <c r="BN1384" s="515"/>
      <c r="BO1384" s="515"/>
      <c r="BP1384" s="644"/>
      <c r="BQ1384" s="515"/>
      <c r="BR1384" s="515"/>
    </row>
    <row r="1385" spans="4:70" x14ac:dyDescent="0.25">
      <c r="D1385" s="538"/>
      <c r="G1385" s="538"/>
      <c r="J1385" s="538"/>
      <c r="M1385" s="538"/>
      <c r="R1385" s="538"/>
      <c r="S1385" s="343"/>
      <c r="T1385" s="343"/>
      <c r="U1385" s="538"/>
      <c r="V1385" s="343"/>
      <c r="W1385" s="343"/>
      <c r="X1385" s="538"/>
      <c r="Y1385" s="343"/>
      <c r="Z1385" s="343"/>
      <c r="AA1385" s="538"/>
      <c r="AB1385" s="343"/>
      <c r="AC1385" s="343"/>
      <c r="AE1385" s="343"/>
      <c r="AF1385" s="538"/>
      <c r="AG1385" s="343"/>
      <c r="AH1385" s="343"/>
      <c r="AI1385" s="538"/>
      <c r="AJ1385" s="343"/>
      <c r="AK1385" s="343"/>
      <c r="AL1385" s="538"/>
      <c r="AM1385" s="343"/>
      <c r="AN1385" s="343"/>
      <c r="AO1385" s="538"/>
      <c r="AP1385" s="343"/>
      <c r="AQ1385" s="343"/>
      <c r="AS1385" s="343"/>
      <c r="AT1385" s="538"/>
      <c r="AU1385" s="343"/>
      <c r="AV1385" s="343"/>
      <c r="AW1385" s="538"/>
      <c r="AX1385" s="343"/>
      <c r="AY1385" s="343"/>
      <c r="AZ1385" s="538"/>
      <c r="BA1385" s="343"/>
      <c r="BB1385" s="343"/>
      <c r="BC1385" s="538"/>
      <c r="BD1385" s="343"/>
      <c r="BE1385" s="343"/>
      <c r="BG1385" s="644"/>
      <c r="BH1385" s="515"/>
      <c r="BI1385" s="515"/>
      <c r="BJ1385" s="644"/>
      <c r="BK1385" s="515"/>
      <c r="BL1385" s="515"/>
      <c r="BM1385" s="644"/>
      <c r="BN1385" s="515"/>
      <c r="BO1385" s="515"/>
      <c r="BP1385" s="644"/>
      <c r="BQ1385" s="515"/>
      <c r="BR1385" s="515"/>
    </row>
    <row r="1386" spans="4:70" x14ac:dyDescent="0.25">
      <c r="D1386" s="538"/>
      <c r="G1386" s="538"/>
      <c r="J1386" s="538"/>
      <c r="M1386" s="538"/>
      <c r="R1386" s="538"/>
      <c r="S1386" s="343"/>
      <c r="T1386" s="343"/>
      <c r="U1386" s="538"/>
      <c r="V1386" s="343"/>
      <c r="W1386" s="343"/>
      <c r="X1386" s="538"/>
      <c r="Y1386" s="343"/>
      <c r="Z1386" s="343"/>
      <c r="AA1386" s="538"/>
      <c r="AB1386" s="343"/>
      <c r="AC1386" s="343"/>
      <c r="AE1386" s="343"/>
      <c r="AF1386" s="538"/>
      <c r="AG1386" s="343"/>
      <c r="AH1386" s="343"/>
      <c r="AI1386" s="538"/>
      <c r="AJ1386" s="343"/>
      <c r="AK1386" s="343"/>
      <c r="AL1386" s="538"/>
      <c r="AM1386" s="343"/>
      <c r="AN1386" s="343"/>
      <c r="AO1386" s="538"/>
      <c r="AP1386" s="343"/>
      <c r="AQ1386" s="343"/>
      <c r="AS1386" s="343"/>
      <c r="AT1386" s="538"/>
      <c r="AU1386" s="343"/>
      <c r="AV1386" s="343"/>
      <c r="AW1386" s="538"/>
      <c r="AX1386" s="343"/>
      <c r="AY1386" s="343"/>
      <c r="AZ1386" s="538"/>
      <c r="BA1386" s="343"/>
      <c r="BB1386" s="343"/>
      <c r="BC1386" s="538"/>
      <c r="BD1386" s="343"/>
      <c r="BE1386" s="343"/>
      <c r="BG1386" s="644"/>
      <c r="BH1386" s="515"/>
      <c r="BI1386" s="515"/>
      <c r="BJ1386" s="644"/>
      <c r="BK1386" s="515"/>
      <c r="BL1386" s="515"/>
      <c r="BM1386" s="644"/>
      <c r="BN1386" s="515"/>
      <c r="BO1386" s="515"/>
      <c r="BP1386" s="644"/>
      <c r="BQ1386" s="515"/>
      <c r="BR1386" s="515"/>
    </row>
    <row r="1387" spans="4:70" x14ac:dyDescent="0.25">
      <c r="D1387" s="538"/>
      <c r="G1387" s="538"/>
      <c r="J1387" s="538"/>
      <c r="M1387" s="538"/>
      <c r="R1387" s="538"/>
      <c r="S1387" s="343"/>
      <c r="T1387" s="343"/>
      <c r="U1387" s="538"/>
      <c r="V1387" s="343"/>
      <c r="W1387" s="343"/>
      <c r="X1387" s="538"/>
      <c r="Y1387" s="343"/>
      <c r="Z1387" s="343"/>
      <c r="AA1387" s="538"/>
      <c r="AB1387" s="343"/>
      <c r="AC1387" s="343"/>
      <c r="AE1387" s="343"/>
      <c r="AF1387" s="538"/>
      <c r="AG1387" s="343"/>
      <c r="AH1387" s="343"/>
      <c r="AI1387" s="538"/>
      <c r="AJ1387" s="343"/>
      <c r="AK1387" s="343"/>
      <c r="AL1387" s="538"/>
      <c r="AM1387" s="343"/>
      <c r="AN1387" s="343"/>
      <c r="AO1387" s="538"/>
      <c r="AP1387" s="343"/>
      <c r="AQ1387" s="343"/>
      <c r="AS1387" s="343"/>
      <c r="AT1387" s="538"/>
      <c r="AU1387" s="343"/>
      <c r="AV1387" s="343"/>
      <c r="AW1387" s="538"/>
      <c r="AX1387" s="343"/>
      <c r="AY1387" s="343"/>
      <c r="AZ1387" s="538"/>
      <c r="BA1387" s="343"/>
      <c r="BB1387" s="343"/>
      <c r="BC1387" s="538"/>
      <c r="BD1387" s="343"/>
      <c r="BE1387" s="343"/>
      <c r="BG1387" s="644"/>
      <c r="BH1387" s="515"/>
      <c r="BI1387" s="515"/>
      <c r="BJ1387" s="644"/>
      <c r="BK1387" s="515"/>
      <c r="BL1387" s="515"/>
      <c r="BM1387" s="644"/>
      <c r="BN1387" s="515"/>
      <c r="BO1387" s="515"/>
      <c r="BP1387" s="644"/>
      <c r="BQ1387" s="515"/>
      <c r="BR1387" s="515"/>
    </row>
    <row r="1388" spans="4:70" x14ac:dyDescent="0.25">
      <c r="D1388" s="538"/>
      <c r="G1388" s="538"/>
      <c r="J1388" s="538"/>
      <c r="M1388" s="538"/>
      <c r="R1388" s="538"/>
      <c r="S1388" s="343"/>
      <c r="T1388" s="343"/>
      <c r="U1388" s="538"/>
      <c r="V1388" s="343"/>
      <c r="W1388" s="343"/>
      <c r="X1388" s="538"/>
      <c r="Y1388" s="343"/>
      <c r="Z1388" s="343"/>
      <c r="AA1388" s="538"/>
      <c r="AB1388" s="343"/>
      <c r="AC1388" s="343"/>
      <c r="AE1388" s="343"/>
      <c r="AF1388" s="538"/>
      <c r="AG1388" s="343"/>
      <c r="AH1388" s="343"/>
      <c r="AI1388" s="538"/>
      <c r="AJ1388" s="343"/>
      <c r="AK1388" s="343"/>
      <c r="AL1388" s="538"/>
      <c r="AM1388" s="343"/>
      <c r="AN1388" s="343"/>
      <c r="AO1388" s="538"/>
      <c r="AP1388" s="343"/>
      <c r="AQ1388" s="343"/>
      <c r="AS1388" s="343"/>
      <c r="AT1388" s="538"/>
      <c r="AU1388" s="343"/>
      <c r="AV1388" s="343"/>
      <c r="AW1388" s="538"/>
      <c r="AX1388" s="343"/>
      <c r="AY1388" s="343"/>
      <c r="AZ1388" s="538"/>
      <c r="BA1388" s="343"/>
      <c r="BB1388" s="343"/>
      <c r="BC1388" s="538"/>
      <c r="BD1388" s="343"/>
      <c r="BE1388" s="343"/>
      <c r="BG1388" s="644"/>
      <c r="BH1388" s="515"/>
      <c r="BI1388" s="515"/>
      <c r="BJ1388" s="644"/>
      <c r="BK1388" s="515"/>
      <c r="BL1388" s="515"/>
      <c r="BM1388" s="644"/>
      <c r="BN1388" s="515"/>
      <c r="BO1388" s="515"/>
      <c r="BP1388" s="644"/>
      <c r="BQ1388" s="515"/>
      <c r="BR1388" s="515"/>
    </row>
    <row r="1389" spans="4:70" x14ac:dyDescent="0.25">
      <c r="D1389" s="538"/>
      <c r="G1389" s="538"/>
      <c r="J1389" s="538"/>
      <c r="M1389" s="538"/>
      <c r="R1389" s="538"/>
      <c r="S1389" s="343"/>
      <c r="T1389" s="343"/>
      <c r="U1389" s="538"/>
      <c r="V1389" s="343"/>
      <c r="W1389" s="343"/>
      <c r="X1389" s="538"/>
      <c r="Y1389" s="343"/>
      <c r="Z1389" s="343"/>
      <c r="AA1389" s="538"/>
      <c r="AB1389" s="343"/>
      <c r="AC1389" s="343"/>
      <c r="AE1389" s="343"/>
      <c r="AF1389" s="538"/>
      <c r="AG1389" s="343"/>
      <c r="AH1389" s="343"/>
      <c r="AI1389" s="538"/>
      <c r="AJ1389" s="343"/>
      <c r="AK1389" s="343"/>
      <c r="AL1389" s="538"/>
      <c r="AM1389" s="343"/>
      <c r="AN1389" s="343"/>
      <c r="AO1389" s="538"/>
      <c r="AP1389" s="343"/>
      <c r="AQ1389" s="343"/>
      <c r="AS1389" s="343"/>
      <c r="AT1389" s="538"/>
      <c r="AU1389" s="343"/>
      <c r="AV1389" s="343"/>
      <c r="AW1389" s="538"/>
      <c r="AX1389" s="343"/>
      <c r="AY1389" s="343"/>
      <c r="AZ1389" s="538"/>
      <c r="BA1389" s="343"/>
      <c r="BB1389" s="343"/>
      <c r="BC1389" s="538"/>
      <c r="BD1389" s="343"/>
      <c r="BE1389" s="343"/>
      <c r="BG1389" s="644"/>
      <c r="BH1389" s="515"/>
      <c r="BI1389" s="515"/>
      <c r="BJ1389" s="644"/>
      <c r="BK1389" s="515"/>
      <c r="BL1389" s="515"/>
      <c r="BM1389" s="644"/>
      <c r="BN1389" s="515"/>
      <c r="BO1389" s="515"/>
      <c r="BP1389" s="644"/>
      <c r="BQ1389" s="515"/>
      <c r="BR1389" s="515"/>
    </row>
    <row r="1390" spans="4:70" x14ac:dyDescent="0.25">
      <c r="D1390" s="538"/>
      <c r="G1390" s="538"/>
      <c r="J1390" s="538"/>
      <c r="M1390" s="538"/>
      <c r="R1390" s="538"/>
      <c r="S1390" s="343"/>
      <c r="T1390" s="343"/>
      <c r="U1390" s="538"/>
      <c r="V1390" s="343"/>
      <c r="W1390" s="343"/>
      <c r="X1390" s="538"/>
      <c r="Y1390" s="343"/>
      <c r="Z1390" s="343"/>
      <c r="AA1390" s="538"/>
      <c r="AB1390" s="343"/>
      <c r="AC1390" s="343"/>
      <c r="AE1390" s="343"/>
      <c r="AF1390" s="538"/>
      <c r="AG1390" s="343"/>
      <c r="AH1390" s="343"/>
      <c r="AI1390" s="538"/>
      <c r="AJ1390" s="343"/>
      <c r="AK1390" s="343"/>
      <c r="AL1390" s="538"/>
      <c r="AM1390" s="343"/>
      <c r="AN1390" s="343"/>
      <c r="AO1390" s="538"/>
      <c r="AP1390" s="343"/>
      <c r="AQ1390" s="343"/>
      <c r="AS1390" s="343"/>
      <c r="AT1390" s="538"/>
      <c r="AU1390" s="343"/>
      <c r="AV1390" s="343"/>
      <c r="AW1390" s="538"/>
      <c r="AX1390" s="343"/>
      <c r="AY1390" s="343"/>
      <c r="AZ1390" s="538"/>
      <c r="BA1390" s="343"/>
      <c r="BB1390" s="343"/>
      <c r="BC1390" s="538"/>
      <c r="BD1390" s="343"/>
      <c r="BE1390" s="343"/>
      <c r="BG1390" s="644"/>
      <c r="BH1390" s="515"/>
      <c r="BI1390" s="515"/>
      <c r="BJ1390" s="644"/>
      <c r="BK1390" s="515"/>
      <c r="BL1390" s="515"/>
      <c r="BM1390" s="644"/>
      <c r="BN1390" s="515"/>
      <c r="BO1390" s="515"/>
      <c r="BP1390" s="644"/>
      <c r="BQ1390" s="515"/>
      <c r="BR1390" s="515"/>
    </row>
    <row r="1391" spans="4:70" x14ac:dyDescent="0.25">
      <c r="D1391" s="538"/>
      <c r="G1391" s="538"/>
      <c r="J1391" s="538"/>
      <c r="M1391" s="538"/>
      <c r="R1391" s="538"/>
      <c r="S1391" s="343"/>
      <c r="T1391" s="343"/>
      <c r="U1391" s="538"/>
      <c r="V1391" s="343"/>
      <c r="W1391" s="343"/>
      <c r="X1391" s="538"/>
      <c r="Y1391" s="343"/>
      <c r="Z1391" s="343"/>
      <c r="AA1391" s="538"/>
      <c r="AB1391" s="343"/>
      <c r="AC1391" s="343"/>
      <c r="AE1391" s="343"/>
      <c r="AF1391" s="538"/>
      <c r="AG1391" s="343"/>
      <c r="AH1391" s="343"/>
      <c r="AI1391" s="538"/>
      <c r="AJ1391" s="343"/>
      <c r="AK1391" s="343"/>
      <c r="AL1391" s="538"/>
      <c r="AM1391" s="343"/>
      <c r="AN1391" s="343"/>
      <c r="AO1391" s="538"/>
      <c r="AP1391" s="343"/>
      <c r="AQ1391" s="343"/>
      <c r="AS1391" s="343"/>
      <c r="AT1391" s="538"/>
      <c r="AU1391" s="343"/>
      <c r="AV1391" s="343"/>
      <c r="AW1391" s="538"/>
      <c r="AX1391" s="343"/>
      <c r="AY1391" s="343"/>
      <c r="AZ1391" s="538"/>
      <c r="BA1391" s="343"/>
      <c r="BB1391" s="343"/>
      <c r="BC1391" s="538"/>
      <c r="BD1391" s="343"/>
      <c r="BE1391" s="343"/>
      <c r="BG1391" s="644"/>
      <c r="BH1391" s="515"/>
      <c r="BI1391" s="515"/>
      <c r="BJ1391" s="644"/>
      <c r="BK1391" s="515"/>
      <c r="BL1391" s="515"/>
      <c r="BM1391" s="644"/>
      <c r="BN1391" s="515"/>
      <c r="BO1391" s="515"/>
      <c r="BP1391" s="644"/>
      <c r="BQ1391" s="515"/>
      <c r="BR1391" s="515"/>
    </row>
    <row r="1392" spans="4:70" x14ac:dyDescent="0.25">
      <c r="D1392" s="538"/>
      <c r="G1392" s="538"/>
      <c r="J1392" s="538"/>
      <c r="M1392" s="538"/>
      <c r="R1392" s="538"/>
      <c r="S1392" s="343"/>
      <c r="T1392" s="343"/>
      <c r="U1392" s="538"/>
      <c r="V1392" s="343"/>
      <c r="W1392" s="343"/>
      <c r="X1392" s="538"/>
      <c r="Y1392" s="343"/>
      <c r="Z1392" s="343"/>
      <c r="AA1392" s="538"/>
      <c r="AB1392" s="343"/>
      <c r="AC1392" s="343"/>
      <c r="AE1392" s="343"/>
      <c r="AF1392" s="538"/>
      <c r="AG1392" s="343"/>
      <c r="AH1392" s="343"/>
      <c r="AI1392" s="538"/>
      <c r="AJ1392" s="343"/>
      <c r="AK1392" s="343"/>
      <c r="AL1392" s="538"/>
      <c r="AM1392" s="343"/>
      <c r="AN1392" s="343"/>
      <c r="AO1392" s="538"/>
      <c r="AP1392" s="343"/>
      <c r="AQ1392" s="343"/>
      <c r="AS1392" s="343"/>
      <c r="AT1392" s="538"/>
      <c r="AU1392" s="343"/>
      <c r="AV1392" s="343"/>
      <c r="AW1392" s="538"/>
      <c r="AX1392" s="343"/>
      <c r="AY1392" s="343"/>
      <c r="AZ1392" s="538"/>
      <c r="BA1392" s="343"/>
      <c r="BB1392" s="343"/>
      <c r="BC1392" s="538"/>
      <c r="BD1392" s="343"/>
      <c r="BE1392" s="343"/>
      <c r="BG1392" s="644"/>
      <c r="BH1392" s="515"/>
      <c r="BI1392" s="515"/>
      <c r="BJ1392" s="644"/>
      <c r="BK1392" s="515"/>
      <c r="BL1392" s="515"/>
      <c r="BM1392" s="644"/>
      <c r="BN1392" s="515"/>
      <c r="BO1392" s="515"/>
      <c r="BP1392" s="644"/>
      <c r="BQ1392" s="515"/>
      <c r="BR1392" s="515"/>
    </row>
    <row r="1393" spans="4:70" x14ac:dyDescent="0.25">
      <c r="D1393" s="538"/>
      <c r="G1393" s="538"/>
      <c r="J1393" s="538"/>
      <c r="M1393" s="538"/>
      <c r="R1393" s="538"/>
      <c r="S1393" s="343"/>
      <c r="T1393" s="343"/>
      <c r="U1393" s="538"/>
      <c r="V1393" s="343"/>
      <c r="W1393" s="343"/>
      <c r="X1393" s="538"/>
      <c r="Y1393" s="343"/>
      <c r="Z1393" s="343"/>
      <c r="AA1393" s="538"/>
      <c r="AB1393" s="343"/>
      <c r="AC1393" s="343"/>
      <c r="AE1393" s="343"/>
      <c r="AF1393" s="538"/>
      <c r="AG1393" s="343"/>
      <c r="AH1393" s="343"/>
      <c r="AI1393" s="538"/>
      <c r="AJ1393" s="343"/>
      <c r="AK1393" s="343"/>
      <c r="AL1393" s="538"/>
      <c r="AM1393" s="343"/>
      <c r="AN1393" s="343"/>
      <c r="AO1393" s="538"/>
      <c r="AP1393" s="343"/>
      <c r="AQ1393" s="343"/>
      <c r="AS1393" s="343"/>
      <c r="AT1393" s="538"/>
      <c r="AU1393" s="343"/>
      <c r="AV1393" s="343"/>
      <c r="AW1393" s="538"/>
      <c r="AX1393" s="343"/>
      <c r="AY1393" s="343"/>
      <c r="AZ1393" s="538"/>
      <c r="BA1393" s="343"/>
      <c r="BB1393" s="343"/>
      <c r="BC1393" s="538"/>
      <c r="BD1393" s="343"/>
      <c r="BE1393" s="343"/>
      <c r="BG1393" s="644"/>
      <c r="BH1393" s="515"/>
      <c r="BI1393" s="515"/>
      <c r="BJ1393" s="644"/>
      <c r="BK1393" s="515"/>
      <c r="BL1393" s="515"/>
      <c r="BM1393" s="644"/>
      <c r="BN1393" s="515"/>
      <c r="BO1393" s="515"/>
      <c r="BP1393" s="644"/>
      <c r="BQ1393" s="515"/>
      <c r="BR1393" s="515"/>
    </row>
    <row r="1394" spans="4:70" x14ac:dyDescent="0.25">
      <c r="D1394" s="538"/>
      <c r="G1394" s="538"/>
      <c r="J1394" s="538"/>
      <c r="M1394" s="538"/>
      <c r="R1394" s="538"/>
      <c r="S1394" s="343"/>
      <c r="T1394" s="343"/>
      <c r="U1394" s="538"/>
      <c r="V1394" s="343"/>
      <c r="W1394" s="343"/>
      <c r="X1394" s="538"/>
      <c r="Y1394" s="343"/>
      <c r="Z1394" s="343"/>
      <c r="AA1394" s="538"/>
      <c r="AB1394" s="343"/>
      <c r="AC1394" s="343"/>
      <c r="AE1394" s="343"/>
      <c r="AF1394" s="538"/>
      <c r="AG1394" s="343"/>
      <c r="AH1394" s="343"/>
      <c r="AI1394" s="538"/>
      <c r="AJ1394" s="343"/>
      <c r="AK1394" s="343"/>
      <c r="AL1394" s="538"/>
      <c r="AM1394" s="343"/>
      <c r="AN1394" s="343"/>
      <c r="AO1394" s="538"/>
      <c r="AP1394" s="343"/>
      <c r="AQ1394" s="343"/>
      <c r="AS1394" s="343"/>
      <c r="AT1394" s="538"/>
      <c r="AU1394" s="343"/>
      <c r="AV1394" s="343"/>
      <c r="AW1394" s="538"/>
      <c r="AX1394" s="343"/>
      <c r="AY1394" s="343"/>
      <c r="AZ1394" s="538"/>
      <c r="BA1394" s="343"/>
      <c r="BB1394" s="343"/>
      <c r="BC1394" s="538"/>
      <c r="BD1394" s="343"/>
      <c r="BE1394" s="343"/>
      <c r="BG1394" s="644"/>
      <c r="BH1394" s="515"/>
      <c r="BI1394" s="515"/>
      <c r="BJ1394" s="644"/>
      <c r="BK1394" s="515"/>
      <c r="BL1394" s="515"/>
      <c r="BM1394" s="644"/>
      <c r="BN1394" s="515"/>
      <c r="BO1394" s="515"/>
      <c r="BP1394" s="644"/>
      <c r="BQ1394" s="515"/>
      <c r="BR1394" s="515"/>
    </row>
    <row r="1395" spans="4:70" x14ac:dyDescent="0.25">
      <c r="D1395" s="538"/>
      <c r="G1395" s="538"/>
      <c r="J1395" s="538"/>
      <c r="M1395" s="538"/>
      <c r="R1395" s="538"/>
      <c r="S1395" s="343"/>
      <c r="T1395" s="343"/>
      <c r="U1395" s="538"/>
      <c r="V1395" s="343"/>
      <c r="W1395" s="343"/>
      <c r="X1395" s="538"/>
      <c r="Y1395" s="343"/>
      <c r="Z1395" s="343"/>
      <c r="AA1395" s="538"/>
      <c r="AB1395" s="343"/>
      <c r="AC1395" s="343"/>
      <c r="AE1395" s="343"/>
      <c r="AF1395" s="538"/>
      <c r="AG1395" s="343"/>
      <c r="AH1395" s="343"/>
      <c r="AI1395" s="538"/>
      <c r="AJ1395" s="343"/>
      <c r="AK1395" s="343"/>
      <c r="AL1395" s="538"/>
      <c r="AM1395" s="343"/>
      <c r="AN1395" s="343"/>
      <c r="AO1395" s="538"/>
      <c r="AP1395" s="343"/>
      <c r="AQ1395" s="343"/>
      <c r="AS1395" s="343"/>
      <c r="AT1395" s="538"/>
      <c r="AU1395" s="343"/>
      <c r="AV1395" s="343"/>
      <c r="AW1395" s="538"/>
      <c r="AX1395" s="343"/>
      <c r="AY1395" s="343"/>
      <c r="AZ1395" s="538"/>
      <c r="BA1395" s="343"/>
      <c r="BB1395" s="343"/>
      <c r="BC1395" s="538"/>
      <c r="BD1395" s="343"/>
      <c r="BE1395" s="343"/>
      <c r="BG1395" s="644"/>
      <c r="BH1395" s="515"/>
      <c r="BI1395" s="515"/>
      <c r="BJ1395" s="644"/>
      <c r="BK1395" s="515"/>
      <c r="BL1395" s="515"/>
      <c r="BM1395" s="644"/>
      <c r="BN1395" s="515"/>
      <c r="BO1395" s="515"/>
      <c r="BP1395" s="644"/>
      <c r="BQ1395" s="515"/>
      <c r="BR1395" s="515"/>
    </row>
    <row r="1396" spans="4:70" x14ac:dyDescent="0.25">
      <c r="D1396" s="538"/>
      <c r="G1396" s="538"/>
      <c r="J1396" s="538"/>
      <c r="M1396" s="538"/>
      <c r="R1396" s="538"/>
      <c r="S1396" s="343"/>
      <c r="T1396" s="343"/>
      <c r="U1396" s="538"/>
      <c r="V1396" s="343"/>
      <c r="W1396" s="343"/>
      <c r="X1396" s="538"/>
      <c r="Y1396" s="343"/>
      <c r="Z1396" s="343"/>
      <c r="AA1396" s="538"/>
      <c r="AB1396" s="343"/>
      <c r="AC1396" s="343"/>
      <c r="AE1396" s="343"/>
      <c r="AF1396" s="538"/>
      <c r="AG1396" s="343"/>
      <c r="AH1396" s="343"/>
      <c r="AI1396" s="538"/>
      <c r="AJ1396" s="343"/>
      <c r="AK1396" s="343"/>
      <c r="AL1396" s="538"/>
      <c r="AM1396" s="343"/>
      <c r="AN1396" s="343"/>
      <c r="AO1396" s="538"/>
      <c r="AP1396" s="343"/>
      <c r="AQ1396" s="343"/>
      <c r="AS1396" s="343"/>
      <c r="AT1396" s="538"/>
      <c r="AU1396" s="343"/>
      <c r="AV1396" s="343"/>
      <c r="AW1396" s="538"/>
      <c r="AX1396" s="343"/>
      <c r="AY1396" s="343"/>
      <c r="AZ1396" s="538"/>
      <c r="BA1396" s="343"/>
      <c r="BB1396" s="343"/>
      <c r="BC1396" s="538"/>
      <c r="BD1396" s="343"/>
      <c r="BE1396" s="343"/>
      <c r="BG1396" s="644"/>
      <c r="BH1396" s="515"/>
      <c r="BI1396" s="515"/>
      <c r="BJ1396" s="644"/>
      <c r="BK1396" s="515"/>
      <c r="BL1396" s="515"/>
      <c r="BM1396" s="644"/>
      <c r="BN1396" s="515"/>
      <c r="BO1396" s="515"/>
      <c r="BP1396" s="644"/>
      <c r="BQ1396" s="515"/>
      <c r="BR1396" s="515"/>
    </row>
  </sheetData>
  <sortState xmlns:xlrd2="http://schemas.microsoft.com/office/spreadsheetml/2017/richdata2" ref="A6:XFD317">
    <sortCondition ref="B6:B317"/>
  </sortState>
  <mergeCells count="21">
    <mergeCell ref="A1:B1"/>
    <mergeCell ref="AT3:AU3"/>
    <mergeCell ref="AW3:AX3"/>
    <mergeCell ref="AZ3:BA3"/>
    <mergeCell ref="BC3:BD3"/>
    <mergeCell ref="R3:S3"/>
    <mergeCell ref="D3:E3"/>
    <mergeCell ref="G3:H3"/>
    <mergeCell ref="J3:K3"/>
    <mergeCell ref="M3:N3"/>
    <mergeCell ref="AO3:AP3"/>
    <mergeCell ref="U3:V3"/>
    <mergeCell ref="X3:Y3"/>
    <mergeCell ref="AA3:AB3"/>
    <mergeCell ref="AF3:AG3"/>
    <mergeCell ref="AI3:AJ3"/>
    <mergeCell ref="AL3:AM3"/>
    <mergeCell ref="BG3:BH3"/>
    <mergeCell ref="BJ3:BK3"/>
    <mergeCell ref="BM3:BN3"/>
    <mergeCell ref="BP3:BQ3"/>
  </mergeCells>
  <pageMargins left="0.7" right="0.7" top="0.75" bottom="0.75" header="0.3" footer="0.3"/>
  <pageSetup orientation="portrait" horizontalDpi="1200" verticalDpi="1200"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A5"/>
  <sheetViews>
    <sheetView workbookViewId="0">
      <selection activeCell="A9" sqref="A9"/>
    </sheetView>
  </sheetViews>
  <sheetFormatPr defaultRowHeight="15" x14ac:dyDescent="0.25"/>
  <cols>
    <col min="1" max="1" width="46.28515625" bestFit="1" customWidth="1"/>
  </cols>
  <sheetData>
    <row r="1" spans="1:1" ht="15.75" x14ac:dyDescent="0.25">
      <c r="A1" s="199" t="s">
        <v>164</v>
      </c>
    </row>
    <row r="2" spans="1:1" x14ac:dyDescent="0.25">
      <c r="A2" t="s">
        <v>165</v>
      </c>
    </row>
    <row r="3" spans="1:1" x14ac:dyDescent="0.25">
      <c r="A3" t="s">
        <v>166</v>
      </c>
    </row>
    <row r="4" spans="1:1" x14ac:dyDescent="0.25">
      <c r="A4" t="s">
        <v>167</v>
      </c>
    </row>
    <row r="5" spans="1:1" x14ac:dyDescent="0.25">
      <c r="A5" t="s">
        <v>168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5B1E-0EC6-470E-8B2F-2BC09B5E869A}">
  <sheetPr filterMode="1">
    <tabColor rgb="FF7030A0"/>
  </sheetPr>
  <dimension ref="A1:H316"/>
  <sheetViews>
    <sheetView topLeftCell="A284" workbookViewId="0">
      <selection activeCell="G6" sqref="G6:G316"/>
    </sheetView>
  </sheetViews>
  <sheetFormatPr defaultColWidth="13.7109375" defaultRowHeight="15" x14ac:dyDescent="0.25"/>
  <cols>
    <col min="3" max="4" width="21.42578125" style="362" bestFit="1" customWidth="1"/>
    <col min="5" max="5" width="16.5703125" style="362" customWidth="1"/>
    <col min="6" max="6" width="18.28515625" style="362" customWidth="1"/>
    <col min="7" max="7" width="21.42578125" style="362" bestFit="1" customWidth="1"/>
    <col min="8" max="8" width="16.85546875" style="362" bestFit="1" customWidth="1"/>
  </cols>
  <sheetData>
    <row r="1" spans="1:8" x14ac:dyDescent="0.25">
      <c r="A1" t="s">
        <v>1383</v>
      </c>
    </row>
    <row r="2" spans="1:8" x14ac:dyDescent="0.25">
      <c r="A2" t="s">
        <v>1384</v>
      </c>
    </row>
    <row r="3" spans="1:8" x14ac:dyDescent="0.25">
      <c r="A3" t="s">
        <v>1429</v>
      </c>
    </row>
    <row r="4" spans="1:8" s="368" customFormat="1" ht="30" x14ac:dyDescent="0.25">
      <c r="C4" s="371" t="s">
        <v>1386</v>
      </c>
      <c r="D4" s="421" t="s">
        <v>1387</v>
      </c>
      <c r="E4" s="371" t="s">
        <v>1388</v>
      </c>
      <c r="F4" s="421" t="s">
        <v>1389</v>
      </c>
      <c r="G4" s="421" t="s">
        <v>1432</v>
      </c>
      <c r="H4" s="371" t="s">
        <v>1390</v>
      </c>
    </row>
    <row r="5" spans="1:8" s="372" customFormat="1" x14ac:dyDescent="0.25">
      <c r="A5" s="372" t="s">
        <v>185</v>
      </c>
      <c r="B5" s="372" t="s">
        <v>1391</v>
      </c>
      <c r="C5" s="451">
        <f>SUBTOTAL(9,C6:C316)</f>
        <v>2069917011.039999</v>
      </c>
      <c r="D5" s="420">
        <f t="shared" ref="D5:H5" si="0">SUBTOTAL(9,D6:D316)</f>
        <v>1817237440.5099983</v>
      </c>
      <c r="E5" s="451">
        <f t="shared" si="0"/>
        <v>10719786.329999996</v>
      </c>
      <c r="F5" s="420">
        <f t="shared" si="0"/>
        <v>241959784.20000008</v>
      </c>
      <c r="G5" s="420">
        <f>SUBTOTAL(9,G6:G316)</f>
        <v>2059197224.7099977</v>
      </c>
      <c r="H5" s="451">
        <f t="shared" si="0"/>
        <v>2069917011.039999</v>
      </c>
    </row>
    <row r="6" spans="1:8" x14ac:dyDescent="0.25">
      <c r="A6" t="s">
        <v>188</v>
      </c>
      <c r="B6" t="s">
        <v>190</v>
      </c>
      <c r="C6" s="362">
        <v>6530149.4400000004</v>
      </c>
      <c r="D6" s="401">
        <v>6530149.4400000004</v>
      </c>
      <c r="E6" s="362">
        <v>0</v>
      </c>
      <c r="F6" s="401">
        <v>0</v>
      </c>
      <c r="G6" s="480">
        <f t="shared" ref="G6:G69" si="1">D6+F6</f>
        <v>6530149.4400000004</v>
      </c>
      <c r="H6" s="362">
        <v>6530149.4400000004</v>
      </c>
    </row>
    <row r="7" spans="1:8" x14ac:dyDescent="0.25">
      <c r="A7" t="s">
        <v>191</v>
      </c>
      <c r="B7" t="s">
        <v>192</v>
      </c>
      <c r="C7" s="362">
        <v>813426.63</v>
      </c>
      <c r="D7" s="401">
        <v>812780.45</v>
      </c>
      <c r="E7" s="362">
        <v>646.17999999999995</v>
      </c>
      <c r="F7" s="401">
        <v>0</v>
      </c>
      <c r="G7" s="480">
        <f t="shared" si="1"/>
        <v>812780.45</v>
      </c>
      <c r="H7" s="362">
        <v>813426.63</v>
      </c>
    </row>
    <row r="8" spans="1:8" x14ac:dyDescent="0.25">
      <c r="A8" t="s">
        <v>193</v>
      </c>
      <c r="B8" t="s">
        <v>195</v>
      </c>
      <c r="C8" s="362">
        <v>116138.98</v>
      </c>
      <c r="D8" s="401">
        <v>116138.98</v>
      </c>
      <c r="E8" s="362">
        <v>0</v>
      </c>
      <c r="F8" s="401">
        <v>0</v>
      </c>
      <c r="G8" s="480">
        <f t="shared" si="1"/>
        <v>116138.98</v>
      </c>
      <c r="H8" s="362">
        <v>116138.98</v>
      </c>
    </row>
    <row r="9" spans="1:8" x14ac:dyDescent="0.25">
      <c r="A9" t="s">
        <v>196</v>
      </c>
      <c r="B9" t="s">
        <v>198</v>
      </c>
      <c r="C9" s="362">
        <v>4343600.9400000004</v>
      </c>
      <c r="D9" s="401">
        <v>4341661.9400000004</v>
      </c>
      <c r="E9" s="362">
        <v>1939</v>
      </c>
      <c r="F9" s="401">
        <v>0</v>
      </c>
      <c r="G9" s="480">
        <f t="shared" si="1"/>
        <v>4341661.9400000004</v>
      </c>
      <c r="H9" s="362">
        <v>4343600.9400000004</v>
      </c>
    </row>
    <row r="10" spans="1:8" x14ac:dyDescent="0.25">
      <c r="A10" t="s">
        <v>199</v>
      </c>
      <c r="B10" t="s">
        <v>200</v>
      </c>
      <c r="C10" s="362">
        <v>10988045.970000001</v>
      </c>
      <c r="D10" s="401">
        <v>10870161.93</v>
      </c>
      <c r="E10" s="362">
        <v>68327.839999999997</v>
      </c>
      <c r="F10" s="401">
        <v>49556.2</v>
      </c>
      <c r="G10" s="480">
        <f t="shared" si="1"/>
        <v>10919718.129999999</v>
      </c>
      <c r="H10" s="362">
        <v>10988045.969999999</v>
      </c>
    </row>
    <row r="11" spans="1:8" x14ac:dyDescent="0.25">
      <c r="A11" t="s">
        <v>201</v>
      </c>
      <c r="B11" t="s">
        <v>203</v>
      </c>
      <c r="C11" s="362">
        <v>844513</v>
      </c>
      <c r="D11" s="401">
        <v>844513</v>
      </c>
      <c r="E11" s="362">
        <v>0</v>
      </c>
      <c r="F11" s="401">
        <v>0</v>
      </c>
      <c r="G11" s="480">
        <f t="shared" si="1"/>
        <v>844513</v>
      </c>
      <c r="H11" s="362">
        <v>844513</v>
      </c>
    </row>
    <row r="12" spans="1:8" x14ac:dyDescent="0.25">
      <c r="A12" t="s">
        <v>204</v>
      </c>
      <c r="B12" t="s">
        <v>206</v>
      </c>
      <c r="C12" s="362">
        <v>29851746.27</v>
      </c>
      <c r="D12" s="401">
        <v>25969878.420000002</v>
      </c>
      <c r="E12" s="362">
        <v>187921.39</v>
      </c>
      <c r="F12" s="401">
        <v>3693946.46</v>
      </c>
      <c r="G12" s="480">
        <f t="shared" si="1"/>
        <v>29663824.880000003</v>
      </c>
      <c r="H12" s="362">
        <v>29851746.270000003</v>
      </c>
    </row>
    <row r="13" spans="1:8" x14ac:dyDescent="0.25">
      <c r="A13" t="s">
        <v>207</v>
      </c>
      <c r="B13" t="s">
        <v>1184</v>
      </c>
      <c r="C13" s="362">
        <v>8090553.2999999998</v>
      </c>
      <c r="D13" s="401">
        <v>8030133.2999999998</v>
      </c>
      <c r="E13" s="362">
        <v>0</v>
      </c>
      <c r="F13" s="401">
        <v>60420</v>
      </c>
      <c r="G13" s="480">
        <f t="shared" si="1"/>
        <v>8090553.2999999998</v>
      </c>
      <c r="H13" s="362">
        <v>8090553.2999999998</v>
      </c>
    </row>
    <row r="14" spans="1:8" x14ac:dyDescent="0.25">
      <c r="A14" t="s">
        <v>209</v>
      </c>
      <c r="B14" t="s">
        <v>211</v>
      </c>
      <c r="C14" s="362">
        <v>22468372.77</v>
      </c>
      <c r="D14" s="401">
        <v>20744500.079999998</v>
      </c>
      <c r="E14" s="362">
        <v>113422.56</v>
      </c>
      <c r="F14" s="401">
        <v>1610450.13</v>
      </c>
      <c r="G14" s="480">
        <f t="shared" si="1"/>
        <v>22354950.209999997</v>
      </c>
      <c r="H14" s="362">
        <v>22468372.77</v>
      </c>
    </row>
    <row r="15" spans="1:8" x14ac:dyDescent="0.25">
      <c r="A15" t="s">
        <v>212</v>
      </c>
      <c r="B15" t="s">
        <v>213</v>
      </c>
      <c r="C15" s="362">
        <v>45112394.82</v>
      </c>
      <c r="D15" s="401">
        <v>44780469.340000004</v>
      </c>
      <c r="E15" s="362">
        <v>4914.13</v>
      </c>
      <c r="F15" s="401">
        <v>327011.34999999998</v>
      </c>
      <c r="G15" s="480">
        <f t="shared" si="1"/>
        <v>45107480.690000005</v>
      </c>
      <c r="H15" s="362">
        <v>45112394.82</v>
      </c>
    </row>
    <row r="16" spans="1:8" x14ac:dyDescent="0.25">
      <c r="A16" t="s">
        <v>214</v>
      </c>
      <c r="B16" t="s">
        <v>215</v>
      </c>
      <c r="C16" s="362">
        <v>23138778.66</v>
      </c>
      <c r="D16" s="401">
        <v>19989071.969999999</v>
      </c>
      <c r="E16" s="362">
        <v>0</v>
      </c>
      <c r="F16" s="401">
        <v>3149706.69</v>
      </c>
      <c r="G16" s="480">
        <f t="shared" si="1"/>
        <v>23138778.66</v>
      </c>
      <c r="H16" s="362">
        <v>23138778.66</v>
      </c>
    </row>
    <row r="17" spans="1:8" x14ac:dyDescent="0.25">
      <c r="A17" t="s">
        <v>216</v>
      </c>
      <c r="B17" t="s">
        <v>217</v>
      </c>
      <c r="C17" s="362">
        <v>3374.5</v>
      </c>
      <c r="D17" s="401">
        <v>3374.5</v>
      </c>
      <c r="E17" s="362">
        <v>0</v>
      </c>
      <c r="F17" s="401">
        <v>0</v>
      </c>
      <c r="G17" s="480">
        <f t="shared" si="1"/>
        <v>3374.5</v>
      </c>
      <c r="H17" s="362">
        <v>3374.5</v>
      </c>
    </row>
    <row r="18" spans="1:8" x14ac:dyDescent="0.25">
      <c r="A18" t="s">
        <v>218</v>
      </c>
      <c r="B18" t="s">
        <v>219</v>
      </c>
      <c r="C18" s="362">
        <v>34124863.369999997</v>
      </c>
      <c r="D18" s="401">
        <v>33251396.489999998</v>
      </c>
      <c r="E18" s="362">
        <v>85841.32</v>
      </c>
      <c r="F18" s="401">
        <v>787625.56</v>
      </c>
      <c r="G18" s="480">
        <f t="shared" si="1"/>
        <v>34039022.049999997</v>
      </c>
      <c r="H18" s="362">
        <v>34124863.369999997</v>
      </c>
    </row>
    <row r="19" spans="1:8" x14ac:dyDescent="0.25">
      <c r="A19" t="s">
        <v>220</v>
      </c>
      <c r="B19" t="s">
        <v>222</v>
      </c>
      <c r="C19" s="362">
        <v>124561.15</v>
      </c>
      <c r="D19" s="401">
        <v>124561.15</v>
      </c>
      <c r="E19" s="362">
        <v>0</v>
      </c>
      <c r="F19" s="401">
        <v>0</v>
      </c>
      <c r="G19" s="480">
        <f t="shared" si="1"/>
        <v>124561.15</v>
      </c>
      <c r="H19" s="362">
        <v>124561.15</v>
      </c>
    </row>
    <row r="20" spans="1:8" x14ac:dyDescent="0.25">
      <c r="A20" t="s">
        <v>223</v>
      </c>
      <c r="B20" t="s">
        <v>224</v>
      </c>
      <c r="C20" s="362">
        <v>4608186.5</v>
      </c>
      <c r="D20" s="401">
        <v>4578909.28</v>
      </c>
      <c r="E20" s="362">
        <v>6782.95</v>
      </c>
      <c r="F20" s="401">
        <v>22494.27</v>
      </c>
      <c r="G20" s="480">
        <f t="shared" si="1"/>
        <v>4601403.55</v>
      </c>
      <c r="H20" s="362">
        <v>4608186.5</v>
      </c>
    </row>
    <row r="21" spans="1:8" x14ac:dyDescent="0.25">
      <c r="A21" t="s">
        <v>225</v>
      </c>
      <c r="B21" t="s">
        <v>226</v>
      </c>
      <c r="C21" s="362">
        <v>247785.02</v>
      </c>
      <c r="D21" s="401">
        <v>247785.02</v>
      </c>
      <c r="E21" s="362">
        <v>0</v>
      </c>
      <c r="F21" s="401">
        <v>0</v>
      </c>
      <c r="G21" s="480">
        <f t="shared" si="1"/>
        <v>247785.02</v>
      </c>
      <c r="H21" s="362">
        <v>247785.02</v>
      </c>
    </row>
    <row r="22" spans="1:8" x14ac:dyDescent="0.25">
      <c r="A22" t="s">
        <v>227</v>
      </c>
      <c r="B22" t="s">
        <v>229</v>
      </c>
      <c r="C22" s="362">
        <v>9621710.0800000001</v>
      </c>
      <c r="D22" s="401">
        <v>9621710.0800000001</v>
      </c>
      <c r="E22" s="362">
        <v>0</v>
      </c>
      <c r="F22" s="401">
        <v>0</v>
      </c>
      <c r="G22" s="480">
        <f t="shared" si="1"/>
        <v>9621710.0800000001</v>
      </c>
      <c r="H22" s="362">
        <v>9621710.0800000001</v>
      </c>
    </row>
    <row r="23" spans="1:8" x14ac:dyDescent="0.25">
      <c r="A23" t="s">
        <v>230</v>
      </c>
      <c r="B23" t="s">
        <v>232</v>
      </c>
      <c r="C23" s="362">
        <v>1384123.24</v>
      </c>
      <c r="D23" s="401">
        <v>1096571.8799999999</v>
      </c>
      <c r="E23" s="362">
        <v>0</v>
      </c>
      <c r="F23" s="401">
        <v>287551.35999999999</v>
      </c>
      <c r="G23" s="480">
        <f t="shared" si="1"/>
        <v>1384123.2399999998</v>
      </c>
      <c r="H23" s="362">
        <v>1384123.2399999998</v>
      </c>
    </row>
    <row r="24" spans="1:8" x14ac:dyDescent="0.25">
      <c r="A24" t="s">
        <v>233</v>
      </c>
      <c r="B24" t="s">
        <v>234</v>
      </c>
      <c r="C24" s="362">
        <v>839139</v>
      </c>
      <c r="D24" s="401">
        <v>705654.09</v>
      </c>
      <c r="E24" s="362">
        <v>0</v>
      </c>
      <c r="F24" s="401">
        <v>133484.91</v>
      </c>
      <c r="G24" s="480">
        <f t="shared" si="1"/>
        <v>839139</v>
      </c>
      <c r="H24" s="362">
        <v>839139</v>
      </c>
    </row>
    <row r="25" spans="1:8" x14ac:dyDescent="0.25">
      <c r="A25" t="s">
        <v>235</v>
      </c>
      <c r="B25" t="s">
        <v>236</v>
      </c>
      <c r="C25" s="362">
        <v>101463.83</v>
      </c>
      <c r="D25" s="401">
        <v>101463.83</v>
      </c>
      <c r="E25" s="362">
        <v>0</v>
      </c>
      <c r="F25" s="401">
        <v>0</v>
      </c>
      <c r="G25" s="480">
        <f t="shared" si="1"/>
        <v>101463.83</v>
      </c>
      <c r="H25" s="362">
        <v>101463.83</v>
      </c>
    </row>
    <row r="26" spans="1:8" x14ac:dyDescent="0.25">
      <c r="A26" t="s">
        <v>237</v>
      </c>
      <c r="B26" t="s">
        <v>1185</v>
      </c>
      <c r="C26" s="362">
        <v>7329103.4800000004</v>
      </c>
      <c r="D26" s="401">
        <v>7214217.8600000003</v>
      </c>
      <c r="E26" s="362">
        <v>114885.62</v>
      </c>
      <c r="F26" s="401">
        <v>0</v>
      </c>
      <c r="G26" s="480">
        <f t="shared" si="1"/>
        <v>7214217.8600000003</v>
      </c>
      <c r="H26" s="362">
        <v>7329103.4800000004</v>
      </c>
    </row>
    <row r="27" spans="1:8" x14ac:dyDescent="0.25">
      <c r="A27" t="s">
        <v>239</v>
      </c>
      <c r="B27" t="s">
        <v>240</v>
      </c>
      <c r="C27" s="362">
        <v>11805676.67</v>
      </c>
      <c r="D27" s="401">
        <v>10035413</v>
      </c>
      <c r="E27" s="362">
        <v>0</v>
      </c>
      <c r="F27" s="401">
        <v>1770263.67</v>
      </c>
      <c r="G27" s="480">
        <f t="shared" si="1"/>
        <v>11805676.67</v>
      </c>
      <c r="H27" s="362">
        <v>11805676.67</v>
      </c>
    </row>
    <row r="28" spans="1:8" x14ac:dyDescent="0.25">
      <c r="A28" t="s">
        <v>241</v>
      </c>
      <c r="B28" t="s">
        <v>242</v>
      </c>
      <c r="C28" s="362">
        <v>1314538.57</v>
      </c>
      <c r="D28" s="401">
        <v>1314538.57</v>
      </c>
      <c r="E28" s="362">
        <v>0</v>
      </c>
      <c r="F28" s="401">
        <v>0</v>
      </c>
      <c r="G28" s="480">
        <f t="shared" si="1"/>
        <v>1314538.57</v>
      </c>
      <c r="H28" s="362">
        <v>1314538.57</v>
      </c>
    </row>
    <row r="29" spans="1:8" x14ac:dyDescent="0.25">
      <c r="A29" t="s">
        <v>243</v>
      </c>
      <c r="B29" t="s">
        <v>244</v>
      </c>
      <c r="C29" s="362">
        <v>313511.59999999998</v>
      </c>
      <c r="D29" s="401">
        <v>313511.59999999998</v>
      </c>
      <c r="E29" s="362">
        <v>0</v>
      </c>
      <c r="F29" s="401">
        <v>0</v>
      </c>
      <c r="G29" s="480">
        <f t="shared" si="1"/>
        <v>313511.59999999998</v>
      </c>
      <c r="H29" s="362">
        <v>313511.59999999998</v>
      </c>
    </row>
    <row r="30" spans="1:8" x14ac:dyDescent="0.25">
      <c r="A30" t="s">
        <v>245</v>
      </c>
      <c r="B30" t="s">
        <v>246</v>
      </c>
      <c r="C30" s="362">
        <v>1980174.34</v>
      </c>
      <c r="D30" s="401">
        <v>1972042.95</v>
      </c>
      <c r="E30" s="362">
        <v>8131.39</v>
      </c>
      <c r="F30" s="401">
        <v>0</v>
      </c>
      <c r="G30" s="480">
        <f t="shared" si="1"/>
        <v>1972042.95</v>
      </c>
      <c r="H30" s="362">
        <v>1980174.3399999999</v>
      </c>
    </row>
    <row r="31" spans="1:8" x14ac:dyDescent="0.25">
      <c r="A31" t="s">
        <v>248</v>
      </c>
      <c r="B31" t="s">
        <v>249</v>
      </c>
      <c r="C31" s="362">
        <v>2171219.31</v>
      </c>
      <c r="D31" s="401">
        <v>2171219.31</v>
      </c>
      <c r="E31" s="362">
        <v>0</v>
      </c>
      <c r="F31" s="401">
        <v>0</v>
      </c>
      <c r="G31" s="480">
        <f t="shared" si="1"/>
        <v>2171219.31</v>
      </c>
      <c r="H31" s="362">
        <v>2171219.31</v>
      </c>
    </row>
    <row r="32" spans="1:8" x14ac:dyDescent="0.25">
      <c r="A32" t="s">
        <v>250</v>
      </c>
      <c r="B32" t="s">
        <v>251</v>
      </c>
      <c r="C32" s="362">
        <v>2938332.02</v>
      </c>
      <c r="D32" s="401">
        <v>2489446.94</v>
      </c>
      <c r="E32" s="362">
        <v>32700.9</v>
      </c>
      <c r="F32" s="401">
        <v>416184.18</v>
      </c>
      <c r="G32" s="480">
        <f t="shared" si="1"/>
        <v>2905631.12</v>
      </c>
      <c r="H32" s="362">
        <v>2938332.02</v>
      </c>
    </row>
    <row r="33" spans="1:8" x14ac:dyDescent="0.25">
      <c r="A33" t="s">
        <v>254</v>
      </c>
      <c r="B33" t="s">
        <v>255</v>
      </c>
      <c r="C33" s="362">
        <v>58500.81</v>
      </c>
      <c r="D33" s="401">
        <v>58500.81</v>
      </c>
      <c r="E33" s="362">
        <v>0</v>
      </c>
      <c r="F33" s="401">
        <v>0</v>
      </c>
      <c r="G33" s="480">
        <f t="shared" si="1"/>
        <v>58500.81</v>
      </c>
      <c r="H33" s="362">
        <v>58500.81</v>
      </c>
    </row>
    <row r="34" spans="1:8" x14ac:dyDescent="0.25">
      <c r="A34" t="s">
        <v>256</v>
      </c>
      <c r="B34" t="s">
        <v>257</v>
      </c>
      <c r="C34" s="362">
        <v>25807063.550000001</v>
      </c>
      <c r="D34" s="401">
        <v>23869247.82</v>
      </c>
      <c r="E34" s="362">
        <v>1924805.73</v>
      </c>
      <c r="F34" s="401">
        <v>13010</v>
      </c>
      <c r="G34" s="480">
        <f t="shared" si="1"/>
        <v>23882257.82</v>
      </c>
      <c r="H34" s="362">
        <v>25807063.550000001</v>
      </c>
    </row>
    <row r="35" spans="1:8" x14ac:dyDescent="0.25">
      <c r="A35" t="s">
        <v>258</v>
      </c>
      <c r="B35" t="s">
        <v>259</v>
      </c>
      <c r="C35" s="362">
        <v>26737277.34</v>
      </c>
      <c r="D35" s="401">
        <v>24075661.629999999</v>
      </c>
      <c r="E35" s="362">
        <v>207365.74</v>
      </c>
      <c r="F35" s="401">
        <v>2454249.9700000002</v>
      </c>
      <c r="G35" s="480">
        <f t="shared" si="1"/>
        <v>26529911.599999998</v>
      </c>
      <c r="H35" s="362">
        <v>26737277.34</v>
      </c>
    </row>
    <row r="36" spans="1:8" x14ac:dyDescent="0.25">
      <c r="A36" t="s">
        <v>260</v>
      </c>
      <c r="B36" t="s">
        <v>261</v>
      </c>
      <c r="C36" s="362">
        <v>7484565.6200000001</v>
      </c>
      <c r="D36" s="401">
        <v>5694900.5300000003</v>
      </c>
      <c r="E36" s="362">
        <v>21831.09</v>
      </c>
      <c r="F36" s="401">
        <v>1767834</v>
      </c>
      <c r="G36" s="480">
        <f t="shared" si="1"/>
        <v>7462734.5300000003</v>
      </c>
      <c r="H36" s="362">
        <v>7484565.6200000001</v>
      </c>
    </row>
    <row r="37" spans="1:8" x14ac:dyDescent="0.25">
      <c r="A37" t="s">
        <v>262</v>
      </c>
      <c r="B37" t="s">
        <v>263</v>
      </c>
      <c r="C37" s="362">
        <v>5227858.17</v>
      </c>
      <c r="D37" s="401">
        <v>4677312.6900000004</v>
      </c>
      <c r="E37" s="362">
        <v>35704.54</v>
      </c>
      <c r="F37" s="401">
        <v>514840.94</v>
      </c>
      <c r="G37" s="480">
        <f t="shared" si="1"/>
        <v>5192153.6300000008</v>
      </c>
      <c r="H37" s="362">
        <v>5227858.17</v>
      </c>
    </row>
    <row r="38" spans="1:8" x14ac:dyDescent="0.25">
      <c r="A38" t="s">
        <v>264</v>
      </c>
      <c r="B38" t="s">
        <v>265</v>
      </c>
      <c r="C38" s="362">
        <v>10765939.689999999</v>
      </c>
      <c r="D38" s="401">
        <v>8530135.5399999991</v>
      </c>
      <c r="E38" s="362">
        <v>42513.71</v>
      </c>
      <c r="F38" s="401">
        <v>2193290.44</v>
      </c>
      <c r="G38" s="480">
        <f t="shared" si="1"/>
        <v>10723425.979999999</v>
      </c>
      <c r="H38" s="362">
        <v>10765939.689999999</v>
      </c>
    </row>
    <row r="39" spans="1:8" x14ac:dyDescent="0.25">
      <c r="A39" t="s">
        <v>266</v>
      </c>
      <c r="B39" t="s">
        <v>267</v>
      </c>
      <c r="C39" s="362">
        <v>1101948.6499999999</v>
      </c>
      <c r="D39" s="401">
        <v>1098873.95</v>
      </c>
      <c r="E39" s="362">
        <v>269.27</v>
      </c>
      <c r="F39" s="401">
        <v>2805.43</v>
      </c>
      <c r="G39" s="480">
        <f t="shared" si="1"/>
        <v>1101679.3799999999</v>
      </c>
      <c r="H39" s="362">
        <v>1101948.6499999999</v>
      </c>
    </row>
    <row r="40" spans="1:8" x14ac:dyDescent="0.25">
      <c r="A40" t="s">
        <v>1301</v>
      </c>
      <c r="B40" t="s">
        <v>1423</v>
      </c>
      <c r="C40" s="362">
        <v>0</v>
      </c>
      <c r="D40" s="401">
        <v>0</v>
      </c>
      <c r="E40" s="362">
        <v>0</v>
      </c>
      <c r="F40" s="401">
        <v>0</v>
      </c>
      <c r="G40" s="480">
        <f t="shared" si="1"/>
        <v>0</v>
      </c>
      <c r="H40" s="362">
        <v>0</v>
      </c>
    </row>
    <row r="41" spans="1:8" x14ac:dyDescent="0.25">
      <c r="A41" t="s">
        <v>268</v>
      </c>
      <c r="B41" t="s">
        <v>269</v>
      </c>
      <c r="C41" s="362">
        <v>1660861.21</v>
      </c>
      <c r="D41" s="401">
        <v>1606777.12</v>
      </c>
      <c r="E41" s="362">
        <v>48574.09</v>
      </c>
      <c r="F41" s="401">
        <v>5510</v>
      </c>
      <c r="G41" s="480">
        <f t="shared" si="1"/>
        <v>1612287.12</v>
      </c>
      <c r="H41" s="362">
        <v>1660861.2100000002</v>
      </c>
    </row>
    <row r="42" spans="1:8" x14ac:dyDescent="0.25">
      <c r="A42" t="s">
        <v>270</v>
      </c>
      <c r="B42" t="s">
        <v>271</v>
      </c>
      <c r="C42" s="362">
        <v>3851114.14</v>
      </c>
      <c r="D42" s="401">
        <v>3851114.14</v>
      </c>
      <c r="E42" s="362">
        <v>0</v>
      </c>
      <c r="F42" s="401">
        <v>0</v>
      </c>
      <c r="G42" s="480">
        <f t="shared" si="1"/>
        <v>3851114.14</v>
      </c>
      <c r="H42" s="362">
        <v>3851114.14</v>
      </c>
    </row>
    <row r="43" spans="1:8" x14ac:dyDescent="0.25">
      <c r="A43" t="s">
        <v>272</v>
      </c>
      <c r="B43" t="s">
        <v>273</v>
      </c>
      <c r="C43" s="362">
        <v>1285558.71</v>
      </c>
      <c r="D43" s="401">
        <v>1285558.71</v>
      </c>
      <c r="E43" s="362">
        <v>0</v>
      </c>
      <c r="F43" s="401">
        <v>0</v>
      </c>
      <c r="G43" s="480">
        <f t="shared" si="1"/>
        <v>1285558.71</v>
      </c>
      <c r="H43" s="362">
        <v>1285558.71</v>
      </c>
    </row>
    <row r="44" spans="1:8" x14ac:dyDescent="0.25">
      <c r="A44" t="s">
        <v>274</v>
      </c>
      <c r="B44" t="s">
        <v>275</v>
      </c>
      <c r="C44" s="362">
        <v>26999474.34</v>
      </c>
      <c r="D44" s="401">
        <v>24587384.199999999</v>
      </c>
      <c r="E44" s="362">
        <v>48161.84</v>
      </c>
      <c r="F44" s="401">
        <v>2363928.2999999998</v>
      </c>
      <c r="G44" s="480">
        <f t="shared" si="1"/>
        <v>26951312.5</v>
      </c>
      <c r="H44" s="362">
        <v>26999474.34</v>
      </c>
    </row>
    <row r="45" spans="1:8" x14ac:dyDescent="0.25">
      <c r="A45" t="s">
        <v>276</v>
      </c>
      <c r="B45" t="s">
        <v>277</v>
      </c>
      <c r="C45" s="362">
        <v>650660.06999999995</v>
      </c>
      <c r="D45" s="401">
        <v>650660.06999999995</v>
      </c>
      <c r="E45" s="362">
        <v>0</v>
      </c>
      <c r="F45" s="401">
        <v>0</v>
      </c>
      <c r="G45" s="480">
        <f t="shared" si="1"/>
        <v>650660.06999999995</v>
      </c>
      <c r="H45" s="362">
        <v>650660.06999999995</v>
      </c>
    </row>
    <row r="46" spans="1:8" x14ac:dyDescent="0.25">
      <c r="A46" t="s">
        <v>278</v>
      </c>
      <c r="B46" t="s">
        <v>279</v>
      </c>
      <c r="C46" s="362">
        <v>2465268.54</v>
      </c>
      <c r="D46" s="401">
        <v>2276065.25</v>
      </c>
      <c r="E46" s="362">
        <v>0</v>
      </c>
      <c r="F46" s="401">
        <v>189203.29</v>
      </c>
      <c r="G46" s="480">
        <f t="shared" si="1"/>
        <v>2465268.54</v>
      </c>
      <c r="H46" s="362">
        <v>2465268.54</v>
      </c>
    </row>
    <row r="47" spans="1:8" x14ac:dyDescent="0.25">
      <c r="A47" t="s">
        <v>280</v>
      </c>
      <c r="B47" t="s">
        <v>281</v>
      </c>
      <c r="C47" s="362">
        <v>220094.43</v>
      </c>
      <c r="D47" s="401">
        <v>220094.43</v>
      </c>
      <c r="E47" s="362">
        <v>0</v>
      </c>
      <c r="F47" s="401">
        <v>0</v>
      </c>
      <c r="G47" s="480">
        <f t="shared" si="1"/>
        <v>220094.43</v>
      </c>
      <c r="H47" s="362">
        <v>220094.43</v>
      </c>
    </row>
    <row r="48" spans="1:8" x14ac:dyDescent="0.25">
      <c r="A48" t="s">
        <v>282</v>
      </c>
      <c r="B48" t="s">
        <v>1392</v>
      </c>
      <c r="C48" s="362">
        <v>207989.57</v>
      </c>
      <c r="D48" s="401">
        <v>198870.15</v>
      </c>
      <c r="E48" s="362">
        <v>0</v>
      </c>
      <c r="F48" s="401">
        <v>9119.42</v>
      </c>
      <c r="G48" s="480">
        <f t="shared" si="1"/>
        <v>207989.57</v>
      </c>
      <c r="H48" s="362">
        <v>207989.57</v>
      </c>
    </row>
    <row r="49" spans="1:8" x14ac:dyDescent="0.25">
      <c r="A49" t="s">
        <v>284</v>
      </c>
      <c r="B49" t="s">
        <v>1393</v>
      </c>
      <c r="C49" s="362">
        <v>1026362.76</v>
      </c>
      <c r="D49" s="401">
        <v>1017666.68</v>
      </c>
      <c r="E49" s="362">
        <v>8696.08</v>
      </c>
      <c r="F49" s="401">
        <v>0</v>
      </c>
      <c r="G49" s="480">
        <f t="shared" si="1"/>
        <v>1017666.68</v>
      </c>
      <c r="H49" s="362">
        <v>1026362.76</v>
      </c>
    </row>
    <row r="50" spans="1:8" x14ac:dyDescent="0.25">
      <c r="A50" t="s">
        <v>286</v>
      </c>
      <c r="B50" t="s">
        <v>287</v>
      </c>
      <c r="C50" s="362">
        <v>2758468.5</v>
      </c>
      <c r="D50" s="401">
        <v>2758468.5</v>
      </c>
      <c r="E50" s="362">
        <v>0</v>
      </c>
      <c r="F50" s="401">
        <v>0</v>
      </c>
      <c r="G50" s="480">
        <f t="shared" si="1"/>
        <v>2758468.5</v>
      </c>
      <c r="H50" s="362">
        <v>2758468.5</v>
      </c>
    </row>
    <row r="51" spans="1:8" x14ac:dyDescent="0.25">
      <c r="A51" t="s">
        <v>288</v>
      </c>
      <c r="B51" t="s">
        <v>289</v>
      </c>
      <c r="C51" s="362">
        <v>1102704.21</v>
      </c>
      <c r="D51" s="401">
        <v>1081803.83</v>
      </c>
      <c r="E51" s="362">
        <v>18200.38</v>
      </c>
      <c r="F51" s="401">
        <v>2700</v>
      </c>
      <c r="G51" s="480">
        <f t="shared" si="1"/>
        <v>1084503.83</v>
      </c>
      <c r="H51" s="362">
        <v>1102704.21</v>
      </c>
    </row>
    <row r="52" spans="1:8" x14ac:dyDescent="0.25">
      <c r="A52" t="s">
        <v>290</v>
      </c>
      <c r="B52" t="s">
        <v>291</v>
      </c>
      <c r="C52" s="362">
        <v>730187.26</v>
      </c>
      <c r="D52" s="401">
        <v>724062.57</v>
      </c>
      <c r="E52" s="362">
        <v>6124.69</v>
      </c>
      <c r="F52" s="401">
        <v>0</v>
      </c>
      <c r="G52" s="480">
        <f t="shared" si="1"/>
        <v>724062.57</v>
      </c>
      <c r="H52" s="362">
        <v>730187.25999999989</v>
      </c>
    </row>
    <row r="53" spans="1:8" x14ac:dyDescent="0.25">
      <c r="A53" t="s">
        <v>292</v>
      </c>
      <c r="B53" t="s">
        <v>293</v>
      </c>
      <c r="C53" s="362">
        <v>339798.49</v>
      </c>
      <c r="D53" s="401">
        <v>339798.49</v>
      </c>
      <c r="E53" s="362">
        <v>0</v>
      </c>
      <c r="F53" s="401">
        <v>0</v>
      </c>
      <c r="G53" s="480">
        <f t="shared" si="1"/>
        <v>339798.49</v>
      </c>
      <c r="H53" s="362">
        <v>339798.49</v>
      </c>
    </row>
    <row r="54" spans="1:8" x14ac:dyDescent="0.25">
      <c r="A54" t="s">
        <v>294</v>
      </c>
      <c r="B54" t="s">
        <v>295</v>
      </c>
      <c r="C54" s="362">
        <v>238921.44</v>
      </c>
      <c r="D54" s="401">
        <v>238921.44</v>
      </c>
      <c r="E54" s="362">
        <v>0</v>
      </c>
      <c r="F54" s="401">
        <v>0</v>
      </c>
      <c r="G54" s="480">
        <f t="shared" si="1"/>
        <v>238921.44</v>
      </c>
      <c r="H54" s="362">
        <v>238921.44</v>
      </c>
    </row>
    <row r="55" spans="1:8" x14ac:dyDescent="0.25">
      <c r="A55" t="s">
        <v>296</v>
      </c>
      <c r="B55" t="s">
        <v>297</v>
      </c>
      <c r="C55" s="362">
        <v>1813569.94</v>
      </c>
      <c r="D55" s="401">
        <v>1784997.66</v>
      </c>
      <c r="E55" s="362">
        <v>17765.759999999998</v>
      </c>
      <c r="F55" s="401">
        <v>10806.52</v>
      </c>
      <c r="G55" s="480">
        <f t="shared" si="1"/>
        <v>1795804.18</v>
      </c>
      <c r="H55" s="362">
        <v>1813569.94</v>
      </c>
    </row>
    <row r="56" spans="1:8" x14ac:dyDescent="0.25">
      <c r="A56" t="s">
        <v>298</v>
      </c>
      <c r="B56" t="s">
        <v>299</v>
      </c>
      <c r="C56" s="362">
        <v>488114.91</v>
      </c>
      <c r="D56" s="401">
        <v>488114.91</v>
      </c>
      <c r="E56" s="362">
        <v>0</v>
      </c>
      <c r="F56" s="401">
        <v>0</v>
      </c>
      <c r="G56" s="480">
        <f t="shared" si="1"/>
        <v>488114.91</v>
      </c>
      <c r="H56" s="362">
        <v>488114.91</v>
      </c>
    </row>
    <row r="57" spans="1:8" x14ac:dyDescent="0.25">
      <c r="A57" t="s">
        <v>300</v>
      </c>
      <c r="B57" t="s">
        <v>301</v>
      </c>
      <c r="C57" s="362">
        <v>199332.27</v>
      </c>
      <c r="D57" s="401">
        <v>163332.26999999999</v>
      </c>
      <c r="E57" s="362">
        <v>0</v>
      </c>
      <c r="F57" s="401">
        <v>36000</v>
      </c>
      <c r="G57" s="480">
        <f t="shared" si="1"/>
        <v>199332.27</v>
      </c>
      <c r="H57" s="362">
        <v>199332.27</v>
      </c>
    </row>
    <row r="58" spans="1:8" x14ac:dyDescent="0.25">
      <c r="A58" t="s">
        <v>302</v>
      </c>
      <c r="B58" t="s">
        <v>303</v>
      </c>
      <c r="C58" s="362">
        <v>257235</v>
      </c>
      <c r="D58" s="401">
        <v>257235</v>
      </c>
      <c r="E58" s="362">
        <v>0</v>
      </c>
      <c r="F58" s="401">
        <v>0</v>
      </c>
      <c r="G58" s="480">
        <f t="shared" si="1"/>
        <v>257235</v>
      </c>
      <c r="H58" s="362">
        <v>257235</v>
      </c>
    </row>
    <row r="59" spans="1:8" x14ac:dyDescent="0.25">
      <c r="A59" t="s">
        <v>304</v>
      </c>
      <c r="B59" t="s">
        <v>305</v>
      </c>
      <c r="C59" s="362">
        <v>315248.36</v>
      </c>
      <c r="D59" s="401">
        <v>314248.36</v>
      </c>
      <c r="E59" s="362">
        <v>0</v>
      </c>
      <c r="F59" s="401">
        <v>1000</v>
      </c>
      <c r="G59" s="480">
        <f t="shared" si="1"/>
        <v>315248.36</v>
      </c>
      <c r="H59" s="362">
        <v>315248.36</v>
      </c>
    </row>
    <row r="60" spans="1:8" x14ac:dyDescent="0.25">
      <c r="A60" t="s">
        <v>306</v>
      </c>
      <c r="B60" t="s">
        <v>307</v>
      </c>
      <c r="C60" s="362">
        <v>17763.8</v>
      </c>
      <c r="D60" s="401">
        <v>16390.8</v>
      </c>
      <c r="E60" s="362">
        <v>1373</v>
      </c>
      <c r="F60" s="401">
        <v>0</v>
      </c>
      <c r="G60" s="480">
        <f t="shared" si="1"/>
        <v>16390.8</v>
      </c>
      <c r="H60" s="362">
        <v>17763.8</v>
      </c>
    </row>
    <row r="61" spans="1:8" x14ac:dyDescent="0.25">
      <c r="A61" t="s">
        <v>308</v>
      </c>
      <c r="B61" t="s">
        <v>309</v>
      </c>
      <c r="C61" s="362">
        <v>608322.82999999996</v>
      </c>
      <c r="D61" s="401">
        <v>601615.43999999994</v>
      </c>
      <c r="E61" s="362">
        <v>6707.39</v>
      </c>
      <c r="F61" s="401">
        <v>0</v>
      </c>
      <c r="G61" s="480">
        <f t="shared" si="1"/>
        <v>601615.43999999994</v>
      </c>
      <c r="H61" s="362">
        <v>608322.82999999996</v>
      </c>
    </row>
    <row r="62" spans="1:8" x14ac:dyDescent="0.25">
      <c r="A62" t="s">
        <v>310</v>
      </c>
      <c r="B62" t="s">
        <v>311</v>
      </c>
      <c r="C62" s="362">
        <v>638159.17000000004</v>
      </c>
      <c r="D62" s="401">
        <v>636002.15</v>
      </c>
      <c r="E62" s="362">
        <v>0</v>
      </c>
      <c r="F62" s="401">
        <v>2157.02</v>
      </c>
      <c r="G62" s="480">
        <f t="shared" si="1"/>
        <v>638159.17000000004</v>
      </c>
      <c r="H62" s="362">
        <v>638159.17000000004</v>
      </c>
    </row>
    <row r="63" spans="1:8" x14ac:dyDescent="0.25">
      <c r="A63" t="s">
        <v>312</v>
      </c>
      <c r="B63" t="s">
        <v>313</v>
      </c>
      <c r="C63" s="362">
        <v>522873.07</v>
      </c>
      <c r="D63" s="401">
        <v>522873.07</v>
      </c>
      <c r="E63" s="362">
        <v>0</v>
      </c>
      <c r="F63" s="401">
        <v>0</v>
      </c>
      <c r="G63" s="480">
        <f t="shared" si="1"/>
        <v>522873.07</v>
      </c>
      <c r="H63" s="362">
        <v>522873.07</v>
      </c>
    </row>
    <row r="64" spans="1:8" x14ac:dyDescent="0.25">
      <c r="A64" t="s">
        <v>314</v>
      </c>
      <c r="B64" t="s">
        <v>315</v>
      </c>
      <c r="C64" s="362">
        <v>3156127.81</v>
      </c>
      <c r="D64" s="401">
        <v>3156127.81</v>
      </c>
      <c r="E64" s="362">
        <v>0</v>
      </c>
      <c r="F64" s="401">
        <v>0</v>
      </c>
      <c r="G64" s="480">
        <f t="shared" si="1"/>
        <v>3156127.81</v>
      </c>
      <c r="H64" s="362">
        <v>3156127.81</v>
      </c>
    </row>
    <row r="65" spans="1:8" x14ac:dyDescent="0.25">
      <c r="A65" t="s">
        <v>316</v>
      </c>
      <c r="B65" t="s">
        <v>317</v>
      </c>
      <c r="C65" s="362">
        <v>3500520.88</v>
      </c>
      <c r="D65" s="401">
        <v>2647154.56</v>
      </c>
      <c r="E65" s="362">
        <v>3360.35</v>
      </c>
      <c r="F65" s="401">
        <v>850005.97</v>
      </c>
      <c r="G65" s="480">
        <f t="shared" si="1"/>
        <v>3497160.5300000003</v>
      </c>
      <c r="H65" s="362">
        <v>3500520.88</v>
      </c>
    </row>
    <row r="66" spans="1:8" x14ac:dyDescent="0.25">
      <c r="A66" t="s">
        <v>318</v>
      </c>
      <c r="B66" t="s">
        <v>319</v>
      </c>
      <c r="C66" s="362">
        <v>29097.69</v>
      </c>
      <c r="D66" s="401">
        <v>29097.69</v>
      </c>
      <c r="E66" s="362">
        <v>0</v>
      </c>
      <c r="F66" s="401">
        <v>0</v>
      </c>
      <c r="G66" s="480">
        <f t="shared" si="1"/>
        <v>29097.69</v>
      </c>
      <c r="H66" s="362">
        <v>29097.69</v>
      </c>
    </row>
    <row r="67" spans="1:8" x14ac:dyDescent="0.25">
      <c r="A67" t="s">
        <v>320</v>
      </c>
      <c r="B67" t="s">
        <v>1394</v>
      </c>
      <c r="C67" s="362">
        <v>7114750.4900000002</v>
      </c>
      <c r="D67" s="401">
        <v>6506343.6500000004</v>
      </c>
      <c r="E67" s="362">
        <v>17273.330000000002</v>
      </c>
      <c r="F67" s="401">
        <v>591133.51</v>
      </c>
      <c r="G67" s="480">
        <f t="shared" si="1"/>
        <v>7097477.1600000001</v>
      </c>
      <c r="H67" s="362">
        <v>7114750.4900000002</v>
      </c>
    </row>
    <row r="68" spans="1:8" x14ac:dyDescent="0.25">
      <c r="A68" t="s">
        <v>322</v>
      </c>
      <c r="B68" t="s">
        <v>1395</v>
      </c>
      <c r="C68" s="362">
        <v>4388098.47</v>
      </c>
      <c r="D68" s="401">
        <v>4068098.47</v>
      </c>
      <c r="E68" s="362">
        <v>0</v>
      </c>
      <c r="F68" s="401">
        <v>320000</v>
      </c>
      <c r="G68" s="480">
        <f t="shared" si="1"/>
        <v>4388098.4700000007</v>
      </c>
      <c r="H68" s="362">
        <v>4388098.4700000007</v>
      </c>
    </row>
    <row r="69" spans="1:8" x14ac:dyDescent="0.25">
      <c r="A69" t="s">
        <v>324</v>
      </c>
      <c r="B69" t="s">
        <v>325</v>
      </c>
      <c r="C69" s="362">
        <v>8127908.4299999997</v>
      </c>
      <c r="D69" s="401">
        <v>7161580.2199999997</v>
      </c>
      <c r="E69" s="362">
        <v>0</v>
      </c>
      <c r="F69" s="401">
        <v>966328.21</v>
      </c>
      <c r="G69" s="480">
        <f t="shared" si="1"/>
        <v>8127908.4299999997</v>
      </c>
      <c r="H69" s="362">
        <v>8127908.4299999997</v>
      </c>
    </row>
    <row r="70" spans="1:8" x14ac:dyDescent="0.25">
      <c r="A70" t="s">
        <v>326</v>
      </c>
      <c r="B70" t="s">
        <v>327</v>
      </c>
      <c r="C70" s="362">
        <v>151550.75</v>
      </c>
      <c r="D70" s="401">
        <v>134281.92000000001</v>
      </c>
      <c r="E70" s="362">
        <v>0</v>
      </c>
      <c r="F70" s="401">
        <v>17268.830000000002</v>
      </c>
      <c r="G70" s="480">
        <f t="shared" ref="G70:G133" si="2">D70+F70</f>
        <v>151550.75</v>
      </c>
      <c r="H70" s="362">
        <v>151550.75</v>
      </c>
    </row>
    <row r="71" spans="1:8" x14ac:dyDescent="0.25">
      <c r="A71" t="s">
        <v>328</v>
      </c>
      <c r="B71" t="s">
        <v>329</v>
      </c>
      <c r="C71" s="362">
        <v>2857318.83</v>
      </c>
      <c r="D71" s="401">
        <v>2852827.46</v>
      </c>
      <c r="E71" s="362">
        <v>4491.37</v>
      </c>
      <c r="F71" s="401">
        <v>0</v>
      </c>
      <c r="G71" s="480">
        <f t="shared" si="2"/>
        <v>2852827.46</v>
      </c>
      <c r="H71" s="362">
        <v>2857318.83</v>
      </c>
    </row>
    <row r="72" spans="1:8" x14ac:dyDescent="0.25">
      <c r="A72" t="s">
        <v>330</v>
      </c>
      <c r="B72" t="s">
        <v>331</v>
      </c>
      <c r="C72" s="362">
        <v>45267357.979999997</v>
      </c>
      <c r="D72" s="401">
        <v>41458831.579999998</v>
      </c>
      <c r="E72" s="362">
        <v>275983.48</v>
      </c>
      <c r="F72" s="401">
        <v>3532542.92</v>
      </c>
      <c r="G72" s="480">
        <f t="shared" si="2"/>
        <v>44991374.5</v>
      </c>
      <c r="H72" s="362">
        <v>45267357.979999997</v>
      </c>
    </row>
    <row r="73" spans="1:8" x14ac:dyDescent="0.25">
      <c r="A73" t="s">
        <v>332</v>
      </c>
      <c r="B73" t="s">
        <v>333</v>
      </c>
      <c r="C73" s="362">
        <v>5146828.8600000003</v>
      </c>
      <c r="D73" s="401">
        <v>4777403.88</v>
      </c>
      <c r="E73" s="362">
        <v>19387.38</v>
      </c>
      <c r="F73" s="401">
        <v>350037.6</v>
      </c>
      <c r="G73" s="480">
        <f t="shared" si="2"/>
        <v>5127441.4799999995</v>
      </c>
      <c r="H73" s="362">
        <v>5146828.8599999994</v>
      </c>
    </row>
    <row r="74" spans="1:8" x14ac:dyDescent="0.25">
      <c r="A74" t="s">
        <v>334</v>
      </c>
      <c r="B74" t="s">
        <v>335</v>
      </c>
      <c r="C74" s="362">
        <v>2834298.19</v>
      </c>
      <c r="D74" s="401">
        <v>2827158.65</v>
      </c>
      <c r="E74" s="362">
        <v>7139.54</v>
      </c>
      <c r="F74" s="401">
        <v>0</v>
      </c>
      <c r="G74" s="480">
        <f t="shared" si="2"/>
        <v>2827158.65</v>
      </c>
      <c r="H74" s="362">
        <v>2834298.19</v>
      </c>
    </row>
    <row r="75" spans="1:8" x14ac:dyDescent="0.25">
      <c r="A75" t="s">
        <v>336</v>
      </c>
      <c r="B75" t="s">
        <v>337</v>
      </c>
      <c r="C75" s="362">
        <v>170731.69</v>
      </c>
      <c r="D75" s="401">
        <v>170731.69</v>
      </c>
      <c r="E75" s="362">
        <v>0</v>
      </c>
      <c r="F75" s="401">
        <v>0</v>
      </c>
      <c r="G75" s="480">
        <f t="shared" si="2"/>
        <v>170731.69</v>
      </c>
      <c r="H75" s="362">
        <v>170731.69</v>
      </c>
    </row>
    <row r="76" spans="1:8" x14ac:dyDescent="0.25">
      <c r="A76" t="s">
        <v>338</v>
      </c>
      <c r="B76" t="s">
        <v>339</v>
      </c>
      <c r="C76" s="362">
        <v>308041.64</v>
      </c>
      <c r="D76" s="401">
        <v>308041.64</v>
      </c>
      <c r="E76" s="362">
        <v>0</v>
      </c>
      <c r="F76" s="401">
        <v>0</v>
      </c>
      <c r="G76" s="480">
        <f t="shared" si="2"/>
        <v>308041.64</v>
      </c>
      <c r="H76" s="362">
        <v>308041.64</v>
      </c>
    </row>
    <row r="77" spans="1:8" x14ac:dyDescent="0.25">
      <c r="A77" t="s">
        <v>340</v>
      </c>
      <c r="B77" t="s">
        <v>341</v>
      </c>
      <c r="C77" s="362">
        <v>8012477.4000000004</v>
      </c>
      <c r="D77" s="401">
        <v>7996223.75</v>
      </c>
      <c r="E77" s="362">
        <v>16253.65</v>
      </c>
      <c r="F77" s="401">
        <v>0</v>
      </c>
      <c r="G77" s="480">
        <f t="shared" si="2"/>
        <v>7996223.75</v>
      </c>
      <c r="H77" s="362">
        <v>8012477.4000000004</v>
      </c>
    </row>
    <row r="78" spans="1:8" x14ac:dyDescent="0.25">
      <c r="A78" t="s">
        <v>342</v>
      </c>
      <c r="B78" t="s">
        <v>343</v>
      </c>
      <c r="C78" s="362">
        <v>3306426.94</v>
      </c>
      <c r="D78" s="401">
        <v>3306426.94</v>
      </c>
      <c r="E78" s="362">
        <v>0</v>
      </c>
      <c r="F78" s="401">
        <v>0</v>
      </c>
      <c r="G78" s="480">
        <f t="shared" si="2"/>
        <v>3306426.94</v>
      </c>
      <c r="H78" s="362">
        <v>3306426.94</v>
      </c>
    </row>
    <row r="79" spans="1:8" x14ac:dyDescent="0.25">
      <c r="A79" t="s">
        <v>344</v>
      </c>
      <c r="B79" t="s">
        <v>345</v>
      </c>
      <c r="C79" s="362">
        <v>85745.45</v>
      </c>
      <c r="D79" s="401">
        <v>81780.740000000005</v>
      </c>
      <c r="E79" s="362">
        <v>0</v>
      </c>
      <c r="F79" s="401">
        <v>3964.71</v>
      </c>
      <c r="G79" s="480">
        <f t="shared" si="2"/>
        <v>85745.450000000012</v>
      </c>
      <c r="H79" s="362">
        <v>85745.450000000012</v>
      </c>
    </row>
    <row r="80" spans="1:8" x14ac:dyDescent="0.25">
      <c r="A80" t="s">
        <v>346</v>
      </c>
      <c r="B80" t="s">
        <v>347</v>
      </c>
      <c r="C80" s="362">
        <v>41769508.229999997</v>
      </c>
      <c r="D80" s="401">
        <v>40851596.460000001</v>
      </c>
      <c r="E80" s="362">
        <v>25690.63</v>
      </c>
      <c r="F80" s="401">
        <v>892221.14</v>
      </c>
      <c r="G80" s="480">
        <f t="shared" si="2"/>
        <v>41743817.600000001</v>
      </c>
      <c r="H80" s="362">
        <v>41769508.230000004</v>
      </c>
    </row>
    <row r="81" spans="1:8" x14ac:dyDescent="0.25">
      <c r="A81" t="s">
        <v>348</v>
      </c>
      <c r="B81" t="s">
        <v>1396</v>
      </c>
      <c r="C81" s="362">
        <v>46510349.18</v>
      </c>
      <c r="D81" s="401">
        <v>38809458.619999997</v>
      </c>
      <c r="E81" s="362">
        <v>226257.39</v>
      </c>
      <c r="F81" s="401">
        <v>7474633.1699999999</v>
      </c>
      <c r="G81" s="480">
        <f t="shared" si="2"/>
        <v>46284091.789999999</v>
      </c>
      <c r="H81" s="362">
        <v>46510349.18</v>
      </c>
    </row>
    <row r="82" spans="1:8" x14ac:dyDescent="0.25">
      <c r="A82" t="s">
        <v>350</v>
      </c>
      <c r="B82" t="s">
        <v>1396</v>
      </c>
      <c r="C82" s="362">
        <v>31991.61</v>
      </c>
      <c r="D82" s="401">
        <v>31991.61</v>
      </c>
      <c r="E82" s="362">
        <v>0</v>
      </c>
      <c r="F82" s="401">
        <v>0</v>
      </c>
      <c r="G82" s="480">
        <f t="shared" si="2"/>
        <v>31991.61</v>
      </c>
      <c r="H82" s="362">
        <v>31991.61</v>
      </c>
    </row>
    <row r="83" spans="1:8" x14ac:dyDescent="0.25">
      <c r="A83" t="s">
        <v>352</v>
      </c>
      <c r="B83" t="s">
        <v>353</v>
      </c>
      <c r="C83" s="362">
        <v>44221026.68</v>
      </c>
      <c r="D83" s="401">
        <v>44178341.93</v>
      </c>
      <c r="E83" s="362">
        <v>42684.75</v>
      </c>
      <c r="F83" s="401">
        <v>0</v>
      </c>
      <c r="G83" s="480">
        <f t="shared" si="2"/>
        <v>44178341.93</v>
      </c>
      <c r="H83" s="362">
        <v>44221026.68</v>
      </c>
    </row>
    <row r="84" spans="1:8" x14ac:dyDescent="0.25">
      <c r="A84" t="s">
        <v>354</v>
      </c>
      <c r="B84" t="s">
        <v>355</v>
      </c>
      <c r="C84" s="362">
        <v>10252921.68</v>
      </c>
      <c r="D84" s="401">
        <v>10252703.93</v>
      </c>
      <c r="E84" s="362">
        <v>0</v>
      </c>
      <c r="F84" s="401">
        <v>217.75</v>
      </c>
      <c r="G84" s="480">
        <f t="shared" si="2"/>
        <v>10252921.68</v>
      </c>
      <c r="H84" s="362">
        <v>10252921.68</v>
      </c>
    </row>
    <row r="85" spans="1:8" x14ac:dyDescent="0.25">
      <c r="A85" t="s">
        <v>356</v>
      </c>
      <c r="B85" t="s">
        <v>357</v>
      </c>
      <c r="C85" s="362">
        <v>6604301.6399999997</v>
      </c>
      <c r="D85" s="401">
        <v>5574858.8600000003</v>
      </c>
      <c r="E85" s="362">
        <v>47408.58</v>
      </c>
      <c r="F85" s="401">
        <v>982034.2</v>
      </c>
      <c r="G85" s="480">
        <f t="shared" si="2"/>
        <v>6556893.0600000005</v>
      </c>
      <c r="H85" s="362">
        <v>6604301.6400000006</v>
      </c>
    </row>
    <row r="86" spans="1:8" x14ac:dyDescent="0.25">
      <c r="A86" t="s">
        <v>358</v>
      </c>
      <c r="B86" t="s">
        <v>359</v>
      </c>
      <c r="C86" s="362">
        <v>1257846.6000000001</v>
      </c>
      <c r="D86" s="401">
        <v>1257846.6000000001</v>
      </c>
      <c r="E86" s="362">
        <v>0</v>
      </c>
      <c r="F86" s="401">
        <v>0</v>
      </c>
      <c r="G86" s="480">
        <f t="shared" si="2"/>
        <v>1257846.6000000001</v>
      </c>
      <c r="H86" s="362">
        <v>1257846.6000000001</v>
      </c>
    </row>
    <row r="87" spans="1:8" x14ac:dyDescent="0.25">
      <c r="A87" t="s">
        <v>360</v>
      </c>
      <c r="B87" t="s">
        <v>361</v>
      </c>
      <c r="C87" s="362">
        <v>17969232.859999999</v>
      </c>
      <c r="D87" s="401">
        <v>17834420.52</v>
      </c>
      <c r="E87" s="362">
        <v>134812.34</v>
      </c>
      <c r="F87" s="401">
        <v>0</v>
      </c>
      <c r="G87" s="480">
        <f t="shared" si="2"/>
        <v>17834420.52</v>
      </c>
      <c r="H87" s="362">
        <v>17969232.859999999</v>
      </c>
    </row>
    <row r="88" spans="1:8" x14ac:dyDescent="0.25">
      <c r="A88" t="s">
        <v>362</v>
      </c>
      <c r="B88" t="s">
        <v>363</v>
      </c>
      <c r="C88" s="362">
        <v>1030632.24</v>
      </c>
      <c r="D88" s="401">
        <v>1030632.24</v>
      </c>
      <c r="E88" s="362">
        <v>0</v>
      </c>
      <c r="F88" s="401">
        <v>0</v>
      </c>
      <c r="G88" s="480">
        <f t="shared" si="2"/>
        <v>1030632.24</v>
      </c>
      <c r="H88" s="362">
        <v>1030632.24</v>
      </c>
    </row>
    <row r="89" spans="1:8" x14ac:dyDescent="0.25">
      <c r="A89" t="s">
        <v>364</v>
      </c>
      <c r="B89" t="s">
        <v>365</v>
      </c>
      <c r="C89" s="362">
        <v>227562.34</v>
      </c>
      <c r="D89" s="401">
        <v>227562.34</v>
      </c>
      <c r="E89" s="362">
        <v>0</v>
      </c>
      <c r="F89" s="401">
        <v>0</v>
      </c>
      <c r="G89" s="480">
        <f t="shared" si="2"/>
        <v>227562.34</v>
      </c>
      <c r="H89" s="362">
        <v>227562.34</v>
      </c>
    </row>
    <row r="90" spans="1:8" x14ac:dyDescent="0.25">
      <c r="A90" t="s">
        <v>366</v>
      </c>
      <c r="B90" t="s">
        <v>367</v>
      </c>
      <c r="C90" s="362">
        <v>117990.8</v>
      </c>
      <c r="D90" s="401">
        <v>117990.8</v>
      </c>
      <c r="E90" s="362">
        <v>0</v>
      </c>
      <c r="F90" s="401">
        <v>0</v>
      </c>
      <c r="G90" s="480">
        <f t="shared" si="2"/>
        <v>117990.8</v>
      </c>
      <c r="H90" s="362">
        <v>117990.8</v>
      </c>
    </row>
    <row r="91" spans="1:8" x14ac:dyDescent="0.25">
      <c r="A91" t="s">
        <v>368</v>
      </c>
      <c r="B91" t="s">
        <v>369</v>
      </c>
      <c r="C91" s="362">
        <v>1158150.1599999999</v>
      </c>
      <c r="D91" s="401">
        <v>1158150.1599999999</v>
      </c>
      <c r="E91" s="362">
        <v>0</v>
      </c>
      <c r="F91" s="401">
        <v>0</v>
      </c>
      <c r="G91" s="480">
        <f t="shared" si="2"/>
        <v>1158150.1599999999</v>
      </c>
      <c r="H91" s="362">
        <v>1158150.1599999999</v>
      </c>
    </row>
    <row r="92" spans="1:8" x14ac:dyDescent="0.25">
      <c r="A92" t="s">
        <v>370</v>
      </c>
      <c r="B92" t="s">
        <v>371</v>
      </c>
      <c r="C92" s="362">
        <v>1134618.8700000001</v>
      </c>
      <c r="D92" s="401">
        <v>1089791.1599999999</v>
      </c>
      <c r="E92" s="362">
        <v>955.09</v>
      </c>
      <c r="F92" s="401">
        <v>43872.62</v>
      </c>
      <c r="G92" s="480">
        <f t="shared" si="2"/>
        <v>1133663.78</v>
      </c>
      <c r="H92" s="362">
        <v>1134618.8699999999</v>
      </c>
    </row>
    <row r="93" spans="1:8" x14ac:dyDescent="0.25">
      <c r="A93" t="s">
        <v>372</v>
      </c>
      <c r="B93" t="s">
        <v>373</v>
      </c>
      <c r="C93" s="362">
        <v>5304574.3</v>
      </c>
      <c r="D93" s="401">
        <v>5304574.3</v>
      </c>
      <c r="E93" s="362">
        <v>0</v>
      </c>
      <c r="F93" s="401">
        <v>0</v>
      </c>
      <c r="G93" s="480">
        <f t="shared" si="2"/>
        <v>5304574.3</v>
      </c>
      <c r="H93" s="362">
        <v>5304574.3</v>
      </c>
    </row>
    <row r="94" spans="1:8" x14ac:dyDescent="0.25">
      <c r="A94" t="s">
        <v>374</v>
      </c>
      <c r="B94" t="s">
        <v>375</v>
      </c>
      <c r="C94" s="362">
        <v>1786085.03</v>
      </c>
      <c r="D94" s="401">
        <v>1786085.03</v>
      </c>
      <c r="E94" s="362">
        <v>0</v>
      </c>
      <c r="F94" s="401">
        <v>0</v>
      </c>
      <c r="G94" s="480">
        <f t="shared" si="2"/>
        <v>1786085.03</v>
      </c>
      <c r="H94" s="362">
        <v>1786085.03</v>
      </c>
    </row>
    <row r="95" spans="1:8" x14ac:dyDescent="0.25">
      <c r="A95" t="s">
        <v>376</v>
      </c>
      <c r="B95" t="s">
        <v>377</v>
      </c>
      <c r="C95" s="362">
        <v>5434670.6299999999</v>
      </c>
      <c r="D95" s="401">
        <v>5434670.6299999999</v>
      </c>
      <c r="E95" s="362">
        <v>0</v>
      </c>
      <c r="F95" s="401">
        <v>0</v>
      </c>
      <c r="G95" s="480">
        <f t="shared" si="2"/>
        <v>5434670.6299999999</v>
      </c>
      <c r="H95" s="362">
        <v>5434670.6299999999</v>
      </c>
    </row>
    <row r="96" spans="1:8" x14ac:dyDescent="0.25">
      <c r="A96" t="s">
        <v>378</v>
      </c>
      <c r="B96" t="s">
        <v>379</v>
      </c>
      <c r="C96" s="362">
        <v>289237.38</v>
      </c>
      <c r="D96" s="401">
        <v>270233.46000000002</v>
      </c>
      <c r="E96" s="362">
        <v>0</v>
      </c>
      <c r="F96" s="401">
        <v>19003.919999999998</v>
      </c>
      <c r="G96" s="480">
        <f t="shared" si="2"/>
        <v>289237.38</v>
      </c>
      <c r="H96" s="362">
        <v>289237.38</v>
      </c>
    </row>
    <row r="97" spans="1:8" x14ac:dyDescent="0.25">
      <c r="A97" t="s">
        <v>380</v>
      </c>
      <c r="B97" t="s">
        <v>381</v>
      </c>
      <c r="C97" s="362">
        <v>61792.62</v>
      </c>
      <c r="D97" s="401">
        <v>61792.62</v>
      </c>
      <c r="E97" s="362">
        <v>0</v>
      </c>
      <c r="F97" s="401">
        <v>0</v>
      </c>
      <c r="G97" s="480">
        <f t="shared" si="2"/>
        <v>61792.62</v>
      </c>
      <c r="H97" s="362">
        <v>61792.62</v>
      </c>
    </row>
    <row r="98" spans="1:8" x14ac:dyDescent="0.25">
      <c r="A98" t="s">
        <v>620</v>
      </c>
      <c r="B98" t="s">
        <v>1422</v>
      </c>
      <c r="C98" s="362">
        <v>492558.58</v>
      </c>
      <c r="D98" s="401">
        <v>399037.78</v>
      </c>
      <c r="E98" s="362">
        <v>0</v>
      </c>
      <c r="F98" s="401">
        <v>93520.8</v>
      </c>
      <c r="G98" s="480">
        <f t="shared" si="2"/>
        <v>492558.58</v>
      </c>
      <c r="H98" s="362">
        <v>492558.58</v>
      </c>
    </row>
    <row r="99" spans="1:8" x14ac:dyDescent="0.25">
      <c r="A99" t="s">
        <v>384</v>
      </c>
      <c r="B99" t="s">
        <v>385</v>
      </c>
      <c r="C99" s="362">
        <v>183280.16</v>
      </c>
      <c r="D99" s="401">
        <v>183280.16</v>
      </c>
      <c r="E99" s="362">
        <v>0</v>
      </c>
      <c r="F99" s="401">
        <v>0</v>
      </c>
      <c r="G99" s="480">
        <f t="shared" si="2"/>
        <v>183280.16</v>
      </c>
      <c r="H99" s="362">
        <v>183280.16</v>
      </c>
    </row>
    <row r="100" spans="1:8" x14ac:dyDescent="0.25">
      <c r="A100" t="s">
        <v>386</v>
      </c>
      <c r="B100" t="s">
        <v>387</v>
      </c>
      <c r="C100" s="362">
        <v>1092282.69</v>
      </c>
      <c r="D100" s="401">
        <v>1075365.2</v>
      </c>
      <c r="E100" s="362">
        <v>16917.490000000002</v>
      </c>
      <c r="F100" s="401">
        <v>0</v>
      </c>
      <c r="G100" s="480">
        <f t="shared" si="2"/>
        <v>1075365.2</v>
      </c>
      <c r="H100" s="362">
        <v>1092282.69</v>
      </c>
    </row>
    <row r="101" spans="1:8" x14ac:dyDescent="0.25">
      <c r="A101" t="s">
        <v>388</v>
      </c>
      <c r="B101" t="s">
        <v>389</v>
      </c>
      <c r="C101" s="362">
        <v>235443.98</v>
      </c>
      <c r="D101" s="401">
        <v>230236.57</v>
      </c>
      <c r="E101" s="362">
        <v>0</v>
      </c>
      <c r="F101" s="401">
        <v>5207.41</v>
      </c>
      <c r="G101" s="480">
        <f t="shared" si="2"/>
        <v>235443.98</v>
      </c>
      <c r="H101" s="362">
        <v>235443.98</v>
      </c>
    </row>
    <row r="102" spans="1:8" x14ac:dyDescent="0.25">
      <c r="A102" t="s">
        <v>390</v>
      </c>
      <c r="B102" t="s">
        <v>391</v>
      </c>
      <c r="C102" s="362">
        <v>1327237.92</v>
      </c>
      <c r="D102" s="401">
        <v>1327237.92</v>
      </c>
      <c r="E102" s="362">
        <v>0</v>
      </c>
      <c r="F102" s="401">
        <v>0</v>
      </c>
      <c r="G102" s="480">
        <f t="shared" si="2"/>
        <v>1327237.92</v>
      </c>
      <c r="H102" s="362">
        <v>1327237.92</v>
      </c>
    </row>
    <row r="103" spans="1:8" x14ac:dyDescent="0.25">
      <c r="A103" t="s">
        <v>392</v>
      </c>
      <c r="B103" t="s">
        <v>393</v>
      </c>
      <c r="C103" s="362">
        <v>40913684.659999996</v>
      </c>
      <c r="D103" s="401">
        <v>34614457.950000003</v>
      </c>
      <c r="E103" s="362">
        <v>0</v>
      </c>
      <c r="F103" s="401">
        <v>6299226.71</v>
      </c>
      <c r="G103" s="480">
        <f t="shared" si="2"/>
        <v>40913684.660000004</v>
      </c>
      <c r="H103" s="362">
        <v>40913684.660000004</v>
      </c>
    </row>
    <row r="104" spans="1:8" x14ac:dyDescent="0.25">
      <c r="A104" t="s">
        <v>394</v>
      </c>
      <c r="B104" t="s">
        <v>395</v>
      </c>
      <c r="C104" s="362">
        <v>2600128.19</v>
      </c>
      <c r="D104" s="401">
        <v>2260254.08</v>
      </c>
      <c r="E104" s="362">
        <v>10717.89</v>
      </c>
      <c r="F104" s="401">
        <v>329156.21999999997</v>
      </c>
      <c r="G104" s="480">
        <f t="shared" si="2"/>
        <v>2589410.2999999998</v>
      </c>
      <c r="H104" s="362">
        <v>2600128.19</v>
      </c>
    </row>
    <row r="105" spans="1:8" x14ac:dyDescent="0.25">
      <c r="A105" t="s">
        <v>396</v>
      </c>
      <c r="B105" t="s">
        <v>397</v>
      </c>
      <c r="C105" s="362">
        <v>810584.2</v>
      </c>
      <c r="D105" s="401">
        <v>810584.2</v>
      </c>
      <c r="E105" s="362">
        <v>0</v>
      </c>
      <c r="F105" s="401">
        <v>0</v>
      </c>
      <c r="G105" s="480">
        <f t="shared" si="2"/>
        <v>810584.2</v>
      </c>
      <c r="H105" s="362">
        <v>810584.2</v>
      </c>
    </row>
    <row r="106" spans="1:8" x14ac:dyDescent="0.25">
      <c r="A106" t="s">
        <v>398</v>
      </c>
      <c r="B106" t="s">
        <v>399</v>
      </c>
      <c r="C106" s="362">
        <v>2625485.61</v>
      </c>
      <c r="D106" s="401">
        <v>2625485.61</v>
      </c>
      <c r="E106" s="362">
        <v>0</v>
      </c>
      <c r="F106" s="401">
        <v>0</v>
      </c>
      <c r="G106" s="480">
        <f t="shared" si="2"/>
        <v>2625485.61</v>
      </c>
      <c r="H106" s="362">
        <v>2625485.61</v>
      </c>
    </row>
    <row r="107" spans="1:8" x14ac:dyDescent="0.25">
      <c r="A107" t="s">
        <v>400</v>
      </c>
      <c r="B107" t="s">
        <v>1193</v>
      </c>
      <c r="C107" s="362">
        <v>204323.62</v>
      </c>
      <c r="D107" s="401">
        <v>204323.62</v>
      </c>
      <c r="E107" s="362">
        <v>0</v>
      </c>
      <c r="F107" s="401">
        <v>0</v>
      </c>
      <c r="G107" s="480">
        <f t="shared" si="2"/>
        <v>204323.62</v>
      </c>
      <c r="H107" s="362">
        <v>204323.62</v>
      </c>
    </row>
    <row r="108" spans="1:8" x14ac:dyDescent="0.25">
      <c r="A108" t="s">
        <v>403</v>
      </c>
      <c r="B108" t="s">
        <v>404</v>
      </c>
      <c r="C108" s="362">
        <v>338468.73</v>
      </c>
      <c r="D108" s="401">
        <v>338468.73</v>
      </c>
      <c r="E108" s="362">
        <v>0</v>
      </c>
      <c r="F108" s="401">
        <v>0</v>
      </c>
      <c r="G108" s="480">
        <f t="shared" si="2"/>
        <v>338468.73</v>
      </c>
      <c r="H108" s="362">
        <v>338468.73</v>
      </c>
    </row>
    <row r="109" spans="1:8" x14ac:dyDescent="0.25">
      <c r="A109" t="s">
        <v>405</v>
      </c>
      <c r="B109" t="s">
        <v>406</v>
      </c>
      <c r="C109" s="362">
        <v>53171.26</v>
      </c>
      <c r="D109" s="401">
        <v>53171.26</v>
      </c>
      <c r="E109" s="362">
        <v>0</v>
      </c>
      <c r="F109" s="401">
        <v>0</v>
      </c>
      <c r="G109" s="480">
        <f t="shared" si="2"/>
        <v>53171.26</v>
      </c>
      <c r="H109" s="362">
        <v>53171.26</v>
      </c>
    </row>
    <row r="110" spans="1:8" x14ac:dyDescent="0.25">
      <c r="A110" t="s">
        <v>407</v>
      </c>
      <c r="B110" t="s">
        <v>408</v>
      </c>
      <c r="C110" s="362">
        <v>29482793.66</v>
      </c>
      <c r="D110" s="401">
        <v>29325482.84</v>
      </c>
      <c r="E110" s="362">
        <v>0</v>
      </c>
      <c r="F110" s="401">
        <v>157310.82</v>
      </c>
      <c r="G110" s="480">
        <f t="shared" si="2"/>
        <v>29482793.66</v>
      </c>
      <c r="H110" s="362">
        <v>29482793.66</v>
      </c>
    </row>
    <row r="111" spans="1:8" x14ac:dyDescent="0.25">
      <c r="A111" t="s">
        <v>409</v>
      </c>
      <c r="B111" t="s">
        <v>410</v>
      </c>
      <c r="C111" s="362">
        <v>59369.09</v>
      </c>
      <c r="D111" s="401">
        <v>59369.09</v>
      </c>
      <c r="E111" s="362">
        <v>0</v>
      </c>
      <c r="F111" s="401">
        <v>0</v>
      </c>
      <c r="G111" s="480">
        <f t="shared" si="2"/>
        <v>59369.09</v>
      </c>
      <c r="H111" s="362">
        <v>59369.09</v>
      </c>
    </row>
    <row r="112" spans="1:8" x14ac:dyDescent="0.25">
      <c r="A112" t="s">
        <v>411</v>
      </c>
      <c r="B112" t="s">
        <v>412</v>
      </c>
      <c r="C112" s="362">
        <v>1738629.11</v>
      </c>
      <c r="D112" s="401">
        <v>274533.03000000003</v>
      </c>
      <c r="E112" s="362">
        <v>1464096.08</v>
      </c>
      <c r="F112" s="401">
        <v>0</v>
      </c>
      <c r="G112" s="480">
        <f t="shared" si="2"/>
        <v>274533.03000000003</v>
      </c>
      <c r="H112" s="362">
        <v>1738629.11</v>
      </c>
    </row>
    <row r="113" spans="1:8" x14ac:dyDescent="0.25">
      <c r="A113" t="s">
        <v>413</v>
      </c>
      <c r="B113" t="s">
        <v>414</v>
      </c>
      <c r="C113" s="362">
        <v>31023.5</v>
      </c>
      <c r="D113" s="401">
        <v>31023.5</v>
      </c>
      <c r="E113" s="362">
        <v>0</v>
      </c>
      <c r="F113" s="401">
        <v>0</v>
      </c>
      <c r="G113" s="480">
        <f t="shared" si="2"/>
        <v>31023.5</v>
      </c>
      <c r="H113" s="362">
        <v>31023.5</v>
      </c>
    </row>
    <row r="114" spans="1:8" x14ac:dyDescent="0.25">
      <c r="A114" t="s">
        <v>415</v>
      </c>
      <c r="B114" t="s">
        <v>416</v>
      </c>
      <c r="C114" s="362">
        <v>8572262.4399999995</v>
      </c>
      <c r="D114" s="401">
        <v>8339694.8399999999</v>
      </c>
      <c r="E114" s="362">
        <v>36084.75</v>
      </c>
      <c r="F114" s="401">
        <v>196482.85</v>
      </c>
      <c r="G114" s="480">
        <f t="shared" si="2"/>
        <v>8536177.6899999995</v>
      </c>
      <c r="H114" s="362">
        <v>8572262.4399999995</v>
      </c>
    </row>
    <row r="115" spans="1:8" x14ac:dyDescent="0.25">
      <c r="A115" t="s">
        <v>417</v>
      </c>
      <c r="B115" t="s">
        <v>418</v>
      </c>
      <c r="C115" s="362">
        <v>25611336.359999999</v>
      </c>
      <c r="D115" s="401">
        <v>22971506.530000001</v>
      </c>
      <c r="E115" s="362">
        <v>77791.289999999994</v>
      </c>
      <c r="F115" s="401">
        <v>2562038.54</v>
      </c>
      <c r="G115" s="480">
        <f t="shared" si="2"/>
        <v>25533545.07</v>
      </c>
      <c r="H115" s="362">
        <v>25611336.359999999</v>
      </c>
    </row>
    <row r="116" spans="1:8" x14ac:dyDescent="0.25">
      <c r="A116" t="s">
        <v>419</v>
      </c>
      <c r="B116" t="s">
        <v>420</v>
      </c>
      <c r="C116" s="362">
        <v>49337937.939999998</v>
      </c>
      <c r="D116" s="401">
        <v>35500965.659999996</v>
      </c>
      <c r="E116" s="362">
        <v>12779.8</v>
      </c>
      <c r="F116" s="401">
        <v>13824192.48</v>
      </c>
      <c r="G116" s="480">
        <f t="shared" si="2"/>
        <v>49325158.140000001</v>
      </c>
      <c r="H116" s="362">
        <v>49337937.939999998</v>
      </c>
    </row>
    <row r="117" spans="1:8" x14ac:dyDescent="0.25">
      <c r="A117" t="s">
        <v>421</v>
      </c>
      <c r="B117" t="s">
        <v>422</v>
      </c>
      <c r="C117" s="362">
        <v>1226364.78</v>
      </c>
      <c r="D117" s="401">
        <v>1226364.78</v>
      </c>
      <c r="E117" s="362">
        <v>0</v>
      </c>
      <c r="F117" s="401">
        <v>0</v>
      </c>
      <c r="G117" s="480">
        <f t="shared" si="2"/>
        <v>1226364.78</v>
      </c>
      <c r="H117" s="362">
        <v>1226364.78</v>
      </c>
    </row>
    <row r="118" spans="1:8" x14ac:dyDescent="0.25">
      <c r="A118" t="s">
        <v>423</v>
      </c>
      <c r="B118" t="s">
        <v>1399</v>
      </c>
      <c r="C118" s="362">
        <v>2096180.49</v>
      </c>
      <c r="D118" s="401">
        <v>2094399.88</v>
      </c>
      <c r="E118" s="362">
        <v>1780.61</v>
      </c>
      <c r="F118" s="401">
        <v>0</v>
      </c>
      <c r="G118" s="480">
        <f t="shared" si="2"/>
        <v>2094399.88</v>
      </c>
      <c r="H118" s="362">
        <v>2096180.49</v>
      </c>
    </row>
    <row r="119" spans="1:8" x14ac:dyDescent="0.25">
      <c r="A119" t="s">
        <v>425</v>
      </c>
      <c r="B119" t="s">
        <v>426</v>
      </c>
      <c r="C119" s="362">
        <v>1003300.09</v>
      </c>
      <c r="D119" s="401">
        <v>1003300.09</v>
      </c>
      <c r="E119" s="362">
        <v>0</v>
      </c>
      <c r="F119" s="401">
        <v>0</v>
      </c>
      <c r="G119" s="480">
        <f t="shared" si="2"/>
        <v>1003300.09</v>
      </c>
      <c r="H119" s="362">
        <v>1003300.09</v>
      </c>
    </row>
    <row r="120" spans="1:8" x14ac:dyDescent="0.25">
      <c r="A120" t="s">
        <v>427</v>
      </c>
      <c r="B120" t="s">
        <v>428</v>
      </c>
      <c r="C120" s="362">
        <v>65254.04</v>
      </c>
      <c r="D120" s="401">
        <v>65254.04</v>
      </c>
      <c r="E120" s="362">
        <v>0</v>
      </c>
      <c r="F120" s="401">
        <v>0</v>
      </c>
      <c r="G120" s="480">
        <f t="shared" si="2"/>
        <v>65254.04</v>
      </c>
      <c r="H120" s="362">
        <v>65254.04</v>
      </c>
    </row>
    <row r="121" spans="1:8" x14ac:dyDescent="0.25">
      <c r="A121" t="s">
        <v>429</v>
      </c>
      <c r="B121" t="s">
        <v>430</v>
      </c>
      <c r="C121" s="362">
        <v>2705269.16</v>
      </c>
      <c r="D121" s="401">
        <v>2506648.66</v>
      </c>
      <c r="E121" s="362">
        <v>0</v>
      </c>
      <c r="F121" s="401">
        <v>198620.5</v>
      </c>
      <c r="G121" s="480">
        <f t="shared" si="2"/>
        <v>2705269.16</v>
      </c>
      <c r="H121" s="362">
        <v>2705269.16</v>
      </c>
    </row>
    <row r="122" spans="1:8" x14ac:dyDescent="0.25">
      <c r="A122" t="s">
        <v>431</v>
      </c>
      <c r="B122" t="s">
        <v>432</v>
      </c>
      <c r="C122" s="362">
        <v>1219400.95</v>
      </c>
      <c r="D122" s="401">
        <v>1066802.1200000001</v>
      </c>
      <c r="E122" s="362">
        <v>4252.33</v>
      </c>
      <c r="F122" s="401">
        <v>148346.5</v>
      </c>
      <c r="G122" s="480">
        <f t="shared" si="2"/>
        <v>1215148.6200000001</v>
      </c>
      <c r="H122" s="362">
        <v>1219400.9500000002</v>
      </c>
    </row>
    <row r="123" spans="1:8" x14ac:dyDescent="0.25">
      <c r="A123" t="s">
        <v>433</v>
      </c>
      <c r="B123" t="s">
        <v>1195</v>
      </c>
      <c r="C123" s="362">
        <v>140008.98000000001</v>
      </c>
      <c r="D123" s="401">
        <v>140008.98000000001</v>
      </c>
      <c r="E123" s="362">
        <v>0</v>
      </c>
      <c r="F123" s="401">
        <v>0</v>
      </c>
      <c r="G123" s="480">
        <f t="shared" si="2"/>
        <v>140008.98000000001</v>
      </c>
      <c r="H123" s="362">
        <v>140008.98000000001</v>
      </c>
    </row>
    <row r="124" spans="1:8" x14ac:dyDescent="0.25">
      <c r="A124" t="s">
        <v>435</v>
      </c>
      <c r="B124" t="s">
        <v>436</v>
      </c>
      <c r="C124" s="362">
        <v>1756338.66</v>
      </c>
      <c r="D124" s="401">
        <v>1334175.8899999999</v>
      </c>
      <c r="E124" s="362">
        <v>0</v>
      </c>
      <c r="F124" s="401">
        <v>422162.77</v>
      </c>
      <c r="G124" s="480">
        <f t="shared" si="2"/>
        <v>1756338.66</v>
      </c>
      <c r="H124" s="362">
        <v>1756338.66</v>
      </c>
    </row>
    <row r="125" spans="1:8" x14ac:dyDescent="0.25">
      <c r="A125" t="s">
        <v>439</v>
      </c>
      <c r="B125" t="s">
        <v>440</v>
      </c>
      <c r="C125" s="362">
        <v>17543798.710000001</v>
      </c>
      <c r="D125" s="401">
        <v>17511941.649999999</v>
      </c>
      <c r="E125" s="362">
        <v>31857.06</v>
      </c>
      <c r="F125" s="401">
        <v>0</v>
      </c>
      <c r="G125" s="480">
        <f t="shared" si="2"/>
        <v>17511941.649999999</v>
      </c>
      <c r="H125" s="362">
        <v>17543798.709999997</v>
      </c>
    </row>
    <row r="126" spans="1:8" x14ac:dyDescent="0.25">
      <c r="A126" t="s">
        <v>441</v>
      </c>
      <c r="B126" t="s">
        <v>442</v>
      </c>
      <c r="C126" s="362">
        <v>55720654.960000001</v>
      </c>
      <c r="D126" s="401">
        <v>44468271.469999999</v>
      </c>
      <c r="E126" s="362">
        <v>49793.05</v>
      </c>
      <c r="F126" s="401">
        <v>11202590.439999999</v>
      </c>
      <c r="G126" s="480">
        <f t="shared" si="2"/>
        <v>55670861.909999996</v>
      </c>
      <c r="H126" s="362">
        <v>55720654.960000001</v>
      </c>
    </row>
    <row r="127" spans="1:8" x14ac:dyDescent="0.25">
      <c r="A127" t="s">
        <v>443</v>
      </c>
      <c r="B127" t="s">
        <v>444</v>
      </c>
      <c r="C127" s="362">
        <v>4798315.6900000004</v>
      </c>
      <c r="D127" s="401">
        <v>4777121.9000000004</v>
      </c>
      <c r="E127" s="362">
        <v>21193.79</v>
      </c>
      <c r="F127" s="401">
        <v>0</v>
      </c>
      <c r="G127" s="480">
        <f t="shared" si="2"/>
        <v>4777121.9000000004</v>
      </c>
      <c r="H127" s="362">
        <v>4798315.6900000004</v>
      </c>
    </row>
    <row r="128" spans="1:8" x14ac:dyDescent="0.25">
      <c r="A128" t="s">
        <v>445</v>
      </c>
      <c r="B128" t="s">
        <v>446</v>
      </c>
      <c r="C128" s="362">
        <v>75408.52</v>
      </c>
      <c r="D128" s="401">
        <v>75408.52</v>
      </c>
      <c r="E128" s="362">
        <v>0</v>
      </c>
      <c r="F128" s="401">
        <v>0</v>
      </c>
      <c r="G128" s="480">
        <f t="shared" si="2"/>
        <v>75408.52</v>
      </c>
      <c r="H128" s="362">
        <v>75408.52</v>
      </c>
    </row>
    <row r="129" spans="1:8" x14ac:dyDescent="0.25">
      <c r="A129" t="s">
        <v>447</v>
      </c>
      <c r="B129" t="s">
        <v>448</v>
      </c>
      <c r="C129" s="362">
        <v>593652.18999999994</v>
      </c>
      <c r="D129" s="401">
        <v>593652.18999999994</v>
      </c>
      <c r="E129" s="362">
        <v>0</v>
      </c>
      <c r="F129" s="401">
        <v>0</v>
      </c>
      <c r="G129" s="480">
        <f t="shared" si="2"/>
        <v>593652.18999999994</v>
      </c>
      <c r="H129" s="362">
        <v>593652.18999999994</v>
      </c>
    </row>
    <row r="130" spans="1:8" x14ac:dyDescent="0.25">
      <c r="A130" t="s">
        <v>449</v>
      </c>
      <c r="B130" t="s">
        <v>450</v>
      </c>
      <c r="C130" s="362">
        <v>274894.51</v>
      </c>
      <c r="D130" s="401">
        <v>274894.51</v>
      </c>
      <c r="E130" s="362">
        <v>0</v>
      </c>
      <c r="F130" s="401">
        <v>0</v>
      </c>
      <c r="G130" s="480">
        <f t="shared" si="2"/>
        <v>274894.51</v>
      </c>
      <c r="H130" s="362">
        <v>274894.51</v>
      </c>
    </row>
    <row r="131" spans="1:8" x14ac:dyDescent="0.25">
      <c r="A131" t="s">
        <v>451</v>
      </c>
      <c r="B131" t="s">
        <v>452</v>
      </c>
      <c r="C131" s="362">
        <v>13055644.890000001</v>
      </c>
      <c r="D131" s="401">
        <v>12141753.859999999</v>
      </c>
      <c r="E131" s="362">
        <v>117781.09</v>
      </c>
      <c r="F131" s="401">
        <v>796109.94</v>
      </c>
      <c r="G131" s="480">
        <f t="shared" si="2"/>
        <v>12937863.799999999</v>
      </c>
      <c r="H131" s="362">
        <v>13055644.889999999</v>
      </c>
    </row>
    <row r="132" spans="1:8" x14ac:dyDescent="0.25">
      <c r="A132" t="s">
        <v>453</v>
      </c>
      <c r="B132" t="s">
        <v>454</v>
      </c>
      <c r="C132" s="362">
        <v>183427.44</v>
      </c>
      <c r="D132" s="401">
        <v>120283.9</v>
      </c>
      <c r="E132" s="362">
        <v>0</v>
      </c>
      <c r="F132" s="401">
        <v>63143.54</v>
      </c>
      <c r="G132" s="480">
        <f t="shared" si="2"/>
        <v>183427.44</v>
      </c>
      <c r="H132" s="362">
        <v>183427.44</v>
      </c>
    </row>
    <row r="133" spans="1:8" x14ac:dyDescent="0.25">
      <c r="A133" t="s">
        <v>455</v>
      </c>
      <c r="B133" t="s">
        <v>456</v>
      </c>
      <c r="C133" s="362">
        <v>777754.42</v>
      </c>
      <c r="D133" s="401">
        <v>775130.16</v>
      </c>
      <c r="E133" s="362">
        <v>2624.26</v>
      </c>
      <c r="F133" s="401">
        <v>0</v>
      </c>
      <c r="G133" s="480">
        <f t="shared" si="2"/>
        <v>775130.16</v>
      </c>
      <c r="H133" s="362">
        <v>777754.42</v>
      </c>
    </row>
    <row r="134" spans="1:8" hidden="1" x14ac:dyDescent="0.25">
      <c r="A134" t="s">
        <v>1314</v>
      </c>
      <c r="B134" t="s">
        <v>1400</v>
      </c>
      <c r="C134" s="362">
        <v>1126276.6299999999</v>
      </c>
      <c r="D134" s="401">
        <v>1126276.6299999999</v>
      </c>
      <c r="E134" s="362">
        <v>0</v>
      </c>
      <c r="F134" s="401">
        <v>0</v>
      </c>
      <c r="G134" s="480">
        <f t="shared" ref="G134:G197" si="3">D134+F134</f>
        <v>1126276.6299999999</v>
      </c>
      <c r="H134" s="362">
        <v>1126276.6299999999</v>
      </c>
    </row>
    <row r="135" spans="1:8" x14ac:dyDescent="0.25">
      <c r="A135" t="s">
        <v>458</v>
      </c>
      <c r="B135" t="s">
        <v>459</v>
      </c>
      <c r="C135" s="362">
        <v>322509.59000000003</v>
      </c>
      <c r="D135" s="401">
        <v>322509.59000000003</v>
      </c>
      <c r="E135" s="362">
        <v>0</v>
      </c>
      <c r="F135" s="401">
        <v>0</v>
      </c>
      <c r="G135" s="480">
        <f t="shared" si="3"/>
        <v>322509.59000000003</v>
      </c>
      <c r="H135" s="362">
        <v>322509.59000000003</v>
      </c>
    </row>
    <row r="136" spans="1:8" x14ac:dyDescent="0.25">
      <c r="A136" t="s">
        <v>460</v>
      </c>
      <c r="B136" t="s">
        <v>461</v>
      </c>
      <c r="C136" s="362">
        <v>6893276.25</v>
      </c>
      <c r="D136" s="401">
        <v>6259997.8499999996</v>
      </c>
      <c r="E136" s="362">
        <v>39580.85</v>
      </c>
      <c r="F136" s="401">
        <v>593697.55000000005</v>
      </c>
      <c r="G136" s="480">
        <f t="shared" si="3"/>
        <v>6853695.3999999994</v>
      </c>
      <c r="H136" s="362">
        <v>6893276.25</v>
      </c>
    </row>
    <row r="137" spans="1:8" x14ac:dyDescent="0.25">
      <c r="A137" t="s">
        <v>462</v>
      </c>
      <c r="B137" t="s">
        <v>463</v>
      </c>
      <c r="C137" s="362">
        <v>983612.71</v>
      </c>
      <c r="D137" s="401">
        <v>983612.71</v>
      </c>
      <c r="E137" s="362">
        <v>0</v>
      </c>
      <c r="F137" s="401">
        <v>0</v>
      </c>
      <c r="G137" s="480">
        <f t="shared" si="3"/>
        <v>983612.71</v>
      </c>
      <c r="H137" s="362">
        <v>983612.71</v>
      </c>
    </row>
    <row r="138" spans="1:8" x14ac:dyDescent="0.25">
      <c r="A138" t="s">
        <v>464</v>
      </c>
      <c r="B138" t="s">
        <v>465</v>
      </c>
      <c r="C138" s="362">
        <v>121530</v>
      </c>
      <c r="D138" s="401">
        <v>103778.7</v>
      </c>
      <c r="E138" s="362">
        <v>0</v>
      </c>
      <c r="F138" s="401">
        <v>17751.3</v>
      </c>
      <c r="G138" s="480">
        <f t="shared" si="3"/>
        <v>121530</v>
      </c>
      <c r="H138" s="362">
        <v>121530</v>
      </c>
    </row>
    <row r="139" spans="1:8" x14ac:dyDescent="0.25">
      <c r="A139" t="s">
        <v>466</v>
      </c>
      <c r="B139" t="s">
        <v>467</v>
      </c>
      <c r="C139" s="362">
        <v>750822.66</v>
      </c>
      <c r="D139" s="401">
        <v>750822.66</v>
      </c>
      <c r="E139" s="362">
        <v>0</v>
      </c>
      <c r="F139" s="401">
        <v>0</v>
      </c>
      <c r="G139" s="480">
        <f t="shared" si="3"/>
        <v>750822.66</v>
      </c>
      <c r="H139" s="362">
        <v>750822.66</v>
      </c>
    </row>
    <row r="140" spans="1:8" x14ac:dyDescent="0.25">
      <c r="A140" t="s">
        <v>468</v>
      </c>
      <c r="B140" t="s">
        <v>1196</v>
      </c>
      <c r="C140" s="362">
        <v>2287396.6</v>
      </c>
      <c r="D140" s="401">
        <v>2287396.6</v>
      </c>
      <c r="E140" s="362">
        <v>0</v>
      </c>
      <c r="F140" s="401">
        <v>0</v>
      </c>
      <c r="G140" s="480">
        <f t="shared" si="3"/>
        <v>2287396.6</v>
      </c>
      <c r="H140" s="362">
        <v>2287396.6</v>
      </c>
    </row>
    <row r="141" spans="1:8" x14ac:dyDescent="0.25">
      <c r="A141" t="s">
        <v>470</v>
      </c>
      <c r="B141" t="s">
        <v>471</v>
      </c>
      <c r="C141" s="362">
        <v>630322.47</v>
      </c>
      <c r="D141" s="401">
        <v>630322.47</v>
      </c>
      <c r="E141" s="362">
        <v>0</v>
      </c>
      <c r="F141" s="401">
        <v>0</v>
      </c>
      <c r="G141" s="480">
        <f t="shared" si="3"/>
        <v>630322.47</v>
      </c>
      <c r="H141" s="362">
        <v>630322.47</v>
      </c>
    </row>
    <row r="142" spans="1:8" x14ac:dyDescent="0.25">
      <c r="A142" t="s">
        <v>472</v>
      </c>
      <c r="B142" t="s">
        <v>473</v>
      </c>
      <c r="C142" s="362">
        <v>22580883.859999999</v>
      </c>
      <c r="D142" s="401">
        <v>22504973.34</v>
      </c>
      <c r="E142" s="362">
        <v>75910.52</v>
      </c>
      <c r="F142" s="401">
        <v>0</v>
      </c>
      <c r="G142" s="480">
        <f t="shared" si="3"/>
        <v>22504973.34</v>
      </c>
      <c r="H142" s="362">
        <v>22580883.859999999</v>
      </c>
    </row>
    <row r="143" spans="1:8" x14ac:dyDescent="0.25">
      <c r="A143" t="s">
        <v>474</v>
      </c>
      <c r="B143" t="s">
        <v>1197</v>
      </c>
      <c r="C143" s="362">
        <v>675594.49</v>
      </c>
      <c r="D143" s="401">
        <v>675594.49</v>
      </c>
      <c r="E143" s="362">
        <v>0</v>
      </c>
      <c r="F143" s="401">
        <v>0</v>
      </c>
      <c r="G143" s="480">
        <f t="shared" si="3"/>
        <v>675594.49</v>
      </c>
      <c r="H143" s="362">
        <v>675594.49</v>
      </c>
    </row>
    <row r="144" spans="1:8" x14ac:dyDescent="0.25">
      <c r="A144" t="s">
        <v>476</v>
      </c>
      <c r="B144" t="s">
        <v>477</v>
      </c>
      <c r="C144" s="362">
        <v>16165743.15</v>
      </c>
      <c r="D144" s="401">
        <v>15741357.15</v>
      </c>
      <c r="E144" s="362">
        <v>0</v>
      </c>
      <c r="F144" s="401">
        <v>424386</v>
      </c>
      <c r="G144" s="480">
        <f t="shared" si="3"/>
        <v>16165743.15</v>
      </c>
      <c r="H144" s="362">
        <v>16165743.15</v>
      </c>
    </row>
    <row r="145" spans="1:8" x14ac:dyDescent="0.25">
      <c r="A145" t="s">
        <v>478</v>
      </c>
      <c r="B145" t="s">
        <v>479</v>
      </c>
      <c r="C145" s="362">
        <v>2559924.13</v>
      </c>
      <c r="D145" s="401">
        <v>2550131.86</v>
      </c>
      <c r="E145" s="362">
        <v>9792.27</v>
      </c>
      <c r="F145" s="401">
        <v>0</v>
      </c>
      <c r="G145" s="480">
        <f t="shared" si="3"/>
        <v>2550131.86</v>
      </c>
      <c r="H145" s="362">
        <v>2559924.13</v>
      </c>
    </row>
    <row r="146" spans="1:8" x14ac:dyDescent="0.25">
      <c r="A146" t="s">
        <v>480</v>
      </c>
      <c r="B146" t="s">
        <v>481</v>
      </c>
      <c r="C146" s="362">
        <v>8866840.4800000004</v>
      </c>
      <c r="D146" s="401">
        <v>5452778.5599999996</v>
      </c>
      <c r="E146" s="362">
        <v>0</v>
      </c>
      <c r="F146" s="401">
        <v>3414061.92</v>
      </c>
      <c r="G146" s="480">
        <f t="shared" si="3"/>
        <v>8866840.4800000004</v>
      </c>
      <c r="H146" s="362">
        <v>8866840.4800000004</v>
      </c>
    </row>
    <row r="147" spans="1:8" x14ac:dyDescent="0.25">
      <c r="A147" t="s">
        <v>482</v>
      </c>
      <c r="B147" t="s">
        <v>483</v>
      </c>
      <c r="C147" s="362">
        <v>2541763.7000000002</v>
      </c>
      <c r="D147" s="401">
        <v>2520018.25</v>
      </c>
      <c r="E147" s="362">
        <v>21745.45</v>
      </c>
      <c r="F147" s="401">
        <v>0</v>
      </c>
      <c r="G147" s="480">
        <f t="shared" si="3"/>
        <v>2520018.25</v>
      </c>
      <c r="H147" s="362">
        <v>2541763.7000000002</v>
      </c>
    </row>
    <row r="148" spans="1:8" x14ac:dyDescent="0.25">
      <c r="A148" t="s">
        <v>484</v>
      </c>
      <c r="B148" t="s">
        <v>485</v>
      </c>
      <c r="C148" s="362">
        <v>747286.38</v>
      </c>
      <c r="D148" s="401">
        <v>747286.38</v>
      </c>
      <c r="E148" s="362">
        <v>0</v>
      </c>
      <c r="F148" s="401">
        <v>0</v>
      </c>
      <c r="G148" s="480">
        <f t="shared" si="3"/>
        <v>747286.38</v>
      </c>
      <c r="H148" s="362">
        <v>747286.38</v>
      </c>
    </row>
    <row r="149" spans="1:8" x14ac:dyDescent="0.25">
      <c r="A149" t="s">
        <v>486</v>
      </c>
      <c r="B149" t="s">
        <v>487</v>
      </c>
      <c r="C149" s="362">
        <v>54677.5</v>
      </c>
      <c r="D149" s="401">
        <v>54677.5</v>
      </c>
      <c r="E149" s="362">
        <v>0</v>
      </c>
      <c r="F149" s="401">
        <v>0</v>
      </c>
      <c r="G149" s="480">
        <f t="shared" si="3"/>
        <v>54677.5</v>
      </c>
      <c r="H149" s="362">
        <v>54677.5</v>
      </c>
    </row>
    <row r="150" spans="1:8" x14ac:dyDescent="0.25">
      <c r="A150" t="s">
        <v>488</v>
      </c>
      <c r="B150" t="s">
        <v>489</v>
      </c>
      <c r="C150" s="362">
        <v>10507815.699999999</v>
      </c>
      <c r="D150" s="401">
        <v>10120055.08</v>
      </c>
      <c r="E150" s="362">
        <v>0</v>
      </c>
      <c r="F150" s="401">
        <v>387760.62</v>
      </c>
      <c r="G150" s="480">
        <f t="shared" si="3"/>
        <v>10507815.699999999</v>
      </c>
      <c r="H150" s="362">
        <v>10507815.699999999</v>
      </c>
    </row>
    <row r="151" spans="1:8" x14ac:dyDescent="0.25">
      <c r="A151" t="s">
        <v>490</v>
      </c>
      <c r="B151" t="s">
        <v>491</v>
      </c>
      <c r="C151" s="362">
        <v>2368312.31</v>
      </c>
      <c r="D151" s="401">
        <v>2368312.31</v>
      </c>
      <c r="E151" s="362">
        <v>0</v>
      </c>
      <c r="F151" s="401">
        <v>0</v>
      </c>
      <c r="G151" s="480">
        <f t="shared" si="3"/>
        <v>2368312.31</v>
      </c>
      <c r="H151" s="362">
        <v>2368312.31</v>
      </c>
    </row>
    <row r="152" spans="1:8" x14ac:dyDescent="0.25">
      <c r="A152" t="s">
        <v>492</v>
      </c>
      <c r="B152" t="s">
        <v>493</v>
      </c>
      <c r="C152" s="362">
        <v>702111.03</v>
      </c>
      <c r="D152" s="401">
        <v>594709.82999999996</v>
      </c>
      <c r="E152" s="362">
        <v>387.77</v>
      </c>
      <c r="F152" s="401">
        <v>107013.43</v>
      </c>
      <c r="G152" s="480">
        <f t="shared" si="3"/>
        <v>701723.26</v>
      </c>
      <c r="H152" s="362">
        <v>702111.02999999991</v>
      </c>
    </row>
    <row r="153" spans="1:8" x14ac:dyDescent="0.25">
      <c r="A153" t="s">
        <v>494</v>
      </c>
      <c r="B153" t="s">
        <v>495</v>
      </c>
      <c r="C153" s="362">
        <v>12058805.869999999</v>
      </c>
      <c r="D153" s="401">
        <v>10390103.470000001</v>
      </c>
      <c r="E153" s="362">
        <v>28062.15</v>
      </c>
      <c r="F153" s="401">
        <v>1640640.25</v>
      </c>
      <c r="G153" s="480">
        <f t="shared" si="3"/>
        <v>12030743.720000001</v>
      </c>
      <c r="H153" s="362">
        <v>12058805.870000001</v>
      </c>
    </row>
    <row r="154" spans="1:8" x14ac:dyDescent="0.25">
      <c r="A154" t="s">
        <v>496</v>
      </c>
      <c r="B154" t="s">
        <v>497</v>
      </c>
      <c r="C154" s="362">
        <v>966630.67</v>
      </c>
      <c r="D154" s="401">
        <v>963998.15</v>
      </c>
      <c r="E154" s="362">
        <v>1384.52</v>
      </c>
      <c r="F154" s="401">
        <v>1248</v>
      </c>
      <c r="G154" s="480">
        <f t="shared" si="3"/>
        <v>965246.15</v>
      </c>
      <c r="H154" s="362">
        <v>966630.67</v>
      </c>
    </row>
    <row r="155" spans="1:8" x14ac:dyDescent="0.25">
      <c r="A155" t="s">
        <v>498</v>
      </c>
      <c r="B155" t="s">
        <v>499</v>
      </c>
      <c r="C155" s="362">
        <v>1425852.9</v>
      </c>
      <c r="D155" s="401">
        <v>1368476.32</v>
      </c>
      <c r="E155" s="362">
        <v>0</v>
      </c>
      <c r="F155" s="401">
        <v>57376.58</v>
      </c>
      <c r="G155" s="480">
        <f t="shared" si="3"/>
        <v>1425852.9000000001</v>
      </c>
      <c r="H155" s="362">
        <v>1425852.9000000001</v>
      </c>
    </row>
    <row r="156" spans="1:8" x14ac:dyDescent="0.25">
      <c r="A156" t="s">
        <v>500</v>
      </c>
      <c r="B156" t="s">
        <v>501</v>
      </c>
      <c r="C156" s="362">
        <v>4158593.94</v>
      </c>
      <c r="D156" s="401">
        <v>3339236.2</v>
      </c>
      <c r="E156" s="362">
        <v>51207.48</v>
      </c>
      <c r="F156" s="401">
        <v>768150.26</v>
      </c>
      <c r="G156" s="480">
        <f t="shared" si="3"/>
        <v>4107386.46</v>
      </c>
      <c r="H156" s="362">
        <v>4158593.9400000004</v>
      </c>
    </row>
    <row r="157" spans="1:8" x14ac:dyDescent="0.25">
      <c r="A157" t="s">
        <v>502</v>
      </c>
      <c r="B157" t="s">
        <v>503</v>
      </c>
      <c r="C157" s="362">
        <v>76712.08</v>
      </c>
      <c r="D157" s="401">
        <v>76712.08</v>
      </c>
      <c r="E157" s="362">
        <v>0</v>
      </c>
      <c r="F157" s="401">
        <v>0</v>
      </c>
      <c r="G157" s="480">
        <f t="shared" si="3"/>
        <v>76712.08</v>
      </c>
      <c r="H157" s="362">
        <v>76712.08</v>
      </c>
    </row>
    <row r="158" spans="1:8" x14ac:dyDescent="0.25">
      <c r="A158" t="s">
        <v>504</v>
      </c>
      <c r="B158" t="s">
        <v>1198</v>
      </c>
      <c r="C158" s="362">
        <v>14754451.310000001</v>
      </c>
      <c r="D158" s="401">
        <v>12188003.539999999</v>
      </c>
      <c r="E158" s="362">
        <v>152578.01</v>
      </c>
      <c r="F158" s="401">
        <v>2413869.7599999998</v>
      </c>
      <c r="G158" s="480">
        <f t="shared" si="3"/>
        <v>14601873.299999999</v>
      </c>
      <c r="H158" s="362">
        <v>14754451.309999999</v>
      </c>
    </row>
    <row r="159" spans="1:8" hidden="1" x14ac:dyDescent="0.25">
      <c r="A159" t="s">
        <v>1370</v>
      </c>
      <c r="B159" t="s">
        <v>1401</v>
      </c>
      <c r="C159" s="362">
        <v>0</v>
      </c>
      <c r="D159" s="401">
        <v>0</v>
      </c>
      <c r="E159" s="362">
        <v>0</v>
      </c>
      <c r="F159" s="401">
        <v>0</v>
      </c>
      <c r="G159" s="480">
        <f t="shared" si="3"/>
        <v>0</v>
      </c>
      <c r="H159" s="362">
        <v>0</v>
      </c>
    </row>
    <row r="160" spans="1:8" x14ac:dyDescent="0.25">
      <c r="A160" t="s">
        <v>506</v>
      </c>
      <c r="B160" t="s">
        <v>507</v>
      </c>
      <c r="C160" s="362">
        <v>34033156.590000004</v>
      </c>
      <c r="D160" s="401">
        <v>29494030.27</v>
      </c>
      <c r="E160" s="362">
        <v>0</v>
      </c>
      <c r="F160" s="401">
        <v>4539126.32</v>
      </c>
      <c r="G160" s="480">
        <f t="shared" si="3"/>
        <v>34033156.590000004</v>
      </c>
      <c r="H160" s="362">
        <v>34033156.590000004</v>
      </c>
    </row>
    <row r="161" spans="1:8" x14ac:dyDescent="0.25">
      <c r="A161" t="s">
        <v>508</v>
      </c>
      <c r="B161" t="s">
        <v>509</v>
      </c>
      <c r="C161" s="362">
        <v>1530275.47</v>
      </c>
      <c r="D161" s="401">
        <v>1530275.47</v>
      </c>
      <c r="E161" s="362">
        <v>0</v>
      </c>
      <c r="F161" s="401">
        <v>0</v>
      </c>
      <c r="G161" s="480">
        <f t="shared" si="3"/>
        <v>1530275.47</v>
      </c>
      <c r="H161" s="362">
        <v>1530275.47</v>
      </c>
    </row>
    <row r="162" spans="1:8" x14ac:dyDescent="0.25">
      <c r="A162" t="s">
        <v>510</v>
      </c>
      <c r="B162" t="s">
        <v>511</v>
      </c>
      <c r="C162" s="362">
        <v>1252532.04</v>
      </c>
      <c r="D162" s="401">
        <v>1251895.53</v>
      </c>
      <c r="E162" s="362">
        <v>636.51</v>
      </c>
      <c r="F162" s="401">
        <v>0</v>
      </c>
      <c r="G162" s="480">
        <f t="shared" si="3"/>
        <v>1251895.53</v>
      </c>
      <c r="H162" s="362">
        <v>1252532.04</v>
      </c>
    </row>
    <row r="163" spans="1:8" x14ac:dyDescent="0.25">
      <c r="A163" t="s">
        <v>512</v>
      </c>
      <c r="B163" t="s">
        <v>1199</v>
      </c>
      <c r="C163" s="362">
        <v>472440.6</v>
      </c>
      <c r="D163" s="401">
        <v>472440.6</v>
      </c>
      <c r="E163" s="362">
        <v>0</v>
      </c>
      <c r="F163" s="401">
        <v>0</v>
      </c>
      <c r="G163" s="480">
        <f t="shared" si="3"/>
        <v>472440.6</v>
      </c>
      <c r="H163" s="362">
        <v>472440.6</v>
      </c>
    </row>
    <row r="164" spans="1:8" x14ac:dyDescent="0.25">
      <c r="A164" t="s">
        <v>514</v>
      </c>
      <c r="B164" t="s">
        <v>515</v>
      </c>
      <c r="C164" s="362">
        <v>200104.79</v>
      </c>
      <c r="D164" s="401">
        <v>200104.79</v>
      </c>
      <c r="E164" s="362">
        <v>0</v>
      </c>
      <c r="F164" s="401">
        <v>0</v>
      </c>
      <c r="G164" s="480">
        <f t="shared" si="3"/>
        <v>200104.79</v>
      </c>
      <c r="H164" s="362">
        <v>200104.79</v>
      </c>
    </row>
    <row r="165" spans="1:8" x14ac:dyDescent="0.25">
      <c r="A165" t="s">
        <v>516</v>
      </c>
      <c r="B165" t="s">
        <v>517</v>
      </c>
      <c r="C165" s="362">
        <v>1457831.63</v>
      </c>
      <c r="D165" s="401">
        <v>1457831.63</v>
      </c>
      <c r="E165" s="362">
        <v>0</v>
      </c>
      <c r="F165" s="401">
        <v>0</v>
      </c>
      <c r="G165" s="480">
        <f t="shared" si="3"/>
        <v>1457831.63</v>
      </c>
      <c r="H165" s="362">
        <v>1457831.63</v>
      </c>
    </row>
    <row r="166" spans="1:8" x14ac:dyDescent="0.25">
      <c r="A166" t="s">
        <v>518</v>
      </c>
      <c r="B166" t="s">
        <v>519</v>
      </c>
      <c r="C166" s="362">
        <v>1850592.78</v>
      </c>
      <c r="D166" s="401">
        <v>1850592.78</v>
      </c>
      <c r="E166" s="362">
        <v>0</v>
      </c>
      <c r="F166" s="401">
        <v>0</v>
      </c>
      <c r="G166" s="480">
        <f t="shared" si="3"/>
        <v>1850592.78</v>
      </c>
      <c r="H166" s="362">
        <v>1850592.78</v>
      </c>
    </row>
    <row r="167" spans="1:8" x14ac:dyDescent="0.25">
      <c r="A167" t="s">
        <v>520</v>
      </c>
      <c r="B167" t="s">
        <v>521</v>
      </c>
      <c r="C167" s="362">
        <v>3159339.39</v>
      </c>
      <c r="D167" s="401">
        <v>3131181.12</v>
      </c>
      <c r="E167" s="362">
        <v>28158.27</v>
      </c>
      <c r="F167" s="401">
        <v>0</v>
      </c>
      <c r="G167" s="480">
        <f t="shared" si="3"/>
        <v>3131181.12</v>
      </c>
      <c r="H167" s="362">
        <v>3159339.39</v>
      </c>
    </row>
    <row r="168" spans="1:8" x14ac:dyDescent="0.25">
      <c r="A168" t="s">
        <v>522</v>
      </c>
      <c r="B168" t="s">
        <v>523</v>
      </c>
      <c r="C168" s="362">
        <v>1372535.95</v>
      </c>
      <c r="D168" s="401">
        <v>1236105.45</v>
      </c>
      <c r="E168" s="362">
        <v>0</v>
      </c>
      <c r="F168" s="401">
        <v>136430.5</v>
      </c>
      <c r="G168" s="480">
        <f t="shared" si="3"/>
        <v>1372535.95</v>
      </c>
      <c r="H168" s="362">
        <v>1372535.95</v>
      </c>
    </row>
    <row r="169" spans="1:8" x14ac:dyDescent="0.25">
      <c r="A169" t="s">
        <v>524</v>
      </c>
      <c r="B169" t="s">
        <v>525</v>
      </c>
      <c r="C169" s="362">
        <v>2832049.74</v>
      </c>
      <c r="D169" s="401">
        <v>2832049.74</v>
      </c>
      <c r="E169" s="362">
        <v>0</v>
      </c>
      <c r="F169" s="401">
        <v>0</v>
      </c>
      <c r="G169" s="480">
        <f t="shared" si="3"/>
        <v>2832049.74</v>
      </c>
      <c r="H169" s="362">
        <v>2832049.74</v>
      </c>
    </row>
    <row r="170" spans="1:8" x14ac:dyDescent="0.25">
      <c r="A170" t="s">
        <v>526</v>
      </c>
      <c r="B170" t="s">
        <v>527</v>
      </c>
      <c r="C170" s="362">
        <v>10814514.98</v>
      </c>
      <c r="D170" s="401">
        <v>10533813.65</v>
      </c>
      <c r="E170" s="362">
        <v>0</v>
      </c>
      <c r="F170" s="401">
        <v>280701.33</v>
      </c>
      <c r="G170" s="480">
        <f t="shared" si="3"/>
        <v>10814514.98</v>
      </c>
      <c r="H170" s="362">
        <v>10814514.98</v>
      </c>
    </row>
    <row r="171" spans="1:8" x14ac:dyDescent="0.25">
      <c r="A171" t="s">
        <v>528</v>
      </c>
      <c r="B171" t="s">
        <v>529</v>
      </c>
      <c r="C171" s="362">
        <v>3910304.94</v>
      </c>
      <c r="D171" s="401">
        <v>3767631.03</v>
      </c>
      <c r="E171" s="362">
        <v>23345.42</v>
      </c>
      <c r="F171" s="401">
        <v>119328.49</v>
      </c>
      <c r="G171" s="480">
        <f t="shared" si="3"/>
        <v>3886959.52</v>
      </c>
      <c r="H171" s="362">
        <v>3910304.94</v>
      </c>
    </row>
    <row r="172" spans="1:8" x14ac:dyDescent="0.25">
      <c r="A172" t="s">
        <v>530</v>
      </c>
      <c r="B172" t="s">
        <v>531</v>
      </c>
      <c r="C172" s="362">
        <v>102663.14</v>
      </c>
      <c r="D172" s="401">
        <v>102663.14</v>
      </c>
      <c r="E172" s="362">
        <v>0</v>
      </c>
      <c r="F172" s="401">
        <v>0</v>
      </c>
      <c r="G172" s="480">
        <f t="shared" si="3"/>
        <v>102663.14</v>
      </c>
      <c r="H172" s="362">
        <v>102663.14</v>
      </c>
    </row>
    <row r="173" spans="1:8" x14ac:dyDescent="0.25">
      <c r="A173" t="s">
        <v>532</v>
      </c>
      <c r="B173" t="s">
        <v>533</v>
      </c>
      <c r="C173" s="362">
        <v>32348251.640000001</v>
      </c>
      <c r="D173" s="401">
        <v>26933390.890000001</v>
      </c>
      <c r="E173" s="362">
        <v>70870.080000000002</v>
      </c>
      <c r="F173" s="401">
        <v>5343990.67</v>
      </c>
      <c r="G173" s="480">
        <f t="shared" si="3"/>
        <v>32277381.560000002</v>
      </c>
      <c r="H173" s="362">
        <v>32348251.640000001</v>
      </c>
    </row>
    <row r="174" spans="1:8" x14ac:dyDescent="0.25">
      <c r="A174" t="s">
        <v>534</v>
      </c>
      <c r="B174" t="s">
        <v>535</v>
      </c>
      <c r="C174" s="362">
        <v>327560.5</v>
      </c>
      <c r="D174" s="401">
        <v>245670.38</v>
      </c>
      <c r="E174" s="362">
        <v>0</v>
      </c>
      <c r="F174" s="401">
        <v>81890.12</v>
      </c>
      <c r="G174" s="480">
        <f t="shared" si="3"/>
        <v>327560.5</v>
      </c>
      <c r="H174" s="362">
        <v>327560.5</v>
      </c>
    </row>
    <row r="175" spans="1:8" x14ac:dyDescent="0.25">
      <c r="A175" t="s">
        <v>536</v>
      </c>
      <c r="B175" t="s">
        <v>537</v>
      </c>
      <c r="C175" s="362">
        <v>57258757.740000002</v>
      </c>
      <c r="D175" s="401">
        <v>39490362.770000003</v>
      </c>
      <c r="E175" s="362">
        <v>63806.9</v>
      </c>
      <c r="F175" s="401">
        <v>17704588.07</v>
      </c>
      <c r="G175" s="480">
        <f t="shared" si="3"/>
        <v>57194950.840000004</v>
      </c>
      <c r="H175" s="362">
        <v>57258757.740000002</v>
      </c>
    </row>
    <row r="176" spans="1:8" x14ac:dyDescent="0.25">
      <c r="A176" t="s">
        <v>538</v>
      </c>
      <c r="B176" t="s">
        <v>539</v>
      </c>
      <c r="C176" s="362">
        <v>14167865.470000001</v>
      </c>
      <c r="D176" s="401">
        <v>11923241.51</v>
      </c>
      <c r="E176" s="362">
        <v>1644623.96</v>
      </c>
      <c r="F176" s="401">
        <v>600000</v>
      </c>
      <c r="G176" s="480">
        <f t="shared" si="3"/>
        <v>12523241.51</v>
      </c>
      <c r="H176" s="362">
        <v>14167865.469999999</v>
      </c>
    </row>
    <row r="177" spans="1:8" x14ac:dyDescent="0.25">
      <c r="A177" t="s">
        <v>540</v>
      </c>
      <c r="B177" t="s">
        <v>541</v>
      </c>
      <c r="C177" s="362">
        <v>129020.12</v>
      </c>
      <c r="D177" s="401">
        <v>129020.12</v>
      </c>
      <c r="E177" s="362">
        <v>0</v>
      </c>
      <c r="F177" s="401">
        <v>0</v>
      </c>
      <c r="G177" s="480">
        <f t="shared" si="3"/>
        <v>129020.12</v>
      </c>
      <c r="H177" s="362">
        <v>129020.12</v>
      </c>
    </row>
    <row r="178" spans="1:8" x14ac:dyDescent="0.25">
      <c r="A178" t="s">
        <v>542</v>
      </c>
      <c r="B178" t="s">
        <v>543</v>
      </c>
      <c r="C178" s="362">
        <v>389240.13</v>
      </c>
      <c r="D178" s="401">
        <v>389240.13</v>
      </c>
      <c r="E178" s="362">
        <v>0</v>
      </c>
      <c r="F178" s="401">
        <v>0</v>
      </c>
      <c r="G178" s="480">
        <f t="shared" si="3"/>
        <v>389240.13</v>
      </c>
      <c r="H178" s="362">
        <v>389240.13</v>
      </c>
    </row>
    <row r="179" spans="1:8" x14ac:dyDescent="0.25">
      <c r="A179" t="s">
        <v>544</v>
      </c>
      <c r="B179" t="s">
        <v>545</v>
      </c>
      <c r="C179" s="362">
        <v>2496203.4700000002</v>
      </c>
      <c r="D179" s="401">
        <v>2496203.4700000002</v>
      </c>
      <c r="E179" s="362">
        <v>0</v>
      </c>
      <c r="F179" s="401">
        <v>0</v>
      </c>
      <c r="G179" s="480">
        <f t="shared" si="3"/>
        <v>2496203.4700000002</v>
      </c>
      <c r="H179" s="362">
        <v>2496203.4700000002</v>
      </c>
    </row>
    <row r="180" spans="1:8" x14ac:dyDescent="0.25">
      <c r="A180" t="s">
        <v>546</v>
      </c>
      <c r="B180" t="s">
        <v>547</v>
      </c>
      <c r="C180" s="362">
        <v>1059110.78</v>
      </c>
      <c r="D180" s="401">
        <v>992416.76</v>
      </c>
      <c r="E180" s="362">
        <v>2757.12</v>
      </c>
      <c r="F180" s="401">
        <v>63936.9</v>
      </c>
      <c r="G180" s="480">
        <f t="shared" si="3"/>
        <v>1056353.6599999999</v>
      </c>
      <c r="H180" s="362">
        <v>1059110.78</v>
      </c>
    </row>
    <row r="181" spans="1:8" x14ac:dyDescent="0.25">
      <c r="A181" t="s">
        <v>548</v>
      </c>
      <c r="B181" t="s">
        <v>549</v>
      </c>
      <c r="C181" s="362">
        <v>281207.83</v>
      </c>
      <c r="D181" s="401">
        <v>281207.83</v>
      </c>
      <c r="E181" s="362">
        <v>0</v>
      </c>
      <c r="F181" s="401">
        <v>0</v>
      </c>
      <c r="G181" s="480">
        <f t="shared" si="3"/>
        <v>281207.83</v>
      </c>
      <c r="H181" s="362">
        <v>281207.83</v>
      </c>
    </row>
    <row r="182" spans="1:8" x14ac:dyDescent="0.25">
      <c r="A182" t="s">
        <v>550</v>
      </c>
      <c r="B182" t="s">
        <v>551</v>
      </c>
      <c r="C182" s="362">
        <v>1634107.65</v>
      </c>
      <c r="D182" s="401">
        <v>1634107.65</v>
      </c>
      <c r="E182" s="362">
        <v>0</v>
      </c>
      <c r="F182" s="401">
        <v>0</v>
      </c>
      <c r="G182" s="480">
        <f t="shared" si="3"/>
        <v>1634107.65</v>
      </c>
      <c r="H182" s="362">
        <v>1634107.65</v>
      </c>
    </row>
    <row r="183" spans="1:8" x14ac:dyDescent="0.25">
      <c r="A183" t="s">
        <v>552</v>
      </c>
      <c r="B183" t="s">
        <v>553</v>
      </c>
      <c r="C183" s="362">
        <v>22229178.359999999</v>
      </c>
      <c r="D183" s="401">
        <v>16985006.34</v>
      </c>
      <c r="E183" s="362">
        <v>13794.25</v>
      </c>
      <c r="F183" s="401">
        <v>5230377.7699999996</v>
      </c>
      <c r="G183" s="480">
        <f t="shared" si="3"/>
        <v>22215384.109999999</v>
      </c>
      <c r="H183" s="362">
        <v>22229178.359999999</v>
      </c>
    </row>
    <row r="184" spans="1:8" x14ac:dyDescent="0.25">
      <c r="A184" t="s">
        <v>554</v>
      </c>
      <c r="B184" t="s">
        <v>555</v>
      </c>
      <c r="C184" s="362">
        <v>7493045.0300000003</v>
      </c>
      <c r="D184" s="401">
        <v>7453045.0300000003</v>
      </c>
      <c r="E184" s="362">
        <v>0</v>
      </c>
      <c r="F184" s="401">
        <v>40000</v>
      </c>
      <c r="G184" s="480">
        <f t="shared" si="3"/>
        <v>7493045.0300000003</v>
      </c>
      <c r="H184" s="362">
        <v>7493045.0300000003</v>
      </c>
    </row>
    <row r="185" spans="1:8" x14ac:dyDescent="0.25">
      <c r="A185" t="s">
        <v>556</v>
      </c>
      <c r="B185" t="s">
        <v>557</v>
      </c>
      <c r="C185" s="362">
        <v>1237117.6200000001</v>
      </c>
      <c r="D185" s="401">
        <v>1208113.74</v>
      </c>
      <c r="E185" s="362">
        <v>716.75</v>
      </c>
      <c r="F185" s="401">
        <v>28287.13</v>
      </c>
      <c r="G185" s="480">
        <f t="shared" si="3"/>
        <v>1236400.8699999999</v>
      </c>
      <c r="H185" s="362">
        <v>1237117.6199999999</v>
      </c>
    </row>
    <row r="186" spans="1:8" x14ac:dyDescent="0.25">
      <c r="A186" t="s">
        <v>558</v>
      </c>
      <c r="B186" t="s">
        <v>559</v>
      </c>
      <c r="C186" s="362">
        <v>33214.44</v>
      </c>
      <c r="D186" s="401">
        <v>33214.44</v>
      </c>
      <c r="E186" s="362">
        <v>0</v>
      </c>
      <c r="F186" s="401">
        <v>0</v>
      </c>
      <c r="G186" s="480">
        <f t="shared" si="3"/>
        <v>33214.44</v>
      </c>
      <c r="H186" s="362">
        <v>33214.44</v>
      </c>
    </row>
    <row r="187" spans="1:8" x14ac:dyDescent="0.25">
      <c r="A187" t="s">
        <v>560</v>
      </c>
      <c r="B187" t="s">
        <v>1200</v>
      </c>
      <c r="C187" s="362">
        <v>1359881.1</v>
      </c>
      <c r="D187" s="401">
        <v>1283739.78</v>
      </c>
      <c r="E187" s="362">
        <v>11507.6</v>
      </c>
      <c r="F187" s="401">
        <v>64633.72</v>
      </c>
      <c r="G187" s="480">
        <f t="shared" si="3"/>
        <v>1348373.5</v>
      </c>
      <c r="H187" s="362">
        <v>1359881.1</v>
      </c>
    </row>
    <row r="188" spans="1:8" x14ac:dyDescent="0.25">
      <c r="A188" t="s">
        <v>562</v>
      </c>
      <c r="B188" t="s">
        <v>563</v>
      </c>
      <c r="C188" s="362">
        <v>89541</v>
      </c>
      <c r="D188" s="401">
        <v>89541</v>
      </c>
      <c r="E188" s="362">
        <v>0</v>
      </c>
      <c r="F188" s="401">
        <v>0</v>
      </c>
      <c r="G188" s="480">
        <f t="shared" si="3"/>
        <v>89541</v>
      </c>
      <c r="H188" s="362">
        <v>89541</v>
      </c>
    </row>
    <row r="189" spans="1:8" x14ac:dyDescent="0.25">
      <c r="A189" t="s">
        <v>564</v>
      </c>
      <c r="B189" t="s">
        <v>565</v>
      </c>
      <c r="C189" s="362">
        <v>108475.34</v>
      </c>
      <c r="D189" s="401">
        <v>108475.34</v>
      </c>
      <c r="E189" s="362">
        <v>0</v>
      </c>
      <c r="F189" s="401">
        <v>0</v>
      </c>
      <c r="G189" s="480">
        <f t="shared" si="3"/>
        <v>108475.34</v>
      </c>
      <c r="H189" s="362">
        <v>108475.34</v>
      </c>
    </row>
    <row r="190" spans="1:8" x14ac:dyDescent="0.25">
      <c r="A190" t="s">
        <v>566</v>
      </c>
      <c r="B190" t="s">
        <v>567</v>
      </c>
      <c r="C190" s="362">
        <v>207623.56</v>
      </c>
      <c r="D190" s="401">
        <v>207623.56</v>
      </c>
      <c r="E190" s="362">
        <v>0</v>
      </c>
      <c r="F190" s="401">
        <v>0</v>
      </c>
      <c r="G190" s="480">
        <f t="shared" si="3"/>
        <v>207623.56</v>
      </c>
      <c r="H190" s="362">
        <v>207623.56</v>
      </c>
    </row>
    <row r="191" spans="1:8" x14ac:dyDescent="0.25">
      <c r="A191" t="s">
        <v>568</v>
      </c>
      <c r="B191" t="s">
        <v>569</v>
      </c>
      <c r="C191" s="362">
        <v>727857.38</v>
      </c>
      <c r="D191" s="401">
        <v>695521.2</v>
      </c>
      <c r="E191" s="362">
        <v>14314.01</v>
      </c>
      <c r="F191" s="401">
        <v>18022.169999999998</v>
      </c>
      <c r="G191" s="480">
        <f t="shared" si="3"/>
        <v>713543.37</v>
      </c>
      <c r="H191" s="362">
        <v>727857.38</v>
      </c>
    </row>
    <row r="192" spans="1:8" x14ac:dyDescent="0.25">
      <c r="A192" t="s">
        <v>570</v>
      </c>
      <c r="B192" t="s">
        <v>571</v>
      </c>
      <c r="C192" s="362">
        <v>5382872.6600000001</v>
      </c>
      <c r="D192" s="401">
        <v>5366521.12</v>
      </c>
      <c r="E192" s="362">
        <v>16351.54</v>
      </c>
      <c r="F192" s="401">
        <v>0</v>
      </c>
      <c r="G192" s="480">
        <f t="shared" si="3"/>
        <v>5366521.12</v>
      </c>
      <c r="H192" s="362">
        <v>5382872.6600000001</v>
      </c>
    </row>
    <row r="193" spans="1:8" x14ac:dyDescent="0.25">
      <c r="A193" t="s">
        <v>572</v>
      </c>
      <c r="B193" t="s">
        <v>573</v>
      </c>
      <c r="C193" s="362">
        <v>5774199.9900000002</v>
      </c>
      <c r="D193" s="401">
        <v>5774199.9900000002</v>
      </c>
      <c r="E193" s="362">
        <v>0</v>
      </c>
      <c r="F193" s="401">
        <v>0</v>
      </c>
      <c r="G193" s="480">
        <f t="shared" si="3"/>
        <v>5774199.9900000002</v>
      </c>
      <c r="H193" s="362">
        <v>5774199.9900000002</v>
      </c>
    </row>
    <row r="194" spans="1:8" x14ac:dyDescent="0.25">
      <c r="A194" t="s">
        <v>574</v>
      </c>
      <c r="B194" t="s">
        <v>575</v>
      </c>
      <c r="C194" s="362">
        <v>27307.83</v>
      </c>
      <c r="D194" s="401">
        <v>27307.83</v>
      </c>
      <c r="E194" s="362">
        <v>0</v>
      </c>
      <c r="F194" s="401">
        <v>0</v>
      </c>
      <c r="G194" s="480">
        <f t="shared" si="3"/>
        <v>27307.83</v>
      </c>
      <c r="H194" s="362">
        <v>27307.83</v>
      </c>
    </row>
    <row r="195" spans="1:8" x14ac:dyDescent="0.25">
      <c r="A195" t="s">
        <v>576</v>
      </c>
      <c r="B195" t="s">
        <v>577</v>
      </c>
      <c r="C195" s="362">
        <v>248395.06</v>
      </c>
      <c r="D195" s="401">
        <v>248395.06</v>
      </c>
      <c r="E195" s="362">
        <v>0</v>
      </c>
      <c r="F195" s="401">
        <v>0</v>
      </c>
      <c r="G195" s="480">
        <f t="shared" si="3"/>
        <v>248395.06</v>
      </c>
      <c r="H195" s="362">
        <v>248395.06</v>
      </c>
    </row>
    <row r="196" spans="1:8" x14ac:dyDescent="0.25">
      <c r="A196" t="s">
        <v>578</v>
      </c>
      <c r="B196" t="s">
        <v>579</v>
      </c>
      <c r="C196" s="362">
        <v>26492493.199999999</v>
      </c>
      <c r="D196" s="401">
        <v>25615718.969999999</v>
      </c>
      <c r="E196" s="362">
        <v>87431.65</v>
      </c>
      <c r="F196" s="401">
        <v>789342.58</v>
      </c>
      <c r="G196" s="480">
        <f t="shared" si="3"/>
        <v>26405061.549999997</v>
      </c>
      <c r="H196" s="362">
        <v>26492493.199999999</v>
      </c>
    </row>
    <row r="197" spans="1:8" x14ac:dyDescent="0.25">
      <c r="A197" t="s">
        <v>580</v>
      </c>
      <c r="B197" t="s">
        <v>581</v>
      </c>
      <c r="C197" s="362">
        <v>449330.52</v>
      </c>
      <c r="D197" s="401">
        <v>449330.52</v>
      </c>
      <c r="E197" s="362">
        <v>0</v>
      </c>
      <c r="F197" s="401">
        <v>0</v>
      </c>
      <c r="G197" s="480">
        <f t="shared" si="3"/>
        <v>449330.52</v>
      </c>
      <c r="H197" s="362">
        <v>449330.52</v>
      </c>
    </row>
    <row r="198" spans="1:8" x14ac:dyDescent="0.25">
      <c r="A198" t="s">
        <v>582</v>
      </c>
      <c r="B198" t="s">
        <v>583</v>
      </c>
      <c r="C198" s="362">
        <v>125389.81</v>
      </c>
      <c r="D198" s="401">
        <v>125389.81</v>
      </c>
      <c r="E198" s="362">
        <v>0</v>
      </c>
      <c r="F198" s="401">
        <v>0</v>
      </c>
      <c r="G198" s="480">
        <f t="shared" ref="G198:G261" si="4">D198+F198</f>
        <v>125389.81</v>
      </c>
      <c r="H198" s="362">
        <v>125389.81</v>
      </c>
    </row>
    <row r="199" spans="1:8" x14ac:dyDescent="0.25">
      <c r="A199" t="s">
        <v>584</v>
      </c>
      <c r="B199" t="s">
        <v>585</v>
      </c>
      <c r="C199" s="362">
        <v>524571.53</v>
      </c>
      <c r="D199" s="401">
        <v>520505.38</v>
      </c>
      <c r="E199" s="362">
        <v>4066.15</v>
      </c>
      <c r="F199" s="401">
        <v>0</v>
      </c>
      <c r="G199" s="480">
        <f t="shared" si="4"/>
        <v>520505.38</v>
      </c>
      <c r="H199" s="362">
        <v>524571.53</v>
      </c>
    </row>
    <row r="200" spans="1:8" x14ac:dyDescent="0.25">
      <c r="A200" t="s">
        <v>586</v>
      </c>
      <c r="B200" t="s">
        <v>587</v>
      </c>
      <c r="C200" s="362">
        <v>19312190.690000001</v>
      </c>
      <c r="D200" s="401">
        <v>19312190.690000001</v>
      </c>
      <c r="E200" s="362">
        <v>0</v>
      </c>
      <c r="F200" s="401">
        <v>0</v>
      </c>
      <c r="G200" s="480">
        <f t="shared" si="4"/>
        <v>19312190.690000001</v>
      </c>
      <c r="H200" s="362">
        <v>19312190.690000001</v>
      </c>
    </row>
    <row r="201" spans="1:8" x14ac:dyDescent="0.25">
      <c r="A201" t="s">
        <v>588</v>
      </c>
      <c r="B201" t="s">
        <v>589</v>
      </c>
      <c r="C201" s="362">
        <v>1727589.73</v>
      </c>
      <c r="D201" s="401">
        <v>1227858.3400000001</v>
      </c>
      <c r="E201" s="362">
        <v>78086.210000000006</v>
      </c>
      <c r="F201" s="401">
        <v>421645.18</v>
      </c>
      <c r="G201" s="480">
        <f t="shared" si="4"/>
        <v>1649503.52</v>
      </c>
      <c r="H201" s="362">
        <v>1727589.73</v>
      </c>
    </row>
    <row r="202" spans="1:8" x14ac:dyDescent="0.25">
      <c r="A202" t="s">
        <v>590</v>
      </c>
      <c r="B202" t="s">
        <v>591</v>
      </c>
      <c r="C202" s="362">
        <v>521236.59</v>
      </c>
      <c r="D202" s="401">
        <v>521236.59</v>
      </c>
      <c r="E202" s="362">
        <v>0</v>
      </c>
      <c r="F202" s="401">
        <v>0</v>
      </c>
      <c r="G202" s="480">
        <f t="shared" si="4"/>
        <v>521236.59</v>
      </c>
      <c r="H202" s="362">
        <v>521236.59</v>
      </c>
    </row>
    <row r="203" spans="1:8" x14ac:dyDescent="0.25">
      <c r="A203" t="s">
        <v>592</v>
      </c>
      <c r="B203" t="s">
        <v>593</v>
      </c>
      <c r="C203" s="362">
        <v>7431868.4299999997</v>
      </c>
      <c r="D203" s="401">
        <v>6134085.5099999998</v>
      </c>
      <c r="E203" s="362">
        <v>0</v>
      </c>
      <c r="F203" s="401">
        <v>1297782.92</v>
      </c>
      <c r="G203" s="480">
        <f t="shared" si="4"/>
        <v>7431868.4299999997</v>
      </c>
      <c r="H203" s="362">
        <v>7431868.4299999997</v>
      </c>
    </row>
    <row r="204" spans="1:8" x14ac:dyDescent="0.25">
      <c r="A204" t="s">
        <v>594</v>
      </c>
      <c r="B204" t="s">
        <v>595</v>
      </c>
      <c r="C204" s="362">
        <v>2751910.08</v>
      </c>
      <c r="D204" s="401">
        <v>2692663.8</v>
      </c>
      <c r="E204" s="362">
        <v>58588.05</v>
      </c>
      <c r="F204" s="401">
        <v>658.23</v>
      </c>
      <c r="G204" s="480">
        <f t="shared" si="4"/>
        <v>2693322.03</v>
      </c>
      <c r="H204" s="362">
        <v>2751910.0799999996</v>
      </c>
    </row>
    <row r="205" spans="1:8" x14ac:dyDescent="0.25">
      <c r="A205" t="s">
        <v>596</v>
      </c>
      <c r="B205" t="s">
        <v>597</v>
      </c>
      <c r="C205" s="362">
        <v>304570.48</v>
      </c>
      <c r="D205" s="401">
        <v>304570.48</v>
      </c>
      <c r="E205" s="362">
        <v>0</v>
      </c>
      <c r="F205" s="401">
        <v>0</v>
      </c>
      <c r="G205" s="480">
        <f t="shared" si="4"/>
        <v>304570.48</v>
      </c>
      <c r="H205" s="362">
        <v>304570.48</v>
      </c>
    </row>
    <row r="206" spans="1:8" x14ac:dyDescent="0.25">
      <c r="A206" t="s">
        <v>598</v>
      </c>
      <c r="B206" t="s">
        <v>599</v>
      </c>
      <c r="C206" s="362">
        <v>805265.51</v>
      </c>
      <c r="D206" s="401">
        <v>805265.51</v>
      </c>
      <c r="E206" s="362">
        <v>0</v>
      </c>
      <c r="F206" s="401">
        <v>0</v>
      </c>
      <c r="G206" s="480">
        <f t="shared" si="4"/>
        <v>805265.51</v>
      </c>
      <c r="H206" s="362">
        <v>805265.51</v>
      </c>
    </row>
    <row r="207" spans="1:8" x14ac:dyDescent="0.25">
      <c r="A207" t="s">
        <v>600</v>
      </c>
      <c r="B207" t="s">
        <v>601</v>
      </c>
      <c r="C207" s="362">
        <v>3664691.91</v>
      </c>
      <c r="D207" s="401">
        <v>3663174.81</v>
      </c>
      <c r="E207" s="362">
        <v>1517.1</v>
      </c>
      <c r="F207" s="401">
        <v>0</v>
      </c>
      <c r="G207" s="480">
        <f t="shared" si="4"/>
        <v>3663174.81</v>
      </c>
      <c r="H207" s="362">
        <v>3664691.91</v>
      </c>
    </row>
    <row r="208" spans="1:8" x14ac:dyDescent="0.25">
      <c r="A208" t="s">
        <v>602</v>
      </c>
      <c r="B208" t="s">
        <v>603</v>
      </c>
      <c r="C208" s="362">
        <v>3384059.2</v>
      </c>
      <c r="D208" s="401">
        <v>3347651.13</v>
      </c>
      <c r="E208" s="362">
        <v>36408.07</v>
      </c>
      <c r="F208" s="401">
        <v>0</v>
      </c>
      <c r="G208" s="480">
        <f t="shared" si="4"/>
        <v>3347651.13</v>
      </c>
      <c r="H208" s="362">
        <v>3384059.1999999997</v>
      </c>
    </row>
    <row r="209" spans="1:8" x14ac:dyDescent="0.25">
      <c r="A209" t="s">
        <v>604</v>
      </c>
      <c r="B209" t="s">
        <v>605</v>
      </c>
      <c r="C209" s="362">
        <v>36985437.210000001</v>
      </c>
      <c r="D209" s="401">
        <v>33744840.530000001</v>
      </c>
      <c r="E209" s="362">
        <v>212494.49</v>
      </c>
      <c r="F209" s="401">
        <v>3028102.19</v>
      </c>
      <c r="G209" s="480">
        <f t="shared" si="4"/>
        <v>36772942.719999999</v>
      </c>
      <c r="H209" s="362">
        <v>36985437.210000001</v>
      </c>
    </row>
    <row r="210" spans="1:8" x14ac:dyDescent="0.25">
      <c r="A210" t="s">
        <v>606</v>
      </c>
      <c r="B210" t="s">
        <v>607</v>
      </c>
      <c r="C210" s="362">
        <v>48577.22</v>
      </c>
      <c r="D210" s="401">
        <v>48577.22</v>
      </c>
      <c r="E210" s="362">
        <v>0</v>
      </c>
      <c r="F210" s="401">
        <v>0</v>
      </c>
      <c r="G210" s="480">
        <f t="shared" si="4"/>
        <v>48577.22</v>
      </c>
      <c r="H210" s="362">
        <v>48577.22</v>
      </c>
    </row>
    <row r="211" spans="1:8" x14ac:dyDescent="0.25">
      <c r="A211" t="s">
        <v>608</v>
      </c>
      <c r="B211" t="s">
        <v>609</v>
      </c>
      <c r="C211" s="362">
        <v>719402.15</v>
      </c>
      <c r="D211" s="401">
        <v>719402.15</v>
      </c>
      <c r="E211" s="362">
        <v>0</v>
      </c>
      <c r="F211" s="401">
        <v>0</v>
      </c>
      <c r="G211" s="480">
        <f t="shared" si="4"/>
        <v>719402.15</v>
      </c>
      <c r="H211" s="362">
        <v>719402.15</v>
      </c>
    </row>
    <row r="212" spans="1:8" hidden="1" x14ac:dyDescent="0.25">
      <c r="A212" t="s">
        <v>610</v>
      </c>
      <c r="B212" t="s">
        <v>1402</v>
      </c>
      <c r="C212" s="362">
        <v>25294.32</v>
      </c>
      <c r="D212" s="401">
        <v>25294.32</v>
      </c>
      <c r="E212" s="362">
        <v>0</v>
      </c>
      <c r="F212" s="401">
        <v>0</v>
      </c>
      <c r="G212" s="480">
        <f t="shared" si="4"/>
        <v>25294.32</v>
      </c>
      <c r="H212" s="362">
        <v>25294.32</v>
      </c>
    </row>
    <row r="213" spans="1:8" x14ac:dyDescent="0.25">
      <c r="A213" t="s">
        <v>612</v>
      </c>
      <c r="B213" t="s">
        <v>613</v>
      </c>
      <c r="C213" s="362">
        <v>4908299.93</v>
      </c>
      <c r="D213" s="401">
        <v>4908299.93</v>
      </c>
      <c r="E213" s="362">
        <v>0</v>
      </c>
      <c r="F213" s="401">
        <v>0</v>
      </c>
      <c r="G213" s="480">
        <f t="shared" si="4"/>
        <v>4908299.93</v>
      </c>
      <c r="H213" s="362">
        <v>4908299.93</v>
      </c>
    </row>
    <row r="214" spans="1:8" x14ac:dyDescent="0.25">
      <c r="A214" t="s">
        <v>437</v>
      </c>
      <c r="B214" t="s">
        <v>1418</v>
      </c>
      <c r="C214" s="362">
        <v>343584.66</v>
      </c>
      <c r="D214" s="401">
        <v>343584.66</v>
      </c>
      <c r="E214" s="362">
        <v>0</v>
      </c>
      <c r="F214" s="401">
        <v>0</v>
      </c>
      <c r="G214" s="480">
        <f t="shared" si="4"/>
        <v>343584.66</v>
      </c>
      <c r="H214" s="362">
        <v>343584.66</v>
      </c>
    </row>
    <row r="215" spans="1:8" x14ac:dyDescent="0.25">
      <c r="A215" t="s">
        <v>614</v>
      </c>
      <c r="B215" t="s">
        <v>615</v>
      </c>
      <c r="C215" s="362">
        <v>4554095.8499999996</v>
      </c>
      <c r="D215" s="401">
        <v>4267324</v>
      </c>
      <c r="E215" s="362">
        <v>0</v>
      </c>
      <c r="F215" s="401">
        <v>286771.84999999998</v>
      </c>
      <c r="G215" s="480">
        <f t="shared" si="4"/>
        <v>4554095.8499999996</v>
      </c>
      <c r="H215" s="362">
        <v>4554095.8499999996</v>
      </c>
    </row>
    <row r="216" spans="1:8" x14ac:dyDescent="0.25">
      <c r="A216" t="s">
        <v>616</v>
      </c>
      <c r="B216" t="s">
        <v>617</v>
      </c>
      <c r="C216" s="362">
        <v>1069787.6000000001</v>
      </c>
      <c r="D216" s="401">
        <v>1069716.6000000001</v>
      </c>
      <c r="E216" s="362">
        <v>71</v>
      </c>
      <c r="F216" s="401">
        <v>0</v>
      </c>
      <c r="G216" s="480">
        <f t="shared" si="4"/>
        <v>1069716.6000000001</v>
      </c>
      <c r="H216" s="362">
        <v>1069787.6000000001</v>
      </c>
    </row>
    <row r="217" spans="1:8" x14ac:dyDescent="0.25">
      <c r="A217" t="s">
        <v>618</v>
      </c>
      <c r="B217" t="s">
        <v>619</v>
      </c>
      <c r="C217" s="362">
        <v>349985</v>
      </c>
      <c r="D217" s="401">
        <v>349985</v>
      </c>
      <c r="E217" s="362">
        <v>0</v>
      </c>
      <c r="F217" s="401">
        <v>0</v>
      </c>
      <c r="G217" s="480">
        <f t="shared" si="4"/>
        <v>349985</v>
      </c>
      <c r="H217" s="362">
        <v>349985</v>
      </c>
    </row>
    <row r="218" spans="1:8" x14ac:dyDescent="0.25">
      <c r="A218" t="s">
        <v>621</v>
      </c>
      <c r="B218" t="s">
        <v>622</v>
      </c>
      <c r="C218" s="362">
        <v>968667.79</v>
      </c>
      <c r="D218" s="401">
        <v>968667.79</v>
      </c>
      <c r="E218" s="362">
        <v>0</v>
      </c>
      <c r="F218" s="401">
        <v>0</v>
      </c>
      <c r="G218" s="480">
        <f t="shared" si="4"/>
        <v>968667.79</v>
      </c>
      <c r="H218" s="362">
        <v>968667.79</v>
      </c>
    </row>
    <row r="219" spans="1:8" x14ac:dyDescent="0.25">
      <c r="A219" t="s">
        <v>623</v>
      </c>
      <c r="B219" t="s">
        <v>624</v>
      </c>
      <c r="C219" s="362">
        <v>747105.53</v>
      </c>
      <c r="D219" s="401">
        <v>747105.53</v>
      </c>
      <c r="E219" s="362">
        <v>0</v>
      </c>
      <c r="F219" s="401">
        <v>0</v>
      </c>
      <c r="G219" s="480">
        <f t="shared" si="4"/>
        <v>747105.53</v>
      </c>
      <c r="H219" s="362">
        <v>747105.53</v>
      </c>
    </row>
    <row r="220" spans="1:8" x14ac:dyDescent="0.25">
      <c r="A220" t="s">
        <v>625</v>
      </c>
      <c r="B220" t="s">
        <v>626</v>
      </c>
      <c r="C220" s="362">
        <v>39572691.719999999</v>
      </c>
      <c r="D220" s="401">
        <v>31721602.84</v>
      </c>
      <c r="E220" s="362">
        <v>107920.84</v>
      </c>
      <c r="F220" s="401">
        <v>7743168.04</v>
      </c>
      <c r="G220" s="480">
        <f t="shared" si="4"/>
        <v>39464770.880000003</v>
      </c>
      <c r="H220" s="362">
        <v>39572691.719999999</v>
      </c>
    </row>
    <row r="221" spans="1:8" x14ac:dyDescent="0.25">
      <c r="A221" t="s">
        <v>627</v>
      </c>
      <c r="B221" t="s">
        <v>628</v>
      </c>
      <c r="C221" s="362">
        <v>408671.82</v>
      </c>
      <c r="D221" s="401">
        <v>390483.02</v>
      </c>
      <c r="E221" s="362">
        <v>0</v>
      </c>
      <c r="F221" s="401">
        <v>18188.8</v>
      </c>
      <c r="G221" s="480">
        <f t="shared" si="4"/>
        <v>408671.82</v>
      </c>
      <c r="H221" s="362">
        <v>408671.82</v>
      </c>
    </row>
    <row r="222" spans="1:8" x14ac:dyDescent="0.25">
      <c r="A222" t="s">
        <v>629</v>
      </c>
      <c r="B222" t="s">
        <v>630</v>
      </c>
      <c r="C222" s="362">
        <v>18488767.530000001</v>
      </c>
      <c r="D222" s="401">
        <v>14571486.32</v>
      </c>
      <c r="E222" s="362">
        <v>0</v>
      </c>
      <c r="F222" s="401">
        <v>3917281.21</v>
      </c>
      <c r="G222" s="480">
        <f t="shared" si="4"/>
        <v>18488767.530000001</v>
      </c>
      <c r="H222" s="362">
        <v>18488767.530000001</v>
      </c>
    </row>
    <row r="223" spans="1:8" x14ac:dyDescent="0.25">
      <c r="A223" t="s">
        <v>631</v>
      </c>
      <c r="B223" t="s">
        <v>632</v>
      </c>
      <c r="C223" s="362">
        <v>4364323.1100000003</v>
      </c>
      <c r="D223" s="401">
        <v>4287823.1100000003</v>
      </c>
      <c r="E223" s="362">
        <v>0</v>
      </c>
      <c r="F223" s="401">
        <v>76500</v>
      </c>
      <c r="G223" s="480">
        <f t="shared" si="4"/>
        <v>4364323.1100000003</v>
      </c>
      <c r="H223" s="362">
        <v>4364323.1100000003</v>
      </c>
    </row>
    <row r="224" spans="1:8" x14ac:dyDescent="0.25">
      <c r="A224" t="s">
        <v>633</v>
      </c>
      <c r="B224" t="s">
        <v>634</v>
      </c>
      <c r="C224" s="362">
        <v>392357.39</v>
      </c>
      <c r="D224" s="401">
        <v>392357.39</v>
      </c>
      <c r="E224" s="362">
        <v>0</v>
      </c>
      <c r="F224" s="401">
        <v>0</v>
      </c>
      <c r="G224" s="480">
        <f t="shared" si="4"/>
        <v>392357.39</v>
      </c>
      <c r="H224" s="362">
        <v>392357.39</v>
      </c>
    </row>
    <row r="225" spans="1:8" x14ac:dyDescent="0.25">
      <c r="A225" t="s">
        <v>635</v>
      </c>
      <c r="B225" t="s">
        <v>636</v>
      </c>
      <c r="C225" s="362">
        <v>2190905.54</v>
      </c>
      <c r="D225" s="401">
        <v>2190905.54</v>
      </c>
      <c r="E225" s="362">
        <v>0</v>
      </c>
      <c r="F225" s="401">
        <v>0</v>
      </c>
      <c r="G225" s="480">
        <f t="shared" si="4"/>
        <v>2190905.54</v>
      </c>
      <c r="H225" s="362">
        <v>2190905.54</v>
      </c>
    </row>
    <row r="226" spans="1:8" x14ac:dyDescent="0.25">
      <c r="A226" t="s">
        <v>637</v>
      </c>
      <c r="B226" t="s">
        <v>638</v>
      </c>
      <c r="C226" s="362">
        <v>4649803.6100000003</v>
      </c>
      <c r="D226" s="401">
        <v>4330812.2699999996</v>
      </c>
      <c r="E226" s="362">
        <v>0</v>
      </c>
      <c r="F226" s="401">
        <v>318991.34000000003</v>
      </c>
      <c r="G226" s="480">
        <f t="shared" si="4"/>
        <v>4649803.6099999994</v>
      </c>
      <c r="H226" s="362">
        <v>4649803.6099999994</v>
      </c>
    </row>
    <row r="227" spans="1:8" x14ac:dyDescent="0.25">
      <c r="A227" t="s">
        <v>639</v>
      </c>
      <c r="B227" t="s">
        <v>640</v>
      </c>
      <c r="C227" s="362">
        <v>4578139.16</v>
      </c>
      <c r="D227" s="401">
        <v>3657352.11</v>
      </c>
      <c r="E227" s="362">
        <v>12502.98</v>
      </c>
      <c r="F227" s="401">
        <v>908284.07</v>
      </c>
      <c r="G227" s="480">
        <f t="shared" si="4"/>
        <v>4565636.18</v>
      </c>
      <c r="H227" s="362">
        <v>4578139.16</v>
      </c>
    </row>
    <row r="228" spans="1:8" x14ac:dyDescent="0.25">
      <c r="A228" t="s">
        <v>641</v>
      </c>
      <c r="B228" t="s">
        <v>642</v>
      </c>
      <c r="C228" s="362">
        <v>36671.83</v>
      </c>
      <c r="D228" s="401">
        <v>36671.83</v>
      </c>
      <c r="E228" s="362">
        <v>0</v>
      </c>
      <c r="F228" s="401">
        <v>0</v>
      </c>
      <c r="G228" s="480">
        <f t="shared" si="4"/>
        <v>36671.83</v>
      </c>
      <c r="H228" s="362">
        <v>36671.83</v>
      </c>
    </row>
    <row r="229" spans="1:8" x14ac:dyDescent="0.25">
      <c r="A229" t="s">
        <v>643</v>
      </c>
      <c r="B229" t="s">
        <v>644</v>
      </c>
      <c r="C229" s="362">
        <v>253142.68</v>
      </c>
      <c r="D229" s="401">
        <v>231820.27</v>
      </c>
      <c r="E229" s="362">
        <v>0</v>
      </c>
      <c r="F229" s="401">
        <v>21322.41</v>
      </c>
      <c r="G229" s="480">
        <f t="shared" si="4"/>
        <v>253142.68</v>
      </c>
      <c r="H229" s="362">
        <v>253142.68</v>
      </c>
    </row>
    <row r="230" spans="1:8" x14ac:dyDescent="0.25">
      <c r="A230" t="s">
        <v>645</v>
      </c>
      <c r="B230" t="s">
        <v>646</v>
      </c>
      <c r="C230" s="362">
        <v>1874978.71</v>
      </c>
      <c r="D230" s="401">
        <v>1874978.71</v>
      </c>
      <c r="E230" s="362">
        <v>0</v>
      </c>
      <c r="F230" s="401">
        <v>0</v>
      </c>
      <c r="G230" s="480">
        <f t="shared" si="4"/>
        <v>1874978.71</v>
      </c>
      <c r="H230" s="362">
        <v>1874978.71</v>
      </c>
    </row>
    <row r="231" spans="1:8" x14ac:dyDescent="0.25">
      <c r="A231" t="s">
        <v>647</v>
      </c>
      <c r="B231" t="s">
        <v>648</v>
      </c>
      <c r="C231" s="362">
        <v>1891636.84</v>
      </c>
      <c r="D231" s="401">
        <v>1875954.36</v>
      </c>
      <c r="E231" s="362">
        <v>11811.48</v>
      </c>
      <c r="F231" s="401">
        <v>3871</v>
      </c>
      <c r="G231" s="480">
        <f t="shared" si="4"/>
        <v>1879825.36</v>
      </c>
      <c r="H231" s="362">
        <v>1891636.84</v>
      </c>
    </row>
    <row r="232" spans="1:8" x14ac:dyDescent="0.25">
      <c r="A232" t="s">
        <v>649</v>
      </c>
      <c r="B232" t="s">
        <v>650</v>
      </c>
      <c r="C232" s="362">
        <v>110755.71</v>
      </c>
      <c r="D232" s="401">
        <v>110755.71</v>
      </c>
      <c r="E232" s="362">
        <v>0</v>
      </c>
      <c r="F232" s="401">
        <v>0</v>
      </c>
      <c r="G232" s="480">
        <f t="shared" si="4"/>
        <v>110755.71</v>
      </c>
      <c r="H232" s="362">
        <v>110755.71</v>
      </c>
    </row>
    <row r="233" spans="1:8" x14ac:dyDescent="0.25">
      <c r="A233" t="s">
        <v>655</v>
      </c>
      <c r="B233" t="s">
        <v>656</v>
      </c>
      <c r="C233" s="362">
        <v>167203942.77000001</v>
      </c>
      <c r="D233" s="401">
        <v>96119339.459999993</v>
      </c>
      <c r="E233" s="362">
        <v>51091.48</v>
      </c>
      <c r="F233" s="401">
        <v>71033511.829999998</v>
      </c>
      <c r="G233" s="480">
        <f t="shared" si="4"/>
        <v>167152851.28999999</v>
      </c>
      <c r="H233" s="362">
        <v>167203942.76999998</v>
      </c>
    </row>
    <row r="234" spans="1:8" x14ac:dyDescent="0.25">
      <c r="A234" t="s">
        <v>657</v>
      </c>
      <c r="B234" t="s">
        <v>658</v>
      </c>
      <c r="C234" s="362">
        <v>11630372.060000001</v>
      </c>
      <c r="D234" s="401">
        <v>11413568.34</v>
      </c>
      <c r="E234" s="362">
        <v>80314.789999999994</v>
      </c>
      <c r="F234" s="401">
        <v>136488.93</v>
      </c>
      <c r="G234" s="480">
        <f t="shared" si="4"/>
        <v>11550057.27</v>
      </c>
      <c r="H234" s="362">
        <v>11630372.060000001</v>
      </c>
    </row>
    <row r="235" spans="1:8" x14ac:dyDescent="0.25">
      <c r="A235" t="s">
        <v>659</v>
      </c>
      <c r="B235" t="s">
        <v>660</v>
      </c>
      <c r="C235" s="362">
        <v>5076044.2699999996</v>
      </c>
      <c r="D235" s="401">
        <v>5076044.2699999996</v>
      </c>
      <c r="E235" s="362">
        <v>0</v>
      </c>
      <c r="F235" s="401">
        <v>0</v>
      </c>
      <c r="G235" s="480">
        <f t="shared" si="4"/>
        <v>5076044.2699999996</v>
      </c>
      <c r="H235" s="362">
        <v>5076044.2699999996</v>
      </c>
    </row>
    <row r="236" spans="1:8" x14ac:dyDescent="0.25">
      <c r="A236" t="s">
        <v>661</v>
      </c>
      <c r="B236" t="s">
        <v>662</v>
      </c>
      <c r="C236" s="362">
        <v>390872.43</v>
      </c>
      <c r="D236" s="401">
        <v>390872.43</v>
      </c>
      <c r="E236" s="362">
        <v>0</v>
      </c>
      <c r="F236" s="401">
        <v>0</v>
      </c>
      <c r="G236" s="480">
        <f t="shared" si="4"/>
        <v>390872.43</v>
      </c>
      <c r="H236" s="362">
        <v>390872.43</v>
      </c>
    </row>
    <row r="237" spans="1:8" x14ac:dyDescent="0.25">
      <c r="A237" t="s">
        <v>663</v>
      </c>
      <c r="B237" t="s">
        <v>664</v>
      </c>
      <c r="C237" s="362">
        <v>5674183.4000000004</v>
      </c>
      <c r="D237" s="401">
        <v>5606594.1299999999</v>
      </c>
      <c r="E237" s="362">
        <v>67589.27</v>
      </c>
      <c r="F237" s="401">
        <v>0</v>
      </c>
      <c r="G237" s="480">
        <f t="shared" si="4"/>
        <v>5606594.1299999999</v>
      </c>
      <c r="H237" s="362">
        <v>5674183.3999999994</v>
      </c>
    </row>
    <row r="238" spans="1:8" x14ac:dyDescent="0.25">
      <c r="A238" t="s">
        <v>665</v>
      </c>
      <c r="B238" t="s">
        <v>1403</v>
      </c>
      <c r="C238" s="362">
        <v>0</v>
      </c>
      <c r="D238" s="401">
        <v>0</v>
      </c>
      <c r="E238" s="362">
        <v>0</v>
      </c>
      <c r="F238" s="401">
        <v>0</v>
      </c>
      <c r="G238" s="480">
        <f t="shared" si="4"/>
        <v>0</v>
      </c>
      <c r="H238" s="362">
        <v>0</v>
      </c>
    </row>
    <row r="239" spans="1:8" x14ac:dyDescent="0.25">
      <c r="A239" t="s">
        <v>667</v>
      </c>
      <c r="B239" t="s">
        <v>668</v>
      </c>
      <c r="C239" s="362">
        <v>8172075.8399999999</v>
      </c>
      <c r="D239" s="401">
        <v>7303490.04</v>
      </c>
      <c r="E239" s="362">
        <v>0</v>
      </c>
      <c r="F239" s="401">
        <v>868585.8</v>
      </c>
      <c r="G239" s="480">
        <f t="shared" si="4"/>
        <v>8172075.8399999999</v>
      </c>
      <c r="H239" s="362">
        <v>8172075.8399999999</v>
      </c>
    </row>
    <row r="240" spans="1:8" x14ac:dyDescent="0.25">
      <c r="A240" t="s">
        <v>669</v>
      </c>
      <c r="B240" t="s">
        <v>670</v>
      </c>
      <c r="C240" s="362">
        <v>20976460.010000002</v>
      </c>
      <c r="D240" s="401">
        <v>15919083.5</v>
      </c>
      <c r="E240" s="362">
        <v>15181.15</v>
      </c>
      <c r="F240" s="401">
        <v>5042195.3600000003</v>
      </c>
      <c r="G240" s="480">
        <f t="shared" si="4"/>
        <v>20961278.859999999</v>
      </c>
      <c r="H240" s="362">
        <v>20976460.010000002</v>
      </c>
    </row>
    <row r="241" spans="1:8" x14ac:dyDescent="0.25">
      <c r="A241" t="s">
        <v>671</v>
      </c>
      <c r="B241" t="s">
        <v>672</v>
      </c>
      <c r="C241" s="362">
        <v>117778.32</v>
      </c>
      <c r="D241" s="401">
        <v>117778.32</v>
      </c>
      <c r="E241" s="362">
        <v>0</v>
      </c>
      <c r="F241" s="401">
        <v>0</v>
      </c>
      <c r="G241" s="480">
        <f t="shared" si="4"/>
        <v>117778.32</v>
      </c>
      <c r="H241" s="362">
        <v>117778.32</v>
      </c>
    </row>
    <row r="242" spans="1:8" x14ac:dyDescent="0.25">
      <c r="A242" t="s">
        <v>673</v>
      </c>
      <c r="B242" t="s">
        <v>674</v>
      </c>
      <c r="C242" s="362">
        <v>239720.58</v>
      </c>
      <c r="D242" s="401">
        <v>239720.58</v>
      </c>
      <c r="E242" s="362">
        <v>0</v>
      </c>
      <c r="F242" s="401">
        <v>0</v>
      </c>
      <c r="G242" s="480">
        <f t="shared" si="4"/>
        <v>239720.58</v>
      </c>
      <c r="H242" s="362">
        <v>239720.58</v>
      </c>
    </row>
    <row r="243" spans="1:8" x14ac:dyDescent="0.25">
      <c r="A243" t="s">
        <v>675</v>
      </c>
      <c r="B243" t="s">
        <v>676</v>
      </c>
      <c r="C243" s="362">
        <v>19037167.899999999</v>
      </c>
      <c r="D243" s="401">
        <v>19009224.129999999</v>
      </c>
      <c r="E243" s="362">
        <v>27943.77</v>
      </c>
      <c r="F243" s="401">
        <v>0</v>
      </c>
      <c r="G243" s="480">
        <f t="shared" si="4"/>
        <v>19009224.129999999</v>
      </c>
      <c r="H243" s="362">
        <v>19037167.899999999</v>
      </c>
    </row>
    <row r="244" spans="1:8" x14ac:dyDescent="0.25">
      <c r="A244" t="s">
        <v>677</v>
      </c>
      <c r="B244" t="s">
        <v>678</v>
      </c>
      <c r="C244" s="362">
        <v>11807754.59</v>
      </c>
      <c r="D244" s="401">
        <v>10996388.949999999</v>
      </c>
      <c r="E244" s="362">
        <v>9604.39</v>
      </c>
      <c r="F244" s="401">
        <v>801761.25</v>
      </c>
      <c r="G244" s="480">
        <f t="shared" si="4"/>
        <v>11798150.199999999</v>
      </c>
      <c r="H244" s="362">
        <v>11807754.59</v>
      </c>
    </row>
    <row r="245" spans="1:8" x14ac:dyDescent="0.25">
      <c r="A245" t="s">
        <v>679</v>
      </c>
      <c r="B245" t="s">
        <v>680</v>
      </c>
      <c r="C245" s="362">
        <v>760821.21</v>
      </c>
      <c r="D245" s="401">
        <v>760821.21</v>
      </c>
      <c r="E245" s="362">
        <v>0</v>
      </c>
      <c r="F245" s="401">
        <v>0</v>
      </c>
      <c r="G245" s="480">
        <f t="shared" si="4"/>
        <v>760821.21</v>
      </c>
      <c r="H245" s="362">
        <v>760821.21</v>
      </c>
    </row>
    <row r="246" spans="1:8" x14ac:dyDescent="0.25">
      <c r="A246" t="s">
        <v>682</v>
      </c>
      <c r="B246" t="s">
        <v>683</v>
      </c>
      <c r="C246" s="362">
        <v>896370.31</v>
      </c>
      <c r="D246" s="401">
        <v>896370.31</v>
      </c>
      <c r="E246" s="362">
        <v>0</v>
      </c>
      <c r="F246" s="401">
        <v>0</v>
      </c>
      <c r="G246" s="480">
        <f t="shared" si="4"/>
        <v>896370.31</v>
      </c>
      <c r="H246" s="362">
        <v>896370.31</v>
      </c>
    </row>
    <row r="247" spans="1:8" x14ac:dyDescent="0.25">
      <c r="A247" t="s">
        <v>684</v>
      </c>
      <c r="B247" t="s">
        <v>685</v>
      </c>
      <c r="C247" s="362">
        <v>20759198.780000001</v>
      </c>
      <c r="D247" s="401">
        <v>18207536.530000001</v>
      </c>
      <c r="E247" s="362">
        <v>3190.54</v>
      </c>
      <c r="F247" s="401">
        <v>2548471.71</v>
      </c>
      <c r="G247" s="480">
        <f t="shared" si="4"/>
        <v>20756008.240000002</v>
      </c>
      <c r="H247" s="362">
        <v>20759198.780000001</v>
      </c>
    </row>
    <row r="248" spans="1:8" x14ac:dyDescent="0.25">
      <c r="A248" t="s">
        <v>686</v>
      </c>
      <c r="B248" t="s">
        <v>687</v>
      </c>
      <c r="C248" s="362">
        <v>2517423.8199999998</v>
      </c>
      <c r="D248" s="401">
        <v>2516838.62</v>
      </c>
      <c r="E248" s="362">
        <v>585.20000000000005</v>
      </c>
      <c r="F248" s="401">
        <v>0</v>
      </c>
      <c r="G248" s="480">
        <f t="shared" si="4"/>
        <v>2516838.62</v>
      </c>
      <c r="H248" s="362">
        <v>2517423.8200000003</v>
      </c>
    </row>
    <row r="249" spans="1:8" x14ac:dyDescent="0.25">
      <c r="A249" t="s">
        <v>688</v>
      </c>
      <c r="B249" t="s">
        <v>689</v>
      </c>
      <c r="C249" s="362">
        <v>262579.42</v>
      </c>
      <c r="D249" s="401">
        <v>262579.42</v>
      </c>
      <c r="E249" s="362">
        <v>0</v>
      </c>
      <c r="F249" s="401">
        <v>0</v>
      </c>
      <c r="G249" s="480">
        <f t="shared" si="4"/>
        <v>262579.42</v>
      </c>
      <c r="H249" s="362">
        <v>262579.42</v>
      </c>
    </row>
    <row r="250" spans="1:8" x14ac:dyDescent="0.25">
      <c r="A250" t="s">
        <v>690</v>
      </c>
      <c r="B250" t="s">
        <v>691</v>
      </c>
      <c r="C250" s="362">
        <v>53414480.990000002</v>
      </c>
      <c r="D250" s="401">
        <v>50699501.789999999</v>
      </c>
      <c r="E250" s="362">
        <v>598787.57999999996</v>
      </c>
      <c r="F250" s="401">
        <v>2116191.62</v>
      </c>
      <c r="G250" s="480">
        <f t="shared" si="4"/>
        <v>52815693.409999996</v>
      </c>
      <c r="H250" s="362">
        <v>53414480.990000002</v>
      </c>
    </row>
    <row r="251" spans="1:8" x14ac:dyDescent="0.25">
      <c r="A251" t="s">
        <v>692</v>
      </c>
      <c r="B251" t="s">
        <v>693</v>
      </c>
      <c r="C251" s="362">
        <v>460168.03</v>
      </c>
      <c r="D251" s="401">
        <v>460168.03</v>
      </c>
      <c r="E251" s="362">
        <v>0</v>
      </c>
      <c r="F251" s="401">
        <v>0</v>
      </c>
      <c r="G251" s="480">
        <f t="shared" si="4"/>
        <v>460168.03</v>
      </c>
      <c r="H251" s="362">
        <v>460168.03</v>
      </c>
    </row>
    <row r="252" spans="1:8" x14ac:dyDescent="0.25">
      <c r="A252" t="s">
        <v>694</v>
      </c>
      <c r="B252" t="s">
        <v>695</v>
      </c>
      <c r="C252" s="362">
        <v>125378.32</v>
      </c>
      <c r="D252" s="401">
        <v>125378.32</v>
      </c>
      <c r="E252" s="362">
        <v>0</v>
      </c>
      <c r="F252" s="401">
        <v>0</v>
      </c>
      <c r="G252" s="480">
        <f t="shared" si="4"/>
        <v>125378.32</v>
      </c>
      <c r="H252" s="362">
        <v>125378.32</v>
      </c>
    </row>
    <row r="253" spans="1:8" x14ac:dyDescent="0.25">
      <c r="A253" t="s">
        <v>696</v>
      </c>
      <c r="B253" t="s">
        <v>1204</v>
      </c>
      <c r="C253" s="362">
        <v>143892.69</v>
      </c>
      <c r="D253" s="401">
        <v>143892.69</v>
      </c>
      <c r="E253" s="362">
        <v>0</v>
      </c>
      <c r="F253" s="401">
        <v>0</v>
      </c>
      <c r="G253" s="480">
        <f t="shared" si="4"/>
        <v>143892.69</v>
      </c>
      <c r="H253" s="362">
        <v>143892.69</v>
      </c>
    </row>
    <row r="254" spans="1:8" x14ac:dyDescent="0.25">
      <c r="A254" t="s">
        <v>698</v>
      </c>
      <c r="B254" t="s">
        <v>1405</v>
      </c>
      <c r="C254" s="362">
        <v>10480035.369999999</v>
      </c>
      <c r="D254" s="401">
        <v>10480035.369999999</v>
      </c>
      <c r="E254" s="362">
        <v>0</v>
      </c>
      <c r="F254" s="401">
        <v>0</v>
      </c>
      <c r="G254" s="480">
        <f t="shared" si="4"/>
        <v>10480035.369999999</v>
      </c>
      <c r="H254" s="362">
        <v>10480035.369999999</v>
      </c>
    </row>
    <row r="255" spans="1:8" x14ac:dyDescent="0.25">
      <c r="A255" t="s">
        <v>700</v>
      </c>
      <c r="B255" t="s">
        <v>701</v>
      </c>
      <c r="C255" s="362">
        <v>0</v>
      </c>
      <c r="D255" s="401">
        <v>0</v>
      </c>
      <c r="E255" s="362">
        <v>0</v>
      </c>
      <c r="F255" s="401">
        <v>0</v>
      </c>
      <c r="G255" s="480">
        <f t="shared" si="4"/>
        <v>0</v>
      </c>
      <c r="H255" s="362">
        <v>0</v>
      </c>
    </row>
    <row r="256" spans="1:8" x14ac:dyDescent="0.25">
      <c r="A256" t="s">
        <v>702</v>
      </c>
      <c r="B256" t="s">
        <v>703</v>
      </c>
      <c r="C256" s="362">
        <v>33562.04</v>
      </c>
      <c r="D256" s="401">
        <v>33562.04</v>
      </c>
      <c r="E256" s="362">
        <v>0</v>
      </c>
      <c r="F256" s="401">
        <v>0</v>
      </c>
      <c r="G256" s="480">
        <f t="shared" si="4"/>
        <v>33562.04</v>
      </c>
      <c r="H256" s="362">
        <v>33562.04</v>
      </c>
    </row>
    <row r="257" spans="1:8" x14ac:dyDescent="0.25">
      <c r="A257" t="s">
        <v>704</v>
      </c>
      <c r="B257" t="s">
        <v>705</v>
      </c>
      <c r="C257" s="362">
        <v>0</v>
      </c>
      <c r="D257" s="401">
        <v>0</v>
      </c>
      <c r="E257" s="362">
        <v>0</v>
      </c>
      <c r="F257" s="401">
        <v>0</v>
      </c>
      <c r="G257" s="480">
        <f t="shared" si="4"/>
        <v>0</v>
      </c>
      <c r="H257" s="362">
        <v>0</v>
      </c>
    </row>
    <row r="258" spans="1:8" x14ac:dyDescent="0.25">
      <c r="A258" t="s">
        <v>706</v>
      </c>
      <c r="B258" t="s">
        <v>707</v>
      </c>
      <c r="C258" s="362">
        <v>5010125.8499999996</v>
      </c>
      <c r="D258" s="401">
        <v>5008961.54</v>
      </c>
      <c r="E258" s="362">
        <v>1164.31</v>
      </c>
      <c r="F258" s="401">
        <v>0</v>
      </c>
      <c r="G258" s="480">
        <f t="shared" si="4"/>
        <v>5008961.54</v>
      </c>
      <c r="H258" s="362">
        <v>5010125.8499999996</v>
      </c>
    </row>
    <row r="259" spans="1:8" x14ac:dyDescent="0.25">
      <c r="A259" t="s">
        <v>708</v>
      </c>
      <c r="B259" t="s">
        <v>709</v>
      </c>
      <c r="C259" s="362">
        <v>47212.04</v>
      </c>
      <c r="D259" s="401">
        <v>47212.04</v>
      </c>
      <c r="E259" s="362">
        <v>0</v>
      </c>
      <c r="F259" s="401">
        <v>0</v>
      </c>
      <c r="G259" s="480">
        <f t="shared" si="4"/>
        <v>47212.04</v>
      </c>
      <c r="H259" s="362">
        <v>47212.04</v>
      </c>
    </row>
    <row r="260" spans="1:8" x14ac:dyDescent="0.25">
      <c r="A260" t="s">
        <v>710</v>
      </c>
      <c r="B260" t="s">
        <v>711</v>
      </c>
      <c r="C260" s="362">
        <v>1423619.37</v>
      </c>
      <c r="D260" s="401">
        <v>1423619.37</v>
      </c>
      <c r="E260" s="362">
        <v>0</v>
      </c>
      <c r="F260" s="401">
        <v>0</v>
      </c>
      <c r="G260" s="480">
        <f t="shared" si="4"/>
        <v>1423619.37</v>
      </c>
      <c r="H260" s="362">
        <v>1423619.37</v>
      </c>
    </row>
    <row r="261" spans="1:8" x14ac:dyDescent="0.25">
      <c r="A261" t="s">
        <v>712</v>
      </c>
      <c r="B261" t="s">
        <v>713</v>
      </c>
      <c r="C261" s="362">
        <v>4563153.67</v>
      </c>
      <c r="D261" s="401">
        <v>4563153.67</v>
      </c>
      <c r="E261" s="362">
        <v>0</v>
      </c>
      <c r="F261" s="401">
        <v>0</v>
      </c>
      <c r="G261" s="480">
        <f t="shared" si="4"/>
        <v>4563153.67</v>
      </c>
      <c r="H261" s="362">
        <v>4563153.67</v>
      </c>
    </row>
    <row r="262" spans="1:8" x14ac:dyDescent="0.25">
      <c r="A262" t="s">
        <v>720</v>
      </c>
      <c r="B262" t="s">
        <v>721</v>
      </c>
      <c r="C262" s="362">
        <v>96983.85</v>
      </c>
      <c r="D262" s="401">
        <v>96983.85</v>
      </c>
      <c r="E262" s="362">
        <v>0</v>
      </c>
      <c r="F262" s="401">
        <v>0</v>
      </c>
      <c r="G262" s="480">
        <f t="shared" ref="G262:G316" si="5">D262+F262</f>
        <v>96983.85</v>
      </c>
      <c r="H262" s="362">
        <v>96983.85</v>
      </c>
    </row>
    <row r="263" spans="1:8" x14ac:dyDescent="0.25">
      <c r="A263" t="s">
        <v>716</v>
      </c>
      <c r="B263" t="s">
        <v>1424</v>
      </c>
      <c r="C263" s="362">
        <v>250004.72</v>
      </c>
      <c r="D263" s="401">
        <v>250004.72</v>
      </c>
      <c r="E263" s="362">
        <v>0</v>
      </c>
      <c r="F263" s="401">
        <v>0</v>
      </c>
      <c r="G263" s="480">
        <f t="shared" si="5"/>
        <v>250004.72</v>
      </c>
      <c r="H263" s="362">
        <v>250004.72</v>
      </c>
    </row>
    <row r="264" spans="1:8" x14ac:dyDescent="0.25">
      <c r="A264" t="s">
        <v>718</v>
      </c>
      <c r="B264" t="s">
        <v>1419</v>
      </c>
      <c r="C264" s="362">
        <v>423804.83</v>
      </c>
      <c r="D264" s="401">
        <v>423804.83</v>
      </c>
      <c r="E264" s="362">
        <v>0</v>
      </c>
      <c r="F264" s="401">
        <v>0</v>
      </c>
      <c r="G264" s="480">
        <f t="shared" si="5"/>
        <v>423804.83</v>
      </c>
      <c r="H264" s="362">
        <v>423804.83</v>
      </c>
    </row>
    <row r="265" spans="1:8" x14ac:dyDescent="0.25">
      <c r="A265" t="s">
        <v>714</v>
      </c>
      <c r="B265" t="s">
        <v>1420</v>
      </c>
      <c r="C265" s="362">
        <v>579055.32999999996</v>
      </c>
      <c r="D265" s="401">
        <v>579055.32999999996</v>
      </c>
      <c r="E265" s="362">
        <v>0</v>
      </c>
      <c r="F265" s="401">
        <v>0</v>
      </c>
      <c r="G265" s="480">
        <f t="shared" si="5"/>
        <v>579055.32999999996</v>
      </c>
      <c r="H265" s="362">
        <v>579055.32999999996</v>
      </c>
    </row>
    <row r="266" spans="1:8" x14ac:dyDescent="0.25">
      <c r="A266" t="s">
        <v>722</v>
      </c>
      <c r="B266" t="s">
        <v>723</v>
      </c>
      <c r="C266" s="362">
        <v>15997497.050000001</v>
      </c>
      <c r="D266" s="401">
        <v>14558596.67</v>
      </c>
      <c r="E266" s="362">
        <v>39747.25</v>
      </c>
      <c r="F266" s="401">
        <v>1399153.13</v>
      </c>
      <c r="G266" s="480">
        <f t="shared" si="5"/>
        <v>15957749.800000001</v>
      </c>
      <c r="H266" s="362">
        <v>15997497.050000001</v>
      </c>
    </row>
    <row r="267" spans="1:8" x14ac:dyDescent="0.25">
      <c r="A267" t="s">
        <v>724</v>
      </c>
      <c r="B267" t="s">
        <v>725</v>
      </c>
      <c r="C267" s="362">
        <v>10024405.970000001</v>
      </c>
      <c r="D267" s="401">
        <v>10024405.970000001</v>
      </c>
      <c r="E267" s="362">
        <v>0</v>
      </c>
      <c r="F267" s="401">
        <v>0</v>
      </c>
      <c r="G267" s="480">
        <f t="shared" si="5"/>
        <v>10024405.970000001</v>
      </c>
      <c r="H267" s="362">
        <v>10024405.970000001</v>
      </c>
    </row>
    <row r="268" spans="1:8" x14ac:dyDescent="0.25">
      <c r="A268" t="s">
        <v>726</v>
      </c>
      <c r="B268" t="s">
        <v>1409</v>
      </c>
      <c r="C268" s="362">
        <v>115789.27</v>
      </c>
      <c r="D268" s="401">
        <v>115789.27</v>
      </c>
      <c r="E268" s="362">
        <v>0</v>
      </c>
      <c r="F268" s="401">
        <v>0</v>
      </c>
      <c r="G268" s="480">
        <f t="shared" si="5"/>
        <v>115789.27</v>
      </c>
      <c r="H268" s="362">
        <v>115789.27</v>
      </c>
    </row>
    <row r="269" spans="1:8" x14ac:dyDescent="0.25">
      <c r="A269" t="s">
        <v>728</v>
      </c>
      <c r="B269" t="s">
        <v>729</v>
      </c>
      <c r="C269" s="362">
        <v>54590786.579999998</v>
      </c>
      <c r="D269" s="401">
        <v>51738784.18</v>
      </c>
      <c r="E269" s="362">
        <v>148169.92000000001</v>
      </c>
      <c r="F269" s="401">
        <v>2703832.48</v>
      </c>
      <c r="G269" s="480">
        <f t="shared" si="5"/>
        <v>54442616.659999996</v>
      </c>
      <c r="H269" s="362">
        <v>54590786.579999998</v>
      </c>
    </row>
    <row r="270" spans="1:8" x14ac:dyDescent="0.25">
      <c r="A270" t="s">
        <v>730</v>
      </c>
      <c r="B270" t="s">
        <v>731</v>
      </c>
      <c r="C270" s="362">
        <v>323502.52</v>
      </c>
      <c r="D270" s="401">
        <v>234623.81</v>
      </c>
      <c r="E270" s="362">
        <v>88878.71</v>
      </c>
      <c r="F270" s="401">
        <v>0</v>
      </c>
      <c r="G270" s="480">
        <f t="shared" si="5"/>
        <v>234623.81</v>
      </c>
      <c r="H270" s="362">
        <v>323502.52</v>
      </c>
    </row>
    <row r="271" spans="1:8" x14ac:dyDescent="0.25">
      <c r="A271" t="s">
        <v>732</v>
      </c>
      <c r="B271" t="s">
        <v>733</v>
      </c>
      <c r="C271" s="362">
        <v>15206440.199999999</v>
      </c>
      <c r="D271" s="401">
        <v>12047155.970000001</v>
      </c>
      <c r="E271" s="362">
        <v>10437.370000000001</v>
      </c>
      <c r="F271" s="401">
        <v>3148846.86</v>
      </c>
      <c r="G271" s="480">
        <f t="shared" si="5"/>
        <v>15196002.83</v>
      </c>
      <c r="H271" s="362">
        <v>15206440.200000001</v>
      </c>
    </row>
    <row r="272" spans="1:8" x14ac:dyDescent="0.25">
      <c r="A272" t="s">
        <v>734</v>
      </c>
      <c r="B272" t="s">
        <v>735</v>
      </c>
      <c r="C272" s="362">
        <v>422866.1</v>
      </c>
      <c r="D272" s="401">
        <v>422866.1</v>
      </c>
      <c r="E272" s="362">
        <v>0</v>
      </c>
      <c r="F272" s="401">
        <v>0</v>
      </c>
      <c r="G272" s="480">
        <f t="shared" si="5"/>
        <v>422866.1</v>
      </c>
      <c r="H272" s="362">
        <v>422866.1</v>
      </c>
    </row>
    <row r="273" spans="1:8" x14ac:dyDescent="0.25">
      <c r="A273" t="s">
        <v>736</v>
      </c>
      <c r="B273" t="s">
        <v>737</v>
      </c>
      <c r="C273" s="362">
        <v>2172757.42</v>
      </c>
      <c r="D273" s="401">
        <v>2169723.2599999998</v>
      </c>
      <c r="E273" s="362">
        <v>3034.16</v>
      </c>
      <c r="F273" s="401">
        <v>0</v>
      </c>
      <c r="G273" s="480">
        <f t="shared" si="5"/>
        <v>2169723.2599999998</v>
      </c>
      <c r="H273" s="362">
        <v>2172757.42</v>
      </c>
    </row>
    <row r="274" spans="1:8" x14ac:dyDescent="0.25">
      <c r="A274" t="s">
        <v>738</v>
      </c>
      <c r="B274" t="s">
        <v>739</v>
      </c>
      <c r="C274" s="362">
        <v>353888.04</v>
      </c>
      <c r="D274" s="401">
        <v>353888.04</v>
      </c>
      <c r="E274" s="362">
        <v>0</v>
      </c>
      <c r="F274" s="401">
        <v>0</v>
      </c>
      <c r="G274" s="480">
        <f t="shared" si="5"/>
        <v>353888.04</v>
      </c>
      <c r="H274" s="362">
        <v>353888.04</v>
      </c>
    </row>
    <row r="275" spans="1:8" x14ac:dyDescent="0.25">
      <c r="A275" t="s">
        <v>740</v>
      </c>
      <c r="B275" t="s">
        <v>741</v>
      </c>
      <c r="C275" s="362">
        <v>1816746.69</v>
      </c>
      <c r="D275" s="401">
        <v>1398243.72</v>
      </c>
      <c r="E275" s="362">
        <v>0</v>
      </c>
      <c r="F275" s="401">
        <v>418502.97</v>
      </c>
      <c r="G275" s="480">
        <f t="shared" si="5"/>
        <v>1816746.69</v>
      </c>
      <c r="H275" s="362">
        <v>1816746.69</v>
      </c>
    </row>
    <row r="276" spans="1:8" x14ac:dyDescent="0.25">
      <c r="A276" t="s">
        <v>742</v>
      </c>
      <c r="B276" t="s">
        <v>743</v>
      </c>
      <c r="C276" s="362">
        <v>1059036.9099999999</v>
      </c>
      <c r="D276" s="401">
        <v>1048405.49</v>
      </c>
      <c r="E276" s="362">
        <v>10631.42</v>
      </c>
      <c r="F276" s="401">
        <v>0</v>
      </c>
      <c r="G276" s="480">
        <f t="shared" si="5"/>
        <v>1048405.49</v>
      </c>
      <c r="H276" s="362">
        <v>1059036.9099999999</v>
      </c>
    </row>
    <row r="277" spans="1:8" x14ac:dyDescent="0.25">
      <c r="A277" t="s">
        <v>744</v>
      </c>
      <c r="B277" t="s">
        <v>745</v>
      </c>
      <c r="C277" s="362">
        <v>5064931.99</v>
      </c>
      <c r="D277" s="401">
        <v>5064931.99</v>
      </c>
      <c r="E277" s="362">
        <v>0</v>
      </c>
      <c r="F277" s="401">
        <v>0</v>
      </c>
      <c r="G277" s="480">
        <f t="shared" si="5"/>
        <v>5064931.99</v>
      </c>
      <c r="H277" s="362">
        <v>5064931.99</v>
      </c>
    </row>
    <row r="278" spans="1:8" x14ac:dyDescent="0.25">
      <c r="A278" t="s">
        <v>746</v>
      </c>
      <c r="B278" t="s">
        <v>747</v>
      </c>
      <c r="C278" s="362">
        <v>244035.1</v>
      </c>
      <c r="D278" s="401">
        <v>244035.1</v>
      </c>
      <c r="E278" s="362">
        <v>0</v>
      </c>
      <c r="F278" s="401">
        <v>0</v>
      </c>
      <c r="G278" s="480">
        <f t="shared" si="5"/>
        <v>244035.1</v>
      </c>
      <c r="H278" s="362">
        <v>244035.1</v>
      </c>
    </row>
    <row r="279" spans="1:8" x14ac:dyDescent="0.25">
      <c r="A279" t="s">
        <v>748</v>
      </c>
      <c r="B279" t="s">
        <v>749</v>
      </c>
      <c r="C279" s="362">
        <v>952432.85</v>
      </c>
      <c r="D279" s="401">
        <v>952432.85</v>
      </c>
      <c r="E279" s="362">
        <v>0</v>
      </c>
      <c r="F279" s="401">
        <v>0</v>
      </c>
      <c r="G279" s="480">
        <f t="shared" si="5"/>
        <v>952432.85</v>
      </c>
      <c r="H279" s="362">
        <v>952432.85</v>
      </c>
    </row>
    <row r="280" spans="1:8" x14ac:dyDescent="0.25">
      <c r="A280" t="s">
        <v>750</v>
      </c>
      <c r="B280" t="s">
        <v>751</v>
      </c>
      <c r="C280" s="362">
        <v>212833.99</v>
      </c>
      <c r="D280" s="401">
        <v>212833.99</v>
      </c>
      <c r="E280" s="362">
        <v>0</v>
      </c>
      <c r="F280" s="401">
        <v>0</v>
      </c>
      <c r="G280" s="480">
        <f t="shared" si="5"/>
        <v>212833.99</v>
      </c>
      <c r="H280" s="362">
        <v>212833.99</v>
      </c>
    </row>
    <row r="281" spans="1:8" x14ac:dyDescent="0.25">
      <c r="A281" t="s">
        <v>752</v>
      </c>
      <c r="B281" t="s">
        <v>753</v>
      </c>
      <c r="C281" s="362">
        <v>5370431.5700000003</v>
      </c>
      <c r="D281" s="401">
        <v>4996425.45</v>
      </c>
      <c r="E281" s="362">
        <v>16706.02</v>
      </c>
      <c r="F281" s="401">
        <v>357300.1</v>
      </c>
      <c r="G281" s="480">
        <f t="shared" si="5"/>
        <v>5353725.55</v>
      </c>
      <c r="H281" s="362">
        <v>5370431.5700000003</v>
      </c>
    </row>
    <row r="282" spans="1:8" x14ac:dyDescent="0.25">
      <c r="A282" t="s">
        <v>754</v>
      </c>
      <c r="B282" t="s">
        <v>755</v>
      </c>
      <c r="C282" s="362">
        <v>9576406.1099999994</v>
      </c>
      <c r="D282" s="401">
        <v>9401413.2100000009</v>
      </c>
      <c r="E282" s="362">
        <v>82490.78</v>
      </c>
      <c r="F282" s="401">
        <v>92502.12</v>
      </c>
      <c r="G282" s="480">
        <f t="shared" si="5"/>
        <v>9493915.3300000001</v>
      </c>
      <c r="H282" s="362">
        <v>9576406.1100000013</v>
      </c>
    </row>
    <row r="283" spans="1:8" x14ac:dyDescent="0.25">
      <c r="A283" t="s">
        <v>756</v>
      </c>
      <c r="B283" t="s">
        <v>757</v>
      </c>
      <c r="C283" s="362">
        <v>613370.84</v>
      </c>
      <c r="D283" s="401">
        <v>613370.84</v>
      </c>
      <c r="E283" s="362">
        <v>0</v>
      </c>
      <c r="F283" s="401">
        <v>0</v>
      </c>
      <c r="G283" s="480">
        <f t="shared" si="5"/>
        <v>613370.84</v>
      </c>
      <c r="H283" s="362">
        <v>613370.84</v>
      </c>
    </row>
    <row r="284" spans="1:8" x14ac:dyDescent="0.25">
      <c r="A284" t="s">
        <v>758</v>
      </c>
      <c r="B284" t="s">
        <v>759</v>
      </c>
      <c r="C284" s="362">
        <v>8840931.9800000004</v>
      </c>
      <c r="D284" s="401">
        <v>8704141.8900000006</v>
      </c>
      <c r="E284" s="362">
        <v>88844.86</v>
      </c>
      <c r="F284" s="401">
        <v>47945.23</v>
      </c>
      <c r="G284" s="480">
        <f t="shared" si="5"/>
        <v>8752087.120000001</v>
      </c>
      <c r="H284" s="362">
        <v>8840931.9800000004</v>
      </c>
    </row>
    <row r="285" spans="1:8" x14ac:dyDescent="0.25">
      <c r="A285" t="s">
        <v>760</v>
      </c>
      <c r="B285" t="s">
        <v>761</v>
      </c>
      <c r="C285" s="362">
        <v>913423.24</v>
      </c>
      <c r="D285" s="401">
        <v>913423.24</v>
      </c>
      <c r="E285" s="362">
        <v>0</v>
      </c>
      <c r="F285" s="401">
        <v>0</v>
      </c>
      <c r="G285" s="480">
        <f t="shared" si="5"/>
        <v>913423.24</v>
      </c>
      <c r="H285" s="362">
        <v>913423.24</v>
      </c>
    </row>
    <row r="286" spans="1:8" x14ac:dyDescent="0.25">
      <c r="A286" t="s">
        <v>762</v>
      </c>
      <c r="B286" t="s">
        <v>763</v>
      </c>
      <c r="C286" s="362">
        <v>40245665.07</v>
      </c>
      <c r="D286" s="401">
        <v>35423373.57</v>
      </c>
      <c r="E286" s="362">
        <v>281518.99</v>
      </c>
      <c r="F286" s="401">
        <v>4540772.51</v>
      </c>
      <c r="G286" s="480">
        <f t="shared" si="5"/>
        <v>39964146.079999998</v>
      </c>
      <c r="H286" s="362">
        <v>40245665.07</v>
      </c>
    </row>
    <row r="287" spans="1:8" x14ac:dyDescent="0.25">
      <c r="A287" t="s">
        <v>764</v>
      </c>
      <c r="B287" t="s">
        <v>765</v>
      </c>
      <c r="C287" s="362">
        <v>2585692.71</v>
      </c>
      <c r="D287" s="401">
        <v>2448982.66</v>
      </c>
      <c r="E287" s="362">
        <v>15803.17</v>
      </c>
      <c r="F287" s="401">
        <v>120906.88</v>
      </c>
      <c r="G287" s="480">
        <f t="shared" si="5"/>
        <v>2569889.54</v>
      </c>
      <c r="H287" s="362">
        <v>2585692.71</v>
      </c>
    </row>
    <row r="288" spans="1:8" hidden="1" x14ac:dyDescent="0.25">
      <c r="A288" t="s">
        <v>1334</v>
      </c>
      <c r="B288" t="s">
        <v>1425</v>
      </c>
      <c r="C288" s="362">
        <v>26611.4</v>
      </c>
      <c r="D288" s="401">
        <v>26611.4</v>
      </c>
      <c r="E288" s="362">
        <v>0</v>
      </c>
      <c r="F288" s="401">
        <v>0</v>
      </c>
      <c r="G288" s="480">
        <f t="shared" si="5"/>
        <v>26611.4</v>
      </c>
      <c r="H288" s="362">
        <v>26611.4</v>
      </c>
    </row>
    <row r="289" spans="1:8" x14ac:dyDescent="0.25">
      <c r="A289" t="s">
        <v>766</v>
      </c>
      <c r="B289" t="s">
        <v>767</v>
      </c>
      <c r="C289" s="362">
        <v>890936.37</v>
      </c>
      <c r="D289" s="401">
        <v>890936.37</v>
      </c>
      <c r="E289" s="362">
        <v>0</v>
      </c>
      <c r="F289" s="401">
        <v>0</v>
      </c>
      <c r="G289" s="480">
        <f t="shared" si="5"/>
        <v>890936.37</v>
      </c>
      <c r="H289" s="362">
        <v>890936.37</v>
      </c>
    </row>
    <row r="290" spans="1:8" x14ac:dyDescent="0.25">
      <c r="A290" t="s">
        <v>768</v>
      </c>
      <c r="B290" t="s">
        <v>769</v>
      </c>
      <c r="C290" s="362">
        <v>3210124.48</v>
      </c>
      <c r="D290" s="401">
        <v>3210124.48</v>
      </c>
      <c r="E290" s="362">
        <v>0</v>
      </c>
      <c r="F290" s="401">
        <v>0</v>
      </c>
      <c r="G290" s="480">
        <f t="shared" si="5"/>
        <v>3210124.48</v>
      </c>
      <c r="H290" s="362">
        <v>3210124.48</v>
      </c>
    </row>
    <row r="291" spans="1:8" x14ac:dyDescent="0.25">
      <c r="A291" t="s">
        <v>770</v>
      </c>
      <c r="B291" t="s">
        <v>771</v>
      </c>
      <c r="C291" s="362">
        <v>219726.69</v>
      </c>
      <c r="D291" s="401">
        <v>147979.73000000001</v>
      </c>
      <c r="E291" s="362">
        <v>0.23</v>
      </c>
      <c r="F291" s="401">
        <v>71746.73</v>
      </c>
      <c r="G291" s="480">
        <f t="shared" si="5"/>
        <v>219726.46000000002</v>
      </c>
      <c r="H291" s="362">
        <v>219726.69</v>
      </c>
    </row>
    <row r="292" spans="1:8" x14ac:dyDescent="0.25">
      <c r="A292" t="s">
        <v>772</v>
      </c>
      <c r="B292" t="s">
        <v>773</v>
      </c>
      <c r="C292" s="362">
        <v>8331459.6900000004</v>
      </c>
      <c r="D292" s="401">
        <v>8331459.6900000004</v>
      </c>
      <c r="E292" s="362">
        <v>0</v>
      </c>
      <c r="F292" s="401">
        <v>0</v>
      </c>
      <c r="G292" s="480">
        <f t="shared" si="5"/>
        <v>8331459.6900000004</v>
      </c>
      <c r="H292" s="362">
        <v>8331459.6900000004</v>
      </c>
    </row>
    <row r="293" spans="1:8" x14ac:dyDescent="0.25">
      <c r="A293" t="s">
        <v>774</v>
      </c>
      <c r="B293" t="s">
        <v>775</v>
      </c>
      <c r="C293" s="362">
        <v>3727303.96</v>
      </c>
      <c r="D293" s="401">
        <v>3727303.96</v>
      </c>
      <c r="E293" s="362">
        <v>0</v>
      </c>
      <c r="F293" s="401">
        <v>0</v>
      </c>
      <c r="G293" s="480">
        <f t="shared" si="5"/>
        <v>3727303.96</v>
      </c>
      <c r="H293" s="362">
        <v>3727303.96</v>
      </c>
    </row>
    <row r="294" spans="1:8" x14ac:dyDescent="0.25">
      <c r="A294" t="s">
        <v>776</v>
      </c>
      <c r="B294" t="s">
        <v>777</v>
      </c>
      <c r="C294" s="362">
        <v>1364274</v>
      </c>
      <c r="D294" s="401">
        <v>1351707.85</v>
      </c>
      <c r="E294" s="362">
        <v>12566.15</v>
      </c>
      <c r="F294" s="401">
        <v>0</v>
      </c>
      <c r="G294" s="480">
        <f t="shared" si="5"/>
        <v>1351707.85</v>
      </c>
      <c r="H294" s="362">
        <v>1364274</v>
      </c>
    </row>
    <row r="295" spans="1:8" x14ac:dyDescent="0.25">
      <c r="A295" t="s">
        <v>778</v>
      </c>
      <c r="B295" t="s">
        <v>779</v>
      </c>
      <c r="C295" s="362">
        <v>6277776.1799999997</v>
      </c>
      <c r="D295" s="401">
        <v>5899295.9000000004</v>
      </c>
      <c r="E295" s="362">
        <v>23173.06</v>
      </c>
      <c r="F295" s="401">
        <v>355307.22</v>
      </c>
      <c r="G295" s="480">
        <f t="shared" si="5"/>
        <v>6254603.1200000001</v>
      </c>
      <c r="H295" s="362">
        <v>6277776.1800000006</v>
      </c>
    </row>
    <row r="296" spans="1:8" x14ac:dyDescent="0.25">
      <c r="A296" t="s">
        <v>780</v>
      </c>
      <c r="B296" t="s">
        <v>781</v>
      </c>
      <c r="C296" s="362">
        <v>65466.49</v>
      </c>
      <c r="D296" s="401">
        <v>65466.49</v>
      </c>
      <c r="E296" s="362">
        <v>0</v>
      </c>
      <c r="F296" s="401">
        <v>0</v>
      </c>
      <c r="G296" s="480">
        <f t="shared" si="5"/>
        <v>65466.49</v>
      </c>
      <c r="H296" s="362">
        <v>65466.49</v>
      </c>
    </row>
    <row r="297" spans="1:8" x14ac:dyDescent="0.25">
      <c r="A297" t="s">
        <v>782</v>
      </c>
      <c r="B297" t="s">
        <v>783</v>
      </c>
      <c r="C297" s="362">
        <v>425408.09</v>
      </c>
      <c r="D297" s="401">
        <v>425408.09</v>
      </c>
      <c r="E297" s="362">
        <v>0</v>
      </c>
      <c r="F297" s="401">
        <v>0</v>
      </c>
      <c r="G297" s="480">
        <f t="shared" si="5"/>
        <v>425408.09</v>
      </c>
      <c r="H297" s="362">
        <v>425408.09</v>
      </c>
    </row>
    <row r="298" spans="1:8" x14ac:dyDescent="0.25">
      <c r="A298" t="s">
        <v>784</v>
      </c>
      <c r="B298" t="s">
        <v>785</v>
      </c>
      <c r="C298" s="362">
        <v>733747.83</v>
      </c>
      <c r="D298" s="401">
        <v>619138.35</v>
      </c>
      <c r="E298" s="362">
        <v>114609.48</v>
      </c>
      <c r="F298" s="401">
        <v>0</v>
      </c>
      <c r="G298" s="480">
        <f t="shared" si="5"/>
        <v>619138.35</v>
      </c>
      <c r="H298" s="362">
        <v>733747.83</v>
      </c>
    </row>
    <row r="299" spans="1:8" x14ac:dyDescent="0.25">
      <c r="A299" t="s">
        <v>786</v>
      </c>
      <c r="B299" t="s">
        <v>787</v>
      </c>
      <c r="C299" s="362">
        <v>11206758.9</v>
      </c>
      <c r="D299" s="401">
        <v>11081642.65</v>
      </c>
      <c r="E299" s="362">
        <v>68704.25</v>
      </c>
      <c r="F299" s="401">
        <v>56412</v>
      </c>
      <c r="G299" s="480">
        <f t="shared" si="5"/>
        <v>11138054.65</v>
      </c>
      <c r="H299" s="362">
        <v>11206758.9</v>
      </c>
    </row>
    <row r="300" spans="1:8" x14ac:dyDescent="0.25">
      <c r="A300" t="s">
        <v>790</v>
      </c>
      <c r="B300" t="s">
        <v>1411</v>
      </c>
      <c r="C300" s="362">
        <v>4777639.29</v>
      </c>
      <c r="D300" s="401">
        <v>4777639.29</v>
      </c>
      <c r="E300" s="362">
        <v>0</v>
      </c>
      <c r="F300" s="401">
        <v>0</v>
      </c>
      <c r="G300" s="480">
        <f t="shared" si="5"/>
        <v>4777639.29</v>
      </c>
      <c r="H300" s="362">
        <v>4777639.29</v>
      </c>
    </row>
    <row r="301" spans="1:8" x14ac:dyDescent="0.25">
      <c r="A301" t="s">
        <v>788</v>
      </c>
      <c r="B301" t="s">
        <v>1412</v>
      </c>
      <c r="C301" s="362">
        <v>7902094.4500000002</v>
      </c>
      <c r="D301" s="401">
        <v>7012534.6200000001</v>
      </c>
      <c r="E301" s="362">
        <v>0</v>
      </c>
      <c r="F301" s="401">
        <v>889559.83</v>
      </c>
      <c r="G301" s="480">
        <f t="shared" si="5"/>
        <v>7902094.4500000002</v>
      </c>
      <c r="H301" s="362">
        <v>7902094.4500000002</v>
      </c>
    </row>
    <row r="302" spans="1:8" x14ac:dyDescent="0.25">
      <c r="A302" t="s">
        <v>792</v>
      </c>
      <c r="B302" t="s">
        <v>793</v>
      </c>
      <c r="C302" s="362">
        <v>538712.43999999994</v>
      </c>
      <c r="D302" s="401">
        <v>534343.06000000006</v>
      </c>
      <c r="E302" s="362">
        <v>0</v>
      </c>
      <c r="F302" s="401">
        <v>4369.38</v>
      </c>
      <c r="G302" s="480">
        <f t="shared" si="5"/>
        <v>538712.44000000006</v>
      </c>
      <c r="H302" s="362">
        <v>538712.44000000006</v>
      </c>
    </row>
    <row r="303" spans="1:8" x14ac:dyDescent="0.25">
      <c r="A303" t="s">
        <v>794</v>
      </c>
      <c r="B303" t="s">
        <v>795</v>
      </c>
      <c r="C303" s="362">
        <v>6846545.6500000004</v>
      </c>
      <c r="D303" s="401">
        <v>6758950.5599999996</v>
      </c>
      <c r="E303" s="362">
        <v>6159.68</v>
      </c>
      <c r="F303" s="401">
        <v>81435.41</v>
      </c>
      <c r="G303" s="480">
        <f t="shared" si="5"/>
        <v>6840385.9699999997</v>
      </c>
      <c r="H303" s="362">
        <v>6846545.6499999994</v>
      </c>
    </row>
    <row r="304" spans="1:8" x14ac:dyDescent="0.25">
      <c r="A304" t="s">
        <v>796</v>
      </c>
      <c r="B304" t="s">
        <v>797</v>
      </c>
      <c r="C304" s="362">
        <v>1832874.95</v>
      </c>
      <c r="D304" s="401">
        <v>1832874.95</v>
      </c>
      <c r="E304" s="362">
        <v>0</v>
      </c>
      <c r="F304" s="401">
        <v>0</v>
      </c>
      <c r="G304" s="480">
        <f t="shared" si="5"/>
        <v>1832874.95</v>
      </c>
      <c r="H304" s="362">
        <v>1832874.95</v>
      </c>
    </row>
    <row r="305" spans="1:8" x14ac:dyDescent="0.25">
      <c r="A305" t="s">
        <v>798</v>
      </c>
      <c r="B305" t="s">
        <v>799</v>
      </c>
      <c r="C305" s="362">
        <v>357952.01</v>
      </c>
      <c r="D305" s="401">
        <v>343320.72</v>
      </c>
      <c r="E305" s="362">
        <v>0</v>
      </c>
      <c r="F305" s="401">
        <v>14631.29</v>
      </c>
      <c r="G305" s="480">
        <f t="shared" si="5"/>
        <v>357952.00999999995</v>
      </c>
      <c r="H305" s="362">
        <v>357952.00999999995</v>
      </c>
    </row>
    <row r="306" spans="1:8" x14ac:dyDescent="0.25">
      <c r="A306" t="s">
        <v>800</v>
      </c>
      <c r="B306" t="s">
        <v>801</v>
      </c>
      <c r="C306" s="362">
        <v>666761.54</v>
      </c>
      <c r="D306" s="401">
        <v>528511.44999999995</v>
      </c>
      <c r="E306" s="362">
        <v>0</v>
      </c>
      <c r="F306" s="401">
        <v>138250.09</v>
      </c>
      <c r="G306" s="480">
        <f t="shared" si="5"/>
        <v>666761.53999999992</v>
      </c>
      <c r="H306" s="362">
        <v>666761.53999999992</v>
      </c>
    </row>
    <row r="307" spans="1:8" x14ac:dyDescent="0.25">
      <c r="A307" t="s">
        <v>1426</v>
      </c>
      <c r="B307" t="s">
        <v>1427</v>
      </c>
      <c r="C307" s="362">
        <v>69276.31</v>
      </c>
      <c r="D307" s="401">
        <v>69276.31</v>
      </c>
      <c r="E307" s="362">
        <v>0</v>
      </c>
      <c r="F307" s="401">
        <v>0</v>
      </c>
      <c r="G307" s="480">
        <f t="shared" si="5"/>
        <v>69276.31</v>
      </c>
      <c r="H307" s="362">
        <v>69276.31</v>
      </c>
    </row>
    <row r="308" spans="1:8" x14ac:dyDescent="0.25">
      <c r="A308" t="s">
        <v>802</v>
      </c>
      <c r="B308" t="s">
        <v>803</v>
      </c>
      <c r="C308" s="362">
        <v>143905.16</v>
      </c>
      <c r="D308" s="401">
        <v>143905.16</v>
      </c>
      <c r="E308" s="362">
        <v>0</v>
      </c>
      <c r="F308" s="401">
        <v>0</v>
      </c>
      <c r="G308" s="480">
        <f t="shared" si="5"/>
        <v>143905.16</v>
      </c>
      <c r="H308" s="362">
        <v>143905.16</v>
      </c>
    </row>
    <row r="309" spans="1:8" x14ac:dyDescent="0.25">
      <c r="A309" t="s">
        <v>804</v>
      </c>
      <c r="B309" t="s">
        <v>805</v>
      </c>
      <c r="C309" s="362">
        <v>1515043.31</v>
      </c>
      <c r="D309" s="401">
        <v>1515043.31</v>
      </c>
      <c r="E309" s="362">
        <v>0</v>
      </c>
      <c r="F309" s="401">
        <v>0</v>
      </c>
      <c r="G309" s="480">
        <f t="shared" si="5"/>
        <v>1515043.31</v>
      </c>
      <c r="H309" s="362">
        <v>1515043.31</v>
      </c>
    </row>
    <row r="310" spans="1:8" x14ac:dyDescent="0.25">
      <c r="A310" t="s">
        <v>806</v>
      </c>
      <c r="B310" t="s">
        <v>807</v>
      </c>
      <c r="C310" s="362">
        <v>204245.45</v>
      </c>
      <c r="D310" s="401">
        <v>204245.45</v>
      </c>
      <c r="E310" s="362">
        <v>0</v>
      </c>
      <c r="F310" s="401">
        <v>0</v>
      </c>
      <c r="G310" s="480">
        <f t="shared" si="5"/>
        <v>204245.45</v>
      </c>
      <c r="H310" s="362">
        <v>204245.45</v>
      </c>
    </row>
    <row r="311" spans="1:8" x14ac:dyDescent="0.25">
      <c r="A311" t="s">
        <v>808</v>
      </c>
      <c r="B311" t="s">
        <v>809</v>
      </c>
      <c r="C311" s="362">
        <v>85680.07</v>
      </c>
      <c r="D311" s="401">
        <v>85680.07</v>
      </c>
      <c r="E311" s="362">
        <v>0</v>
      </c>
      <c r="F311" s="401">
        <v>0</v>
      </c>
      <c r="G311" s="480">
        <f t="shared" si="5"/>
        <v>85680.07</v>
      </c>
      <c r="H311" s="362">
        <v>85680.07</v>
      </c>
    </row>
    <row r="312" spans="1:8" x14ac:dyDescent="0.25">
      <c r="A312" t="s">
        <v>810</v>
      </c>
      <c r="B312" t="s">
        <v>811</v>
      </c>
      <c r="C312" s="362">
        <v>4387472.96</v>
      </c>
      <c r="D312" s="401">
        <v>4056485</v>
      </c>
      <c r="E312" s="362">
        <v>0</v>
      </c>
      <c r="F312" s="401">
        <v>330987.96000000002</v>
      </c>
      <c r="G312" s="480">
        <f t="shared" si="5"/>
        <v>4387472.96</v>
      </c>
      <c r="H312" s="362">
        <v>4387472.96</v>
      </c>
    </row>
    <row r="313" spans="1:8" hidden="1" x14ac:dyDescent="0.25">
      <c r="A313" t="s">
        <v>1430</v>
      </c>
      <c r="B313" t="s">
        <v>1431</v>
      </c>
      <c r="C313" s="362">
        <v>74948.84</v>
      </c>
      <c r="D313" s="401">
        <v>74948.84</v>
      </c>
      <c r="E313" s="362">
        <v>0</v>
      </c>
      <c r="F313" s="401">
        <v>0</v>
      </c>
      <c r="G313" s="480">
        <f t="shared" si="5"/>
        <v>74948.84</v>
      </c>
      <c r="H313" s="362">
        <v>74948.84</v>
      </c>
    </row>
    <row r="314" spans="1:8" x14ac:dyDescent="0.25">
      <c r="A314" t="s">
        <v>812</v>
      </c>
      <c r="B314" t="s">
        <v>813</v>
      </c>
      <c r="C314" s="362">
        <v>29279645.48</v>
      </c>
      <c r="D314" s="401">
        <v>22926981.940000001</v>
      </c>
      <c r="E314" s="362">
        <v>250607</v>
      </c>
      <c r="F314" s="401">
        <v>6102056.54</v>
      </c>
      <c r="G314" s="480">
        <f t="shared" si="5"/>
        <v>29029038.48</v>
      </c>
      <c r="H314" s="362">
        <v>29279645.48</v>
      </c>
    </row>
    <row r="315" spans="1:8" x14ac:dyDescent="0.25">
      <c r="A315" t="s">
        <v>814</v>
      </c>
      <c r="B315" t="s">
        <v>1413</v>
      </c>
      <c r="C315" s="362">
        <v>10599234.060000001</v>
      </c>
      <c r="D315" s="401">
        <v>9150030.0099999998</v>
      </c>
      <c r="E315" s="362">
        <v>36847.94</v>
      </c>
      <c r="F315" s="401">
        <v>1412356.11</v>
      </c>
      <c r="G315" s="480">
        <f t="shared" si="5"/>
        <v>10562386.119999999</v>
      </c>
      <c r="H315" s="362">
        <v>10599234.060000001</v>
      </c>
    </row>
    <row r="316" spans="1:8" x14ac:dyDescent="0.25">
      <c r="A316" t="s">
        <v>816</v>
      </c>
      <c r="B316" t="s">
        <v>817</v>
      </c>
      <c r="C316" s="362">
        <v>1423862.59</v>
      </c>
      <c r="D316" s="401">
        <v>1423862.59</v>
      </c>
      <c r="E316" s="362">
        <v>0</v>
      </c>
      <c r="F316" s="401">
        <v>0</v>
      </c>
      <c r="G316" s="480">
        <f t="shared" si="5"/>
        <v>1423862.59</v>
      </c>
      <c r="H316" s="362">
        <v>1423862.59</v>
      </c>
    </row>
  </sheetData>
  <autoFilter ref="A5:H316" xr:uid="{4B155B1E-0EC6-470E-8B2F-2BC09B5E869A}">
    <filterColumn colId="1">
      <filters>
        <filter val="ABERDEEN"/>
        <filter val="ADNA"/>
        <filter val="ALMIRA"/>
        <filter val="ANACORTES"/>
        <filter val="ARLINGTON"/>
        <filter val="ASOTIN-ANATONE"/>
        <filter val="AUBURN"/>
        <filter val="BAINBRIDGE ISLAND"/>
        <filter val="BATTLE GROUND"/>
        <filter val="BELLEVUE"/>
        <filter val="BELLINGHAM"/>
        <filter val="BENGE"/>
        <filter val="BETHEL"/>
        <filter val="BICKLETON"/>
        <filter val="BLAINE"/>
        <filter val="BOISTFORT"/>
        <filter val="BREMERTON"/>
        <filter val="BREWSTER"/>
        <filter val="BRIDGEPORT"/>
        <filter val="BRINNON"/>
        <filter val="BURLINGTON-EDISON"/>
        <filter val="CAMAS"/>
        <filter val="CAPE FLATTERY"/>
        <filter val="CARBONADO"/>
        <filter val="CASCADE"/>
        <filter val="CASHMERE"/>
        <filter val="CASTLE ROCK"/>
        <filter val="CENTERVILLE"/>
        <filter val="CENTRAL KITSAP"/>
        <filter val="CENTRAL VALLEY"/>
        <filter val="CENTRALIA"/>
        <filter val="CHEHALIS"/>
        <filter val="CHENEY"/>
        <filter val="CHEWELAH"/>
        <filter val="CHIEF LESCHI TRIBAL"/>
        <filter val="CHIMACUM"/>
        <filter val="CLARKSTON"/>
        <filter val="CLE ELUM-ROSLYN"/>
        <filter val="CLOVER PARK"/>
        <filter val="COLFAX"/>
        <filter val="COLLEGE PLACE"/>
        <filter val="COLTON"/>
        <filter val="COLUMBIA (Stevens)"/>
        <filter val="COLUMBIA (Walla Walla)"/>
        <filter val="COLVILLE"/>
        <filter val="CONCRETE"/>
        <filter val="CONWAY"/>
        <filter val="COSMOPOLIS"/>
        <filter val="COULEE-HARTLINE"/>
        <filter val="COUPEVILLE"/>
        <filter val="CRESCENT"/>
        <filter val="CRESTON"/>
        <filter val="CURLEW"/>
        <filter val="CUSICK"/>
        <filter val="DAMMAN"/>
        <filter val="DARRINGTON"/>
        <filter val="DAVENPORT"/>
        <filter val="DAYTON"/>
        <filter val="DEER PARK"/>
        <filter val="DIERINGER"/>
        <filter val="DIXIE"/>
        <filter val="EAST VALLEY (Spokane)"/>
        <filter val="EAST VALLEY (Yakima)"/>
        <filter val="EASTMONT"/>
        <filter val="EASTON"/>
        <filter val="EATONVILLE"/>
        <filter val="EDMONDS"/>
        <filter val="ELLENSBURG"/>
        <filter val="ELMA"/>
        <filter val="ENDICOTT"/>
        <filter val="ENTIAT"/>
        <filter val="ENUMCLAW"/>
        <filter val="EPHRATA"/>
        <filter val="EVALINE"/>
        <filter val="EVERETT"/>
        <filter val="EVERGREEN"/>
        <filter val="FEDERAL WAY"/>
        <filter val="FERNDALE"/>
        <filter val="FIFE"/>
        <filter val="FINLEY"/>
        <filter val="FRANKLIN PIERCE"/>
        <filter val="FREEMAN"/>
        <filter val="GARFIELD"/>
        <filter val="GLENWOOD"/>
        <filter val="GOLDENDALE"/>
        <filter val="GRAND COULEE DAM"/>
        <filter val="GRANDVIEW"/>
        <filter val="GRANGER"/>
        <filter val="GRANITE FALLS"/>
        <filter val="GRAPEVIEW"/>
        <filter val="GREAT NORTHERN"/>
        <filter val="GREEN DOT-RAINIER VALLEY"/>
        <filter val="GREEN MOUNTAIN"/>
        <filter val="GRIFFIN"/>
        <filter val="HARRINGTON"/>
        <filter val="HIGHLAND"/>
        <filter val="HIGHLINE"/>
        <filter val="HOCKINSON"/>
        <filter val="HOOD CANAL"/>
        <filter val="HOQUIAM"/>
        <filter val="IMPACT PUBLIC SCHOOLS"/>
        <filter val="INCHELIUM"/>
        <filter val="INDEX"/>
        <filter val="ISSAQUAH"/>
        <filter val="KAHLOTUS"/>
        <filter val="KALAMA"/>
        <filter val="KELLER"/>
        <filter val="KELSO"/>
        <filter val="KENNEWICK"/>
        <filter val="KENT"/>
        <filter val="KETTLE FALLS"/>
        <filter val="KIONA-BENTON"/>
        <filter val="KITTITAS"/>
        <filter val="KLICKITAT"/>
        <filter val="LA CENTER"/>
        <filter val="LA CONNER"/>
        <filter val="LACROSSE"/>
        <filter val="LAKE CHELAN"/>
        <filter val="LAKE STEVENS"/>
        <filter val="LAKE WASHINGTON"/>
        <filter val="LAKEWOOD"/>
        <filter val="LAMONT"/>
        <filter val="LIBERTY"/>
        <filter val="LIND"/>
        <filter val="LONGVIEW"/>
        <filter val="LOON LAKE"/>
        <filter val="LOPEZ ISLAND"/>
        <filter val="LYLE"/>
        <filter val="LYNDEN"/>
        <filter val="MABTON"/>
        <filter val="MANSFIELD"/>
        <filter val="MANSON"/>
        <filter val="MARY M. KNIGHT"/>
        <filter val="MARY WALKER"/>
        <filter val="MARYSVILLE"/>
        <filter val="MCCLEARY"/>
        <filter val="MEAD"/>
        <filter val="MEDICAL LAKE"/>
        <filter val="MERCER ISLAND"/>
        <filter val="MERIDIAN"/>
        <filter val="METHOW VALLEY"/>
        <filter val="MILL A"/>
        <filter val="MONROE"/>
        <filter val="MONTESANO"/>
        <filter val="MORTON"/>
        <filter val="MOSES LAKE"/>
        <filter val="MOSSYROCK"/>
        <filter val="MOUNT ADAMS"/>
        <filter val="MOUNT BAKER"/>
        <filter val="MOUNT PLEASANT"/>
        <filter val="MOUNT VERNON"/>
        <filter val="MUKILTEO"/>
        <filter val="NACHES VALLEY"/>
        <filter val="NAPAVINE"/>
        <filter val="NASELLE-GRAYS RIVER"/>
        <filter val="NESPELEM"/>
        <filter val="NEWPORT"/>
        <filter val="NINE MILE FALLS"/>
        <filter val="NOOKSACK VALLEY"/>
        <filter val="NORTH BEACH"/>
        <filter val="NORTH FRANKLIN"/>
        <filter val="NORTH KITSAP"/>
        <filter val="NORTH MASON"/>
        <filter val="NORTH RIVER"/>
        <filter val="NORTH THURSTON"/>
        <filter val="NORTHPORT"/>
        <filter val="NORTHSHORE"/>
        <filter val="OAK HARBOR"/>
        <filter val="OAKESDALE"/>
        <filter val="OAKVILLE"/>
        <filter val="OCEAN BEACH"/>
        <filter val="OCOSTA"/>
        <filter val="ODESSA"/>
        <filter val="OKANOGAN"/>
        <filter val="OLYMPIA"/>
        <filter val="OMAK"/>
        <filter val="ONALASKA"/>
        <filter val="ONION CREEK"/>
        <filter val="ORCAS ISLAND"/>
        <filter val="ORCHARD PRAIRIE"/>
        <filter val="ORIENT"/>
        <filter val="ORONDO"/>
        <filter val="OROVILLE"/>
        <filter val="ORTING"/>
        <filter val="OTHELLO"/>
        <filter val="PALISADES"/>
        <filter val="PALOUSE"/>
        <filter val="PASCO"/>
        <filter val="PATEROS"/>
        <filter val="PATERSON"/>
        <filter val="PE ELL"/>
        <filter val="PENINSULA"/>
        <filter val="PIONEER"/>
        <filter val="POMEROY"/>
        <filter val="PORT ANGELES"/>
        <filter val="PORT TOWNSEND"/>
        <filter val="PRESCOTT"/>
        <filter val="PRIDE PREP CHARTER"/>
        <filter val="PROSSER"/>
        <filter val="PULLMAN"/>
        <filter val="PUYALLUP"/>
        <filter val="QUEETS-CLEARWATER"/>
        <filter val="QUILCENE"/>
        <filter val="QUILLAYUTE VALLEY"/>
        <filter val="QUINAULT"/>
        <filter val="QUINCY"/>
        <filter val="RAINIER"/>
        <filter val="RAINIER PREP CHARTER"/>
        <filter val="RAYMOND"/>
        <filter val="REARDAN-EDWALL"/>
        <filter val="RENTON"/>
        <filter val="REPUBLIC"/>
        <filter val="RICHLAND"/>
        <filter val="RIDGEFIELD"/>
        <filter val="RITZVILLE"/>
        <filter val="RIVERSIDE"/>
        <filter val="RIVERVIEW"/>
        <filter val="ROCHESTER"/>
        <filter val="ROOSEVELT"/>
        <filter val="ROSALIA"/>
        <filter val="ROYAL"/>
        <filter val="SAN JUAN"/>
        <filter val="SATSOP"/>
        <filter val="SEATTLE"/>
        <filter val="SEDRO WOOLLEY"/>
        <filter val="SELAH"/>
        <filter val="SELKIRK"/>
        <filter val="SEQUIM"/>
        <filter val="SHAW"/>
        <filter val="SHELTON"/>
        <filter val="SHORELINE"/>
        <filter val="SKAMANIA"/>
        <filter val="SKYKOMISH"/>
        <filter val="SNOHOMISH"/>
        <filter val="SNOQUALMIE VALLEY"/>
        <filter val="SOAP LAKE"/>
        <filter val="SOUTH BEND"/>
        <filter val="SOUTH KITSAP"/>
        <filter val="SOUTH WHIDBEY"/>
        <filter val="SOUTHSIDE"/>
        <filter val="SPOKANE"/>
        <filter val="SPOKANE INTL ACADEMY"/>
        <filter val="SPRAGUE"/>
        <filter val="ST. JOHN"/>
        <filter val="STANWOOD"/>
        <filter val="STAR"/>
        <filter val="STARBUCK"/>
        <filter val="STEHEKIN"/>
        <filter val="STEILACOOM HIST."/>
        <filter val="STEPTOE"/>
        <filter val="STEVENSON-CARSON"/>
        <filter val="SULTAN"/>
        <filter val="SUMMIT VALLEY"/>
        <filter val="SUMMIT: OLYMPUS"/>
        <filter val="SUMMIT: SIERRA"/>
        <filter val="SUMMIT:ATLAS"/>
        <filter val="SUMNER"/>
        <filter val="SUNNYSIDE"/>
        <filter val="SUQUAMISH TRIBAL EDUCATION"/>
        <filter val="TACOMA"/>
        <filter val="TAHOLAH"/>
        <filter val="TAHOMA"/>
        <filter val="TEKOA"/>
        <filter val="TENINO"/>
        <filter val="THORP"/>
        <filter val="TOLEDO"/>
        <filter val="TONASKET"/>
        <filter val="TOPPENISH"/>
        <filter val="TOUCHET"/>
        <filter val="TOUTLE LAKE"/>
        <filter val="TROUT LAKE"/>
        <filter val="TUKWILA"/>
        <filter val="TUMWATER"/>
        <filter val="UNION GAP"/>
        <filter val="UNIVERSITY PLACE"/>
        <filter val="VALLEY"/>
        <filter val="VANCOUVER"/>
        <filter val="VASHON ISLAND"/>
        <filter val="WAHKIAKUM"/>
        <filter val="WAHLUKE"/>
        <filter val="WAITSBURG"/>
        <filter val="WALLA WALLA"/>
        <filter val="WAPATO"/>
        <filter val="WARDEN"/>
        <filter val="WASHOUGAL"/>
        <filter val="WASHTUCNA"/>
        <filter val="WATERVILLE"/>
        <filter val="WELLPINIT"/>
        <filter val="WENATCHEE"/>
        <filter val="WEST VALLEY (Spokane)"/>
        <filter val="WEST VALLEY (Yakima)"/>
        <filter val="WHITE PASS"/>
        <filter val="WHITE RIVER"/>
        <filter val="WHITE SALMON"/>
        <filter val="WILBUR"/>
        <filter val="WILLAPA VALLEY"/>
        <filter val="WILLOW (INOVATION ACADEMY)"/>
        <filter val="WILSON CREEK"/>
        <filter val="WINLOCK"/>
        <filter val="WISHKAH VALLEY"/>
        <filter val="WISHRAM"/>
        <filter val="WOODLAND"/>
        <filter val="YAKIMA"/>
        <filter val="YELM COMMUNITY SCHS."/>
        <filter val="ZILLAH"/>
      </filters>
    </filterColumn>
  </autoFilter>
  <sortState xmlns:xlrd2="http://schemas.microsoft.com/office/spreadsheetml/2017/richdata2" ref="A6:M316">
    <sortCondition ref="B6:B316"/>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7030A0"/>
  </sheetPr>
  <dimension ref="A1:D16"/>
  <sheetViews>
    <sheetView showGridLines="0" workbookViewId="0">
      <selection activeCell="A15" sqref="A15"/>
    </sheetView>
  </sheetViews>
  <sheetFormatPr defaultColWidth="0" defaultRowHeight="15" zeroHeight="1" x14ac:dyDescent="0.25"/>
  <cols>
    <col min="1" max="1" width="27.28515625" customWidth="1"/>
    <col min="2" max="2" width="23" customWidth="1"/>
    <col min="3" max="3" width="0.85546875" customWidth="1"/>
    <col min="4" max="4" width="0" hidden="1" customWidth="1"/>
    <col min="5" max="16384" width="9.140625" hidden="1"/>
  </cols>
  <sheetData>
    <row r="1" spans="1:4" ht="30" x14ac:dyDescent="0.25">
      <c r="A1" s="8" t="s">
        <v>173</v>
      </c>
      <c r="B1" s="335"/>
    </row>
    <row r="2" spans="1:4" ht="65.25" customHeight="1" x14ac:dyDescent="0.25">
      <c r="A2" s="218" t="s">
        <v>23</v>
      </c>
      <c r="B2" s="334" t="s">
        <v>138</v>
      </c>
    </row>
    <row r="3" spans="1:4" x14ac:dyDescent="0.25">
      <c r="A3" s="224" t="str">
        <f>CONCATENATE("Year 1: ",'2. Getting Started'!B6)</f>
        <v>Year 1: 2021</v>
      </c>
      <c r="B3" s="263" t="s">
        <v>1133</v>
      </c>
    </row>
    <row r="4" spans="1:4" x14ac:dyDescent="0.25">
      <c r="A4" s="224" t="str">
        <f>CONCATENATE("Year 2: ",'2. Getting Started'!$B$6+1)</f>
        <v>Year 2: 2022</v>
      </c>
      <c r="B4" s="263" t="s">
        <v>1133</v>
      </c>
      <c r="D4" s="1"/>
    </row>
    <row r="5" spans="1:4" x14ac:dyDescent="0.25">
      <c r="A5" s="224" t="str">
        <f>CONCATENATE("Year 3: ",'2. Getting Started'!$B$6+2)</f>
        <v>Year 3: 2023</v>
      </c>
      <c r="B5" s="263" t="s">
        <v>1133</v>
      </c>
    </row>
    <row r="6" spans="1:4" x14ac:dyDescent="0.25">
      <c r="A6" s="224" t="str">
        <f>CONCATENATE("Year 4: ",'2. Getting Started'!$B$6+3)</f>
        <v>Year 4: 2024</v>
      </c>
      <c r="B6" s="263" t="s">
        <v>1133</v>
      </c>
    </row>
    <row r="7" spans="1:4" x14ac:dyDescent="0.25">
      <c r="A7" s="224" t="str">
        <f>CONCATENATE("Year 5: ",'2. Getting Started'!$B$6+4)</f>
        <v>Year 5: 2025</v>
      </c>
      <c r="B7" s="263" t="s">
        <v>1133</v>
      </c>
    </row>
    <row r="8" spans="1:4" x14ac:dyDescent="0.25">
      <c r="A8" s="224" t="str">
        <f>CONCATENATE("Year 6: ",'2. Getting Started'!$B$6+5)</f>
        <v>Year 6: 2026</v>
      </c>
      <c r="B8" s="263" t="s">
        <v>1133</v>
      </c>
    </row>
    <row r="9" spans="1:4" x14ac:dyDescent="0.25">
      <c r="A9" s="224" t="str">
        <f>CONCATENATE("Year 7: ",'2. Getting Started'!$B$6+6)</f>
        <v>Year 7: 2027</v>
      </c>
      <c r="B9" s="263" t="s">
        <v>1133</v>
      </c>
    </row>
    <row r="10" spans="1:4" x14ac:dyDescent="0.25">
      <c r="A10" s="224" t="str">
        <f>CONCATENATE("Year 8: ",'2. Getting Started'!$B$6+7)</f>
        <v>Year 8: 2028</v>
      </c>
      <c r="B10" s="263" t="s">
        <v>1133</v>
      </c>
    </row>
    <row r="11" spans="1:4" x14ac:dyDescent="0.25">
      <c r="A11" s="224" t="str">
        <f>CONCATENATE("Year 9: ",'2. Getting Started'!$B$6+8)</f>
        <v>Year 9: 2029</v>
      </c>
      <c r="B11" s="263" t="s">
        <v>1133</v>
      </c>
    </row>
    <row r="12" spans="1:4" x14ac:dyDescent="0.25">
      <c r="A12" s="224" t="str">
        <f>CONCATENATE("Year 10: ",'2. Getting Started'!$B$6+9)</f>
        <v>Year 10: 2030</v>
      </c>
      <c r="B12" s="263" t="s">
        <v>1133</v>
      </c>
    </row>
    <row r="13" spans="1:4" x14ac:dyDescent="0.25">
      <c r="A13" s="275" t="str">
        <f>CONCATENATE("Year 11: ",'2. Getting Started'!$B$6+10)</f>
        <v>Year 11: 2031</v>
      </c>
      <c r="B13" s="264" t="s">
        <v>1133</v>
      </c>
    </row>
    <row r="14" spans="1:4" ht="37.5" customHeight="1" x14ac:dyDescent="0.25">
      <c r="A14" s="658" t="s">
        <v>184</v>
      </c>
      <c r="B14" s="658"/>
    </row>
    <row r="15" spans="1:4" ht="15.75" x14ac:dyDescent="0.25">
      <c r="A15" s="358" t="s">
        <v>183</v>
      </c>
    </row>
    <row r="16" spans="1:4" x14ac:dyDescent="0.25">
      <c r="A16" s="657" t="s">
        <v>24</v>
      </c>
      <c r="B16" s="657"/>
    </row>
  </sheetData>
  <sheetProtection algorithmName="SHA-512" hashValue="rT4ey0Err78a73A0zRkihaj7oSaClQIrB7PyIaGjIeAR6OEmuQtkKscb52msyEDEAF0kJRFIHtUUQYAsCTgFtw==" saltValue="kl212+gWzqm4DGjIdijElg==" spinCount="100000" sheet="1" objects="1" scenarios="1"/>
  <mergeCells count="2">
    <mergeCell ref="A14:B14"/>
    <mergeCell ref="A16:B16"/>
  </mergeCells>
  <dataValidations count="1">
    <dataValidation type="list" allowBlank="1" showInputMessage="1" showErrorMessage="1" sqref="B3:B13" xr:uid="{00000000-0002-0000-0400-000000000000}">
      <formula1>"Yes,No"</formula1>
    </dataValidation>
  </dataValidations>
  <hyperlinks>
    <hyperlink ref="A15" r:id="rId1" xr:uid="{00000000-0004-0000-0400-000000000000}"/>
  </hyperlinks>
  <pageMargins left="0.7" right="0.7" top="0.75" bottom="0.75" header="0.3" footer="0.3"/>
  <pageSetup orientation="portrait" verticalDpi="300"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7030A0"/>
    <pageSetUpPr autoPageBreaks="0"/>
  </sheetPr>
  <dimension ref="A1:AD16"/>
  <sheetViews>
    <sheetView showGridLines="0" zoomScale="90" zoomScaleNormal="90" workbookViewId="0">
      <selection activeCell="B8" sqref="B8"/>
    </sheetView>
  </sheetViews>
  <sheetFormatPr defaultColWidth="0" defaultRowHeight="15.75" zeroHeight="1" x14ac:dyDescent="0.25"/>
  <cols>
    <col min="1" max="2" width="13.7109375" style="10" customWidth="1"/>
    <col min="3" max="4" width="18" style="10" customWidth="1"/>
    <col min="5" max="6" width="18" style="15" customWidth="1"/>
    <col min="7" max="12" width="18" style="10" customWidth="1"/>
    <col min="13" max="13" width="0.85546875" style="10" customWidth="1"/>
    <col min="14" max="16" width="12.5703125" style="10" hidden="1" customWidth="1"/>
    <col min="17" max="17" width="19.140625" style="10" hidden="1" customWidth="1"/>
    <col min="18" max="22" width="12.5703125" style="10" hidden="1" customWidth="1"/>
    <col min="23" max="23" width="19.140625" style="10" hidden="1" customWidth="1"/>
    <col min="24" max="27" width="12.5703125" style="10" hidden="1" customWidth="1"/>
    <col min="28" max="30" width="19.140625" style="10" hidden="1" customWidth="1"/>
    <col min="31" max="60" width="12.5703125" style="10" hidden="1" customWidth="1"/>
    <col min="61" max="16384" width="12.5703125" style="10" hidden="1"/>
  </cols>
  <sheetData>
    <row r="1" spans="1:16" ht="19.5" thickBot="1" x14ac:dyDescent="0.35">
      <c r="A1" s="294" t="s">
        <v>14</v>
      </c>
      <c r="B1" s="294"/>
      <c r="C1" s="295" t="str">
        <f>IF('2. Getting Started'!B2="","",'2. Getting Started'!B2)</f>
        <v/>
      </c>
      <c r="D1" s="295"/>
      <c r="E1" s="178"/>
      <c r="F1" s="294" t="s">
        <v>149</v>
      </c>
      <c r="G1" s="296"/>
      <c r="H1" s="296"/>
      <c r="I1" s="296"/>
      <c r="J1" s="296"/>
      <c r="K1" s="296"/>
      <c r="L1" s="296"/>
      <c r="M1" s="344"/>
      <c r="N1" s="344"/>
      <c r="O1" s="344"/>
      <c r="P1" s="344"/>
    </row>
    <row r="2" spans="1:16" s="11" customFormat="1" ht="76.5" thickTop="1" thickBot="1" x14ac:dyDescent="0.3">
      <c r="A2" s="289" t="s">
        <v>25</v>
      </c>
      <c r="B2" s="310" t="s">
        <v>23</v>
      </c>
      <c r="C2" s="318" t="s">
        <v>145</v>
      </c>
      <c r="D2" s="293" t="s">
        <v>49</v>
      </c>
      <c r="E2" s="290" t="s">
        <v>0</v>
      </c>
      <c r="F2" s="291" t="s">
        <v>36</v>
      </c>
      <c r="G2" s="292" t="s">
        <v>37</v>
      </c>
      <c r="H2" s="293" t="s">
        <v>38</v>
      </c>
      <c r="I2" s="292" t="s">
        <v>39</v>
      </c>
      <c r="J2" s="293" t="s">
        <v>40</v>
      </c>
      <c r="K2" s="292" t="s">
        <v>41</v>
      </c>
      <c r="L2" s="293" t="s">
        <v>42</v>
      </c>
      <c r="M2" s="344"/>
      <c r="N2" s="344"/>
      <c r="O2" s="344"/>
      <c r="P2" s="344"/>
    </row>
    <row r="3" spans="1:16" s="11" customFormat="1" ht="47.1" customHeight="1" thickTop="1" x14ac:dyDescent="0.25">
      <c r="A3" s="306" t="str">
        <f>CONCATENATE("Last Year Met Compliance Standard Prior to ",'2. Getting Started'!B6)</f>
        <v>Last Year Met Compliance Standard Prior to 2021</v>
      </c>
      <c r="B3" s="311"/>
      <c r="C3" s="317"/>
      <c r="D3" s="307"/>
      <c r="E3" s="308">
        <f>IF('2. Getting Started'!C10="","",'2. Getting Started'!C10)</f>
        <v>0</v>
      </c>
      <c r="F3" s="309" t="str">
        <f>IF('2. Getting Started'!B10="","",CONCATENATE('2. Getting Started'!B10,": Met"))</f>
        <v>2020: Met</v>
      </c>
      <c r="G3" s="308">
        <f>IF('2. Getting Started'!C11="","",'2. Getting Started'!C11)</f>
        <v>0</v>
      </c>
      <c r="H3" s="309" t="str">
        <f>IF('2. Getting Started'!B11="","",CONCATENATE('2. Getting Started'!B11,": Met"))</f>
        <v>2020: Met</v>
      </c>
      <c r="I3" s="308" t="e">
        <f>IF('2. Getting Started'!C12="","",'2. Getting Started'!C12)</f>
        <v>#DIV/0!</v>
      </c>
      <c r="J3" s="309" t="str">
        <f>IF('2. Getting Started'!B12="","",CONCATENATE('2. Getting Started'!B12,": Met"))</f>
        <v>2020: Met</v>
      </c>
      <c r="K3" s="308" t="e">
        <f>IF('2. Getting Started'!C13="","",'2. Getting Started'!C13)</f>
        <v>#DIV/0!</v>
      </c>
      <c r="L3" s="309" t="str">
        <f>IF('2. Getting Started'!B13="","",CONCATENATE('2. Getting Started'!B13,": Met"))</f>
        <v>2020: Met</v>
      </c>
      <c r="M3" s="344"/>
      <c r="N3" s="344"/>
      <c r="O3" s="344"/>
      <c r="P3" s="344"/>
    </row>
    <row r="4" spans="1:16" ht="46.9" customHeight="1" x14ac:dyDescent="0.25">
      <c r="A4" s="314" t="s">
        <v>26</v>
      </c>
      <c r="B4" s="312">
        <f>'2. Getting Started'!B$6</f>
        <v>2021</v>
      </c>
      <c r="C4" s="319" t="s">
        <v>146</v>
      </c>
      <c r="D4" s="333">
        <f>IF('5. Year 1 Amounts'!I1="","",'5. Year 1 Amounts'!I1)</f>
        <v>0</v>
      </c>
      <c r="E4" s="305">
        <f>'5. Year 1 Amounts'!K$30</f>
        <v>0</v>
      </c>
      <c r="F4" s="297" t="str">
        <f>'7. Year 1 Summary'!B$17</f>
        <v>Met</v>
      </c>
      <c r="G4" s="305">
        <f>'5. Year 1 Amounts'!M$30</f>
        <v>0</v>
      </c>
      <c r="H4" s="297" t="str">
        <f>'7. Year 1 Summary'!C$17</f>
        <v>Met</v>
      </c>
      <c r="I4" s="305" t="e">
        <f>'5. Year 1 Amounts'!K$31</f>
        <v>#DIV/0!</v>
      </c>
      <c r="J4" s="297" t="e">
        <f>'7. Year 1 Summary'!D$17</f>
        <v>#DIV/0!</v>
      </c>
      <c r="K4" s="305" t="e">
        <f>'5. Year 1 Amounts'!M$31</f>
        <v>#DIV/0!</v>
      </c>
      <c r="L4" s="297" t="e">
        <f>'7. Year 1 Summary'!E$17</f>
        <v>#DIV/0!</v>
      </c>
      <c r="M4" s="344"/>
      <c r="N4" s="344"/>
      <c r="O4" s="344"/>
      <c r="P4" s="344"/>
    </row>
    <row r="5" spans="1:16" ht="46.9" customHeight="1" x14ac:dyDescent="0.25">
      <c r="A5" s="315" t="s">
        <v>27</v>
      </c>
      <c r="B5" s="313">
        <f>'2. Getting Started'!B$6+1</f>
        <v>2022</v>
      </c>
      <c r="C5" s="320" t="s">
        <v>146</v>
      </c>
      <c r="D5" s="333" t="e">
        <f>IF(AND($C5="Compliance Standard (Expenditures)",'8. Year 2 Amounts'!$I$1&lt;&gt;""),'8. Year 2 Amounts'!$I$1,IF(AND($C5="Eligibility Standard (Budget)",'8. Year 2 Amounts'!$B$1&lt;&gt;""),'8. Year 2 Amounts'!$B$1,""))</f>
        <v>#N/A</v>
      </c>
      <c r="E5" s="298">
        <f>IF($C5="Compliance Standard (Expenditures)",'8. Year 2 Amounts'!$K$30,IF($C5="Eligibility Standard (Budget)",'8. Year 2 Amounts'!$D$30,""))</f>
        <v>0</v>
      </c>
      <c r="F5" s="297" t="str">
        <f>IF($C5="Compliance Standard (Expenditures)",'10. Year 2 Summary'!B$17,IF($C5="Eligibility Standard (Budget)",'10. Year 2 Summary'!B$9,""))</f>
        <v>Met</v>
      </c>
      <c r="G5" s="298">
        <f>IF(C5="Compliance Standard (Expenditures)",'8. Year 2 Amounts'!M$30,IF(C5="Eligibility Standard (Budget)",'8. Year 2 Amounts'!F$30,""))</f>
        <v>0</v>
      </c>
      <c r="H5" s="297" t="str">
        <f>IF($C5="Compliance Standard (Expenditures)",'10. Year 2 Summary'!C$17,IF($C5="Eligibility Standard (Budget)",'10. Year 2 Summary'!C$9,""))</f>
        <v>Met</v>
      </c>
      <c r="I5" s="298" t="e">
        <f>IF($C5="Compliance Standard (Expenditures)",'8. Year 2 Amounts'!$K$31,IF($C5="Eligibility Standard (Budget)",'8. Year 2 Amounts'!$D$31,""))</f>
        <v>#N/A</v>
      </c>
      <c r="J5" s="297" t="e">
        <f>IF($C5="Compliance Standard (Expenditures)",'10. Year 2 Summary'!D$17,IF($C5="Eligibility Standard (Budget)",'10. Year 2 Summary'!D$9,""))</f>
        <v>#N/A</v>
      </c>
      <c r="K5" s="298" t="e">
        <f>IF($C5="Compliance Standard (Expenditures)",'8. Year 2 Amounts'!$M$31,IF($C5="Eligibility Standard (Budget)",'8. Year 2 Amounts'!$F$31,""))</f>
        <v>#N/A</v>
      </c>
      <c r="L5" s="297" t="e">
        <f>IF($C5="Compliance Standard (Expenditures)",'10. Year 2 Summary'!E$17,IF($C5="Eligibility Standard (Budget)",'10. Year 2 Summary'!E$9,""))</f>
        <v>#N/A</v>
      </c>
      <c r="M5" s="344"/>
      <c r="N5" s="344"/>
      <c r="O5" s="344"/>
      <c r="P5" s="344"/>
    </row>
    <row r="6" spans="1:16" ht="46.9" customHeight="1" x14ac:dyDescent="0.25">
      <c r="A6" s="315" t="s">
        <v>28</v>
      </c>
      <c r="B6" s="313">
        <f>'2. Getting Started'!B$6+2</f>
        <v>2023</v>
      </c>
      <c r="C6" s="320" t="s">
        <v>146</v>
      </c>
      <c r="D6" s="333">
        <f>IF(AND($C6="Compliance Standard (Expenditures)",'11. Year 3 Amounts'!$I$1&lt;&gt;""),'11. Year 3 Amounts'!$I$1,IF(AND($C6="Eligibility Standard (Budget)",'11. Year 3 Amounts'!$B$1&lt;&gt;""),'11. Year 3 Amounts'!$B$1,""))</f>
        <v>0</v>
      </c>
      <c r="E6" s="298">
        <f>IF($C6="Compliance Standard (Expenditures)",'11. Year 3 Amounts'!$K$30,IF($C6="Eligibility Standard (Budget)",'11. Year 3 Amounts'!$D$30,""))</f>
        <v>0</v>
      </c>
      <c r="F6" s="297" t="e">
        <f>IF($C6="Compliance Standard (Expenditures)",'13. Year 3 Summary'!B$17,IF($C6="Eligibility Standard (Budget)",'13. Year 3 Summary'!B$9,""))</f>
        <v>#N/A</v>
      </c>
      <c r="G6" s="298">
        <f>IF(C6="Compliance Standard (Expenditures)",'11. Year 3 Amounts'!M$30,IF(C6="Eligibility Standard (Budget)",'11. Year 3 Amounts'!F$30,""))</f>
        <v>0</v>
      </c>
      <c r="H6" s="297" t="e">
        <f>IF($C6="Compliance Standard (Expenditures)",'13. Year 3 Summary'!C$17,IF($C6="Eligibility Standard (Budget)",'13. Year 3 Summary'!C$9,""))</f>
        <v>#N/A</v>
      </c>
      <c r="I6" s="298" t="e">
        <f>IF($C6="Compliance Standard (Expenditures)",'11. Year 3 Amounts'!$K$31,IF($C6="Eligibility Standard (Budget)",'11. Year 3 Amounts'!$D$31,""))</f>
        <v>#DIV/0!</v>
      </c>
      <c r="J6" s="297" t="e">
        <f>IF($C6="Compliance Standard (Expenditures)",'13. Year 3 Summary'!D$17,IF($C6="Eligibility Standard (Budget)",'13. Year 3 Summary'!D$9,""))</f>
        <v>#DIV/0!</v>
      </c>
      <c r="K6" s="298" t="e">
        <f>IF($C6="Compliance Standard (Expenditures)",'11. Year 3 Amounts'!$M$31,IF($C6="Eligibility Standard (Budget)",'11. Year 3 Amounts'!$F$31,""))</f>
        <v>#DIV/0!</v>
      </c>
      <c r="L6" s="297" t="e">
        <f>IF($C6="Compliance Standard (Expenditures)",'13. Year 3 Summary'!E$17,IF($C6="Eligibility Standard (Budget)",'13. Year 3 Summary'!E$9,""))</f>
        <v>#DIV/0!</v>
      </c>
      <c r="M6" s="344"/>
      <c r="N6" s="344"/>
      <c r="O6" s="344"/>
      <c r="P6" s="344"/>
    </row>
    <row r="7" spans="1:16" ht="46.9" customHeight="1" x14ac:dyDescent="0.25">
      <c r="A7" s="315" t="s">
        <v>29</v>
      </c>
      <c r="B7" s="313">
        <f>'2. Getting Started'!B$6+3</f>
        <v>2024</v>
      </c>
      <c r="C7" s="320" t="s">
        <v>146</v>
      </c>
      <c r="D7" s="333">
        <f>IF(AND($C7="Compliance Standard (Expenditures)",'14. Year 4 Amounts'!$I$1&lt;&gt;""),'14. Year 4 Amounts'!$I$1,IF(AND($C7="Eligibility Standard (Budget)",'14. Year 4 Amounts'!$B$1&lt;&gt;""),'14. Year 4 Amounts'!$B$1,""))</f>
        <v>0</v>
      </c>
      <c r="E7" s="298">
        <f>IF($C7="Compliance Standard (Expenditures)",'14. Year 4 Amounts'!$K$30,IF($C7="Eligibility Standard (Budget)",'14. Year 4 Amounts'!$D$30,""))</f>
        <v>0</v>
      </c>
      <c r="F7" s="297" t="e">
        <f>IF($C7="Compliance Standard (Expenditures)",'16. Year 4 Summary'!B$17,IF($C7="Eligibility Standard (Budget)",'16. Year 4 Summary'!B$9,""))</f>
        <v>#N/A</v>
      </c>
      <c r="G7" s="298">
        <f>IF(C7="Compliance Standard (Expenditures)",'14. Year 4 Amounts'!M$30,IF(C7="Eligibility Standard (Budget)",'14. Year 4 Amounts'!F$30,""))</f>
        <v>0</v>
      </c>
      <c r="H7" s="297" t="e">
        <f>IF($C7="Compliance Standard (Expenditures)",'16. Year 4 Summary'!C$17,IF($C7="Eligibility Standard (Budget)",'16. Year 4 Summary'!C$9,""))</f>
        <v>#N/A</v>
      </c>
      <c r="I7" s="298" t="e">
        <f>IF($C7="Compliance Standard (Expenditures)",'14. Year 4 Amounts'!$K$31,IF($C7="Eligibility Standard (Budget)",'14. Year 4 Amounts'!$D$31,""))</f>
        <v>#DIV/0!</v>
      </c>
      <c r="J7" s="297" t="e">
        <f>IF($C7="Compliance Standard (Expenditures)",'16. Year 4 Summary'!D$17,IF($C7="Eligibility Standard (Budget)",'16. Year 4 Summary'!D$9,""))</f>
        <v>#DIV/0!</v>
      </c>
      <c r="K7" s="298" t="e">
        <f>IF($C7="Compliance Standard (Expenditures)",'14. Year 4 Amounts'!$M$31,IF($C7="Eligibility Standard (Budget)",'14. Year 4 Amounts'!$F$31,""))</f>
        <v>#DIV/0!</v>
      </c>
      <c r="L7" s="297" t="e">
        <f>IF($C7="Compliance Standard (Expenditures)",'16. Year 4 Summary'!E$17,IF($C7="Eligibility Standard (Budget)",'16. Year 4 Summary'!E$9,""))</f>
        <v>#DIV/0!</v>
      </c>
      <c r="M7" s="344"/>
      <c r="N7" s="344"/>
      <c r="O7" s="344"/>
      <c r="P7" s="344"/>
    </row>
    <row r="8" spans="1:16" ht="46.9" customHeight="1" x14ac:dyDescent="0.25">
      <c r="A8" s="315" t="s">
        <v>30</v>
      </c>
      <c r="B8" s="313">
        <f>'2. Getting Started'!B$6+4</f>
        <v>2025</v>
      </c>
      <c r="C8" s="320" t="s">
        <v>146</v>
      </c>
      <c r="D8" s="333" t="str">
        <f>IF(AND($C8="Compliance Standard (Expenditures)",'17. Year 5 Amounts'!$I$1&lt;&gt;""),'17. Year 5 Amounts'!$I$1,IF(AND($C8="Eligibility Standard (Budget)",'17. Year 5 Amounts'!$B$1&lt;&gt;""),'17. Year 5 Amounts'!$B$1,""))</f>
        <v/>
      </c>
      <c r="E8" s="298" t="str">
        <f>IF($C8="Compliance Standard (Expenditures)",'17. Year 5 Amounts'!$K$30,IF($C8="Eligibility Standard (Budget)",'17. Year 5 Amounts'!$D$30,""))</f>
        <v/>
      </c>
      <c r="F8" s="297" t="str">
        <f>IF($C8="Compliance Standard (Expenditures)",'19. Year 5 Summary'!B$17,IF($C8="Eligibility Standard (Budget)",'19. Year 5 Summary'!B$9,""))</f>
        <v/>
      </c>
      <c r="G8" s="298" t="str">
        <f>IF(C8="Compliance Standard (Expenditures)",'17. Year 5 Amounts'!M$30,IF(C8="Eligibility Standard (Budget)",'17. Year 5 Amounts'!F$30,""))</f>
        <v/>
      </c>
      <c r="H8" s="297" t="str">
        <f>IF($C8="Compliance Standard (Expenditures)",'19. Year 5 Summary'!C$17,IF($C8="Eligibility Standard (Budget)",'19. Year 5 Summary'!C$9,""))</f>
        <v/>
      </c>
      <c r="I8" s="298" t="str">
        <f>IF($C8="Compliance Standard (Expenditures)",'17. Year 5 Amounts'!$K$31,IF($C8="Eligibility Standard (Budget)",'17. Year 5 Amounts'!$D$31,""))</f>
        <v/>
      </c>
      <c r="J8" s="297" t="str">
        <f>IF($C8="Compliance Standard (Expenditures)",'19. Year 5 Summary'!D$17,IF($C8="Eligibility Standard (Budget)",'19. Year 5 Summary'!D$9,""))</f>
        <v/>
      </c>
      <c r="K8" s="298" t="str">
        <f>IF($C8="Compliance Standard (Expenditures)",'17. Year 5 Amounts'!$M$31,IF($C8="Eligibility Standard (Budget)",'17. Year 5 Amounts'!$F$31,""))</f>
        <v/>
      </c>
      <c r="L8" s="297" t="str">
        <f>IF($C8="Compliance Standard (Expenditures)",'19. Year 5 Summary'!E$17,IF($C8="Eligibility Standard (Budget)",'19. Year 5 Summary'!E$9,""))</f>
        <v/>
      </c>
      <c r="M8" s="344"/>
      <c r="N8" s="344"/>
      <c r="O8" s="344"/>
      <c r="P8" s="344"/>
    </row>
    <row r="9" spans="1:16" ht="46.9" customHeight="1" x14ac:dyDescent="0.25">
      <c r="A9" s="315" t="s">
        <v>31</v>
      </c>
      <c r="B9" s="313">
        <f>'2. Getting Started'!B$6+5</f>
        <v>2026</v>
      </c>
      <c r="C9" s="320" t="s">
        <v>147</v>
      </c>
      <c r="D9" s="333" t="str">
        <f>IF(AND($C9="Compliance Standard (Expenditures)",'20. Year 6 Amounts'!$I$1&lt;&gt;""),'20. Year 6 Amounts'!$I$1,IF(AND($C9="Eligibility Standard (Budget)",'20. Year 6 Amounts'!$B$1&lt;&gt;""),'20. Year 6 Amounts'!$B$1,""))</f>
        <v/>
      </c>
      <c r="E9" s="298" t="str">
        <f>IF($C9="Compliance Standard (Expenditures)",'20. Year 6 Amounts'!$K$30,IF($C9="Eligibility Standard (Budget)",'20. Year 6 Amounts'!$D$30,""))</f>
        <v/>
      </c>
      <c r="F9" s="297" t="str">
        <f>IF($C9="Compliance Standard (Expenditures)",'22. Year 6 Summary'!B$17,IF($C9="Eligibility Standard (Budget)",'22. Year 6 Summary'!B$9,""))</f>
        <v/>
      </c>
      <c r="G9" s="298" t="str">
        <f>IF(C9="Compliance Standard (Expenditures)",'20. Year 6 Amounts'!M$30,IF(C9="Eligibility Standard (Budget)",'20. Year 6 Amounts'!F$30,""))</f>
        <v/>
      </c>
      <c r="H9" s="297" t="str">
        <f>IF($C9="Compliance Standard (Expenditures)",'22. Year 6 Summary'!C$17,IF($C9="Eligibility Standard (Budget)",'22. Year 6 Summary'!C$9,""))</f>
        <v/>
      </c>
      <c r="I9" s="298" t="str">
        <f>IF($C9="Compliance Standard (Expenditures)",'20. Year 6 Amounts'!$K$31,IF($C9="Eligibility Standard (Budget)",'20. Year 6 Amounts'!$D$31,""))</f>
        <v/>
      </c>
      <c r="J9" s="297" t="str">
        <f>IF($C9="Compliance Standard (Expenditures)",'22. Year 6 Summary'!D$17,IF($C9="Eligibility Standard (Budget)",'22. Year 6 Summary'!D$9,""))</f>
        <v/>
      </c>
      <c r="K9" s="298" t="str">
        <f>IF($C9="Compliance Standard (Expenditures)",'20. Year 6 Amounts'!$M$31,IF($C9="Eligibility Standard (Budget)",'20. Year 6 Amounts'!$F$31,""))</f>
        <v/>
      </c>
      <c r="L9" s="297" t="str">
        <f>IF($C9="Compliance Standard (Expenditures)",'22. Year 6 Summary'!E$17,IF($C9="Eligibility Standard (Budget)",'22. Year 6 Summary'!E$9,""))</f>
        <v/>
      </c>
      <c r="M9" s="344"/>
      <c r="N9" s="344"/>
      <c r="O9" s="344"/>
      <c r="P9" s="344"/>
    </row>
    <row r="10" spans="1:16" ht="46.9" customHeight="1" x14ac:dyDescent="0.25">
      <c r="A10" s="315" t="s">
        <v>32</v>
      </c>
      <c r="B10" s="313">
        <f>'2. Getting Started'!B$6+6</f>
        <v>2027</v>
      </c>
      <c r="C10" s="320" t="s">
        <v>147</v>
      </c>
      <c r="D10" s="333" t="str">
        <f>IF(AND($C10="Compliance Standard (Expenditures)",'23. Year 7 Amounts'!$I$1&lt;&gt;""),'23. Year 7 Amounts'!$I$1,IF(AND($C10="Eligibility Standard (Budget)",'23. Year 7 Amounts'!$B$1&lt;&gt;""),'23. Year 7 Amounts'!$B$1,""))</f>
        <v/>
      </c>
      <c r="E10" s="298" t="str">
        <f>IF($C10="Compliance Standard (Expenditures)",'23. Year 7 Amounts'!$K$30,IF($C10="Eligibility Standard (Budget)",'23. Year 7 Amounts'!$D$30,""))</f>
        <v/>
      </c>
      <c r="F10" s="297" t="str">
        <f>IF($C10="Compliance Standard (Expenditures)",'25. Year 7 Summary'!B$17,IF($C10="Eligibility Standard (Budget)",'25. Year 7 Summary'!B$9,""))</f>
        <v/>
      </c>
      <c r="G10" s="298" t="str">
        <f>IF(C10="Compliance Standard (Expenditures)",'23. Year 7 Amounts'!M$30,IF(C10="Eligibility Standard (Budget)",'23. Year 7 Amounts'!F$30,""))</f>
        <v/>
      </c>
      <c r="H10" s="297" t="str">
        <f>IF($C10="Compliance Standard (Expenditures)",'25. Year 7 Summary'!C$17,IF($C10="Eligibility Standard (Budget)",'25. Year 7 Summary'!C$9,""))</f>
        <v/>
      </c>
      <c r="I10" s="298" t="str">
        <f>IF($C10="Compliance Standard (Expenditures)",'23. Year 7 Amounts'!$K$31,IF($C10="Eligibility Standard (Budget)",'23. Year 7 Amounts'!$D$31,""))</f>
        <v/>
      </c>
      <c r="J10" s="297" t="str">
        <f>IF($C10="Compliance Standard (Expenditures)",'25. Year 7 Summary'!D$17,IF($C10="Eligibility Standard (Budget)",'25. Year 7 Summary'!D$9,""))</f>
        <v/>
      </c>
      <c r="K10" s="298" t="str">
        <f>IF($C10="Compliance Standard (Expenditures)",'23. Year 7 Amounts'!$M$31,IF($C10="Eligibility Standard (Budget)",'23. Year 7 Amounts'!$F$31,""))</f>
        <v/>
      </c>
      <c r="L10" s="297" t="str">
        <f>IF($C10="Compliance Standard (Expenditures)",'25. Year 7 Summary'!E$17,IF($C10="Eligibility Standard (Budget)",'25. Year 7 Summary'!E$9,""))</f>
        <v/>
      </c>
      <c r="M10" s="344"/>
      <c r="N10" s="344"/>
      <c r="O10" s="344"/>
      <c r="P10" s="344"/>
    </row>
    <row r="11" spans="1:16" ht="46.9" customHeight="1" x14ac:dyDescent="0.25">
      <c r="A11" s="315" t="s">
        <v>33</v>
      </c>
      <c r="B11" s="313">
        <f>'2. Getting Started'!B$6+7</f>
        <v>2028</v>
      </c>
      <c r="C11" s="320" t="s">
        <v>146</v>
      </c>
      <c r="D11" s="333" t="str">
        <f>IF(AND($C11="Compliance Standard (Expenditures)",'26. Year 8 Amounts'!$I$1&lt;&gt;""),'26. Year 8 Amounts'!$I$1,IF(AND($C11="Eligibility Standard (Budget)",'26. Year 8 Amounts'!$B$1&lt;&gt;""),'26. Year 8 Amounts'!$B$1,""))</f>
        <v/>
      </c>
      <c r="E11" s="298" t="str">
        <f>IF($C11="Compliance Standard (Expenditures)",'26. Year 8 Amounts'!$K$30,IF($C11="Eligibility Standard (Budget)",'26. Year 8 Amounts'!$D$30,""))</f>
        <v/>
      </c>
      <c r="F11" s="297" t="str">
        <f>IF($C11="Compliance Standard (Expenditures)",'28. Year 8 Summary'!B$17,IF($C11="Eligibility Standard (Budget)",'28. Year 8 Summary'!B$9,""))</f>
        <v/>
      </c>
      <c r="G11" s="298" t="str">
        <f>IF(C11="Compliance Standard (Expenditures)",'26. Year 8 Amounts'!M$30,IF(C11="Eligibility Standard (Budget)",'26. Year 8 Amounts'!F$30,""))</f>
        <v/>
      </c>
      <c r="H11" s="297" t="str">
        <f>IF($C11="Compliance Standard (Expenditures)",'28. Year 8 Summary'!C$17,IF($C11="Eligibility Standard (Budget)",'28. Year 8 Summary'!C$9,""))</f>
        <v/>
      </c>
      <c r="I11" s="298" t="str">
        <f>IF($C11="Compliance Standard (Expenditures)",'26. Year 8 Amounts'!$K$31,IF($C11="Eligibility Standard (Budget)",'26. Year 8 Amounts'!$D$31,""))</f>
        <v/>
      </c>
      <c r="J11" s="297" t="str">
        <f>IF($C11="Compliance Standard (Expenditures)",'28. Year 8 Summary'!D$17,IF($C11="Eligibility Standard (Budget)",'28. Year 8 Summary'!D$9,""))</f>
        <v/>
      </c>
      <c r="K11" s="298" t="str">
        <f>IF($C11="Compliance Standard (Expenditures)",'26. Year 8 Amounts'!$M$31,IF($C11="Eligibility Standard (Budget)",'26. Year 8 Amounts'!$F$31,""))</f>
        <v/>
      </c>
      <c r="L11" s="297" t="str">
        <f>IF($C11="Compliance Standard (Expenditures)",'28. Year 8 Summary'!E$17,IF($C11="Eligibility Standard (Budget)",'28. Year 8 Summary'!E$9,""))</f>
        <v/>
      </c>
      <c r="M11" s="344"/>
      <c r="N11" s="344"/>
      <c r="O11" s="344"/>
      <c r="P11" s="344"/>
    </row>
    <row r="12" spans="1:16" ht="46.9" customHeight="1" x14ac:dyDescent="0.25">
      <c r="A12" s="315" t="s">
        <v>34</v>
      </c>
      <c r="B12" s="313">
        <f>'2. Getting Started'!B$6+8</f>
        <v>2029</v>
      </c>
      <c r="C12" s="320" t="s">
        <v>146</v>
      </c>
      <c r="D12" s="333" t="str">
        <f>IF(AND($C12="Compliance Standard (Expenditures)",'29. Year 9 Amounts'!$I$1&lt;&gt;""),'29. Year 9 Amounts'!$I$1,IF(AND($C12="Eligibility Standard (Budget)",'29. Year 9 Amounts'!$B$1&lt;&gt;""),'29. Year 9 Amounts'!$B$1,""))</f>
        <v/>
      </c>
      <c r="E12" s="298" t="str">
        <f>IF($C12="Compliance Standard (Expenditures)",'29. Year 9 Amounts'!$K$30,IF($C12="Eligibility Standard (Budget)",'29. Year 9 Amounts'!$D$30,""))</f>
        <v/>
      </c>
      <c r="F12" s="297" t="str">
        <f>IF($C12="Compliance Standard (Expenditures)",'31. Year 9 Summary'!B$17,IF($C12="Eligibility Standard (Budget)",'31. Year 9 Summary'!B$9,""))</f>
        <v/>
      </c>
      <c r="G12" s="298" t="str">
        <f>IF(C12="Compliance Standard (Expenditures)",'29. Year 9 Amounts'!M$30,IF(C12="Eligibility Standard (Budget)",'29. Year 9 Amounts'!F$30,""))</f>
        <v/>
      </c>
      <c r="H12" s="297" t="str">
        <f>IF($C12="Compliance Standard (Expenditures)",'31. Year 9 Summary'!C$17,IF($C12="Eligibility Standard (Budget)",'31. Year 9 Summary'!C$9,""))</f>
        <v/>
      </c>
      <c r="I12" s="298" t="str">
        <f>IF($C12="Compliance Standard (Expenditures)",'29. Year 9 Amounts'!$K$31,IF($C12="Eligibility Standard (Budget)",'29. Year 9 Amounts'!$D$31,""))</f>
        <v/>
      </c>
      <c r="J12" s="297" t="str">
        <f>IF($C12="Compliance Standard (Expenditures)",'31. Year 9 Summary'!D$17,IF($C12="Eligibility Standard (Budget)",'31. Year 9 Summary'!D$9,""))</f>
        <v/>
      </c>
      <c r="K12" s="298" t="str">
        <f>IF($C12="Compliance Standard (Expenditures)",'29. Year 9 Amounts'!$M$31,IF($C12="Eligibility Standard (Budget)",'29. Year 9 Amounts'!$F$31,""))</f>
        <v/>
      </c>
      <c r="L12" s="297" t="str">
        <f>IF($C12="Compliance Standard (Expenditures)",'31. Year 9 Summary'!E$17,IF($C12="Eligibility Standard (Budget)",'31. Year 9 Summary'!E$9,""))</f>
        <v/>
      </c>
      <c r="M12" s="344"/>
      <c r="N12" s="344"/>
      <c r="O12" s="344"/>
      <c r="P12" s="344"/>
    </row>
    <row r="13" spans="1:16" ht="46.9" customHeight="1" thickBot="1" x14ac:dyDescent="0.3">
      <c r="A13" s="316" t="s">
        <v>35</v>
      </c>
      <c r="B13" s="313">
        <f>'2. Getting Started'!B$6+9</f>
        <v>2030</v>
      </c>
      <c r="C13" s="320" t="s">
        <v>147</v>
      </c>
      <c r="D13" s="333" t="str">
        <f>IF(AND($C13="Compliance Standard (Expenditures)",'32. Year 10 Amounts'!$I$1&lt;&gt;""),'32. Year 10 Amounts'!$I$1,IF(AND($C13="Eligibility Standard (Budget)",'32. Year 10 Amounts'!$B$1&lt;&gt;""),'32. Year 10 Amounts'!$B$1,""))</f>
        <v/>
      </c>
      <c r="E13" s="298" t="str">
        <f>IF($C13="Compliance Standard (Expenditures)",'32. Year 10 Amounts'!$K$30,IF($C13="Eligibility Standard (Budget)",'32. Year 10 Amounts'!$D$30,""))</f>
        <v/>
      </c>
      <c r="F13" s="297" t="str">
        <f>IF($C13="Compliance Standard (Expenditures)",'34. Year 10 Summary'!B$17,IF($C13="Eligibility Standard (Budget)",'34. Year 10 Summary'!B$9,""))</f>
        <v/>
      </c>
      <c r="G13" s="298" t="str">
        <f>IF(C13="Compliance Standard (Expenditures)",'32. Year 10 Amounts'!M$30,IF(C13="Eligibility Standard (Budget)",'32. Year 10 Amounts'!F$30,""))</f>
        <v/>
      </c>
      <c r="H13" s="297" t="str">
        <f>IF($C13="Compliance Standard (Expenditures)",'34. Year 10 Summary'!C$17,IF($C13="Eligibility Standard (Budget)",'34. Year 10 Summary'!C$9,""))</f>
        <v/>
      </c>
      <c r="I13" s="298" t="str">
        <f>IF($C13="Compliance Standard (Expenditures)",'32. Year 10 Amounts'!$K$31,IF($C13="Eligibility Standard (Budget)",'32. Year 10 Amounts'!$D$31,""))</f>
        <v/>
      </c>
      <c r="J13" s="297" t="str">
        <f>IF($C13="Compliance Standard (Expenditures)",'34. Year 10 Summary'!D$17,IF($C13="Eligibility Standard (Budget)",'34. Year 10 Summary'!D$9,""))</f>
        <v/>
      </c>
      <c r="K13" s="298" t="str">
        <f>IF($C13="Compliance Standard (Expenditures)",'32. Year 10 Amounts'!$M$31,IF($C13="Eligibility Standard (Budget)",'32. Year 10 Amounts'!$F$31,""))</f>
        <v/>
      </c>
      <c r="L13" s="297" t="str">
        <f>IF($C13="Compliance Standard (Expenditures)",'34. Year 10 Summary'!E$17,IF($C13="Eligibility Standard (Budget)",'34. Year 10 Summary'!E$9,""))</f>
        <v/>
      </c>
      <c r="M13" s="344"/>
      <c r="N13" s="344"/>
      <c r="O13" s="344"/>
      <c r="P13" s="344"/>
    </row>
    <row r="14" spans="1:16" ht="24.75" customHeight="1" thickTop="1" x14ac:dyDescent="0.25">
      <c r="A14" s="341" t="s">
        <v>184</v>
      </c>
      <c r="C14" s="12"/>
      <c r="D14" s="12"/>
      <c r="E14" s="12"/>
      <c r="F14" s="12"/>
      <c r="G14" s="12"/>
      <c r="H14" s="12"/>
      <c r="I14" s="12"/>
      <c r="J14" s="12"/>
      <c r="K14" s="12"/>
      <c r="L14" s="12"/>
      <c r="M14" s="12"/>
      <c r="N14" s="12"/>
      <c r="O14" s="12"/>
      <c r="P14" s="12"/>
    </row>
    <row r="15" spans="1:16" s="14" customFormat="1" x14ac:dyDescent="0.25">
      <c r="A15" s="358" t="s">
        <v>183</v>
      </c>
      <c r="C15" s="13"/>
      <c r="D15" s="13"/>
      <c r="E15" s="13"/>
      <c r="F15" s="13"/>
      <c r="G15" s="13"/>
      <c r="H15" s="13"/>
      <c r="I15" s="13"/>
      <c r="J15" s="13"/>
      <c r="K15" s="13"/>
      <c r="L15" s="13"/>
      <c r="M15" s="13"/>
      <c r="N15" s="13"/>
      <c r="O15" s="13"/>
      <c r="P15" s="13"/>
    </row>
    <row r="16" spans="1:16" x14ac:dyDescent="0.25">
      <c r="A16" s="659" t="s">
        <v>24</v>
      </c>
      <c r="B16" s="659"/>
      <c r="C16" s="659"/>
      <c r="D16" s="659"/>
      <c r="E16" s="659"/>
      <c r="F16" s="659"/>
      <c r="G16" s="659"/>
      <c r="H16" s="659"/>
      <c r="I16" s="659"/>
      <c r="J16" s="659"/>
      <c r="K16" s="659"/>
      <c r="L16" s="659"/>
      <c r="M16" s="344"/>
      <c r="N16" s="344"/>
      <c r="O16" s="344"/>
      <c r="P16" s="344"/>
    </row>
  </sheetData>
  <sheetProtection algorithmName="SHA-512" hashValue="u+e66Bp427jgLOyIwG1GANnEGMHgKbSDV0EPQN9EuzyZuoYPmJ6MdFXEd3XncYJSlP9YTbBelMCPs4CpOEx/og==" saltValue="lu8CeT3eMdio0JhZwHlBnQ==" spinCount="100000" sheet="1" formatColumns="0" formatRows="0"/>
  <mergeCells count="1">
    <mergeCell ref="A16:L16"/>
  </mergeCells>
  <conditionalFormatting sqref="F4:F13">
    <cfRule type="containsText" dxfId="229" priority="7" operator="containsText" text="Did Not Meet">
      <formula>NOT(ISERROR(SEARCH("Did Not Meet",F4)))</formula>
    </cfRule>
    <cfRule type="containsText" dxfId="228" priority="8" operator="containsText" text="Met">
      <formula>NOT(ISERROR(SEARCH("Met",F4)))</formula>
    </cfRule>
  </conditionalFormatting>
  <conditionalFormatting sqref="H4:H13">
    <cfRule type="containsText" dxfId="227" priority="5" operator="containsText" text="Did Not Meet">
      <formula>NOT(ISERROR(SEARCH("Did Not Meet",H4)))</formula>
    </cfRule>
    <cfRule type="containsText" dxfId="226" priority="6" operator="containsText" text="Met">
      <formula>NOT(ISERROR(SEARCH("Met",H4)))</formula>
    </cfRule>
  </conditionalFormatting>
  <conditionalFormatting sqref="J4:J13">
    <cfRule type="containsText" dxfId="225" priority="3" operator="containsText" text="Did Not Meet">
      <formula>NOT(ISERROR(SEARCH("Did Not Meet",J4)))</formula>
    </cfRule>
    <cfRule type="containsText" dxfId="224" priority="4" operator="containsText" text="Met">
      <formula>NOT(ISERROR(SEARCH("Met",J4)))</formula>
    </cfRule>
  </conditionalFormatting>
  <conditionalFormatting sqref="L4:L13">
    <cfRule type="containsText" dxfId="223" priority="1" operator="containsText" text="Did Not Meet">
      <formula>NOT(ISERROR(SEARCH("Did Not Meet",L4)))</formula>
    </cfRule>
    <cfRule type="containsText" dxfId="222" priority="2" operator="containsText" text="Met">
      <formula>NOT(ISERROR(SEARCH("Met",L4)))</formula>
    </cfRule>
  </conditionalFormatting>
  <dataValidations count="1">
    <dataValidation type="list" allowBlank="1" showInputMessage="1" showErrorMessage="1" sqref="C5:C13" xr:uid="{00000000-0002-0000-0500-000000000000}">
      <formula1>"Compliance Standard (Expenditures),Eligibility Standard (Budget)"</formula1>
    </dataValidation>
  </dataValidations>
  <hyperlinks>
    <hyperlink ref="A4" location="'7. Year 1 Summary'!A1" display="Year 1" xr:uid="{00000000-0004-0000-0500-000000000000}"/>
    <hyperlink ref="A5" location="'10. Year 2 Summary'!A1" display="Year 2" xr:uid="{00000000-0004-0000-0500-000001000000}"/>
    <hyperlink ref="A6" location="'13. Year 3 Summary'!A1" display="Year 3" xr:uid="{00000000-0004-0000-0500-000002000000}"/>
    <hyperlink ref="A7" location="'16. Year 4 Summary'!A1" display="Year 4" xr:uid="{00000000-0004-0000-0500-000003000000}"/>
    <hyperlink ref="A8" location="'19. Year 5 Summary'!A1" display="Year 5" xr:uid="{00000000-0004-0000-0500-000004000000}"/>
    <hyperlink ref="A9" location="'22. Year 6 Summary'!A1" display="Year 6" xr:uid="{00000000-0004-0000-0500-000005000000}"/>
    <hyperlink ref="A10" location="'25. Year 7 Summary'!A1" display="Year 7" xr:uid="{00000000-0004-0000-0500-000006000000}"/>
    <hyperlink ref="A11" location="'28. Year 8 Summary'!A1" display="Year 8" xr:uid="{00000000-0004-0000-0500-000007000000}"/>
    <hyperlink ref="A12" location="'31. Year 9 Summary'!A1" display="Year 9" xr:uid="{00000000-0004-0000-0500-000008000000}"/>
    <hyperlink ref="A13" location="'34. Year 10 Summary'!A1" display="Year 10" xr:uid="{00000000-0004-0000-0500-000009000000}"/>
    <hyperlink ref="A15" r:id="rId1" xr:uid="{00000000-0004-0000-0500-00000A000000}"/>
  </hyperlinks>
  <pageMargins left="0.75" right="0.75" top="1" bottom="1" header="0.5" footer="0.5"/>
  <pageSetup orientation="portrait" horizontalDpi="4294967292" verticalDpi="4294967292"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C580C-65A7-4AB9-8773-93828FBB364E}">
  <dimension ref="A1:G317"/>
  <sheetViews>
    <sheetView topLeftCell="A294" workbookViewId="0">
      <selection activeCell="G6" sqref="G6:G317"/>
    </sheetView>
  </sheetViews>
  <sheetFormatPr defaultColWidth="8.85546875" defaultRowHeight="15" x14ac:dyDescent="0.25"/>
  <cols>
    <col min="1" max="1" width="16.7109375" style="362" bestFit="1" customWidth="1"/>
    <col min="2" max="2" width="26" style="362" bestFit="1" customWidth="1"/>
    <col min="3" max="3" width="27.140625" style="362" customWidth="1"/>
    <col min="4" max="4" width="27.140625" style="539" customWidth="1"/>
    <col min="5" max="5" width="27.140625" style="362" customWidth="1"/>
    <col min="6" max="6" width="27.140625" style="436" customWidth="1"/>
    <col min="7" max="7" width="27.140625" style="362" customWidth="1"/>
    <col min="8" max="16384" width="8.85546875" style="362"/>
  </cols>
  <sheetData>
    <row r="1" spans="1:7" ht="18.75" x14ac:dyDescent="0.3">
      <c r="A1" s="660" t="s">
        <v>1340</v>
      </c>
      <c r="B1" s="660"/>
      <c r="C1" s="660"/>
    </row>
    <row r="2" spans="1:7" s="545" customFormat="1" ht="18.75" x14ac:dyDescent="0.3">
      <c r="A2" s="545">
        <v>1</v>
      </c>
      <c r="B2" s="545">
        <v>2</v>
      </c>
      <c r="C2" s="546">
        <v>3</v>
      </c>
      <c r="D2" s="549">
        <v>4</v>
      </c>
      <c r="E2" s="550">
        <v>5</v>
      </c>
      <c r="F2" s="547">
        <v>6</v>
      </c>
      <c r="G2" s="550">
        <v>7</v>
      </c>
    </row>
    <row r="3" spans="1:7" x14ac:dyDescent="0.25">
      <c r="A3" s="401"/>
      <c r="B3" s="401"/>
      <c r="C3" s="402" t="s">
        <v>1290</v>
      </c>
      <c r="D3" s="540" t="s">
        <v>1291</v>
      </c>
      <c r="E3" s="548" t="s">
        <v>1292</v>
      </c>
      <c r="F3" s="540" t="s">
        <v>1446</v>
      </c>
      <c r="G3" s="548"/>
    </row>
    <row r="4" spans="1:7" s="406" customFormat="1" ht="58.9" customHeight="1" x14ac:dyDescent="0.25">
      <c r="A4" s="403" t="s">
        <v>1293</v>
      </c>
      <c r="B4" s="403" t="s">
        <v>187</v>
      </c>
      <c r="C4" s="404" t="s">
        <v>1294</v>
      </c>
      <c r="D4" s="541" t="s">
        <v>1343</v>
      </c>
      <c r="E4" s="541" t="s">
        <v>1295</v>
      </c>
      <c r="F4" s="405" t="s">
        <v>1296</v>
      </c>
      <c r="G4" s="554" t="s">
        <v>1447</v>
      </c>
    </row>
    <row r="5" spans="1:7" x14ac:dyDescent="0.25">
      <c r="A5" s="407" t="s">
        <v>1225</v>
      </c>
      <c r="B5" s="408" t="s">
        <v>1297</v>
      </c>
      <c r="C5" s="409">
        <f>SUBTOTAL(9,C6:C317)</f>
        <v>17368847.750000004</v>
      </c>
      <c r="D5" s="551">
        <f>SUBTOTAL(9,D6:D317)</f>
        <v>342204011.53999996</v>
      </c>
      <c r="E5" s="441">
        <v>1870761175.1900001</v>
      </c>
      <c r="F5" s="542">
        <v>2230570992.9699998</v>
      </c>
      <c r="G5" s="441">
        <f>D5+E5</f>
        <v>2212965186.73</v>
      </c>
    </row>
    <row r="6" spans="1:7" x14ac:dyDescent="0.25">
      <c r="A6" s="410" t="s">
        <v>188</v>
      </c>
      <c r="B6" s="411" t="s">
        <v>831</v>
      </c>
      <c r="C6" s="412">
        <v>47332.51</v>
      </c>
      <c r="D6" s="552">
        <v>78927.69</v>
      </c>
      <c r="E6" s="553">
        <v>5351221.54</v>
      </c>
      <c r="F6" s="543">
        <v>5477481.7400000002</v>
      </c>
      <c r="G6" s="553">
        <f>D6+E6</f>
        <v>5430149.2300000004</v>
      </c>
    </row>
    <row r="7" spans="1:7" x14ac:dyDescent="0.25">
      <c r="A7" s="410" t="s">
        <v>191</v>
      </c>
      <c r="B7" s="411" t="s">
        <v>832</v>
      </c>
      <c r="C7" s="412">
        <v>4318.84</v>
      </c>
      <c r="D7" s="537"/>
      <c r="E7" s="553">
        <v>1013413.06</v>
      </c>
      <c r="F7" s="543">
        <v>1017731.9</v>
      </c>
      <c r="G7" s="553">
        <f t="shared" ref="G7:G70" si="0">D7+E7</f>
        <v>1013413.06</v>
      </c>
    </row>
    <row r="8" spans="1:7" x14ac:dyDescent="0.25">
      <c r="A8" s="410" t="s">
        <v>193</v>
      </c>
      <c r="B8" s="411" t="s">
        <v>1135</v>
      </c>
      <c r="D8" s="537"/>
      <c r="E8" s="553">
        <v>139830.92000000001</v>
      </c>
      <c r="F8" s="543">
        <v>139830.92000000001</v>
      </c>
      <c r="G8" s="553">
        <f t="shared" si="0"/>
        <v>139830.92000000001</v>
      </c>
    </row>
    <row r="9" spans="1:7" x14ac:dyDescent="0.25">
      <c r="A9" s="410" t="s">
        <v>196</v>
      </c>
      <c r="B9" s="411" t="s">
        <v>840</v>
      </c>
      <c r="C9" s="412">
        <v>71165.41</v>
      </c>
      <c r="D9" s="537"/>
      <c r="E9" s="553">
        <v>4245954.6900000004</v>
      </c>
      <c r="F9" s="543">
        <v>4317120.0999999996</v>
      </c>
      <c r="G9" s="553">
        <f t="shared" si="0"/>
        <v>4245954.6900000004</v>
      </c>
    </row>
    <row r="10" spans="1:7" x14ac:dyDescent="0.25">
      <c r="A10" s="410" t="s">
        <v>199</v>
      </c>
      <c r="B10" s="411" t="s">
        <v>841</v>
      </c>
      <c r="C10" s="412">
        <v>141857.76999999999</v>
      </c>
      <c r="D10" s="552">
        <v>142893.70000000001</v>
      </c>
      <c r="E10" s="553">
        <v>12031856.42</v>
      </c>
      <c r="F10" s="543">
        <v>12316607.890000001</v>
      </c>
      <c r="G10" s="553">
        <f t="shared" si="0"/>
        <v>12174750.119999999</v>
      </c>
    </row>
    <row r="11" spans="1:7" x14ac:dyDescent="0.25">
      <c r="A11" s="410" t="s">
        <v>201</v>
      </c>
      <c r="B11" s="411" t="s">
        <v>842</v>
      </c>
      <c r="C11" s="412">
        <v>24287.33</v>
      </c>
      <c r="D11" s="537"/>
      <c r="E11" s="553">
        <v>866117.05</v>
      </c>
      <c r="F11" s="543">
        <v>890404.38</v>
      </c>
      <c r="G11" s="553">
        <f t="shared" si="0"/>
        <v>866117.05</v>
      </c>
    </row>
    <row r="12" spans="1:7" x14ac:dyDescent="0.25">
      <c r="A12" s="410" t="s">
        <v>204</v>
      </c>
      <c r="B12" s="411" t="s">
        <v>843</v>
      </c>
      <c r="C12" s="412">
        <v>233890.49</v>
      </c>
      <c r="D12" s="552">
        <v>8245391</v>
      </c>
      <c r="E12" s="553">
        <v>25028300.870000001</v>
      </c>
      <c r="F12" s="543">
        <v>33507582.359999999</v>
      </c>
      <c r="G12" s="553">
        <f t="shared" si="0"/>
        <v>33273691.870000001</v>
      </c>
    </row>
    <row r="13" spans="1:7" x14ac:dyDescent="0.25">
      <c r="A13" s="410" t="s">
        <v>207</v>
      </c>
      <c r="B13" s="411" t="s">
        <v>1298</v>
      </c>
      <c r="D13" s="552">
        <v>2171499.04</v>
      </c>
      <c r="E13" s="553">
        <v>6332506.0300000003</v>
      </c>
      <c r="F13" s="543">
        <v>8504005.0700000003</v>
      </c>
      <c r="G13" s="553">
        <f t="shared" si="0"/>
        <v>8504005.0700000003</v>
      </c>
    </row>
    <row r="14" spans="1:7" x14ac:dyDescent="0.25">
      <c r="A14" s="410" t="s">
        <v>209</v>
      </c>
      <c r="B14" s="411" t="s">
        <v>845</v>
      </c>
      <c r="C14" s="412">
        <v>152852.98000000001</v>
      </c>
      <c r="D14" s="552">
        <v>3692114.25</v>
      </c>
      <c r="E14" s="553">
        <v>18595810.170000002</v>
      </c>
      <c r="F14" s="543">
        <v>22440777.399999999</v>
      </c>
      <c r="G14" s="553">
        <f t="shared" si="0"/>
        <v>22287924.420000002</v>
      </c>
    </row>
    <row r="15" spans="1:7" x14ac:dyDescent="0.25">
      <c r="A15" s="410" t="s">
        <v>212</v>
      </c>
      <c r="B15" s="411" t="s">
        <v>846</v>
      </c>
      <c r="C15" s="412">
        <v>1181.2</v>
      </c>
      <c r="D15" s="552">
        <v>1619516.22</v>
      </c>
      <c r="E15" s="553">
        <v>49797225.649999999</v>
      </c>
      <c r="F15" s="543">
        <v>51417923.07</v>
      </c>
      <c r="G15" s="553">
        <f t="shared" si="0"/>
        <v>51416741.869999997</v>
      </c>
    </row>
    <row r="16" spans="1:7" x14ac:dyDescent="0.25">
      <c r="A16" s="410" t="s">
        <v>214</v>
      </c>
      <c r="B16" s="411" t="s">
        <v>847</v>
      </c>
      <c r="C16" s="412">
        <v>128977.13</v>
      </c>
      <c r="D16" s="552">
        <v>7623142.1200000001</v>
      </c>
      <c r="E16" s="553">
        <v>20786447.940000001</v>
      </c>
      <c r="F16" s="543">
        <v>28538567.190000001</v>
      </c>
      <c r="G16" s="553">
        <f t="shared" si="0"/>
        <v>28409590.060000002</v>
      </c>
    </row>
    <row r="17" spans="1:7" x14ac:dyDescent="0.25">
      <c r="A17" s="410" t="s">
        <v>218</v>
      </c>
      <c r="B17" s="411" t="s">
        <v>849</v>
      </c>
      <c r="C17" s="412">
        <v>139995.04999999999</v>
      </c>
      <c r="D17" s="552">
        <v>3888785.54</v>
      </c>
      <c r="E17" s="553">
        <v>32131420.690000001</v>
      </c>
      <c r="F17" s="543">
        <v>36160201.280000001</v>
      </c>
      <c r="G17" s="553">
        <f t="shared" si="0"/>
        <v>36020206.230000004</v>
      </c>
    </row>
    <row r="18" spans="1:7" x14ac:dyDescent="0.25">
      <c r="A18" s="410" t="s">
        <v>220</v>
      </c>
      <c r="B18" s="411" t="s">
        <v>850</v>
      </c>
      <c r="D18" s="537"/>
      <c r="E18" s="553">
        <v>175546.63</v>
      </c>
      <c r="F18" s="543">
        <v>175546.63</v>
      </c>
      <c r="G18" s="553">
        <f t="shared" si="0"/>
        <v>175546.63</v>
      </c>
    </row>
    <row r="19" spans="1:7" x14ac:dyDescent="0.25">
      <c r="A19" s="410" t="s">
        <v>223</v>
      </c>
      <c r="B19" s="411" t="s">
        <v>851</v>
      </c>
      <c r="C19" s="412">
        <v>23928.97</v>
      </c>
      <c r="D19" s="552">
        <v>19093</v>
      </c>
      <c r="E19" s="553">
        <v>5166212.97</v>
      </c>
      <c r="F19" s="543">
        <v>5209234.9400000004</v>
      </c>
      <c r="G19" s="553">
        <f t="shared" si="0"/>
        <v>5185305.97</v>
      </c>
    </row>
    <row r="20" spans="1:7" x14ac:dyDescent="0.25">
      <c r="A20" s="410" t="s">
        <v>225</v>
      </c>
      <c r="B20" s="411" t="s">
        <v>852</v>
      </c>
      <c r="D20" s="537"/>
      <c r="E20" s="553">
        <v>346238.34</v>
      </c>
      <c r="F20" s="543">
        <v>346238.34</v>
      </c>
      <c r="G20" s="553">
        <f t="shared" si="0"/>
        <v>346238.34</v>
      </c>
    </row>
    <row r="21" spans="1:7" x14ac:dyDescent="0.25">
      <c r="A21" s="410" t="s">
        <v>227</v>
      </c>
      <c r="B21" s="411" t="s">
        <v>853</v>
      </c>
      <c r="D21" s="537"/>
      <c r="E21" s="553">
        <v>10066719.17</v>
      </c>
      <c r="F21" s="543">
        <v>10066719.17</v>
      </c>
      <c r="G21" s="553">
        <f t="shared" si="0"/>
        <v>10066719.17</v>
      </c>
    </row>
    <row r="22" spans="1:7" x14ac:dyDescent="0.25">
      <c r="A22" s="410" t="s">
        <v>230</v>
      </c>
      <c r="B22" s="411" t="s">
        <v>854</v>
      </c>
      <c r="D22" s="552">
        <v>178040.32000000001</v>
      </c>
      <c r="E22" s="553">
        <v>1104872.08</v>
      </c>
      <c r="F22" s="543">
        <v>1282912.3999999999</v>
      </c>
      <c r="G22" s="553">
        <f t="shared" si="0"/>
        <v>1282912.4000000001</v>
      </c>
    </row>
    <row r="23" spans="1:7" x14ac:dyDescent="0.25">
      <c r="A23" s="410" t="s">
        <v>233</v>
      </c>
      <c r="B23" s="411" t="s">
        <v>855</v>
      </c>
      <c r="C23" s="412">
        <v>29404.83</v>
      </c>
      <c r="D23" s="552">
        <v>32607.79</v>
      </c>
      <c r="E23" s="553">
        <v>757759.6</v>
      </c>
      <c r="F23" s="543">
        <v>819772.22</v>
      </c>
      <c r="G23" s="553">
        <f t="shared" si="0"/>
        <v>790367.39</v>
      </c>
    </row>
    <row r="24" spans="1:7" x14ac:dyDescent="0.25">
      <c r="A24" s="410" t="s">
        <v>235</v>
      </c>
      <c r="B24" s="411" t="s">
        <v>1136</v>
      </c>
      <c r="D24" s="552">
        <v>2</v>
      </c>
      <c r="E24" s="553">
        <v>102375.48</v>
      </c>
      <c r="F24" s="543">
        <v>102377.48</v>
      </c>
      <c r="G24" s="553">
        <f t="shared" si="0"/>
        <v>102377.48</v>
      </c>
    </row>
    <row r="25" spans="1:7" x14ac:dyDescent="0.25">
      <c r="A25" s="410" t="s">
        <v>237</v>
      </c>
      <c r="B25" s="411" t="s">
        <v>1299</v>
      </c>
      <c r="C25" s="412">
        <v>271482.58</v>
      </c>
      <c r="D25" s="537"/>
      <c r="E25" s="553">
        <v>7736881.7400000002</v>
      </c>
      <c r="F25" s="543">
        <v>8008364.3200000003</v>
      </c>
      <c r="G25" s="553">
        <f t="shared" si="0"/>
        <v>7736881.7400000002</v>
      </c>
    </row>
    <row r="26" spans="1:7" x14ac:dyDescent="0.25">
      <c r="A26" s="410" t="s">
        <v>239</v>
      </c>
      <c r="B26" s="411" t="s">
        <v>858</v>
      </c>
      <c r="D26" s="552">
        <v>2169512.08</v>
      </c>
      <c r="E26" s="553">
        <v>9898314.1500000004</v>
      </c>
      <c r="F26" s="543">
        <v>12067826.23</v>
      </c>
      <c r="G26" s="553">
        <f t="shared" si="0"/>
        <v>12067826.23</v>
      </c>
    </row>
    <row r="27" spans="1:7" x14ac:dyDescent="0.25">
      <c r="A27" s="410" t="s">
        <v>241</v>
      </c>
      <c r="B27" s="411" t="s">
        <v>859</v>
      </c>
      <c r="D27" s="552">
        <v>345228.24</v>
      </c>
      <c r="E27" s="553">
        <v>862327.85</v>
      </c>
      <c r="F27" s="543">
        <v>1207556.0900000001</v>
      </c>
      <c r="G27" s="553">
        <f t="shared" si="0"/>
        <v>1207556.0899999999</v>
      </c>
    </row>
    <row r="28" spans="1:7" x14ac:dyDescent="0.25">
      <c r="A28" s="410" t="s">
        <v>243</v>
      </c>
      <c r="B28" s="411" t="s">
        <v>860</v>
      </c>
      <c r="D28" s="537"/>
      <c r="E28" s="553">
        <v>226291.05</v>
      </c>
      <c r="F28" s="543">
        <v>226291.05</v>
      </c>
      <c r="G28" s="553">
        <f t="shared" si="0"/>
        <v>226291.05</v>
      </c>
    </row>
    <row r="29" spans="1:7" x14ac:dyDescent="0.25">
      <c r="A29" s="410" t="s">
        <v>245</v>
      </c>
      <c r="B29" s="411" t="s">
        <v>861</v>
      </c>
      <c r="C29" s="412">
        <v>15906.3</v>
      </c>
      <c r="D29" s="552">
        <v>50000</v>
      </c>
      <c r="E29" s="553">
        <v>1700582.33</v>
      </c>
      <c r="F29" s="543">
        <v>1766488.63</v>
      </c>
      <c r="G29" s="553">
        <f t="shared" si="0"/>
        <v>1750582.33</v>
      </c>
    </row>
    <row r="30" spans="1:7" x14ac:dyDescent="0.25">
      <c r="A30" s="410" t="s">
        <v>248</v>
      </c>
      <c r="B30" s="411" t="s">
        <v>862</v>
      </c>
      <c r="C30" s="412">
        <v>69170.149999999994</v>
      </c>
      <c r="D30" s="537"/>
      <c r="E30" s="553">
        <v>2374096.1800000002</v>
      </c>
      <c r="F30" s="543">
        <v>2443266.33</v>
      </c>
      <c r="G30" s="553">
        <f t="shared" si="0"/>
        <v>2374096.1800000002</v>
      </c>
    </row>
    <row r="31" spans="1:7" x14ac:dyDescent="0.25">
      <c r="A31" s="410" t="s">
        <v>250</v>
      </c>
      <c r="B31" s="411" t="s">
        <v>863</v>
      </c>
      <c r="C31" s="412">
        <v>49665.21</v>
      </c>
      <c r="D31" s="552">
        <v>397407.6</v>
      </c>
      <c r="E31" s="553">
        <v>2326717.87</v>
      </c>
      <c r="F31" s="543">
        <v>2773790.68</v>
      </c>
      <c r="G31" s="553">
        <f t="shared" si="0"/>
        <v>2724125.47</v>
      </c>
    </row>
    <row r="32" spans="1:7" x14ac:dyDescent="0.25">
      <c r="A32" s="410" t="s">
        <v>252</v>
      </c>
      <c r="B32" s="411" t="s">
        <v>1300</v>
      </c>
      <c r="D32" s="537"/>
      <c r="E32" s="553">
        <v>542833.36</v>
      </c>
      <c r="F32" s="543">
        <v>542833.36</v>
      </c>
      <c r="G32" s="553">
        <f t="shared" si="0"/>
        <v>542833.36</v>
      </c>
    </row>
    <row r="33" spans="1:7" x14ac:dyDescent="0.25">
      <c r="A33" s="410" t="s">
        <v>254</v>
      </c>
      <c r="B33" s="411" t="s">
        <v>864</v>
      </c>
      <c r="D33" s="537"/>
      <c r="E33" s="553">
        <v>71552.3</v>
      </c>
      <c r="F33" s="543">
        <v>71552.3</v>
      </c>
      <c r="G33" s="553">
        <f t="shared" si="0"/>
        <v>71552.3</v>
      </c>
    </row>
    <row r="34" spans="1:7" x14ac:dyDescent="0.25">
      <c r="A34" s="410" t="s">
        <v>256</v>
      </c>
      <c r="B34" s="411" t="s">
        <v>865</v>
      </c>
      <c r="C34" s="412">
        <v>4492406</v>
      </c>
      <c r="D34" s="552">
        <v>148675.92000000001</v>
      </c>
      <c r="E34" s="553">
        <v>21881353.940000001</v>
      </c>
      <c r="F34" s="543">
        <v>26522435.859999999</v>
      </c>
      <c r="G34" s="553">
        <f t="shared" si="0"/>
        <v>22030029.860000003</v>
      </c>
    </row>
    <row r="35" spans="1:7" x14ac:dyDescent="0.25">
      <c r="A35" s="410" t="s">
        <v>258</v>
      </c>
      <c r="B35" s="411" t="s">
        <v>866</v>
      </c>
      <c r="C35" s="412">
        <v>176269.25</v>
      </c>
      <c r="D35" s="552">
        <v>3963561.35</v>
      </c>
      <c r="E35" s="553">
        <v>25009838.309999999</v>
      </c>
      <c r="F35" s="543">
        <v>29149668.91</v>
      </c>
      <c r="G35" s="553">
        <f t="shared" si="0"/>
        <v>28973399.66</v>
      </c>
    </row>
    <row r="36" spans="1:7" x14ac:dyDescent="0.25">
      <c r="A36" s="410" t="s">
        <v>260</v>
      </c>
      <c r="B36" s="411" t="s">
        <v>867</v>
      </c>
      <c r="C36" s="412">
        <v>45172.75</v>
      </c>
      <c r="D36" s="552">
        <v>1101111.04</v>
      </c>
      <c r="E36" s="553">
        <v>5409908.1900000004</v>
      </c>
      <c r="F36" s="543">
        <v>6556191.9800000004</v>
      </c>
      <c r="G36" s="553">
        <f t="shared" si="0"/>
        <v>6511019.2300000004</v>
      </c>
    </row>
    <row r="37" spans="1:7" x14ac:dyDescent="0.25">
      <c r="A37" s="410" t="s">
        <v>262</v>
      </c>
      <c r="B37" s="411" t="s">
        <v>868</v>
      </c>
      <c r="C37" s="412">
        <v>25264.23</v>
      </c>
      <c r="D37" s="537"/>
      <c r="E37" s="553">
        <v>6019460.9800000004</v>
      </c>
      <c r="F37" s="543">
        <v>6044725.21</v>
      </c>
      <c r="G37" s="553">
        <f t="shared" si="0"/>
        <v>6019460.9800000004</v>
      </c>
    </row>
    <row r="38" spans="1:7" x14ac:dyDescent="0.25">
      <c r="A38" s="410" t="s">
        <v>264</v>
      </c>
      <c r="B38" s="411" t="s">
        <v>869</v>
      </c>
      <c r="C38" s="412">
        <v>56418.31</v>
      </c>
      <c r="D38" s="552">
        <v>2129292.94</v>
      </c>
      <c r="E38" s="553">
        <v>8434504.0199999996</v>
      </c>
      <c r="F38" s="543">
        <v>10620215.27</v>
      </c>
      <c r="G38" s="553">
        <f t="shared" si="0"/>
        <v>10563796.959999999</v>
      </c>
    </row>
    <row r="39" spans="1:7" x14ac:dyDescent="0.25">
      <c r="A39" s="410" t="s">
        <v>266</v>
      </c>
      <c r="B39" s="411" t="s">
        <v>870</v>
      </c>
      <c r="C39" s="412">
        <v>15222.36</v>
      </c>
      <c r="D39" s="552">
        <v>3000</v>
      </c>
      <c r="E39" s="553">
        <v>1123255.48</v>
      </c>
      <c r="F39" s="543">
        <v>1141477.8400000001</v>
      </c>
      <c r="G39" s="553">
        <f t="shared" si="0"/>
        <v>1126255.48</v>
      </c>
    </row>
    <row r="40" spans="1:7" x14ac:dyDescent="0.25">
      <c r="A40" s="410" t="s">
        <v>1301</v>
      </c>
      <c r="B40" s="411" t="s">
        <v>1302</v>
      </c>
      <c r="D40" s="537"/>
      <c r="E40" s="553">
        <v>648737.93000000005</v>
      </c>
      <c r="F40" s="543">
        <v>648737.93000000005</v>
      </c>
      <c r="G40" s="553">
        <f t="shared" si="0"/>
        <v>648737.93000000005</v>
      </c>
    </row>
    <row r="41" spans="1:7" x14ac:dyDescent="0.25">
      <c r="A41" s="410" t="s">
        <v>268</v>
      </c>
      <c r="B41" s="411" t="s">
        <v>871</v>
      </c>
      <c r="C41" s="412">
        <v>55003.74</v>
      </c>
      <c r="D41" s="552">
        <v>6800</v>
      </c>
      <c r="E41" s="553">
        <v>1706744.45</v>
      </c>
      <c r="F41" s="543">
        <v>1768548.19</v>
      </c>
      <c r="G41" s="553">
        <f t="shared" si="0"/>
        <v>1713544.45</v>
      </c>
    </row>
    <row r="42" spans="1:7" x14ac:dyDescent="0.25">
      <c r="A42" s="410" t="s">
        <v>270</v>
      </c>
      <c r="B42" s="411" t="s">
        <v>872</v>
      </c>
      <c r="D42" s="537"/>
      <c r="E42" s="553">
        <v>3950554.4</v>
      </c>
      <c r="F42" s="543">
        <v>3950554.4</v>
      </c>
      <c r="G42" s="553">
        <f t="shared" si="0"/>
        <v>3950554.4</v>
      </c>
    </row>
    <row r="43" spans="1:7" x14ac:dyDescent="0.25">
      <c r="A43" s="410" t="s">
        <v>272</v>
      </c>
      <c r="B43" s="411" t="s">
        <v>873</v>
      </c>
      <c r="D43" s="537"/>
      <c r="E43" s="553">
        <v>1298170.51</v>
      </c>
      <c r="F43" s="543">
        <v>1298170.51</v>
      </c>
      <c r="G43" s="553">
        <f t="shared" si="0"/>
        <v>1298170.51</v>
      </c>
    </row>
    <row r="44" spans="1:7" x14ac:dyDescent="0.25">
      <c r="A44" s="410" t="s">
        <v>274</v>
      </c>
      <c r="B44" s="411" t="s">
        <v>874</v>
      </c>
      <c r="C44" s="412">
        <v>73140.5</v>
      </c>
      <c r="D44" s="552">
        <v>2946536.76</v>
      </c>
      <c r="E44" s="553">
        <v>24060415.699999999</v>
      </c>
      <c r="F44" s="543">
        <v>27080092.960000001</v>
      </c>
      <c r="G44" s="553">
        <f t="shared" si="0"/>
        <v>27006952.460000001</v>
      </c>
    </row>
    <row r="45" spans="1:7" x14ac:dyDescent="0.25">
      <c r="A45" s="410" t="s">
        <v>276</v>
      </c>
      <c r="B45" s="411" t="s">
        <v>875</v>
      </c>
      <c r="D45" s="537"/>
      <c r="E45" s="553">
        <v>753649</v>
      </c>
      <c r="F45" s="543">
        <v>753649</v>
      </c>
      <c r="G45" s="553">
        <f t="shared" si="0"/>
        <v>753649</v>
      </c>
    </row>
    <row r="46" spans="1:7" x14ac:dyDescent="0.25">
      <c r="A46" s="410" t="s">
        <v>278</v>
      </c>
      <c r="B46" s="411" t="s">
        <v>876</v>
      </c>
      <c r="C46" s="412">
        <v>40322.75</v>
      </c>
      <c r="D46" s="537"/>
      <c r="E46" s="553">
        <v>2579618.75</v>
      </c>
      <c r="F46" s="543">
        <v>2619941.5</v>
      </c>
      <c r="G46" s="553">
        <f t="shared" si="0"/>
        <v>2579618.75</v>
      </c>
    </row>
    <row r="47" spans="1:7" x14ac:dyDescent="0.25">
      <c r="A47" s="410" t="s">
        <v>280</v>
      </c>
      <c r="B47" s="411" t="s">
        <v>877</v>
      </c>
      <c r="D47" s="537"/>
      <c r="E47" s="553">
        <v>229095.73</v>
      </c>
      <c r="F47" s="543">
        <v>229095.73</v>
      </c>
      <c r="G47" s="553">
        <f t="shared" si="0"/>
        <v>229095.73</v>
      </c>
    </row>
    <row r="48" spans="1:7" x14ac:dyDescent="0.25">
      <c r="A48" s="410" t="s">
        <v>282</v>
      </c>
      <c r="B48" s="411" t="s">
        <v>1303</v>
      </c>
      <c r="D48" s="552">
        <v>9250</v>
      </c>
      <c r="E48" s="553">
        <v>149675.20000000001</v>
      </c>
      <c r="F48" s="543">
        <v>158925.20000000001</v>
      </c>
      <c r="G48" s="553">
        <f t="shared" si="0"/>
        <v>158925.20000000001</v>
      </c>
    </row>
    <row r="49" spans="1:7" x14ac:dyDescent="0.25">
      <c r="A49" s="410" t="s">
        <v>284</v>
      </c>
      <c r="B49" s="411" t="s">
        <v>1304</v>
      </c>
      <c r="C49" s="412">
        <v>8234.92</v>
      </c>
      <c r="D49" s="537"/>
      <c r="E49" s="553">
        <v>1150001.8999999999</v>
      </c>
      <c r="F49" s="543">
        <v>1158236.82</v>
      </c>
      <c r="G49" s="553">
        <f t="shared" si="0"/>
        <v>1150001.8999999999</v>
      </c>
    </row>
    <row r="50" spans="1:7" x14ac:dyDescent="0.25">
      <c r="A50" s="410" t="s">
        <v>286</v>
      </c>
      <c r="B50" s="411" t="s">
        <v>1137</v>
      </c>
      <c r="D50" s="537"/>
      <c r="E50" s="553">
        <v>2400556.1800000002</v>
      </c>
      <c r="F50" s="543">
        <v>2400556.1800000002</v>
      </c>
      <c r="G50" s="553">
        <f t="shared" si="0"/>
        <v>2400556.1800000002</v>
      </c>
    </row>
    <row r="51" spans="1:7" x14ac:dyDescent="0.25">
      <c r="A51" s="410" t="s">
        <v>288</v>
      </c>
      <c r="B51" s="411" t="s">
        <v>881</v>
      </c>
      <c r="D51" s="552">
        <v>2900</v>
      </c>
      <c r="E51" s="553">
        <v>1373604.93</v>
      </c>
      <c r="F51" s="543">
        <v>1376504.93</v>
      </c>
      <c r="G51" s="553">
        <f t="shared" si="0"/>
        <v>1376504.93</v>
      </c>
    </row>
    <row r="52" spans="1:7" x14ac:dyDescent="0.25">
      <c r="A52" s="410" t="s">
        <v>290</v>
      </c>
      <c r="B52" s="411" t="s">
        <v>882</v>
      </c>
      <c r="C52" s="412">
        <v>12508.76</v>
      </c>
      <c r="D52" s="537"/>
      <c r="E52" s="553">
        <v>634372.84</v>
      </c>
      <c r="F52" s="543">
        <v>646881.6</v>
      </c>
      <c r="G52" s="553">
        <f t="shared" si="0"/>
        <v>634372.84</v>
      </c>
    </row>
    <row r="53" spans="1:7" x14ac:dyDescent="0.25">
      <c r="A53" s="410" t="s">
        <v>292</v>
      </c>
      <c r="B53" s="411" t="s">
        <v>883</v>
      </c>
      <c r="D53" s="537"/>
      <c r="E53" s="553">
        <v>252323.7</v>
      </c>
      <c r="F53" s="543">
        <v>252323.7</v>
      </c>
      <c r="G53" s="553">
        <f t="shared" si="0"/>
        <v>252323.7</v>
      </c>
    </row>
    <row r="54" spans="1:7" x14ac:dyDescent="0.25">
      <c r="A54" s="410" t="s">
        <v>294</v>
      </c>
      <c r="B54" s="411" t="s">
        <v>1228</v>
      </c>
      <c r="D54" s="537"/>
      <c r="E54" s="553">
        <v>248721.61</v>
      </c>
      <c r="F54" s="543">
        <v>248721.61</v>
      </c>
      <c r="G54" s="553">
        <f t="shared" si="0"/>
        <v>248721.61</v>
      </c>
    </row>
    <row r="55" spans="1:7" x14ac:dyDescent="0.25">
      <c r="A55" s="410" t="s">
        <v>296</v>
      </c>
      <c r="B55" s="411" t="s">
        <v>885</v>
      </c>
      <c r="C55" s="412">
        <v>15215.46</v>
      </c>
      <c r="D55" s="537"/>
      <c r="E55" s="553">
        <v>2256900.02</v>
      </c>
      <c r="F55" s="543">
        <v>2272115.48</v>
      </c>
      <c r="G55" s="553">
        <f t="shared" si="0"/>
        <v>2256900.02</v>
      </c>
    </row>
    <row r="56" spans="1:7" x14ac:dyDescent="0.25">
      <c r="A56" s="410" t="s">
        <v>298</v>
      </c>
      <c r="B56" s="411" t="s">
        <v>886</v>
      </c>
      <c r="D56" s="552">
        <v>4133.46</v>
      </c>
      <c r="E56" s="553">
        <v>407595.21</v>
      </c>
      <c r="F56" s="543">
        <v>411728.67</v>
      </c>
      <c r="G56" s="553">
        <f t="shared" si="0"/>
        <v>411728.67000000004</v>
      </c>
    </row>
    <row r="57" spans="1:7" x14ac:dyDescent="0.25">
      <c r="A57" s="410" t="s">
        <v>300</v>
      </c>
      <c r="B57" s="411" t="s">
        <v>887</v>
      </c>
      <c r="D57" s="552">
        <v>36000</v>
      </c>
      <c r="E57" s="553">
        <v>148166.95000000001</v>
      </c>
      <c r="F57" s="543">
        <v>184166.95</v>
      </c>
      <c r="G57" s="553">
        <f t="shared" si="0"/>
        <v>184166.95</v>
      </c>
    </row>
    <row r="58" spans="1:7" x14ac:dyDescent="0.25">
      <c r="A58" s="410" t="s">
        <v>302</v>
      </c>
      <c r="B58" s="411" t="s">
        <v>888</v>
      </c>
      <c r="D58" s="537"/>
      <c r="E58" s="553">
        <v>255586.86</v>
      </c>
      <c r="F58" s="543">
        <v>255586.86</v>
      </c>
      <c r="G58" s="553">
        <f t="shared" si="0"/>
        <v>255586.86</v>
      </c>
    </row>
    <row r="59" spans="1:7" x14ac:dyDescent="0.25">
      <c r="A59" s="410" t="s">
        <v>304</v>
      </c>
      <c r="B59" s="410" t="s">
        <v>889</v>
      </c>
      <c r="D59" s="537"/>
      <c r="E59" s="553">
        <v>368249.7</v>
      </c>
      <c r="F59" s="543">
        <v>368249.7</v>
      </c>
      <c r="G59" s="553">
        <f t="shared" si="0"/>
        <v>368249.7</v>
      </c>
    </row>
    <row r="60" spans="1:7" x14ac:dyDescent="0.25">
      <c r="A60" s="410" t="s">
        <v>306</v>
      </c>
      <c r="B60" s="410" t="s">
        <v>1138</v>
      </c>
      <c r="D60" s="537"/>
      <c r="E60" s="553">
        <v>54187.57</v>
      </c>
      <c r="F60" s="543">
        <v>54187.57</v>
      </c>
      <c r="G60" s="553">
        <f t="shared" si="0"/>
        <v>54187.57</v>
      </c>
    </row>
    <row r="61" spans="1:7" x14ac:dyDescent="0.25">
      <c r="A61" s="410" t="s">
        <v>308</v>
      </c>
      <c r="B61" s="410" t="s">
        <v>892</v>
      </c>
      <c r="C61" s="412">
        <v>14452.88</v>
      </c>
      <c r="D61" s="537"/>
      <c r="E61" s="553">
        <v>682316.01</v>
      </c>
      <c r="F61" s="543">
        <v>696768.89</v>
      </c>
      <c r="G61" s="553">
        <f t="shared" si="0"/>
        <v>682316.01</v>
      </c>
    </row>
    <row r="62" spans="1:7" x14ac:dyDescent="0.25">
      <c r="A62" s="410" t="s">
        <v>310</v>
      </c>
      <c r="B62" s="410" t="s">
        <v>893</v>
      </c>
      <c r="D62" s="552">
        <v>6121.55</v>
      </c>
      <c r="E62" s="553">
        <v>793373.5</v>
      </c>
      <c r="F62" s="543">
        <v>799495.05</v>
      </c>
      <c r="G62" s="553">
        <f t="shared" si="0"/>
        <v>799495.05</v>
      </c>
    </row>
    <row r="63" spans="1:7" x14ac:dyDescent="0.25">
      <c r="A63" s="410" t="s">
        <v>312</v>
      </c>
      <c r="B63" s="410" t="s">
        <v>894</v>
      </c>
      <c r="D63" s="537"/>
      <c r="E63" s="553">
        <v>487656.1</v>
      </c>
      <c r="F63" s="543">
        <v>487656.1</v>
      </c>
      <c r="G63" s="553">
        <f t="shared" si="0"/>
        <v>487656.1</v>
      </c>
    </row>
    <row r="64" spans="1:7" x14ac:dyDescent="0.25">
      <c r="A64" s="410" t="s">
        <v>314</v>
      </c>
      <c r="B64" s="410" t="s">
        <v>895</v>
      </c>
      <c r="D64" s="537"/>
      <c r="E64" s="553">
        <v>3041796.49</v>
      </c>
      <c r="F64" s="543">
        <v>3041796.49</v>
      </c>
      <c r="G64" s="553">
        <f t="shared" si="0"/>
        <v>3041796.49</v>
      </c>
    </row>
    <row r="65" spans="1:7" x14ac:dyDescent="0.25">
      <c r="A65" s="410" t="s">
        <v>316</v>
      </c>
      <c r="B65" s="410" t="s">
        <v>896</v>
      </c>
      <c r="C65" s="412">
        <v>9501.5400000000009</v>
      </c>
      <c r="D65" s="552">
        <v>402889.18</v>
      </c>
      <c r="E65" s="553">
        <v>3055286.85</v>
      </c>
      <c r="F65" s="543">
        <v>3467677.57</v>
      </c>
      <c r="G65" s="553">
        <f t="shared" si="0"/>
        <v>3458176.0300000003</v>
      </c>
    </row>
    <row r="66" spans="1:7" x14ac:dyDescent="0.25">
      <c r="A66" s="410" t="s">
        <v>318</v>
      </c>
      <c r="B66" s="410" t="s">
        <v>897</v>
      </c>
      <c r="D66" s="537"/>
      <c r="E66" s="553">
        <v>18932.63</v>
      </c>
      <c r="F66" s="543">
        <v>18932.63</v>
      </c>
      <c r="G66" s="553">
        <f t="shared" si="0"/>
        <v>18932.63</v>
      </c>
    </row>
    <row r="67" spans="1:7" x14ac:dyDescent="0.25">
      <c r="A67" s="410" t="s">
        <v>320</v>
      </c>
      <c r="B67" s="410" t="s">
        <v>1305</v>
      </c>
      <c r="D67" s="552">
        <v>644793.81000000006</v>
      </c>
      <c r="E67" s="553">
        <v>6751822.54</v>
      </c>
      <c r="F67" s="543">
        <v>7396616.3499999996</v>
      </c>
      <c r="G67" s="553">
        <f t="shared" si="0"/>
        <v>7396616.3499999996</v>
      </c>
    </row>
    <row r="68" spans="1:7" x14ac:dyDescent="0.25">
      <c r="A68" s="410" t="s">
        <v>322</v>
      </c>
      <c r="B68" s="410" t="s">
        <v>1306</v>
      </c>
      <c r="D68" s="552">
        <v>440000</v>
      </c>
      <c r="E68" s="553">
        <v>4480804.91</v>
      </c>
      <c r="F68" s="543">
        <v>4920804.91</v>
      </c>
      <c r="G68" s="553">
        <f t="shared" si="0"/>
        <v>4920804.91</v>
      </c>
    </row>
    <row r="69" spans="1:7" x14ac:dyDescent="0.25">
      <c r="A69" s="410" t="s">
        <v>324</v>
      </c>
      <c r="B69" s="410" t="s">
        <v>900</v>
      </c>
      <c r="D69" s="552">
        <v>1818138.78</v>
      </c>
      <c r="E69" s="553">
        <v>7387326.5300000003</v>
      </c>
      <c r="F69" s="543">
        <v>9205465.3100000005</v>
      </c>
      <c r="G69" s="553">
        <f t="shared" si="0"/>
        <v>9205465.3100000005</v>
      </c>
    </row>
    <row r="70" spans="1:7" x14ac:dyDescent="0.25">
      <c r="A70" s="410" t="s">
        <v>326</v>
      </c>
      <c r="B70" s="410" t="s">
        <v>901</v>
      </c>
      <c r="D70" s="552">
        <v>41378.46</v>
      </c>
      <c r="E70" s="553">
        <v>118004.39</v>
      </c>
      <c r="F70" s="543">
        <v>159382.85</v>
      </c>
      <c r="G70" s="553">
        <f t="shared" si="0"/>
        <v>159382.85</v>
      </c>
    </row>
    <row r="71" spans="1:7" x14ac:dyDescent="0.25">
      <c r="A71" s="410" t="s">
        <v>328</v>
      </c>
      <c r="B71" s="410" t="s">
        <v>902</v>
      </c>
      <c r="D71" s="537"/>
      <c r="E71" s="553">
        <v>2850041.13</v>
      </c>
      <c r="F71" s="543">
        <v>2850041.13</v>
      </c>
      <c r="G71" s="553">
        <f t="shared" ref="G71:G134" si="1">D71+E71</f>
        <v>2850041.13</v>
      </c>
    </row>
    <row r="72" spans="1:7" x14ac:dyDescent="0.25">
      <c r="A72" s="410" t="s">
        <v>330</v>
      </c>
      <c r="B72" s="410" t="s">
        <v>903</v>
      </c>
      <c r="C72" s="412">
        <v>232587.8</v>
      </c>
      <c r="D72" s="552">
        <v>6181499.3799999999</v>
      </c>
      <c r="E72" s="553">
        <v>41367519.409999996</v>
      </c>
      <c r="F72" s="543">
        <v>47781606.590000004</v>
      </c>
      <c r="G72" s="553">
        <f t="shared" si="1"/>
        <v>47549018.789999999</v>
      </c>
    </row>
    <row r="73" spans="1:7" x14ac:dyDescent="0.25">
      <c r="A73" s="410" t="s">
        <v>332</v>
      </c>
      <c r="B73" s="410" t="s">
        <v>904</v>
      </c>
      <c r="C73" s="412">
        <v>11640.71</v>
      </c>
      <c r="D73" s="552">
        <v>731166.5</v>
      </c>
      <c r="E73" s="553">
        <v>4539525.75</v>
      </c>
      <c r="F73" s="543">
        <v>5282332.96</v>
      </c>
      <c r="G73" s="553">
        <f t="shared" si="1"/>
        <v>5270692.25</v>
      </c>
    </row>
    <row r="74" spans="1:7" x14ac:dyDescent="0.25">
      <c r="A74" s="410" t="s">
        <v>334</v>
      </c>
      <c r="B74" s="410" t="s">
        <v>905</v>
      </c>
      <c r="C74" s="412">
        <v>3022.69</v>
      </c>
      <c r="D74" s="552">
        <v>29681.45</v>
      </c>
      <c r="E74" s="553">
        <v>2688292.4</v>
      </c>
      <c r="F74" s="543">
        <v>2720996.54</v>
      </c>
      <c r="G74" s="553">
        <f t="shared" si="1"/>
        <v>2717973.85</v>
      </c>
    </row>
    <row r="75" spans="1:7" x14ac:dyDescent="0.25">
      <c r="A75" s="410" t="s">
        <v>336</v>
      </c>
      <c r="B75" s="410" t="s">
        <v>906</v>
      </c>
      <c r="D75" s="537"/>
      <c r="E75" s="553">
        <v>259655.67</v>
      </c>
      <c r="F75" s="543">
        <v>259655.67</v>
      </c>
      <c r="G75" s="553">
        <f t="shared" si="1"/>
        <v>259655.67</v>
      </c>
    </row>
    <row r="76" spans="1:7" x14ac:dyDescent="0.25">
      <c r="A76" s="410" t="s">
        <v>338</v>
      </c>
      <c r="B76" s="410" t="s">
        <v>907</v>
      </c>
      <c r="D76" s="552">
        <v>6075.51</v>
      </c>
      <c r="E76" s="553">
        <v>385494.08</v>
      </c>
      <c r="F76" s="543">
        <v>391569.59</v>
      </c>
      <c r="G76" s="553">
        <f t="shared" si="1"/>
        <v>391569.59</v>
      </c>
    </row>
    <row r="77" spans="1:7" x14ac:dyDescent="0.25">
      <c r="A77" s="410" t="s">
        <v>340</v>
      </c>
      <c r="B77" s="410" t="s">
        <v>908</v>
      </c>
      <c r="C77" s="412">
        <v>86410.44</v>
      </c>
      <c r="D77" s="552">
        <v>710270.96</v>
      </c>
      <c r="E77" s="553">
        <v>8767284.0199999996</v>
      </c>
      <c r="F77" s="543">
        <v>9563965.4199999999</v>
      </c>
      <c r="G77" s="553">
        <f t="shared" si="1"/>
        <v>9477554.9800000004</v>
      </c>
    </row>
    <row r="78" spans="1:7" x14ac:dyDescent="0.25">
      <c r="A78" s="410" t="s">
        <v>342</v>
      </c>
      <c r="B78" s="410" t="s">
        <v>909</v>
      </c>
      <c r="D78" s="537"/>
      <c r="E78" s="553">
        <v>3221619.67</v>
      </c>
      <c r="F78" s="543">
        <v>3221619.67</v>
      </c>
      <c r="G78" s="553">
        <f t="shared" si="1"/>
        <v>3221619.67</v>
      </c>
    </row>
    <row r="79" spans="1:7" x14ac:dyDescent="0.25">
      <c r="A79" s="410" t="s">
        <v>344</v>
      </c>
      <c r="B79" s="410" t="s">
        <v>1139</v>
      </c>
      <c r="D79" s="552">
        <v>2890</v>
      </c>
      <c r="E79" s="553">
        <v>74530.990000000005</v>
      </c>
      <c r="F79" s="543">
        <v>77420.990000000005</v>
      </c>
      <c r="G79" s="553">
        <f t="shared" si="1"/>
        <v>77420.990000000005</v>
      </c>
    </row>
    <row r="80" spans="1:7" x14ac:dyDescent="0.25">
      <c r="A80" s="410" t="s">
        <v>346</v>
      </c>
      <c r="B80" s="410" t="s">
        <v>910</v>
      </c>
      <c r="D80" s="552">
        <v>1241534.4099999999</v>
      </c>
      <c r="E80" s="553">
        <v>44135087.899999999</v>
      </c>
      <c r="F80" s="543">
        <v>45376622.310000002</v>
      </c>
      <c r="G80" s="553">
        <f t="shared" si="1"/>
        <v>45376622.309999995</v>
      </c>
    </row>
    <row r="81" spans="1:7" x14ac:dyDescent="0.25">
      <c r="A81" s="410" t="s">
        <v>348</v>
      </c>
      <c r="B81" s="410" t="s">
        <v>1307</v>
      </c>
      <c r="C81" s="412">
        <v>284121.18</v>
      </c>
      <c r="D81" s="552">
        <v>8070900.0999999996</v>
      </c>
      <c r="E81" s="553">
        <v>42070805.329999998</v>
      </c>
      <c r="F81" s="543">
        <v>50425826.609999999</v>
      </c>
      <c r="G81" s="553">
        <f t="shared" si="1"/>
        <v>50141705.43</v>
      </c>
    </row>
    <row r="82" spans="1:7" x14ac:dyDescent="0.25">
      <c r="A82" s="410" t="s">
        <v>350</v>
      </c>
      <c r="B82" s="410" t="s">
        <v>1308</v>
      </c>
      <c r="D82" s="537"/>
      <c r="E82" s="553">
        <v>32684.11</v>
      </c>
      <c r="F82" s="543">
        <v>32684.11</v>
      </c>
      <c r="G82" s="553">
        <f t="shared" si="1"/>
        <v>32684.11</v>
      </c>
    </row>
    <row r="83" spans="1:7" x14ac:dyDescent="0.25">
      <c r="A83" s="410" t="s">
        <v>352</v>
      </c>
      <c r="B83" s="410" t="s">
        <v>913</v>
      </c>
      <c r="C83" s="412">
        <v>36654.769999999997</v>
      </c>
      <c r="D83" s="537"/>
      <c r="E83" s="553">
        <v>42890505.780000001</v>
      </c>
      <c r="F83" s="543">
        <v>42927160.549999997</v>
      </c>
      <c r="G83" s="553">
        <f t="shared" si="1"/>
        <v>42890505.780000001</v>
      </c>
    </row>
    <row r="84" spans="1:7" x14ac:dyDescent="0.25">
      <c r="A84" s="410" t="s">
        <v>354</v>
      </c>
      <c r="B84" s="410" t="s">
        <v>914</v>
      </c>
      <c r="D84" s="537"/>
      <c r="E84" s="553">
        <v>9740360.8699999992</v>
      </c>
      <c r="F84" s="543">
        <v>9740360.8699999992</v>
      </c>
      <c r="G84" s="553">
        <f t="shared" si="1"/>
        <v>9740360.8699999992</v>
      </c>
    </row>
    <row r="85" spans="1:7" x14ac:dyDescent="0.25">
      <c r="A85" s="410" t="s">
        <v>356</v>
      </c>
      <c r="B85" s="410" t="s">
        <v>915</v>
      </c>
      <c r="C85" s="412">
        <v>54612.25</v>
      </c>
      <c r="D85" s="537"/>
      <c r="E85" s="553">
        <v>7507937.0700000003</v>
      </c>
      <c r="F85" s="543">
        <v>7562549.3200000003</v>
      </c>
      <c r="G85" s="553">
        <f t="shared" si="1"/>
        <v>7507937.0700000003</v>
      </c>
    </row>
    <row r="86" spans="1:7" x14ac:dyDescent="0.25">
      <c r="A86" s="410" t="s">
        <v>358</v>
      </c>
      <c r="B86" s="410" t="s">
        <v>916</v>
      </c>
      <c r="C86" s="412">
        <v>27974.39</v>
      </c>
      <c r="D86" s="552">
        <v>482687.13</v>
      </c>
      <c r="E86" s="553">
        <v>854645.92</v>
      </c>
      <c r="F86" s="543">
        <v>1365307.44</v>
      </c>
      <c r="G86" s="553">
        <f t="shared" si="1"/>
        <v>1337333.05</v>
      </c>
    </row>
    <row r="87" spans="1:7" x14ac:dyDescent="0.25">
      <c r="A87" s="410" t="s">
        <v>360</v>
      </c>
      <c r="B87" s="410" t="s">
        <v>917</v>
      </c>
      <c r="C87" s="412">
        <v>101719.2</v>
      </c>
      <c r="D87" s="537"/>
      <c r="E87" s="553">
        <v>17935754.699999999</v>
      </c>
      <c r="F87" s="543">
        <v>18037473.899999999</v>
      </c>
      <c r="G87" s="553">
        <f t="shared" si="1"/>
        <v>17935754.699999999</v>
      </c>
    </row>
    <row r="88" spans="1:7" x14ac:dyDescent="0.25">
      <c r="A88" s="410" t="s">
        <v>362</v>
      </c>
      <c r="B88" s="410" t="s">
        <v>918</v>
      </c>
      <c r="D88" s="537"/>
      <c r="E88" s="553">
        <v>1166295.9099999999</v>
      </c>
      <c r="F88" s="543">
        <v>1166295.9099999999</v>
      </c>
      <c r="G88" s="553">
        <f t="shared" si="1"/>
        <v>1166295.9099999999</v>
      </c>
    </row>
    <row r="89" spans="1:7" x14ac:dyDescent="0.25">
      <c r="A89" s="410" t="s">
        <v>364</v>
      </c>
      <c r="B89" s="410" t="s">
        <v>919</v>
      </c>
      <c r="D89" s="552">
        <v>2706.94</v>
      </c>
      <c r="E89" s="553">
        <v>151021.28</v>
      </c>
      <c r="F89" s="543">
        <v>153728.22</v>
      </c>
      <c r="G89" s="553">
        <f t="shared" si="1"/>
        <v>153728.22</v>
      </c>
    </row>
    <row r="90" spans="1:7" x14ac:dyDescent="0.25">
      <c r="A90" s="410" t="s">
        <v>366</v>
      </c>
      <c r="B90" s="410" t="s">
        <v>920</v>
      </c>
      <c r="D90" s="537"/>
      <c r="E90" s="553">
        <v>100066.66</v>
      </c>
      <c r="F90" s="543">
        <v>100066.66</v>
      </c>
      <c r="G90" s="553">
        <f t="shared" si="1"/>
        <v>100066.66</v>
      </c>
    </row>
    <row r="91" spans="1:7" x14ac:dyDescent="0.25">
      <c r="A91" s="410" t="s">
        <v>368</v>
      </c>
      <c r="B91" s="410" t="s">
        <v>921</v>
      </c>
      <c r="D91" s="537"/>
      <c r="E91" s="553">
        <v>3007033.3</v>
      </c>
      <c r="F91" s="543">
        <v>3007033.3</v>
      </c>
      <c r="G91" s="553">
        <f t="shared" si="1"/>
        <v>3007033.3</v>
      </c>
    </row>
    <row r="92" spans="1:7" x14ac:dyDescent="0.25">
      <c r="A92" s="410" t="s">
        <v>370</v>
      </c>
      <c r="B92" s="410" t="s">
        <v>922</v>
      </c>
      <c r="C92" s="412">
        <v>101.5</v>
      </c>
      <c r="D92" s="552">
        <v>104299.01</v>
      </c>
      <c r="E92" s="553">
        <v>991976.21</v>
      </c>
      <c r="F92" s="543">
        <v>1096376.72</v>
      </c>
      <c r="G92" s="553">
        <f t="shared" si="1"/>
        <v>1096275.22</v>
      </c>
    </row>
    <row r="93" spans="1:7" x14ac:dyDescent="0.25">
      <c r="A93" s="410" t="s">
        <v>372</v>
      </c>
      <c r="B93" s="410" t="s">
        <v>923</v>
      </c>
      <c r="D93" s="537"/>
      <c r="E93" s="553">
        <v>5775391.6100000003</v>
      </c>
      <c r="F93" s="543">
        <v>5775391.6100000003</v>
      </c>
      <c r="G93" s="553">
        <f t="shared" si="1"/>
        <v>5775391.6100000003</v>
      </c>
    </row>
    <row r="94" spans="1:7" x14ac:dyDescent="0.25">
      <c r="A94" s="410" t="s">
        <v>374</v>
      </c>
      <c r="B94" s="410" t="s">
        <v>924</v>
      </c>
      <c r="D94" s="537"/>
      <c r="E94" s="553">
        <v>1965377.29</v>
      </c>
      <c r="F94" s="543">
        <v>1965377.29</v>
      </c>
      <c r="G94" s="553">
        <f t="shared" si="1"/>
        <v>1965377.29</v>
      </c>
    </row>
    <row r="95" spans="1:7" x14ac:dyDescent="0.25">
      <c r="A95" s="410" t="s">
        <v>376</v>
      </c>
      <c r="B95" s="410" t="s">
        <v>925</v>
      </c>
      <c r="D95" s="537"/>
      <c r="E95" s="553">
        <v>6324214.1600000001</v>
      </c>
      <c r="F95" s="543">
        <v>6324214.1600000001</v>
      </c>
      <c r="G95" s="553">
        <f t="shared" si="1"/>
        <v>6324214.1600000001</v>
      </c>
    </row>
    <row r="96" spans="1:7" x14ac:dyDescent="0.25">
      <c r="A96" s="410" t="s">
        <v>378</v>
      </c>
      <c r="B96" s="410" t="s">
        <v>1140</v>
      </c>
      <c r="D96" s="552">
        <v>54560.54</v>
      </c>
      <c r="E96" s="553">
        <v>304368.59000000003</v>
      </c>
      <c r="F96" s="543">
        <v>358929.13</v>
      </c>
      <c r="G96" s="553">
        <f t="shared" si="1"/>
        <v>358929.13</v>
      </c>
    </row>
    <row r="97" spans="1:7" x14ac:dyDescent="0.25">
      <c r="A97" s="410" t="s">
        <v>380</v>
      </c>
      <c r="B97" s="410" t="s">
        <v>926</v>
      </c>
      <c r="D97" s="537"/>
      <c r="E97" s="553">
        <v>51044.639999999999</v>
      </c>
      <c r="F97" s="543">
        <v>51044.639999999999</v>
      </c>
      <c r="G97" s="553">
        <f t="shared" si="1"/>
        <v>51044.639999999999</v>
      </c>
    </row>
    <row r="98" spans="1:7" x14ac:dyDescent="0.25">
      <c r="A98" s="410" t="s">
        <v>384</v>
      </c>
      <c r="B98" s="410" t="s">
        <v>927</v>
      </c>
      <c r="D98" s="537"/>
      <c r="E98" s="553">
        <v>194224.95</v>
      </c>
      <c r="F98" s="543">
        <v>194224.95</v>
      </c>
      <c r="G98" s="553">
        <f t="shared" si="1"/>
        <v>194224.95</v>
      </c>
    </row>
    <row r="99" spans="1:7" x14ac:dyDescent="0.25">
      <c r="A99" s="410" t="s">
        <v>386</v>
      </c>
      <c r="B99" s="410" t="s">
        <v>928</v>
      </c>
      <c r="C99" s="412">
        <v>13613.8</v>
      </c>
      <c r="D99" s="537"/>
      <c r="E99" s="553">
        <v>1071346.52</v>
      </c>
      <c r="F99" s="543">
        <v>1084960.32</v>
      </c>
      <c r="G99" s="553">
        <f t="shared" si="1"/>
        <v>1071346.52</v>
      </c>
    </row>
    <row r="100" spans="1:7" x14ac:dyDescent="0.25">
      <c r="A100" s="410" t="s">
        <v>388</v>
      </c>
      <c r="B100" s="410" t="s">
        <v>929</v>
      </c>
      <c r="D100" s="552">
        <v>5300</v>
      </c>
      <c r="E100" s="553">
        <v>208591.12</v>
      </c>
      <c r="F100" s="543">
        <v>213891.12</v>
      </c>
      <c r="G100" s="553">
        <f t="shared" si="1"/>
        <v>213891.12</v>
      </c>
    </row>
    <row r="101" spans="1:7" x14ac:dyDescent="0.25">
      <c r="A101" s="410" t="s">
        <v>390</v>
      </c>
      <c r="B101" s="410" t="s">
        <v>930</v>
      </c>
      <c r="D101" s="552">
        <v>117184.58</v>
      </c>
      <c r="E101" s="553">
        <v>1252669.99</v>
      </c>
      <c r="F101" s="543">
        <v>1369854.57</v>
      </c>
      <c r="G101" s="553">
        <f t="shared" si="1"/>
        <v>1369854.57</v>
      </c>
    </row>
    <row r="102" spans="1:7" x14ac:dyDescent="0.25">
      <c r="A102" s="410" t="s">
        <v>392</v>
      </c>
      <c r="B102" s="410" t="s">
        <v>931</v>
      </c>
      <c r="C102" s="412">
        <v>961860.13</v>
      </c>
      <c r="D102" s="552">
        <v>10578962.119999999</v>
      </c>
      <c r="E102" s="553">
        <v>33724666.939999998</v>
      </c>
      <c r="F102" s="543">
        <v>45265489.189999998</v>
      </c>
      <c r="G102" s="553">
        <f t="shared" si="1"/>
        <v>44303629.059999995</v>
      </c>
    </row>
    <row r="103" spans="1:7" x14ac:dyDescent="0.25">
      <c r="A103" s="410" t="s">
        <v>394</v>
      </c>
      <c r="B103" s="410" t="s">
        <v>932</v>
      </c>
      <c r="C103" s="412">
        <v>17796.189999999999</v>
      </c>
      <c r="D103" s="552">
        <v>558569.05000000005</v>
      </c>
      <c r="E103" s="553">
        <v>2219944.15</v>
      </c>
      <c r="F103" s="543">
        <v>2796309.39</v>
      </c>
      <c r="G103" s="553">
        <f t="shared" si="1"/>
        <v>2778513.2</v>
      </c>
    </row>
    <row r="104" spans="1:7" x14ac:dyDescent="0.25">
      <c r="A104" s="410" t="s">
        <v>396</v>
      </c>
      <c r="B104" s="410" t="s">
        <v>933</v>
      </c>
      <c r="D104" s="537"/>
      <c r="E104" s="553">
        <v>791057.47</v>
      </c>
      <c r="F104" s="543">
        <v>791057.47</v>
      </c>
      <c r="G104" s="553">
        <f t="shared" si="1"/>
        <v>791057.47</v>
      </c>
    </row>
    <row r="105" spans="1:7" x14ac:dyDescent="0.25">
      <c r="A105" s="410" t="s">
        <v>398</v>
      </c>
      <c r="B105" s="410" t="s">
        <v>934</v>
      </c>
      <c r="D105" s="537"/>
      <c r="E105" s="553">
        <v>2621035.7200000002</v>
      </c>
      <c r="F105" s="543">
        <v>2621035.7200000002</v>
      </c>
      <c r="G105" s="553">
        <f t="shared" si="1"/>
        <v>2621035.7200000002</v>
      </c>
    </row>
    <row r="106" spans="1:7" x14ac:dyDescent="0.25">
      <c r="A106" s="410" t="s">
        <v>1161</v>
      </c>
      <c r="B106" s="410" t="s">
        <v>1309</v>
      </c>
      <c r="D106" s="537"/>
      <c r="E106" s="553">
        <v>160829.82</v>
      </c>
      <c r="F106" s="543">
        <v>160829.82</v>
      </c>
      <c r="G106" s="553">
        <f t="shared" si="1"/>
        <v>160829.82</v>
      </c>
    </row>
    <row r="107" spans="1:7" x14ac:dyDescent="0.25">
      <c r="A107" s="410" t="s">
        <v>400</v>
      </c>
      <c r="B107" s="410" t="s">
        <v>1310</v>
      </c>
      <c r="D107" s="537"/>
      <c r="E107" s="553">
        <v>278257.78999999998</v>
      </c>
      <c r="F107" s="543">
        <v>278257.78999999998</v>
      </c>
      <c r="G107" s="553">
        <f t="shared" si="1"/>
        <v>278257.78999999998</v>
      </c>
    </row>
    <row r="108" spans="1:7" x14ac:dyDescent="0.25">
      <c r="A108" s="410" t="s">
        <v>401</v>
      </c>
      <c r="B108" s="410" t="s">
        <v>1311</v>
      </c>
      <c r="D108" s="537"/>
      <c r="E108" s="553">
        <v>119056.03</v>
      </c>
      <c r="F108" s="543">
        <v>119056.03</v>
      </c>
      <c r="G108" s="553">
        <f t="shared" si="1"/>
        <v>119056.03</v>
      </c>
    </row>
    <row r="109" spans="1:7" x14ac:dyDescent="0.25">
      <c r="A109" s="410" t="s">
        <v>403</v>
      </c>
      <c r="B109" s="410" t="s">
        <v>935</v>
      </c>
      <c r="D109" s="537"/>
      <c r="E109" s="553">
        <v>368862.91</v>
      </c>
      <c r="F109" s="543">
        <v>368862.91</v>
      </c>
      <c r="G109" s="553">
        <f t="shared" si="1"/>
        <v>368862.91</v>
      </c>
    </row>
    <row r="110" spans="1:7" x14ac:dyDescent="0.25">
      <c r="A110" s="410" t="s">
        <v>405</v>
      </c>
      <c r="B110" s="410" t="s">
        <v>936</v>
      </c>
      <c r="D110" s="537"/>
      <c r="E110" s="553">
        <v>37255.51</v>
      </c>
      <c r="F110" s="543">
        <v>37255.51</v>
      </c>
      <c r="G110" s="553">
        <f t="shared" si="1"/>
        <v>37255.51</v>
      </c>
    </row>
    <row r="111" spans="1:7" x14ac:dyDescent="0.25">
      <c r="A111" s="410" t="s">
        <v>407</v>
      </c>
      <c r="B111" s="410" t="s">
        <v>937</v>
      </c>
      <c r="C111" s="412">
        <v>71.73</v>
      </c>
      <c r="D111" s="552">
        <v>8175715.2400000002</v>
      </c>
      <c r="E111" s="553">
        <v>24671388.850000001</v>
      </c>
      <c r="F111" s="543">
        <v>32847175.82</v>
      </c>
      <c r="G111" s="553">
        <f t="shared" si="1"/>
        <v>32847104.090000004</v>
      </c>
    </row>
    <row r="112" spans="1:7" x14ac:dyDescent="0.25">
      <c r="A112" s="410" t="s">
        <v>409</v>
      </c>
      <c r="B112" s="410" t="s">
        <v>938</v>
      </c>
      <c r="D112" s="537"/>
      <c r="E112" s="553">
        <v>73202.64</v>
      </c>
      <c r="F112" s="543">
        <v>73202.64</v>
      </c>
      <c r="G112" s="553">
        <f t="shared" si="1"/>
        <v>73202.64</v>
      </c>
    </row>
    <row r="113" spans="1:7" x14ac:dyDescent="0.25">
      <c r="A113" s="410" t="s">
        <v>411</v>
      </c>
      <c r="B113" s="410" t="s">
        <v>1274</v>
      </c>
      <c r="D113" s="537"/>
      <c r="E113" s="553">
        <v>1902289.02</v>
      </c>
      <c r="F113" s="543">
        <v>1902289.02</v>
      </c>
      <c r="G113" s="553">
        <f t="shared" si="1"/>
        <v>1902289.02</v>
      </c>
    </row>
    <row r="114" spans="1:7" x14ac:dyDescent="0.25">
      <c r="A114" s="410" t="s">
        <v>413</v>
      </c>
      <c r="B114" s="410" t="s">
        <v>939</v>
      </c>
      <c r="D114" s="537"/>
      <c r="E114" s="553">
        <v>27386.44</v>
      </c>
      <c r="F114" s="543">
        <v>27386.44</v>
      </c>
      <c r="G114" s="553">
        <f t="shared" si="1"/>
        <v>27386.44</v>
      </c>
    </row>
    <row r="115" spans="1:7" x14ac:dyDescent="0.25">
      <c r="A115" s="410" t="s">
        <v>415</v>
      </c>
      <c r="B115" s="410" t="s">
        <v>940</v>
      </c>
      <c r="C115" s="412">
        <v>100173.79</v>
      </c>
      <c r="D115" s="552">
        <v>301940.51</v>
      </c>
      <c r="E115" s="553">
        <v>8315786.5899999999</v>
      </c>
      <c r="F115" s="543">
        <v>8717900.8900000006</v>
      </c>
      <c r="G115" s="553">
        <f t="shared" si="1"/>
        <v>8617727.0999999996</v>
      </c>
    </row>
    <row r="116" spans="1:7" x14ac:dyDescent="0.25">
      <c r="A116" s="410" t="s">
        <v>417</v>
      </c>
      <c r="B116" s="410" t="s">
        <v>941</v>
      </c>
      <c r="C116" s="412">
        <v>202588.84</v>
      </c>
      <c r="D116" s="552">
        <v>3293872.64</v>
      </c>
      <c r="E116" s="553">
        <v>23379721.66</v>
      </c>
      <c r="F116" s="543">
        <v>26876183.140000001</v>
      </c>
      <c r="G116" s="553">
        <f t="shared" si="1"/>
        <v>26673594.300000001</v>
      </c>
    </row>
    <row r="117" spans="1:7" x14ac:dyDescent="0.25">
      <c r="A117" s="410" t="s">
        <v>419</v>
      </c>
      <c r="B117" s="410" t="s">
        <v>942</v>
      </c>
      <c r="C117" s="412">
        <v>18853.75</v>
      </c>
      <c r="D117" s="552">
        <v>17103903.690000001</v>
      </c>
      <c r="E117" s="553">
        <v>40821000.700000003</v>
      </c>
      <c r="F117" s="543">
        <v>57943758.140000001</v>
      </c>
      <c r="G117" s="553">
        <f t="shared" si="1"/>
        <v>57924904.390000001</v>
      </c>
    </row>
    <row r="118" spans="1:7" x14ac:dyDescent="0.25">
      <c r="A118" s="410" t="s">
        <v>421</v>
      </c>
      <c r="B118" s="410" t="s">
        <v>943</v>
      </c>
      <c r="D118" s="537"/>
      <c r="E118" s="553">
        <v>1363041.61</v>
      </c>
      <c r="F118" s="543">
        <v>1363041.61</v>
      </c>
      <c r="G118" s="553">
        <f t="shared" si="1"/>
        <v>1363041.61</v>
      </c>
    </row>
    <row r="119" spans="1:7" x14ac:dyDescent="0.25">
      <c r="A119" s="410" t="s">
        <v>423</v>
      </c>
      <c r="B119" s="410" t="s">
        <v>944</v>
      </c>
      <c r="C119" s="412">
        <v>5411</v>
      </c>
      <c r="D119" s="537"/>
      <c r="E119" s="553">
        <v>1747505.62</v>
      </c>
      <c r="F119" s="543">
        <v>1752916.62</v>
      </c>
      <c r="G119" s="553">
        <f t="shared" si="1"/>
        <v>1747505.62</v>
      </c>
    </row>
    <row r="120" spans="1:7" x14ac:dyDescent="0.25">
      <c r="A120" s="410" t="s">
        <v>425</v>
      </c>
      <c r="B120" s="410" t="s">
        <v>945</v>
      </c>
      <c r="D120" s="537"/>
      <c r="E120" s="553">
        <v>1177933.48</v>
      </c>
      <c r="F120" s="543">
        <v>1177933.48</v>
      </c>
      <c r="G120" s="553">
        <f t="shared" si="1"/>
        <v>1177933.48</v>
      </c>
    </row>
    <row r="121" spans="1:7" x14ac:dyDescent="0.25">
      <c r="A121" s="410" t="s">
        <v>427</v>
      </c>
      <c r="B121" s="410" t="s">
        <v>1141</v>
      </c>
      <c r="D121" s="537"/>
      <c r="E121" s="553">
        <v>124227.42</v>
      </c>
      <c r="F121" s="543">
        <v>124227.42</v>
      </c>
      <c r="G121" s="553">
        <f t="shared" si="1"/>
        <v>124227.42</v>
      </c>
    </row>
    <row r="122" spans="1:7" x14ac:dyDescent="0.25">
      <c r="A122" s="410" t="s">
        <v>431</v>
      </c>
      <c r="B122" s="410" t="s">
        <v>947</v>
      </c>
      <c r="C122" s="412">
        <v>7561</v>
      </c>
      <c r="D122" s="552">
        <v>39521</v>
      </c>
      <c r="E122" s="553">
        <v>1126819.3700000001</v>
      </c>
      <c r="F122" s="543">
        <v>1173901.3700000001</v>
      </c>
      <c r="G122" s="553">
        <f t="shared" si="1"/>
        <v>1166340.3700000001</v>
      </c>
    </row>
    <row r="123" spans="1:7" x14ac:dyDescent="0.25">
      <c r="A123" s="410" t="s">
        <v>429</v>
      </c>
      <c r="B123" s="410" t="s">
        <v>1312</v>
      </c>
      <c r="D123" s="552">
        <v>268730.81</v>
      </c>
      <c r="E123" s="553">
        <v>2833742.04</v>
      </c>
      <c r="F123" s="543">
        <v>3102472.85</v>
      </c>
      <c r="G123" s="553">
        <f t="shared" si="1"/>
        <v>3102472.85</v>
      </c>
    </row>
    <row r="124" spans="1:7" x14ac:dyDescent="0.25">
      <c r="A124" s="410" t="s">
        <v>433</v>
      </c>
      <c r="B124" s="410" t="s">
        <v>1313</v>
      </c>
      <c r="D124" s="537"/>
      <c r="E124" s="553">
        <v>133159.66</v>
      </c>
      <c r="F124" s="543">
        <v>133159.66</v>
      </c>
      <c r="G124" s="553">
        <f t="shared" si="1"/>
        <v>133159.66</v>
      </c>
    </row>
    <row r="125" spans="1:7" x14ac:dyDescent="0.25">
      <c r="A125" s="410" t="s">
        <v>435</v>
      </c>
      <c r="B125" s="410" t="s">
        <v>948</v>
      </c>
      <c r="D125" s="552">
        <v>229758.88</v>
      </c>
      <c r="E125" s="553">
        <v>1353118.29</v>
      </c>
      <c r="F125" s="543">
        <v>1582877.17</v>
      </c>
      <c r="G125" s="553">
        <f t="shared" si="1"/>
        <v>1582877.17</v>
      </c>
    </row>
    <row r="126" spans="1:7" x14ac:dyDescent="0.25">
      <c r="A126" s="410" t="s">
        <v>439</v>
      </c>
      <c r="B126" s="410" t="s">
        <v>949</v>
      </c>
      <c r="C126" s="412">
        <v>53390.86</v>
      </c>
      <c r="D126" s="537"/>
      <c r="E126" s="553">
        <v>19564225.460000001</v>
      </c>
      <c r="F126" s="543">
        <v>19617616.32</v>
      </c>
      <c r="G126" s="553">
        <f t="shared" si="1"/>
        <v>19564225.460000001</v>
      </c>
    </row>
    <row r="127" spans="1:7" x14ac:dyDescent="0.25">
      <c r="A127" s="410" t="s">
        <v>441</v>
      </c>
      <c r="B127" s="410" t="s">
        <v>950</v>
      </c>
      <c r="C127" s="412">
        <v>114573.72</v>
      </c>
      <c r="D127" s="552">
        <v>18282455.539999999</v>
      </c>
      <c r="E127" s="553">
        <v>43512472.299999997</v>
      </c>
      <c r="F127" s="543">
        <v>61909501.560000002</v>
      </c>
      <c r="G127" s="553">
        <f t="shared" si="1"/>
        <v>61794927.839999996</v>
      </c>
    </row>
    <row r="128" spans="1:7" x14ac:dyDescent="0.25">
      <c r="A128" s="410" t="s">
        <v>443</v>
      </c>
      <c r="B128" s="410" t="s">
        <v>951</v>
      </c>
      <c r="C128" s="412">
        <v>5817.33</v>
      </c>
      <c r="D128" s="552">
        <v>12420.97</v>
      </c>
      <c r="E128" s="553">
        <v>5190605.59</v>
      </c>
      <c r="F128" s="543">
        <v>5208843.8899999997</v>
      </c>
      <c r="G128" s="553">
        <f t="shared" si="1"/>
        <v>5203026.5599999996</v>
      </c>
    </row>
    <row r="129" spans="1:7" x14ac:dyDescent="0.25">
      <c r="A129" s="410" t="s">
        <v>445</v>
      </c>
      <c r="B129" s="410" t="s">
        <v>952</v>
      </c>
      <c r="D129" s="537"/>
      <c r="E129" s="553">
        <v>107862.55</v>
      </c>
      <c r="F129" s="543">
        <v>107862.55</v>
      </c>
      <c r="G129" s="553">
        <f t="shared" si="1"/>
        <v>107862.55</v>
      </c>
    </row>
    <row r="130" spans="1:7" x14ac:dyDescent="0.25">
      <c r="A130" s="410" t="s">
        <v>447</v>
      </c>
      <c r="B130" s="410" t="s">
        <v>953</v>
      </c>
      <c r="D130" s="537"/>
      <c r="E130" s="553">
        <v>665758.9</v>
      </c>
      <c r="F130" s="543">
        <v>665758.9</v>
      </c>
      <c r="G130" s="553">
        <f t="shared" si="1"/>
        <v>665758.9</v>
      </c>
    </row>
    <row r="131" spans="1:7" x14ac:dyDescent="0.25">
      <c r="A131" s="410" t="s">
        <v>449</v>
      </c>
      <c r="B131" s="410" t="s">
        <v>954</v>
      </c>
      <c r="D131" s="537"/>
      <c r="E131" s="553">
        <v>245895.23</v>
      </c>
      <c r="F131" s="543">
        <v>245895.23</v>
      </c>
      <c r="G131" s="553">
        <f t="shared" si="1"/>
        <v>245895.23</v>
      </c>
    </row>
    <row r="132" spans="1:7" x14ac:dyDescent="0.25">
      <c r="A132" s="410" t="s">
        <v>451</v>
      </c>
      <c r="B132" s="410" t="s">
        <v>955</v>
      </c>
      <c r="C132" s="412">
        <v>115902.48</v>
      </c>
      <c r="D132" s="552">
        <v>1383615.22</v>
      </c>
      <c r="E132" s="553">
        <v>11486543.01</v>
      </c>
      <c r="F132" s="543">
        <v>12986060.710000001</v>
      </c>
      <c r="G132" s="553">
        <f t="shared" si="1"/>
        <v>12870158.23</v>
      </c>
    </row>
    <row r="133" spans="1:7" x14ac:dyDescent="0.25">
      <c r="A133" s="410" t="s">
        <v>453</v>
      </c>
      <c r="B133" s="410" t="s">
        <v>956</v>
      </c>
      <c r="D133" s="537"/>
      <c r="E133" s="553">
        <v>265588.53999999998</v>
      </c>
      <c r="F133" s="543">
        <v>265588.53999999998</v>
      </c>
      <c r="G133" s="553">
        <f t="shared" si="1"/>
        <v>265588.53999999998</v>
      </c>
    </row>
    <row r="134" spans="1:7" x14ac:dyDescent="0.25">
      <c r="A134" s="410" t="s">
        <v>455</v>
      </c>
      <c r="B134" s="410" t="s">
        <v>957</v>
      </c>
      <c r="C134" s="412">
        <v>9860.86</v>
      </c>
      <c r="D134" s="537"/>
      <c r="E134" s="553">
        <v>722190.53</v>
      </c>
      <c r="F134" s="543">
        <v>732051.39</v>
      </c>
      <c r="G134" s="553">
        <f t="shared" si="1"/>
        <v>722190.53</v>
      </c>
    </row>
    <row r="135" spans="1:7" x14ac:dyDescent="0.25">
      <c r="A135" s="410" t="s">
        <v>457</v>
      </c>
      <c r="B135" s="410" t="s">
        <v>1275</v>
      </c>
      <c r="D135" s="552">
        <v>9600</v>
      </c>
      <c r="E135" s="553">
        <v>75088.27</v>
      </c>
      <c r="F135" s="543">
        <v>84688.27</v>
      </c>
      <c r="G135" s="553">
        <f t="shared" ref="G135:G198" si="2">D135+E135</f>
        <v>84688.27</v>
      </c>
    </row>
    <row r="136" spans="1:7" x14ac:dyDescent="0.25">
      <c r="A136" s="410" t="s">
        <v>1314</v>
      </c>
      <c r="B136" s="410" t="s">
        <v>1315</v>
      </c>
      <c r="D136" s="537"/>
      <c r="E136" s="553">
        <v>864016.23</v>
      </c>
      <c r="F136" s="543">
        <v>864016.23</v>
      </c>
      <c r="G136" s="553">
        <f t="shared" si="2"/>
        <v>864016.23</v>
      </c>
    </row>
    <row r="137" spans="1:7" x14ac:dyDescent="0.25">
      <c r="A137" s="410" t="s">
        <v>458</v>
      </c>
      <c r="B137" s="410" t="s">
        <v>958</v>
      </c>
      <c r="D137" s="537"/>
      <c r="E137" s="553">
        <v>394620.45</v>
      </c>
      <c r="F137" s="543">
        <v>394620.45</v>
      </c>
      <c r="G137" s="553">
        <f t="shared" si="2"/>
        <v>394620.45</v>
      </c>
    </row>
    <row r="138" spans="1:7" x14ac:dyDescent="0.25">
      <c r="A138" s="410" t="s">
        <v>460</v>
      </c>
      <c r="B138" s="410" t="s">
        <v>959</v>
      </c>
      <c r="C138" s="412">
        <v>103419.12</v>
      </c>
      <c r="D138" s="552">
        <v>500000</v>
      </c>
      <c r="E138" s="553">
        <v>6696496.3499999996</v>
      </c>
      <c r="F138" s="543">
        <v>7299915.4699999997</v>
      </c>
      <c r="G138" s="553">
        <f t="shared" si="2"/>
        <v>7196496.3499999996</v>
      </c>
    </row>
    <row r="139" spans="1:7" x14ac:dyDescent="0.25">
      <c r="A139" s="410" t="s">
        <v>462</v>
      </c>
      <c r="B139" s="410" t="s">
        <v>960</v>
      </c>
      <c r="D139" s="537"/>
      <c r="E139" s="553">
        <v>834437.66</v>
      </c>
      <c r="F139" s="543">
        <v>834437.66</v>
      </c>
      <c r="G139" s="553">
        <f t="shared" si="2"/>
        <v>834437.66</v>
      </c>
    </row>
    <row r="140" spans="1:7" x14ac:dyDescent="0.25">
      <c r="A140" s="410" t="s">
        <v>464</v>
      </c>
      <c r="B140" s="410" t="s">
        <v>961</v>
      </c>
      <c r="D140" s="552">
        <v>17498.89</v>
      </c>
      <c r="E140" s="553">
        <v>93611.37</v>
      </c>
      <c r="F140" s="543">
        <v>111110.26</v>
      </c>
      <c r="G140" s="553">
        <f t="shared" si="2"/>
        <v>111110.26</v>
      </c>
    </row>
    <row r="141" spans="1:7" x14ac:dyDescent="0.25">
      <c r="A141" s="410" t="s">
        <v>466</v>
      </c>
      <c r="B141" s="410" t="s">
        <v>962</v>
      </c>
      <c r="D141" s="552">
        <v>59016.43</v>
      </c>
      <c r="E141" s="553">
        <v>772722.92</v>
      </c>
      <c r="F141" s="543">
        <v>831739.35</v>
      </c>
      <c r="G141" s="553">
        <f t="shared" si="2"/>
        <v>831739.35000000009</v>
      </c>
    </row>
    <row r="142" spans="1:7" x14ac:dyDescent="0.25">
      <c r="A142" s="410" t="s">
        <v>468</v>
      </c>
      <c r="B142" s="410" t="s">
        <v>963</v>
      </c>
      <c r="D142" s="537"/>
      <c r="E142" s="553">
        <v>1707691.13</v>
      </c>
      <c r="F142" s="543">
        <v>1707691.13</v>
      </c>
      <c r="G142" s="553">
        <f t="shared" si="2"/>
        <v>1707691.13</v>
      </c>
    </row>
    <row r="143" spans="1:7" x14ac:dyDescent="0.25">
      <c r="A143" s="410" t="s">
        <v>470</v>
      </c>
      <c r="B143" s="410" t="s">
        <v>964</v>
      </c>
      <c r="D143" s="552">
        <v>700</v>
      </c>
      <c r="E143" s="553">
        <v>526084.93999999994</v>
      </c>
      <c r="F143" s="543">
        <v>526784.93999999994</v>
      </c>
      <c r="G143" s="553">
        <f t="shared" si="2"/>
        <v>526784.93999999994</v>
      </c>
    </row>
    <row r="144" spans="1:7" x14ac:dyDescent="0.25">
      <c r="A144" s="410" t="s">
        <v>472</v>
      </c>
      <c r="B144" s="410" t="s">
        <v>965</v>
      </c>
      <c r="C144" s="412">
        <v>149960.57999999999</v>
      </c>
      <c r="D144" s="537"/>
      <c r="E144" s="553">
        <v>25578647.300000001</v>
      </c>
      <c r="F144" s="543">
        <v>25728607.879999999</v>
      </c>
      <c r="G144" s="553">
        <f t="shared" si="2"/>
        <v>25578647.300000001</v>
      </c>
    </row>
    <row r="145" spans="1:7" x14ac:dyDescent="0.25">
      <c r="A145" s="410" t="s">
        <v>474</v>
      </c>
      <c r="B145" s="410" t="s">
        <v>1316</v>
      </c>
      <c r="D145" s="537"/>
      <c r="E145" s="553">
        <v>737918.47</v>
      </c>
      <c r="F145" s="543">
        <v>737918.47</v>
      </c>
      <c r="G145" s="553">
        <f t="shared" si="2"/>
        <v>737918.47</v>
      </c>
    </row>
    <row r="146" spans="1:7" x14ac:dyDescent="0.25">
      <c r="A146" s="410" t="s">
        <v>476</v>
      </c>
      <c r="B146" s="410" t="s">
        <v>967</v>
      </c>
      <c r="D146" s="552">
        <v>306210.32</v>
      </c>
      <c r="E146" s="553">
        <v>17747522.149999999</v>
      </c>
      <c r="F146" s="543">
        <v>18053732.469999999</v>
      </c>
      <c r="G146" s="553">
        <f t="shared" si="2"/>
        <v>18053732.469999999</v>
      </c>
    </row>
    <row r="147" spans="1:7" x14ac:dyDescent="0.25">
      <c r="A147" s="410" t="s">
        <v>478</v>
      </c>
      <c r="B147" s="410" t="s">
        <v>968</v>
      </c>
      <c r="C147" s="412">
        <v>15638.7</v>
      </c>
      <c r="D147" s="537"/>
      <c r="E147" s="553">
        <v>2656672.02</v>
      </c>
      <c r="F147" s="543">
        <v>2672310.7200000002</v>
      </c>
      <c r="G147" s="553">
        <f t="shared" si="2"/>
        <v>2656672.02</v>
      </c>
    </row>
    <row r="148" spans="1:7" x14ac:dyDescent="0.25">
      <c r="A148" s="410" t="s">
        <v>480</v>
      </c>
      <c r="B148" s="410" t="s">
        <v>969</v>
      </c>
      <c r="D148" s="552">
        <v>4310769.83</v>
      </c>
      <c r="E148" s="553">
        <v>6107688.2199999997</v>
      </c>
      <c r="F148" s="543">
        <v>10418458.050000001</v>
      </c>
      <c r="G148" s="553">
        <f t="shared" si="2"/>
        <v>10418458.050000001</v>
      </c>
    </row>
    <row r="149" spans="1:7" x14ac:dyDescent="0.25">
      <c r="A149" s="410" t="s">
        <v>482</v>
      </c>
      <c r="B149" s="410" t="s">
        <v>970</v>
      </c>
      <c r="D149" s="537"/>
      <c r="E149" s="553">
        <v>3120520.56</v>
      </c>
      <c r="F149" s="543">
        <v>3120520.56</v>
      </c>
      <c r="G149" s="553">
        <f t="shared" si="2"/>
        <v>3120520.56</v>
      </c>
    </row>
    <row r="150" spans="1:7" x14ac:dyDescent="0.25">
      <c r="A150" s="410" t="s">
        <v>484</v>
      </c>
      <c r="B150" s="410" t="s">
        <v>971</v>
      </c>
      <c r="D150" s="537"/>
      <c r="E150" s="553">
        <v>790090.73</v>
      </c>
      <c r="F150" s="543">
        <v>790090.73</v>
      </c>
      <c r="G150" s="553">
        <f t="shared" si="2"/>
        <v>790090.73</v>
      </c>
    </row>
    <row r="151" spans="1:7" x14ac:dyDescent="0.25">
      <c r="A151" s="410" t="s">
        <v>486</v>
      </c>
      <c r="B151" s="410" t="s">
        <v>972</v>
      </c>
      <c r="D151" s="537"/>
      <c r="E151" s="553">
        <v>49519.17</v>
      </c>
      <c r="F151" s="543">
        <v>49519.17</v>
      </c>
      <c r="G151" s="553">
        <f t="shared" si="2"/>
        <v>49519.17</v>
      </c>
    </row>
    <row r="152" spans="1:7" x14ac:dyDescent="0.25">
      <c r="A152" s="410" t="s">
        <v>488</v>
      </c>
      <c r="B152" s="410" t="s">
        <v>973</v>
      </c>
      <c r="C152" s="412">
        <v>10077.98</v>
      </c>
      <c r="D152" s="552">
        <v>390410.91</v>
      </c>
      <c r="E152" s="553">
        <v>12104034.609999999</v>
      </c>
      <c r="F152" s="543">
        <v>12504523.5</v>
      </c>
      <c r="G152" s="553">
        <f t="shared" si="2"/>
        <v>12494445.52</v>
      </c>
    </row>
    <row r="153" spans="1:7" x14ac:dyDescent="0.25">
      <c r="A153" s="410" t="s">
        <v>490</v>
      </c>
      <c r="B153" s="410" t="s">
        <v>974</v>
      </c>
      <c r="C153" s="412">
        <v>41081.440000000002</v>
      </c>
      <c r="D153" s="537"/>
      <c r="E153" s="553">
        <v>2629408.61</v>
      </c>
      <c r="F153" s="543">
        <v>2670490.0499999998</v>
      </c>
      <c r="G153" s="553">
        <f t="shared" si="2"/>
        <v>2629408.61</v>
      </c>
    </row>
    <row r="154" spans="1:7" x14ac:dyDescent="0.25">
      <c r="A154" s="410" t="s">
        <v>492</v>
      </c>
      <c r="B154" s="410" t="s">
        <v>975</v>
      </c>
      <c r="C154" s="412">
        <v>813.51</v>
      </c>
      <c r="D154" s="552">
        <v>134152.26</v>
      </c>
      <c r="E154" s="553">
        <v>725674.5</v>
      </c>
      <c r="F154" s="543">
        <v>860640.27</v>
      </c>
      <c r="G154" s="553">
        <f t="shared" si="2"/>
        <v>859826.76</v>
      </c>
    </row>
    <row r="155" spans="1:7" x14ac:dyDescent="0.25">
      <c r="A155" s="410" t="s">
        <v>494</v>
      </c>
      <c r="B155" s="410" t="s">
        <v>976</v>
      </c>
      <c r="D155" s="552">
        <v>1338203.05</v>
      </c>
      <c r="E155" s="553">
        <v>13386450.529999999</v>
      </c>
      <c r="F155" s="543">
        <v>14724653.58</v>
      </c>
      <c r="G155" s="553">
        <f t="shared" si="2"/>
        <v>14724653.58</v>
      </c>
    </row>
    <row r="156" spans="1:7" x14ac:dyDescent="0.25">
      <c r="A156" s="410" t="s">
        <v>496</v>
      </c>
      <c r="B156" s="410" t="s">
        <v>977</v>
      </c>
      <c r="C156" s="412">
        <v>4709.5200000000004</v>
      </c>
      <c r="D156" s="552">
        <v>67922.23</v>
      </c>
      <c r="E156" s="553">
        <v>1059796.1499999999</v>
      </c>
      <c r="F156" s="543">
        <v>1132427.8999999999</v>
      </c>
      <c r="G156" s="553">
        <f t="shared" si="2"/>
        <v>1127718.3799999999</v>
      </c>
    </row>
    <row r="157" spans="1:7" x14ac:dyDescent="0.25">
      <c r="A157" s="410" t="s">
        <v>498</v>
      </c>
      <c r="B157" s="410" t="s">
        <v>978</v>
      </c>
      <c r="D157" s="537"/>
      <c r="E157" s="553">
        <v>1344889.6</v>
      </c>
      <c r="F157" s="543">
        <v>1344889.6</v>
      </c>
      <c r="G157" s="553">
        <f t="shared" si="2"/>
        <v>1344889.6</v>
      </c>
    </row>
    <row r="158" spans="1:7" x14ac:dyDescent="0.25">
      <c r="A158" s="410" t="s">
        <v>500</v>
      </c>
      <c r="B158" s="410" t="s">
        <v>979</v>
      </c>
      <c r="C158" s="412">
        <v>101175.1</v>
      </c>
      <c r="D158" s="537"/>
      <c r="E158" s="553">
        <v>4063540.77</v>
      </c>
      <c r="F158" s="543">
        <v>4164715.87</v>
      </c>
      <c r="G158" s="553">
        <f t="shared" si="2"/>
        <v>4063540.77</v>
      </c>
    </row>
    <row r="159" spans="1:7" x14ac:dyDescent="0.25">
      <c r="A159" s="410" t="s">
        <v>502</v>
      </c>
      <c r="B159" s="410" t="s">
        <v>980</v>
      </c>
      <c r="D159" s="537"/>
      <c r="E159" s="553">
        <v>43449.8</v>
      </c>
      <c r="F159" s="543">
        <v>43449.8</v>
      </c>
      <c r="G159" s="553">
        <f t="shared" si="2"/>
        <v>43449.8</v>
      </c>
    </row>
    <row r="160" spans="1:7" x14ac:dyDescent="0.25">
      <c r="A160" s="410" t="s">
        <v>504</v>
      </c>
      <c r="B160" s="410" t="s">
        <v>1317</v>
      </c>
      <c r="C160" s="412">
        <v>176424.24</v>
      </c>
      <c r="D160" s="552">
        <v>4162483.84</v>
      </c>
      <c r="E160" s="553">
        <v>11889294.210000001</v>
      </c>
      <c r="F160" s="543">
        <v>16228202.289999999</v>
      </c>
      <c r="G160" s="553">
        <f t="shared" si="2"/>
        <v>16051778.050000001</v>
      </c>
    </row>
    <row r="161" spans="1:7" x14ac:dyDescent="0.25">
      <c r="A161" s="410" t="s">
        <v>506</v>
      </c>
      <c r="B161" s="410" t="s">
        <v>982</v>
      </c>
      <c r="D161" s="552">
        <v>9472483.5199999996</v>
      </c>
      <c r="E161" s="553">
        <v>28103257.890000001</v>
      </c>
      <c r="F161" s="543">
        <v>37575741.409999996</v>
      </c>
      <c r="G161" s="553">
        <f t="shared" si="2"/>
        <v>37575741.409999996</v>
      </c>
    </row>
    <row r="162" spans="1:7" x14ac:dyDescent="0.25">
      <c r="A162" s="410" t="s">
        <v>508</v>
      </c>
      <c r="B162" s="410" t="s">
        <v>983</v>
      </c>
      <c r="D162" s="537"/>
      <c r="E162" s="553">
        <v>1576504.45</v>
      </c>
      <c r="F162" s="543">
        <v>1576504.45</v>
      </c>
      <c r="G162" s="553">
        <f t="shared" si="2"/>
        <v>1576504.45</v>
      </c>
    </row>
    <row r="163" spans="1:7" x14ac:dyDescent="0.25">
      <c r="A163" s="410" t="s">
        <v>510</v>
      </c>
      <c r="B163" s="410" t="s">
        <v>984</v>
      </c>
      <c r="C163" s="412">
        <v>4762.8900000000003</v>
      </c>
      <c r="D163" s="537"/>
      <c r="E163" s="553">
        <v>1344097.65</v>
      </c>
      <c r="F163" s="543">
        <v>1348860.54</v>
      </c>
      <c r="G163" s="553">
        <f t="shared" si="2"/>
        <v>1344097.65</v>
      </c>
    </row>
    <row r="164" spans="1:7" s="360" customFormat="1" x14ac:dyDescent="0.25">
      <c r="A164" s="411" t="s">
        <v>512</v>
      </c>
      <c r="B164" s="411" t="s">
        <v>1318</v>
      </c>
      <c r="D164" s="537"/>
      <c r="E164" s="553">
        <v>397271.53</v>
      </c>
      <c r="F164" s="544">
        <v>397271.53</v>
      </c>
      <c r="G164" s="553">
        <f t="shared" si="2"/>
        <v>397271.53</v>
      </c>
    </row>
    <row r="165" spans="1:7" x14ac:dyDescent="0.25">
      <c r="A165" s="410" t="s">
        <v>514</v>
      </c>
      <c r="B165" s="410" t="s">
        <v>986</v>
      </c>
      <c r="D165" s="537"/>
      <c r="E165" s="553">
        <v>157280.07999999999</v>
      </c>
      <c r="F165" s="543">
        <v>157280.07999999999</v>
      </c>
      <c r="G165" s="553">
        <f t="shared" si="2"/>
        <v>157280.07999999999</v>
      </c>
    </row>
    <row r="166" spans="1:7" x14ac:dyDescent="0.25">
      <c r="A166" s="410" t="s">
        <v>516</v>
      </c>
      <c r="B166" s="410" t="s">
        <v>987</v>
      </c>
      <c r="D166" s="537"/>
      <c r="E166" s="553">
        <v>1998513.78</v>
      </c>
      <c r="F166" s="543">
        <v>1998513.78</v>
      </c>
      <c r="G166" s="553">
        <f t="shared" si="2"/>
        <v>1998513.78</v>
      </c>
    </row>
    <row r="167" spans="1:7" x14ac:dyDescent="0.25">
      <c r="A167" s="410" t="s">
        <v>518</v>
      </c>
      <c r="B167" s="410" t="s">
        <v>988</v>
      </c>
      <c r="D167" s="537"/>
      <c r="E167" s="553">
        <v>1878549.21</v>
      </c>
      <c r="F167" s="543">
        <v>1878549.21</v>
      </c>
      <c r="G167" s="553">
        <f t="shared" si="2"/>
        <v>1878549.21</v>
      </c>
    </row>
    <row r="168" spans="1:7" x14ac:dyDescent="0.25">
      <c r="A168" s="410" t="s">
        <v>520</v>
      </c>
      <c r="B168" s="410" t="s">
        <v>989</v>
      </c>
      <c r="C168" s="412">
        <v>40855.699999999997</v>
      </c>
      <c r="D168" s="537"/>
      <c r="E168" s="553">
        <v>3337088.94</v>
      </c>
      <c r="F168" s="543">
        <v>3377944.64</v>
      </c>
      <c r="G168" s="553">
        <f t="shared" si="2"/>
        <v>3337088.94</v>
      </c>
    </row>
    <row r="169" spans="1:7" x14ac:dyDescent="0.25">
      <c r="A169" s="410" t="s">
        <v>522</v>
      </c>
      <c r="B169" s="410" t="s">
        <v>990</v>
      </c>
      <c r="D169" s="552">
        <v>225376.51</v>
      </c>
      <c r="E169" s="553">
        <v>1512646.66</v>
      </c>
      <c r="F169" s="543">
        <v>1738023.17</v>
      </c>
      <c r="G169" s="553">
        <f t="shared" si="2"/>
        <v>1738023.17</v>
      </c>
    </row>
    <row r="170" spans="1:7" x14ac:dyDescent="0.25">
      <c r="A170" s="410" t="s">
        <v>524</v>
      </c>
      <c r="B170" s="410" t="s">
        <v>991</v>
      </c>
      <c r="C170" s="412">
        <v>28465.97</v>
      </c>
      <c r="D170" s="537"/>
      <c r="E170" s="553">
        <v>3074610.04</v>
      </c>
      <c r="F170" s="543">
        <v>3103076.01</v>
      </c>
      <c r="G170" s="553">
        <f t="shared" si="2"/>
        <v>3074610.04</v>
      </c>
    </row>
    <row r="171" spans="1:7" x14ac:dyDescent="0.25">
      <c r="A171" s="410" t="s">
        <v>526</v>
      </c>
      <c r="B171" s="410" t="s">
        <v>992</v>
      </c>
      <c r="D171" s="552">
        <v>2766051.09</v>
      </c>
      <c r="E171" s="553">
        <v>9918762.1400000006</v>
      </c>
      <c r="F171" s="543">
        <v>12684813.23</v>
      </c>
      <c r="G171" s="553">
        <f t="shared" si="2"/>
        <v>12684813.23</v>
      </c>
    </row>
    <row r="172" spans="1:7" x14ac:dyDescent="0.25">
      <c r="A172" s="410" t="s">
        <v>528</v>
      </c>
      <c r="B172" s="410" t="s">
        <v>993</v>
      </c>
      <c r="D172" s="552">
        <v>182810.25</v>
      </c>
      <c r="E172" s="553">
        <v>3683471.24</v>
      </c>
      <c r="F172" s="543">
        <v>3866281.49</v>
      </c>
      <c r="G172" s="553">
        <f t="shared" si="2"/>
        <v>3866281.49</v>
      </c>
    </row>
    <row r="173" spans="1:7" x14ac:dyDescent="0.25">
      <c r="A173" s="410" t="s">
        <v>530</v>
      </c>
      <c r="B173" s="410" t="s">
        <v>994</v>
      </c>
      <c r="D173" s="537"/>
      <c r="E173" s="553">
        <v>123529.58</v>
      </c>
      <c r="F173" s="543">
        <v>123529.58</v>
      </c>
      <c r="G173" s="553">
        <f t="shared" si="2"/>
        <v>123529.58</v>
      </c>
    </row>
    <row r="174" spans="1:7" x14ac:dyDescent="0.25">
      <c r="A174" s="410" t="s">
        <v>532</v>
      </c>
      <c r="B174" s="410" t="s">
        <v>995</v>
      </c>
      <c r="C174" s="412">
        <v>127772.32</v>
      </c>
      <c r="D174" s="552">
        <v>8701352.5800000001</v>
      </c>
      <c r="E174" s="553">
        <v>27522027.41</v>
      </c>
      <c r="F174" s="543">
        <v>36351152.310000002</v>
      </c>
      <c r="G174" s="553">
        <f t="shared" si="2"/>
        <v>36223379.990000002</v>
      </c>
    </row>
    <row r="175" spans="1:7" x14ac:dyDescent="0.25">
      <c r="A175" s="410" t="s">
        <v>534</v>
      </c>
      <c r="B175" s="410" t="s">
        <v>996</v>
      </c>
      <c r="D175" s="552">
        <v>82000</v>
      </c>
      <c r="E175" s="553">
        <v>235405.31</v>
      </c>
      <c r="F175" s="543">
        <v>317405.31</v>
      </c>
      <c r="G175" s="553">
        <f t="shared" si="2"/>
        <v>317405.31</v>
      </c>
    </row>
    <row r="176" spans="1:7" x14ac:dyDescent="0.25">
      <c r="A176" s="410" t="s">
        <v>536</v>
      </c>
      <c r="B176" s="410" t="s">
        <v>997</v>
      </c>
      <c r="C176" s="412">
        <v>71599.64</v>
      </c>
      <c r="D176" s="552">
        <v>23642796.629999999</v>
      </c>
      <c r="E176" s="553">
        <v>39675925.57</v>
      </c>
      <c r="F176" s="543">
        <v>63390321.840000004</v>
      </c>
      <c r="G176" s="553">
        <f t="shared" si="2"/>
        <v>63318722.200000003</v>
      </c>
    </row>
    <row r="177" spans="1:7" x14ac:dyDescent="0.25">
      <c r="A177" s="410" t="s">
        <v>538</v>
      </c>
      <c r="B177" s="410" t="s">
        <v>998</v>
      </c>
      <c r="C177" s="412">
        <v>3310038.89</v>
      </c>
      <c r="D177" s="552">
        <v>641894.31000000006</v>
      </c>
      <c r="E177" s="553">
        <v>12524559.49</v>
      </c>
      <c r="F177" s="543">
        <v>16476492.689999999</v>
      </c>
      <c r="G177" s="553">
        <f t="shared" si="2"/>
        <v>13166453.800000001</v>
      </c>
    </row>
    <row r="178" spans="1:7" x14ac:dyDescent="0.25">
      <c r="A178" s="410" t="s">
        <v>540</v>
      </c>
      <c r="B178" s="410" t="s">
        <v>999</v>
      </c>
      <c r="D178" s="537"/>
      <c r="E178" s="553">
        <v>190408.99</v>
      </c>
      <c r="F178" s="543">
        <v>190408.99</v>
      </c>
      <c r="G178" s="553">
        <f t="shared" si="2"/>
        <v>190408.99</v>
      </c>
    </row>
    <row r="179" spans="1:7" x14ac:dyDescent="0.25">
      <c r="A179" s="410" t="s">
        <v>542</v>
      </c>
      <c r="B179" s="410" t="s">
        <v>1000</v>
      </c>
      <c r="D179" s="537"/>
      <c r="E179" s="553">
        <v>565543.75</v>
      </c>
      <c r="F179" s="543">
        <v>565543.75</v>
      </c>
      <c r="G179" s="553">
        <f t="shared" si="2"/>
        <v>565543.75</v>
      </c>
    </row>
    <row r="180" spans="1:7" x14ac:dyDescent="0.25">
      <c r="A180" s="410" t="s">
        <v>544</v>
      </c>
      <c r="B180" s="410" t="s">
        <v>1001</v>
      </c>
      <c r="D180" s="537"/>
      <c r="E180" s="553">
        <v>2211216.94</v>
      </c>
      <c r="F180" s="543">
        <v>2211216.94</v>
      </c>
      <c r="G180" s="553">
        <f t="shared" si="2"/>
        <v>2211216.94</v>
      </c>
    </row>
    <row r="181" spans="1:7" x14ac:dyDescent="0.25">
      <c r="A181" s="410" t="s">
        <v>546</v>
      </c>
      <c r="B181" s="410" t="s">
        <v>1002</v>
      </c>
      <c r="D181" s="537"/>
      <c r="E181" s="553">
        <v>804001</v>
      </c>
      <c r="F181" s="543">
        <v>804001</v>
      </c>
      <c r="G181" s="553">
        <f t="shared" si="2"/>
        <v>804001</v>
      </c>
    </row>
    <row r="182" spans="1:7" x14ac:dyDescent="0.25">
      <c r="A182" s="410" t="s">
        <v>548</v>
      </c>
      <c r="B182" s="410" t="s">
        <v>1003</v>
      </c>
      <c r="D182" s="537"/>
      <c r="E182" s="553">
        <v>314601.73</v>
      </c>
      <c r="F182" s="543">
        <v>314601.73</v>
      </c>
      <c r="G182" s="553">
        <f t="shared" si="2"/>
        <v>314601.73</v>
      </c>
    </row>
    <row r="183" spans="1:7" x14ac:dyDescent="0.25">
      <c r="A183" s="410" t="s">
        <v>550</v>
      </c>
      <c r="B183" s="410" t="s">
        <v>1004</v>
      </c>
      <c r="D183" s="537"/>
      <c r="E183" s="553">
        <v>1827388.1</v>
      </c>
      <c r="F183" s="543">
        <v>1827388.1</v>
      </c>
      <c r="G183" s="553">
        <f t="shared" si="2"/>
        <v>1827388.1</v>
      </c>
    </row>
    <row r="184" spans="1:7" x14ac:dyDescent="0.25">
      <c r="A184" s="410" t="s">
        <v>552</v>
      </c>
      <c r="B184" s="410" t="s">
        <v>1005</v>
      </c>
      <c r="C184" s="412">
        <v>14810.46</v>
      </c>
      <c r="D184" s="552">
        <v>7495716.3600000003</v>
      </c>
      <c r="E184" s="553">
        <v>16723694.609999999</v>
      </c>
      <c r="F184" s="543">
        <v>24234221.43</v>
      </c>
      <c r="G184" s="553">
        <f t="shared" si="2"/>
        <v>24219410.969999999</v>
      </c>
    </row>
    <row r="185" spans="1:7" x14ac:dyDescent="0.25">
      <c r="A185" s="410" t="s">
        <v>554</v>
      </c>
      <c r="B185" s="410" t="s">
        <v>1006</v>
      </c>
      <c r="D185" s="552">
        <v>40000</v>
      </c>
      <c r="E185" s="553">
        <v>8675628.3200000003</v>
      </c>
      <c r="F185" s="543">
        <v>8715628.3200000003</v>
      </c>
      <c r="G185" s="553">
        <f t="shared" si="2"/>
        <v>8715628.3200000003</v>
      </c>
    </row>
    <row r="186" spans="1:7" x14ac:dyDescent="0.25">
      <c r="A186" s="410" t="s">
        <v>556</v>
      </c>
      <c r="B186" s="410" t="s">
        <v>1007</v>
      </c>
      <c r="C186" s="412">
        <v>4721.8</v>
      </c>
      <c r="D186" s="552">
        <v>203786.21</v>
      </c>
      <c r="E186" s="553">
        <v>1267975.3999999999</v>
      </c>
      <c r="F186" s="543">
        <v>1476483.41</v>
      </c>
      <c r="G186" s="553">
        <f t="shared" si="2"/>
        <v>1471761.6099999999</v>
      </c>
    </row>
    <row r="187" spans="1:7" x14ac:dyDescent="0.25">
      <c r="A187" s="410" t="s">
        <v>558</v>
      </c>
      <c r="B187" s="410" t="s">
        <v>1008</v>
      </c>
      <c r="D187" s="537"/>
      <c r="E187" s="553">
        <v>42825.15</v>
      </c>
      <c r="F187" s="543">
        <v>42825.15</v>
      </c>
      <c r="G187" s="553">
        <f t="shared" si="2"/>
        <v>42825.15</v>
      </c>
    </row>
    <row r="188" spans="1:7" x14ac:dyDescent="0.25">
      <c r="A188" s="410" t="s">
        <v>560</v>
      </c>
      <c r="B188" s="410" t="s">
        <v>1319</v>
      </c>
      <c r="C188" s="412">
        <v>9094.42</v>
      </c>
      <c r="D188" s="537"/>
      <c r="E188" s="553">
        <v>1269884.75</v>
      </c>
      <c r="F188" s="543">
        <v>1278979.17</v>
      </c>
      <c r="G188" s="553">
        <f t="shared" si="2"/>
        <v>1269884.75</v>
      </c>
    </row>
    <row r="189" spans="1:7" x14ac:dyDescent="0.25">
      <c r="A189" s="410" t="s">
        <v>562</v>
      </c>
      <c r="B189" s="410" t="s">
        <v>1010</v>
      </c>
      <c r="D189" s="537"/>
      <c r="E189" s="553">
        <v>91110.69</v>
      </c>
      <c r="F189" s="543">
        <v>91110.69</v>
      </c>
      <c r="G189" s="553">
        <f t="shared" si="2"/>
        <v>91110.69</v>
      </c>
    </row>
    <row r="190" spans="1:7" x14ac:dyDescent="0.25">
      <c r="A190" s="410" t="s">
        <v>564</v>
      </c>
      <c r="B190" s="410" t="s">
        <v>1011</v>
      </c>
      <c r="D190" s="537"/>
      <c r="E190" s="553">
        <v>91784.54</v>
      </c>
      <c r="F190" s="543">
        <v>91784.54</v>
      </c>
      <c r="G190" s="553">
        <f t="shared" si="2"/>
        <v>91784.54</v>
      </c>
    </row>
    <row r="191" spans="1:7" x14ac:dyDescent="0.25">
      <c r="A191" s="410" t="s">
        <v>566</v>
      </c>
      <c r="B191" s="410" t="s">
        <v>1012</v>
      </c>
      <c r="D191" s="537"/>
      <c r="E191" s="553">
        <v>153288.82999999999</v>
      </c>
      <c r="F191" s="543">
        <v>153288.82999999999</v>
      </c>
      <c r="G191" s="553">
        <f t="shared" si="2"/>
        <v>153288.82999999999</v>
      </c>
    </row>
    <row r="192" spans="1:7" x14ac:dyDescent="0.25">
      <c r="A192" s="410" t="s">
        <v>568</v>
      </c>
      <c r="B192" s="410" t="s">
        <v>1013</v>
      </c>
      <c r="D192" s="552">
        <v>3862.25</v>
      </c>
      <c r="E192" s="553">
        <v>684746.78</v>
      </c>
      <c r="F192" s="543">
        <v>688609.03</v>
      </c>
      <c r="G192" s="553">
        <f t="shared" si="2"/>
        <v>688609.03</v>
      </c>
    </row>
    <row r="193" spans="1:7" x14ac:dyDescent="0.25">
      <c r="A193" s="410" t="s">
        <v>570</v>
      </c>
      <c r="B193" s="410" t="s">
        <v>1014</v>
      </c>
      <c r="C193" s="412">
        <v>15251.07</v>
      </c>
      <c r="D193" s="552">
        <v>445454.98</v>
      </c>
      <c r="E193" s="553">
        <v>6272429.7800000003</v>
      </c>
      <c r="F193" s="543">
        <v>6733135.8300000001</v>
      </c>
      <c r="G193" s="553">
        <f t="shared" si="2"/>
        <v>6717884.7599999998</v>
      </c>
    </row>
    <row r="194" spans="1:7" x14ac:dyDescent="0.25">
      <c r="A194" s="410" t="s">
        <v>572</v>
      </c>
      <c r="B194" s="410" t="s">
        <v>1015</v>
      </c>
      <c r="C194" s="412">
        <v>51171.42</v>
      </c>
      <c r="D194" s="537"/>
      <c r="E194" s="553">
        <v>5500283.8899999997</v>
      </c>
      <c r="F194" s="543">
        <v>5551455.3099999996</v>
      </c>
      <c r="G194" s="553">
        <f t="shared" si="2"/>
        <v>5500283.8899999997</v>
      </c>
    </row>
    <row r="195" spans="1:7" x14ac:dyDescent="0.25">
      <c r="A195" s="410" t="s">
        <v>574</v>
      </c>
      <c r="B195" s="410" t="s">
        <v>1016</v>
      </c>
      <c r="D195" s="537"/>
      <c r="E195" s="553">
        <v>32783.64</v>
      </c>
      <c r="F195" s="543">
        <v>32783.64</v>
      </c>
      <c r="G195" s="553">
        <f t="shared" si="2"/>
        <v>32783.64</v>
      </c>
    </row>
    <row r="196" spans="1:7" x14ac:dyDescent="0.25">
      <c r="A196" s="410" t="s">
        <v>576</v>
      </c>
      <c r="B196" s="410" t="s">
        <v>1017</v>
      </c>
      <c r="D196" s="552">
        <v>384.92</v>
      </c>
      <c r="E196" s="553">
        <v>222294.54</v>
      </c>
      <c r="F196" s="543">
        <v>222679.46</v>
      </c>
      <c r="G196" s="553">
        <f t="shared" si="2"/>
        <v>222679.46000000002</v>
      </c>
    </row>
    <row r="197" spans="1:7" x14ac:dyDescent="0.25">
      <c r="A197" s="410" t="s">
        <v>578</v>
      </c>
      <c r="B197" s="410" t="s">
        <v>1018</v>
      </c>
      <c r="C197" s="412">
        <v>355600.75</v>
      </c>
      <c r="D197" s="552">
        <v>1181721.48</v>
      </c>
      <c r="E197" s="553">
        <v>26286705.84</v>
      </c>
      <c r="F197" s="543">
        <v>27824028.07</v>
      </c>
      <c r="G197" s="553">
        <f t="shared" si="2"/>
        <v>27468427.32</v>
      </c>
    </row>
    <row r="198" spans="1:7" x14ac:dyDescent="0.25">
      <c r="A198" s="410" t="s">
        <v>580</v>
      </c>
      <c r="B198" s="410" t="s">
        <v>1019</v>
      </c>
      <c r="D198" s="552">
        <v>20807.2</v>
      </c>
      <c r="E198" s="553">
        <v>429920.72</v>
      </c>
      <c r="F198" s="543">
        <v>450727.92</v>
      </c>
      <c r="G198" s="553">
        <f t="shared" si="2"/>
        <v>450727.92</v>
      </c>
    </row>
    <row r="199" spans="1:7" x14ac:dyDescent="0.25">
      <c r="A199" s="410" t="s">
        <v>582</v>
      </c>
      <c r="B199" s="410" t="s">
        <v>1144</v>
      </c>
      <c r="D199" s="537"/>
      <c r="E199" s="553">
        <v>157706.95000000001</v>
      </c>
      <c r="F199" s="543">
        <v>157706.95000000001</v>
      </c>
      <c r="G199" s="553">
        <f t="shared" ref="G199:G262" si="3">D199+E199</f>
        <v>157706.95000000001</v>
      </c>
    </row>
    <row r="200" spans="1:7" x14ac:dyDescent="0.25">
      <c r="A200" s="410" t="s">
        <v>584</v>
      </c>
      <c r="B200" s="410" t="s">
        <v>1020</v>
      </c>
      <c r="C200" s="412">
        <v>1411.13</v>
      </c>
      <c r="D200" s="537"/>
      <c r="E200" s="553">
        <v>471210.14</v>
      </c>
      <c r="F200" s="543">
        <v>472621.27</v>
      </c>
      <c r="G200" s="553">
        <f t="shared" si="3"/>
        <v>471210.14</v>
      </c>
    </row>
    <row r="201" spans="1:7" x14ac:dyDescent="0.25">
      <c r="A201" s="410" t="s">
        <v>586</v>
      </c>
      <c r="B201" s="410" t="s">
        <v>1021</v>
      </c>
      <c r="D201" s="537"/>
      <c r="E201" s="553">
        <v>18787994.59</v>
      </c>
      <c r="F201" s="543">
        <v>18787994.59</v>
      </c>
      <c r="G201" s="553">
        <f t="shared" si="3"/>
        <v>18787994.59</v>
      </c>
    </row>
    <row r="202" spans="1:7" x14ac:dyDescent="0.25">
      <c r="A202" s="410" t="s">
        <v>1165</v>
      </c>
      <c r="B202" s="410" t="s">
        <v>1320</v>
      </c>
      <c r="D202" s="537"/>
      <c r="E202" s="553">
        <v>133832.04999999999</v>
      </c>
      <c r="F202" s="543">
        <v>133832.04999999999</v>
      </c>
      <c r="G202" s="553">
        <f t="shared" si="3"/>
        <v>133832.04999999999</v>
      </c>
    </row>
    <row r="203" spans="1:7" x14ac:dyDescent="0.25">
      <c r="A203" s="410" t="s">
        <v>588</v>
      </c>
      <c r="B203" s="410" t="s">
        <v>1022</v>
      </c>
      <c r="D203" s="552">
        <v>421646</v>
      </c>
      <c r="E203" s="553">
        <v>1182012.93</v>
      </c>
      <c r="F203" s="543">
        <v>1603658.93</v>
      </c>
      <c r="G203" s="553">
        <f t="shared" si="3"/>
        <v>1603658.93</v>
      </c>
    </row>
    <row r="204" spans="1:7" x14ac:dyDescent="0.25">
      <c r="A204" s="410" t="s">
        <v>590</v>
      </c>
      <c r="B204" s="410" t="s">
        <v>1023</v>
      </c>
      <c r="D204" s="537"/>
      <c r="E204" s="553">
        <v>527611.34</v>
      </c>
      <c r="F204" s="543">
        <v>527611.34</v>
      </c>
      <c r="G204" s="553">
        <f t="shared" si="3"/>
        <v>527611.34</v>
      </c>
    </row>
    <row r="205" spans="1:7" x14ac:dyDescent="0.25">
      <c r="A205" s="410" t="s">
        <v>592</v>
      </c>
      <c r="B205" s="410" t="s">
        <v>1024</v>
      </c>
      <c r="C205" s="412">
        <v>121032.31</v>
      </c>
      <c r="D205" s="552">
        <v>1622809.4</v>
      </c>
      <c r="E205" s="553">
        <v>5813340.3200000003</v>
      </c>
      <c r="F205" s="543">
        <v>7557182.0300000003</v>
      </c>
      <c r="G205" s="553">
        <f t="shared" si="3"/>
        <v>7436149.7200000007</v>
      </c>
    </row>
    <row r="206" spans="1:7" x14ac:dyDescent="0.25">
      <c r="A206" s="410" t="s">
        <v>594</v>
      </c>
      <c r="B206" s="410" t="s">
        <v>1025</v>
      </c>
      <c r="C206" s="412">
        <v>19081.75</v>
      </c>
      <c r="D206" s="537"/>
      <c r="E206" s="553">
        <v>2536963.1800000002</v>
      </c>
      <c r="F206" s="543">
        <v>2556044.9300000002</v>
      </c>
      <c r="G206" s="553">
        <f t="shared" si="3"/>
        <v>2536963.1800000002</v>
      </c>
    </row>
    <row r="207" spans="1:7" x14ac:dyDescent="0.25">
      <c r="A207" s="410" t="s">
        <v>596</v>
      </c>
      <c r="B207" s="410" t="s">
        <v>1026</v>
      </c>
      <c r="D207" s="552">
        <v>1646.34</v>
      </c>
      <c r="E207" s="553">
        <v>379419.1</v>
      </c>
      <c r="F207" s="543">
        <v>381065.44</v>
      </c>
      <c r="G207" s="553">
        <f t="shared" si="3"/>
        <v>381065.44</v>
      </c>
    </row>
    <row r="208" spans="1:7" x14ac:dyDescent="0.25">
      <c r="A208" s="410" t="s">
        <v>598</v>
      </c>
      <c r="B208" s="410" t="s">
        <v>1321</v>
      </c>
      <c r="D208" s="537"/>
      <c r="E208" s="553">
        <v>721482.86</v>
      </c>
      <c r="F208" s="543">
        <v>721482.86</v>
      </c>
      <c r="G208" s="553">
        <f t="shared" si="3"/>
        <v>721482.86</v>
      </c>
    </row>
    <row r="209" spans="1:7" x14ac:dyDescent="0.25">
      <c r="A209" s="410" t="s">
        <v>600</v>
      </c>
      <c r="B209" s="410" t="s">
        <v>1028</v>
      </c>
      <c r="C209" s="412">
        <v>2650.7</v>
      </c>
      <c r="D209" s="552">
        <v>130756.61</v>
      </c>
      <c r="E209" s="553">
        <v>3502555.14</v>
      </c>
      <c r="F209" s="543">
        <v>3635962.45</v>
      </c>
      <c r="G209" s="553">
        <f t="shared" si="3"/>
        <v>3633311.75</v>
      </c>
    </row>
    <row r="210" spans="1:7" x14ac:dyDescent="0.25">
      <c r="A210" s="410" t="s">
        <v>602</v>
      </c>
      <c r="B210" s="410" t="s">
        <v>1029</v>
      </c>
      <c r="C210" s="412">
        <v>56503.94</v>
      </c>
      <c r="D210" s="537"/>
      <c r="E210" s="553">
        <v>3566178.28</v>
      </c>
      <c r="F210" s="543">
        <v>3622682.22</v>
      </c>
      <c r="G210" s="553">
        <f t="shared" si="3"/>
        <v>3566178.28</v>
      </c>
    </row>
    <row r="211" spans="1:7" x14ac:dyDescent="0.25">
      <c r="A211" s="410" t="s">
        <v>1167</v>
      </c>
      <c r="B211" s="410" t="s">
        <v>1322</v>
      </c>
      <c r="D211" s="537"/>
      <c r="E211" s="553">
        <v>117961.72</v>
      </c>
      <c r="F211" s="543">
        <v>117961.72</v>
      </c>
      <c r="G211" s="553">
        <f t="shared" si="3"/>
        <v>117961.72</v>
      </c>
    </row>
    <row r="212" spans="1:7" x14ac:dyDescent="0.25">
      <c r="A212" s="410" t="s">
        <v>604</v>
      </c>
      <c r="B212" s="410" t="s">
        <v>1030</v>
      </c>
      <c r="C212" s="412">
        <v>285518.14</v>
      </c>
      <c r="D212" s="552">
        <v>6835690.2400000002</v>
      </c>
      <c r="E212" s="553">
        <v>33516725.98</v>
      </c>
      <c r="F212" s="543">
        <v>40637934.359999999</v>
      </c>
      <c r="G212" s="553">
        <f t="shared" si="3"/>
        <v>40352416.219999999</v>
      </c>
    </row>
    <row r="213" spans="1:7" x14ac:dyDescent="0.25">
      <c r="A213" s="410" t="s">
        <v>606</v>
      </c>
      <c r="B213" s="410" t="s">
        <v>1031</v>
      </c>
      <c r="D213" s="552">
        <v>27540.38</v>
      </c>
      <c r="E213" s="553">
        <v>76304.36</v>
      </c>
      <c r="F213" s="543">
        <v>103844.74</v>
      </c>
      <c r="G213" s="553">
        <f t="shared" si="3"/>
        <v>103844.74</v>
      </c>
    </row>
    <row r="214" spans="1:7" x14ac:dyDescent="0.25">
      <c r="A214" s="410" t="s">
        <v>608</v>
      </c>
      <c r="B214" s="410" t="s">
        <v>1032</v>
      </c>
      <c r="D214" s="537"/>
      <c r="E214" s="553">
        <v>806732.91</v>
      </c>
      <c r="F214" s="543">
        <v>806732.91</v>
      </c>
      <c r="G214" s="553">
        <f t="shared" si="3"/>
        <v>806732.91</v>
      </c>
    </row>
    <row r="215" spans="1:7" x14ac:dyDescent="0.25">
      <c r="A215" s="410" t="s">
        <v>610</v>
      </c>
      <c r="B215" s="410" t="s">
        <v>1323</v>
      </c>
      <c r="D215" s="537"/>
      <c r="E215" s="553">
        <v>272304.90999999997</v>
      </c>
      <c r="F215" s="543">
        <v>272304.90999999997</v>
      </c>
      <c r="G215" s="553">
        <f t="shared" si="3"/>
        <v>272304.90999999997</v>
      </c>
    </row>
    <row r="216" spans="1:7" x14ac:dyDescent="0.25">
      <c r="A216" s="410" t="s">
        <v>612</v>
      </c>
      <c r="B216" s="410" t="s">
        <v>1033</v>
      </c>
      <c r="D216" s="537"/>
      <c r="E216" s="553">
        <v>5012344.3</v>
      </c>
      <c r="F216" s="543">
        <v>5012344.3</v>
      </c>
      <c r="G216" s="553">
        <f t="shared" si="3"/>
        <v>5012344.3</v>
      </c>
    </row>
    <row r="217" spans="1:7" x14ac:dyDescent="0.25">
      <c r="A217" s="410" t="s">
        <v>437</v>
      </c>
      <c r="B217" s="410" t="s">
        <v>1143</v>
      </c>
      <c r="D217" s="537"/>
      <c r="E217" s="553">
        <v>318397.19</v>
      </c>
      <c r="F217" s="543">
        <v>318397.19</v>
      </c>
      <c r="G217" s="553">
        <f t="shared" si="3"/>
        <v>318397.19</v>
      </c>
    </row>
    <row r="218" spans="1:7" x14ac:dyDescent="0.25">
      <c r="A218" s="410" t="s">
        <v>614</v>
      </c>
      <c r="B218" s="410" t="s">
        <v>1034</v>
      </c>
      <c r="D218" s="552">
        <v>154640.04</v>
      </c>
      <c r="E218" s="553">
        <v>4563582.3899999997</v>
      </c>
      <c r="F218" s="543">
        <v>4718222.43</v>
      </c>
      <c r="G218" s="553">
        <f t="shared" si="3"/>
        <v>4718222.43</v>
      </c>
    </row>
    <row r="219" spans="1:7" x14ac:dyDescent="0.25">
      <c r="A219" s="410" t="s">
        <v>616</v>
      </c>
      <c r="B219" s="410" t="s">
        <v>1035</v>
      </c>
      <c r="C219" s="412">
        <v>200</v>
      </c>
      <c r="D219" s="537"/>
      <c r="E219" s="553">
        <v>1270656.8400000001</v>
      </c>
      <c r="F219" s="543">
        <v>1270856.8400000001</v>
      </c>
      <c r="G219" s="553">
        <f t="shared" si="3"/>
        <v>1270656.8400000001</v>
      </c>
    </row>
    <row r="220" spans="1:7" x14ac:dyDescent="0.25">
      <c r="A220" s="410" t="s">
        <v>618</v>
      </c>
      <c r="B220" s="410" t="s">
        <v>1324</v>
      </c>
      <c r="D220" s="537"/>
      <c r="E220" s="553">
        <v>213707.34</v>
      </c>
      <c r="F220" s="543">
        <v>460791.13</v>
      </c>
      <c r="G220" s="553">
        <f t="shared" si="3"/>
        <v>213707.34</v>
      </c>
    </row>
    <row r="221" spans="1:7" x14ac:dyDescent="0.25">
      <c r="A221" s="410" t="s">
        <v>621</v>
      </c>
      <c r="B221" s="410" t="s">
        <v>1263</v>
      </c>
      <c r="D221" s="537"/>
      <c r="E221" s="553">
        <v>675730.1</v>
      </c>
      <c r="F221" s="543">
        <v>675730.1</v>
      </c>
      <c r="G221" s="553">
        <f t="shared" si="3"/>
        <v>675730.1</v>
      </c>
    </row>
    <row r="222" spans="1:7" x14ac:dyDescent="0.25">
      <c r="A222" s="410" t="s">
        <v>623</v>
      </c>
      <c r="B222" s="410" t="s">
        <v>1325</v>
      </c>
      <c r="D222" s="537"/>
      <c r="E222" s="553">
        <v>728357.83</v>
      </c>
      <c r="F222" s="543">
        <v>728357.83</v>
      </c>
      <c r="G222" s="553">
        <f t="shared" si="3"/>
        <v>728357.83</v>
      </c>
    </row>
    <row r="223" spans="1:7" x14ac:dyDescent="0.25">
      <c r="A223" s="410" t="s">
        <v>625</v>
      </c>
      <c r="B223" s="410" t="s">
        <v>1038</v>
      </c>
      <c r="D223" s="552">
        <v>9567951.5600000005</v>
      </c>
      <c r="E223" s="553">
        <v>29728182.66</v>
      </c>
      <c r="F223" s="543">
        <v>39296134.219999999</v>
      </c>
      <c r="G223" s="553">
        <f t="shared" si="3"/>
        <v>39296134.219999999</v>
      </c>
    </row>
    <row r="224" spans="1:7" x14ac:dyDescent="0.25">
      <c r="A224" s="410" t="s">
        <v>627</v>
      </c>
      <c r="B224" s="410" t="s">
        <v>1039</v>
      </c>
      <c r="D224" s="537"/>
      <c r="E224" s="553">
        <v>439668.28</v>
      </c>
      <c r="F224" s="543">
        <v>439668.28</v>
      </c>
      <c r="G224" s="553">
        <f t="shared" si="3"/>
        <v>439668.28</v>
      </c>
    </row>
    <row r="225" spans="1:7" x14ac:dyDescent="0.25">
      <c r="A225" s="410" t="s">
        <v>629</v>
      </c>
      <c r="B225" s="410" t="s">
        <v>1040</v>
      </c>
      <c r="D225" s="552">
        <v>3037079.73</v>
      </c>
      <c r="E225" s="553">
        <v>20034477.800000001</v>
      </c>
      <c r="F225" s="543">
        <v>23071557.530000001</v>
      </c>
      <c r="G225" s="553">
        <f t="shared" si="3"/>
        <v>23071557.530000001</v>
      </c>
    </row>
    <row r="226" spans="1:7" x14ac:dyDescent="0.25">
      <c r="A226" s="410" t="s">
        <v>631</v>
      </c>
      <c r="B226" s="410" t="s">
        <v>1041</v>
      </c>
      <c r="C226" s="412">
        <v>9638.67</v>
      </c>
      <c r="D226" s="552">
        <v>485594.08</v>
      </c>
      <c r="E226" s="553">
        <v>4580706.3099999996</v>
      </c>
      <c r="F226" s="543">
        <v>5075939.0599999996</v>
      </c>
      <c r="G226" s="553">
        <f t="shared" si="3"/>
        <v>5066300.3899999997</v>
      </c>
    </row>
    <row r="227" spans="1:7" x14ac:dyDescent="0.25">
      <c r="A227" s="410" t="s">
        <v>633</v>
      </c>
      <c r="B227" s="410" t="s">
        <v>1042</v>
      </c>
      <c r="D227" s="552">
        <v>61193.95</v>
      </c>
      <c r="E227" s="553">
        <v>279262.40999999997</v>
      </c>
      <c r="F227" s="543">
        <v>340456.36</v>
      </c>
      <c r="G227" s="553">
        <f t="shared" si="3"/>
        <v>340456.36</v>
      </c>
    </row>
    <row r="228" spans="1:7" x14ac:dyDescent="0.25">
      <c r="A228" s="410" t="s">
        <v>635</v>
      </c>
      <c r="B228" s="410" t="s">
        <v>1043</v>
      </c>
      <c r="D228" s="537"/>
      <c r="E228" s="553">
        <v>2101961.7200000002</v>
      </c>
      <c r="F228" s="543">
        <v>2101961.7200000002</v>
      </c>
      <c r="G228" s="553">
        <f t="shared" si="3"/>
        <v>2101961.7200000002</v>
      </c>
    </row>
    <row r="229" spans="1:7" x14ac:dyDescent="0.25">
      <c r="A229" s="410" t="s">
        <v>637</v>
      </c>
      <c r="B229" s="410" t="s">
        <v>1044</v>
      </c>
      <c r="D229" s="552">
        <v>768515.05</v>
      </c>
      <c r="E229" s="553">
        <v>3949255.09</v>
      </c>
      <c r="F229" s="543">
        <v>4717770.1399999997</v>
      </c>
      <c r="G229" s="553">
        <f t="shared" si="3"/>
        <v>4717770.1399999997</v>
      </c>
    </row>
    <row r="230" spans="1:7" x14ac:dyDescent="0.25">
      <c r="A230" s="410" t="s">
        <v>639</v>
      </c>
      <c r="B230" s="410" t="s">
        <v>1045</v>
      </c>
      <c r="C230" s="412">
        <v>42016.959999999999</v>
      </c>
      <c r="D230" s="552">
        <v>1150294.48</v>
      </c>
      <c r="E230" s="553">
        <v>3379051.67</v>
      </c>
      <c r="F230" s="543">
        <v>4571363.1100000003</v>
      </c>
      <c r="G230" s="553">
        <f t="shared" si="3"/>
        <v>4529346.1500000004</v>
      </c>
    </row>
    <row r="231" spans="1:7" x14ac:dyDescent="0.25">
      <c r="A231" s="410" t="s">
        <v>641</v>
      </c>
      <c r="B231" s="410" t="s">
        <v>1046</v>
      </c>
      <c r="D231" s="537"/>
      <c r="E231" s="553">
        <v>52937.56</v>
      </c>
      <c r="F231" s="543">
        <v>52937.56</v>
      </c>
      <c r="G231" s="553">
        <f t="shared" si="3"/>
        <v>52937.56</v>
      </c>
    </row>
    <row r="232" spans="1:7" x14ac:dyDescent="0.25">
      <c r="A232" s="410" t="s">
        <v>643</v>
      </c>
      <c r="B232" s="410" t="s">
        <v>1047</v>
      </c>
      <c r="D232" s="537"/>
      <c r="E232" s="553">
        <v>251143.99</v>
      </c>
      <c r="F232" s="543">
        <v>251143.99</v>
      </c>
      <c r="G232" s="553">
        <f t="shared" si="3"/>
        <v>251143.99</v>
      </c>
    </row>
    <row r="233" spans="1:7" x14ac:dyDescent="0.25">
      <c r="A233" s="410" t="s">
        <v>645</v>
      </c>
      <c r="B233" s="410" t="s">
        <v>1048</v>
      </c>
      <c r="D233" s="537"/>
      <c r="E233" s="553">
        <v>2139684.0499999998</v>
      </c>
      <c r="F233" s="543">
        <v>2139684.0499999998</v>
      </c>
      <c r="G233" s="553">
        <f t="shared" si="3"/>
        <v>2139684.0499999998</v>
      </c>
    </row>
    <row r="234" spans="1:7" x14ac:dyDescent="0.25">
      <c r="A234" s="410" t="s">
        <v>620</v>
      </c>
      <c r="B234" s="410" t="s">
        <v>1326</v>
      </c>
      <c r="D234" s="537"/>
      <c r="E234" s="553">
        <v>487519.56</v>
      </c>
      <c r="F234" s="543">
        <v>487519.56</v>
      </c>
      <c r="G234" s="553">
        <f t="shared" si="3"/>
        <v>487519.56</v>
      </c>
    </row>
    <row r="235" spans="1:7" x14ac:dyDescent="0.25">
      <c r="A235" s="410" t="s">
        <v>647</v>
      </c>
      <c r="B235" s="410" t="s">
        <v>1049</v>
      </c>
      <c r="C235" s="412">
        <v>5623.29</v>
      </c>
      <c r="D235" s="552">
        <v>2616.4499999999998</v>
      </c>
      <c r="E235" s="553">
        <v>1871069.13</v>
      </c>
      <c r="F235" s="543">
        <v>1879308.87</v>
      </c>
      <c r="G235" s="553">
        <f t="shared" si="3"/>
        <v>1873685.5799999998</v>
      </c>
    </row>
    <row r="236" spans="1:7" x14ac:dyDescent="0.25">
      <c r="A236" s="410" t="s">
        <v>649</v>
      </c>
      <c r="B236" s="410" t="s">
        <v>1050</v>
      </c>
      <c r="D236" s="537"/>
      <c r="E236" s="553">
        <v>88341.9</v>
      </c>
      <c r="F236" s="543">
        <v>88341.9</v>
      </c>
      <c r="G236" s="553">
        <f t="shared" si="3"/>
        <v>88341.9</v>
      </c>
    </row>
    <row r="237" spans="1:7" x14ac:dyDescent="0.25">
      <c r="A237" s="410" t="s">
        <v>655</v>
      </c>
      <c r="B237" s="410" t="s">
        <v>1051</v>
      </c>
      <c r="C237" s="412">
        <v>212441.93</v>
      </c>
      <c r="D237" s="552">
        <v>78213770.769999996</v>
      </c>
      <c r="E237" s="553">
        <v>95826689.569999993</v>
      </c>
      <c r="F237" s="543">
        <v>174252902.27000001</v>
      </c>
      <c r="G237" s="553">
        <f t="shared" si="3"/>
        <v>174040460.33999997</v>
      </c>
    </row>
    <row r="238" spans="1:7" x14ac:dyDescent="0.25">
      <c r="A238" s="410" t="s">
        <v>657</v>
      </c>
      <c r="B238" s="410" t="s">
        <v>1327</v>
      </c>
      <c r="C238" s="412">
        <v>114827.11</v>
      </c>
      <c r="D238" s="552">
        <v>162845.68</v>
      </c>
      <c r="E238" s="553">
        <v>12015127.25</v>
      </c>
      <c r="F238" s="543">
        <v>12292800.039999999</v>
      </c>
      <c r="G238" s="553">
        <f t="shared" si="3"/>
        <v>12177972.93</v>
      </c>
    </row>
    <row r="239" spans="1:7" x14ac:dyDescent="0.25">
      <c r="A239" s="410" t="s">
        <v>659</v>
      </c>
      <c r="B239" s="410" t="s">
        <v>1053</v>
      </c>
      <c r="D239" s="537"/>
      <c r="E239" s="553">
        <v>5091657.2300000004</v>
      </c>
      <c r="F239" s="543">
        <v>5091657.2300000004</v>
      </c>
      <c r="G239" s="553">
        <f t="shared" si="3"/>
        <v>5091657.2300000004</v>
      </c>
    </row>
    <row r="240" spans="1:7" x14ac:dyDescent="0.25">
      <c r="A240" s="410" t="s">
        <v>661</v>
      </c>
      <c r="B240" s="410" t="s">
        <v>1054</v>
      </c>
      <c r="D240" s="537"/>
      <c r="E240" s="553">
        <v>389013.81</v>
      </c>
      <c r="F240" s="543">
        <v>389013.81</v>
      </c>
      <c r="G240" s="553">
        <f t="shared" si="3"/>
        <v>389013.81</v>
      </c>
    </row>
    <row r="241" spans="1:7" x14ac:dyDescent="0.25">
      <c r="A241" s="410" t="s">
        <v>663</v>
      </c>
      <c r="B241" s="410" t="s">
        <v>1055</v>
      </c>
      <c r="C241" s="412">
        <v>78698.38</v>
      </c>
      <c r="D241" s="552">
        <v>134295.89000000001</v>
      </c>
      <c r="E241" s="553">
        <v>5304410.82</v>
      </c>
      <c r="F241" s="543">
        <v>5517405.0899999999</v>
      </c>
      <c r="G241" s="553">
        <f t="shared" si="3"/>
        <v>5438706.71</v>
      </c>
    </row>
    <row r="242" spans="1:7" x14ac:dyDescent="0.25">
      <c r="A242" s="410" t="s">
        <v>667</v>
      </c>
      <c r="B242" s="410" t="s">
        <v>1056</v>
      </c>
      <c r="D242" s="552">
        <v>1211828.17</v>
      </c>
      <c r="E242" s="553">
        <v>6783203.9400000004</v>
      </c>
      <c r="F242" s="543">
        <v>7995032.1100000003</v>
      </c>
      <c r="G242" s="553">
        <f t="shared" si="3"/>
        <v>7995032.1100000003</v>
      </c>
    </row>
    <row r="243" spans="1:7" x14ac:dyDescent="0.25">
      <c r="A243" s="410" t="s">
        <v>669</v>
      </c>
      <c r="B243" s="410" t="s">
        <v>1057</v>
      </c>
      <c r="C243" s="412">
        <v>19404.18</v>
      </c>
      <c r="D243" s="552">
        <v>6909025.8700000001</v>
      </c>
      <c r="E243" s="553">
        <v>15165179</v>
      </c>
      <c r="F243" s="543">
        <v>22093609.050000001</v>
      </c>
      <c r="G243" s="553">
        <f t="shared" si="3"/>
        <v>22074204.870000001</v>
      </c>
    </row>
    <row r="244" spans="1:7" x14ac:dyDescent="0.25">
      <c r="A244" s="410" t="s">
        <v>671</v>
      </c>
      <c r="B244" s="410" t="s">
        <v>1058</v>
      </c>
      <c r="D244" s="537"/>
      <c r="E244" s="553">
        <v>90508.21</v>
      </c>
      <c r="F244" s="543">
        <v>90508.21</v>
      </c>
      <c r="G244" s="553">
        <f t="shared" si="3"/>
        <v>90508.21</v>
      </c>
    </row>
    <row r="245" spans="1:7" x14ac:dyDescent="0.25">
      <c r="A245" s="410" t="s">
        <v>673</v>
      </c>
      <c r="B245" s="410" t="s">
        <v>1059</v>
      </c>
      <c r="D245" s="537"/>
      <c r="E245" s="553">
        <v>204724.08</v>
      </c>
      <c r="F245" s="543">
        <v>204724.08</v>
      </c>
      <c r="G245" s="553">
        <f t="shared" si="3"/>
        <v>204724.08</v>
      </c>
    </row>
    <row r="246" spans="1:7" x14ac:dyDescent="0.25">
      <c r="A246" s="410" t="s">
        <v>675</v>
      </c>
      <c r="B246" s="410" t="s">
        <v>1060</v>
      </c>
      <c r="C246" s="412">
        <v>52446.14</v>
      </c>
      <c r="D246" s="537"/>
      <c r="E246" s="553">
        <v>19776758.550000001</v>
      </c>
      <c r="F246" s="543">
        <v>19829204.690000001</v>
      </c>
      <c r="G246" s="553">
        <f t="shared" si="3"/>
        <v>19776758.550000001</v>
      </c>
    </row>
    <row r="247" spans="1:7" x14ac:dyDescent="0.25">
      <c r="A247" s="410" t="s">
        <v>677</v>
      </c>
      <c r="B247" s="410" t="s">
        <v>1061</v>
      </c>
      <c r="C247" s="412">
        <v>89.96</v>
      </c>
      <c r="D247" s="552">
        <v>3847184.56</v>
      </c>
      <c r="E247" s="553">
        <v>9840151.3399999999</v>
      </c>
      <c r="F247" s="543">
        <v>13687425.859999999</v>
      </c>
      <c r="G247" s="553">
        <f t="shared" si="3"/>
        <v>13687335.9</v>
      </c>
    </row>
    <row r="248" spans="1:7" x14ac:dyDescent="0.25">
      <c r="A248" s="410" t="s">
        <v>679</v>
      </c>
      <c r="B248" s="410" t="s">
        <v>1062</v>
      </c>
      <c r="D248" s="552">
        <v>88699.44</v>
      </c>
      <c r="E248" s="553">
        <v>769079.25</v>
      </c>
      <c r="F248" s="543">
        <v>857778.69</v>
      </c>
      <c r="G248" s="553">
        <f t="shared" si="3"/>
        <v>857778.69</v>
      </c>
    </row>
    <row r="249" spans="1:7" x14ac:dyDescent="0.25">
      <c r="A249" s="410" t="s">
        <v>682</v>
      </c>
      <c r="B249" s="410" t="s">
        <v>1063</v>
      </c>
      <c r="D249" s="552">
        <v>17763.759999999998</v>
      </c>
      <c r="E249" s="553">
        <v>860095.09</v>
      </c>
      <c r="F249" s="543">
        <v>877858.85</v>
      </c>
      <c r="G249" s="553">
        <f t="shared" si="3"/>
        <v>877858.85</v>
      </c>
    </row>
    <row r="250" spans="1:7" x14ac:dyDescent="0.25">
      <c r="A250" s="410" t="s">
        <v>684</v>
      </c>
      <c r="B250" s="410" t="s">
        <v>1064</v>
      </c>
      <c r="D250" s="552">
        <v>5431314</v>
      </c>
      <c r="E250" s="553">
        <v>17907707.350000001</v>
      </c>
      <c r="F250" s="543">
        <v>23339021.350000001</v>
      </c>
      <c r="G250" s="553">
        <f t="shared" si="3"/>
        <v>23339021.350000001</v>
      </c>
    </row>
    <row r="251" spans="1:7" x14ac:dyDescent="0.25">
      <c r="A251" s="410" t="s">
        <v>686</v>
      </c>
      <c r="B251" s="410" t="s">
        <v>1065</v>
      </c>
      <c r="D251" s="537"/>
      <c r="E251" s="553">
        <v>2683531.85</v>
      </c>
      <c r="F251" s="543">
        <v>2683531.85</v>
      </c>
      <c r="G251" s="553">
        <f t="shared" si="3"/>
        <v>2683531.85</v>
      </c>
    </row>
    <row r="252" spans="1:7" x14ac:dyDescent="0.25">
      <c r="A252" s="410" t="s">
        <v>688</v>
      </c>
      <c r="B252" s="410" t="s">
        <v>1066</v>
      </c>
      <c r="D252" s="537"/>
      <c r="E252" s="553">
        <v>291322.62</v>
      </c>
      <c r="F252" s="543">
        <v>291322.62</v>
      </c>
      <c r="G252" s="553">
        <f t="shared" si="3"/>
        <v>291322.62</v>
      </c>
    </row>
    <row r="253" spans="1:7" x14ac:dyDescent="0.25">
      <c r="A253" s="410" t="s">
        <v>690</v>
      </c>
      <c r="B253" s="410" t="s">
        <v>1067</v>
      </c>
      <c r="C253" s="412">
        <v>750861.67</v>
      </c>
      <c r="D253" s="552">
        <v>8969202.1899999995</v>
      </c>
      <c r="E253" s="553">
        <v>48313578.159999996</v>
      </c>
      <c r="F253" s="543">
        <v>58033642.020000003</v>
      </c>
      <c r="G253" s="553">
        <f t="shared" si="3"/>
        <v>57282780.349999994</v>
      </c>
    </row>
    <row r="254" spans="1:7" x14ac:dyDescent="0.25">
      <c r="A254" s="410" t="s">
        <v>692</v>
      </c>
      <c r="B254" s="410" t="s">
        <v>1328</v>
      </c>
      <c r="D254" s="537"/>
      <c r="E254" s="553">
        <v>678447.87</v>
      </c>
      <c r="F254" s="543">
        <v>678447.87</v>
      </c>
      <c r="G254" s="553">
        <f t="shared" si="3"/>
        <v>678447.87</v>
      </c>
    </row>
    <row r="255" spans="1:7" x14ac:dyDescent="0.25">
      <c r="A255" s="410" t="s">
        <v>694</v>
      </c>
      <c r="B255" s="410" t="s">
        <v>1069</v>
      </c>
      <c r="D255" s="537"/>
      <c r="E255" s="553">
        <v>166823.67000000001</v>
      </c>
      <c r="F255" s="543">
        <v>166823.67000000001</v>
      </c>
      <c r="G255" s="553">
        <f t="shared" si="3"/>
        <v>166823.67000000001</v>
      </c>
    </row>
    <row r="256" spans="1:7" x14ac:dyDescent="0.25">
      <c r="A256" s="410" t="s">
        <v>696</v>
      </c>
      <c r="B256" s="410" t="s">
        <v>1070</v>
      </c>
      <c r="D256" s="537"/>
      <c r="E256" s="553">
        <v>170870.33</v>
      </c>
      <c r="F256" s="543">
        <v>170870.33</v>
      </c>
      <c r="G256" s="553">
        <f t="shared" si="3"/>
        <v>170870.33</v>
      </c>
    </row>
    <row r="257" spans="1:7" x14ac:dyDescent="0.25">
      <c r="A257" s="410" t="s">
        <v>698</v>
      </c>
      <c r="B257" s="410" t="s">
        <v>1329</v>
      </c>
      <c r="D257" s="537"/>
      <c r="E257" s="553">
        <v>12429947.23</v>
      </c>
      <c r="F257" s="543">
        <v>12429947.23</v>
      </c>
      <c r="G257" s="553">
        <f t="shared" si="3"/>
        <v>12429947.23</v>
      </c>
    </row>
    <row r="258" spans="1:7" x14ac:dyDescent="0.25">
      <c r="A258" s="410" t="s">
        <v>702</v>
      </c>
      <c r="B258" s="410" t="s">
        <v>1072</v>
      </c>
      <c r="D258" s="537"/>
      <c r="E258" s="553">
        <v>271237.99</v>
      </c>
      <c r="F258" s="543">
        <v>271237.99</v>
      </c>
      <c r="G258" s="553">
        <f t="shared" si="3"/>
        <v>271237.99</v>
      </c>
    </row>
    <row r="259" spans="1:7" x14ac:dyDescent="0.25">
      <c r="A259" s="410" t="s">
        <v>706</v>
      </c>
      <c r="B259" s="410" t="s">
        <v>1073</v>
      </c>
      <c r="C259" s="412">
        <v>20842.36</v>
      </c>
      <c r="D259" s="552">
        <v>964842.95</v>
      </c>
      <c r="E259" s="553">
        <v>4830793</v>
      </c>
      <c r="F259" s="543">
        <v>5816478.3099999996</v>
      </c>
      <c r="G259" s="553">
        <f t="shared" si="3"/>
        <v>5795635.9500000002</v>
      </c>
    </row>
    <row r="260" spans="1:7" x14ac:dyDescent="0.25">
      <c r="A260" s="410" t="s">
        <v>708</v>
      </c>
      <c r="B260" s="410" t="s">
        <v>1074</v>
      </c>
      <c r="D260" s="537"/>
      <c r="E260" s="553">
        <v>48793.69</v>
      </c>
      <c r="F260" s="543">
        <v>48793.69</v>
      </c>
      <c r="G260" s="553">
        <f t="shared" si="3"/>
        <v>48793.69</v>
      </c>
    </row>
    <row r="261" spans="1:7" x14ac:dyDescent="0.25">
      <c r="A261" s="410" t="s">
        <v>710</v>
      </c>
      <c r="B261" s="410" t="s">
        <v>1075</v>
      </c>
      <c r="D261" s="537"/>
      <c r="E261" s="553">
        <v>1350476.42</v>
      </c>
      <c r="F261" s="543">
        <v>1350476.42</v>
      </c>
      <c r="G261" s="553">
        <f t="shared" si="3"/>
        <v>1350476.42</v>
      </c>
    </row>
    <row r="262" spans="1:7" x14ac:dyDescent="0.25">
      <c r="A262" s="410" t="s">
        <v>712</v>
      </c>
      <c r="B262" s="410" t="s">
        <v>1076</v>
      </c>
      <c r="D262" s="537"/>
      <c r="E262" s="553">
        <v>4399572.7699999996</v>
      </c>
      <c r="F262" s="543">
        <v>4399572.7699999996</v>
      </c>
      <c r="G262" s="553">
        <f t="shared" si="3"/>
        <v>4399572.7699999996</v>
      </c>
    </row>
    <row r="263" spans="1:7" x14ac:dyDescent="0.25">
      <c r="A263" s="410" t="s">
        <v>714</v>
      </c>
      <c r="B263" s="410" t="s">
        <v>1330</v>
      </c>
      <c r="D263" s="552">
        <v>10991.68</v>
      </c>
      <c r="E263" s="553">
        <v>751200.14</v>
      </c>
      <c r="F263" s="543">
        <v>762191.82</v>
      </c>
      <c r="G263" s="553">
        <f t="shared" ref="G263:G317" si="4">D263+E263</f>
        <v>762191.82000000007</v>
      </c>
    </row>
    <row r="264" spans="1:7" x14ac:dyDescent="0.25">
      <c r="A264" s="410" t="s">
        <v>716</v>
      </c>
      <c r="B264" s="410" t="s">
        <v>1331</v>
      </c>
      <c r="D264" s="537"/>
      <c r="E264" s="553">
        <v>315147.05</v>
      </c>
      <c r="F264" s="543">
        <v>315147.05</v>
      </c>
      <c r="G264" s="553">
        <f t="shared" si="4"/>
        <v>315147.05</v>
      </c>
    </row>
    <row r="265" spans="1:7" x14ac:dyDescent="0.25">
      <c r="A265" s="410" t="s">
        <v>718</v>
      </c>
      <c r="B265" s="410" t="s">
        <v>1332</v>
      </c>
      <c r="D265" s="537"/>
      <c r="E265" s="553">
        <v>409826.18</v>
      </c>
      <c r="F265" s="543">
        <v>409826.18</v>
      </c>
      <c r="G265" s="553">
        <f t="shared" si="4"/>
        <v>409826.18</v>
      </c>
    </row>
    <row r="266" spans="1:7" x14ac:dyDescent="0.25">
      <c r="A266" s="410" t="s">
        <v>720</v>
      </c>
      <c r="B266" s="410" t="s">
        <v>1080</v>
      </c>
      <c r="D266" s="537"/>
      <c r="E266" s="553">
        <v>81538.850000000006</v>
      </c>
      <c r="F266" s="543">
        <v>81538.850000000006</v>
      </c>
      <c r="G266" s="553">
        <f t="shared" si="4"/>
        <v>81538.850000000006</v>
      </c>
    </row>
    <row r="267" spans="1:7" x14ac:dyDescent="0.25">
      <c r="A267" s="410" t="s">
        <v>722</v>
      </c>
      <c r="B267" s="410" t="s">
        <v>1081</v>
      </c>
      <c r="C267" s="412">
        <v>55468.36</v>
      </c>
      <c r="D267" s="552">
        <v>2206793.87</v>
      </c>
      <c r="E267" s="553">
        <v>15873258.300000001</v>
      </c>
      <c r="F267" s="543">
        <v>18135520.530000001</v>
      </c>
      <c r="G267" s="553">
        <f t="shared" si="4"/>
        <v>18080052.170000002</v>
      </c>
    </row>
    <row r="268" spans="1:7" x14ac:dyDescent="0.25">
      <c r="A268" s="410" t="s">
        <v>724</v>
      </c>
      <c r="B268" s="410" t="s">
        <v>1082</v>
      </c>
      <c r="D268" s="537"/>
      <c r="E268" s="553">
        <v>10164619.890000001</v>
      </c>
      <c r="F268" s="543">
        <v>10164619.890000001</v>
      </c>
      <c r="G268" s="553">
        <f t="shared" si="4"/>
        <v>10164619.890000001</v>
      </c>
    </row>
    <row r="269" spans="1:7" x14ac:dyDescent="0.25">
      <c r="A269" s="410" t="s">
        <v>726</v>
      </c>
      <c r="B269" s="410" t="s">
        <v>1333</v>
      </c>
      <c r="D269" s="537"/>
      <c r="E269" s="553">
        <v>165231.38</v>
      </c>
      <c r="F269" s="543">
        <v>165231.38</v>
      </c>
      <c r="G269" s="553">
        <f t="shared" si="4"/>
        <v>165231.38</v>
      </c>
    </row>
    <row r="270" spans="1:7" x14ac:dyDescent="0.25">
      <c r="A270" s="410" t="s">
        <v>728</v>
      </c>
      <c r="B270" s="410" t="s">
        <v>1084</v>
      </c>
      <c r="C270" s="412">
        <v>301133.11</v>
      </c>
      <c r="D270" s="552">
        <v>1684288.24</v>
      </c>
      <c r="E270" s="553">
        <v>51136172.590000004</v>
      </c>
      <c r="F270" s="543">
        <v>53121593.939999998</v>
      </c>
      <c r="G270" s="553">
        <f t="shared" si="4"/>
        <v>52820460.830000006</v>
      </c>
    </row>
    <row r="271" spans="1:7" x14ac:dyDescent="0.25">
      <c r="A271" s="410" t="s">
        <v>730</v>
      </c>
      <c r="B271" s="410" t="s">
        <v>1148</v>
      </c>
      <c r="C271" s="412">
        <v>5412.32</v>
      </c>
      <c r="D271" s="537"/>
      <c r="E271" s="553">
        <v>239638.11</v>
      </c>
      <c r="F271" s="543">
        <v>245050.43</v>
      </c>
      <c r="G271" s="553">
        <f t="shared" si="4"/>
        <v>239638.11</v>
      </c>
    </row>
    <row r="272" spans="1:7" x14ac:dyDescent="0.25">
      <c r="A272" s="410" t="s">
        <v>732</v>
      </c>
      <c r="B272" s="410" t="s">
        <v>1085</v>
      </c>
      <c r="C272" s="412">
        <v>15661.77</v>
      </c>
      <c r="D272" s="552">
        <v>4064428.8</v>
      </c>
      <c r="E272" s="553">
        <v>16304937.859999999</v>
      </c>
      <c r="F272" s="543">
        <v>20385028.43</v>
      </c>
      <c r="G272" s="553">
        <f t="shared" si="4"/>
        <v>20369366.66</v>
      </c>
    </row>
    <row r="273" spans="1:7" x14ac:dyDescent="0.25">
      <c r="A273" s="410" t="s">
        <v>734</v>
      </c>
      <c r="B273" s="410" t="s">
        <v>1086</v>
      </c>
      <c r="C273" s="412">
        <v>2984.36</v>
      </c>
      <c r="D273" s="552">
        <v>1500</v>
      </c>
      <c r="E273" s="553">
        <v>340493.38</v>
      </c>
      <c r="F273" s="543">
        <v>344977.74</v>
      </c>
      <c r="G273" s="553">
        <f t="shared" si="4"/>
        <v>341993.38</v>
      </c>
    </row>
    <row r="274" spans="1:7" x14ac:dyDescent="0.25">
      <c r="A274" s="410" t="s">
        <v>736</v>
      </c>
      <c r="B274" s="410" t="s">
        <v>1087</v>
      </c>
      <c r="C274" s="412">
        <v>37528.97</v>
      </c>
      <c r="D274" s="537"/>
      <c r="E274" s="553">
        <v>2003113.58</v>
      </c>
      <c r="F274" s="543">
        <v>2040642.55</v>
      </c>
      <c r="G274" s="553">
        <f t="shared" si="4"/>
        <v>2003113.58</v>
      </c>
    </row>
    <row r="275" spans="1:7" x14ac:dyDescent="0.25">
      <c r="A275" s="410" t="s">
        <v>738</v>
      </c>
      <c r="B275" s="410" t="s">
        <v>1088</v>
      </c>
      <c r="D275" s="537"/>
      <c r="E275" s="553">
        <v>392291.15</v>
      </c>
      <c r="F275" s="543">
        <v>392291.15</v>
      </c>
      <c r="G275" s="553">
        <f t="shared" si="4"/>
        <v>392291.15</v>
      </c>
    </row>
    <row r="276" spans="1:7" x14ac:dyDescent="0.25">
      <c r="A276" s="410" t="s">
        <v>740</v>
      </c>
      <c r="B276" s="410" t="s">
        <v>1089</v>
      </c>
      <c r="C276" s="412">
        <v>14294.72</v>
      </c>
      <c r="D276" s="537"/>
      <c r="E276" s="553">
        <v>1846653.56</v>
      </c>
      <c r="F276" s="543">
        <v>1860948.28</v>
      </c>
      <c r="G276" s="553">
        <f t="shared" si="4"/>
        <v>1846653.56</v>
      </c>
    </row>
    <row r="277" spans="1:7" x14ac:dyDescent="0.25">
      <c r="A277" s="410" t="s">
        <v>742</v>
      </c>
      <c r="B277" s="410" t="s">
        <v>1090</v>
      </c>
      <c r="C277" s="412">
        <v>510.4</v>
      </c>
      <c r="D277" s="537"/>
      <c r="E277" s="553">
        <v>1149184.33</v>
      </c>
      <c r="F277" s="543">
        <v>1149694.73</v>
      </c>
      <c r="G277" s="553">
        <f t="shared" si="4"/>
        <v>1149184.33</v>
      </c>
    </row>
    <row r="278" spans="1:7" x14ac:dyDescent="0.25">
      <c r="A278" s="410" t="s">
        <v>744</v>
      </c>
      <c r="B278" s="410" t="s">
        <v>1091</v>
      </c>
      <c r="D278" s="537"/>
      <c r="E278" s="553">
        <v>4440304.57</v>
      </c>
      <c r="F278" s="543">
        <v>4440304.57</v>
      </c>
      <c r="G278" s="553">
        <f t="shared" si="4"/>
        <v>4440304.57</v>
      </c>
    </row>
    <row r="279" spans="1:7" x14ac:dyDescent="0.25">
      <c r="A279" s="410" t="s">
        <v>746</v>
      </c>
      <c r="B279" s="410" t="s">
        <v>1092</v>
      </c>
      <c r="D279" s="552">
        <v>29614.58</v>
      </c>
      <c r="E279" s="553">
        <v>228377.54</v>
      </c>
      <c r="F279" s="543">
        <v>247866.12</v>
      </c>
      <c r="G279" s="553">
        <f t="shared" si="4"/>
        <v>257992.12</v>
      </c>
    </row>
    <row r="280" spans="1:7" x14ac:dyDescent="0.25">
      <c r="A280" s="410" t="s">
        <v>748</v>
      </c>
      <c r="B280" s="410" t="s">
        <v>1093</v>
      </c>
      <c r="D280" s="537"/>
      <c r="E280" s="553">
        <v>1011805.92</v>
      </c>
      <c r="F280" s="543">
        <v>1011805.92</v>
      </c>
      <c r="G280" s="553">
        <f t="shared" si="4"/>
        <v>1011805.92</v>
      </c>
    </row>
    <row r="281" spans="1:7" x14ac:dyDescent="0.25">
      <c r="A281" s="410" t="s">
        <v>750</v>
      </c>
      <c r="B281" s="410" t="s">
        <v>1094</v>
      </c>
      <c r="D281" s="537"/>
      <c r="E281" s="553">
        <v>174835.77</v>
      </c>
      <c r="F281" s="543">
        <v>174835.77</v>
      </c>
      <c r="G281" s="553">
        <f t="shared" si="4"/>
        <v>174835.77</v>
      </c>
    </row>
    <row r="282" spans="1:7" x14ac:dyDescent="0.25">
      <c r="A282" s="410" t="s">
        <v>752</v>
      </c>
      <c r="B282" s="410" t="s">
        <v>1095</v>
      </c>
      <c r="D282" s="537"/>
      <c r="E282" s="553">
        <v>5987123.96</v>
      </c>
      <c r="F282" s="543">
        <v>5987123.96</v>
      </c>
      <c r="G282" s="553">
        <f t="shared" si="4"/>
        <v>5987123.96</v>
      </c>
    </row>
    <row r="283" spans="1:7" x14ac:dyDescent="0.25">
      <c r="A283" s="410" t="s">
        <v>754</v>
      </c>
      <c r="B283" s="410" t="s">
        <v>1096</v>
      </c>
      <c r="D283" s="552">
        <v>25285.29</v>
      </c>
      <c r="E283" s="553">
        <v>11693116.949999999</v>
      </c>
      <c r="F283" s="543">
        <v>11718402.24</v>
      </c>
      <c r="G283" s="553">
        <f t="shared" si="4"/>
        <v>11718402.239999998</v>
      </c>
    </row>
    <row r="284" spans="1:7" x14ac:dyDescent="0.25">
      <c r="A284" s="410" t="s">
        <v>756</v>
      </c>
      <c r="B284" s="410" t="s">
        <v>1097</v>
      </c>
      <c r="D284" s="537"/>
      <c r="E284" s="553">
        <v>643355.37</v>
      </c>
      <c r="F284" s="543">
        <v>643355.37</v>
      </c>
      <c r="G284" s="553">
        <f t="shared" si="4"/>
        <v>643355.37</v>
      </c>
    </row>
    <row r="285" spans="1:7" x14ac:dyDescent="0.25">
      <c r="A285" s="410" t="s">
        <v>758</v>
      </c>
      <c r="B285" s="410" t="s">
        <v>1098</v>
      </c>
      <c r="C285" s="412">
        <v>98344.16</v>
      </c>
      <c r="D285" s="552">
        <v>72221.52</v>
      </c>
      <c r="E285" s="553">
        <v>10591552.699999999</v>
      </c>
      <c r="F285" s="543">
        <v>10762118.380000001</v>
      </c>
      <c r="G285" s="553">
        <f t="shared" si="4"/>
        <v>10663774.219999999</v>
      </c>
    </row>
    <row r="286" spans="1:7" x14ac:dyDescent="0.25">
      <c r="A286" s="410" t="s">
        <v>760</v>
      </c>
      <c r="B286" s="410" t="s">
        <v>1099</v>
      </c>
      <c r="D286" s="537"/>
      <c r="E286" s="553">
        <v>1130385.97</v>
      </c>
      <c r="F286" s="543">
        <v>1130385.97</v>
      </c>
      <c r="G286" s="553">
        <f t="shared" si="4"/>
        <v>1130385.97</v>
      </c>
    </row>
    <row r="287" spans="1:7" x14ac:dyDescent="0.25">
      <c r="A287" s="410" t="s">
        <v>762</v>
      </c>
      <c r="B287" s="410" t="s">
        <v>1100</v>
      </c>
      <c r="C287" s="412">
        <v>659035.78</v>
      </c>
      <c r="D287" s="552">
        <v>4948822.22</v>
      </c>
      <c r="E287" s="553">
        <v>38577740.32</v>
      </c>
      <c r="F287" s="543">
        <v>44185598.32</v>
      </c>
      <c r="G287" s="553">
        <f t="shared" si="4"/>
        <v>43526562.539999999</v>
      </c>
    </row>
    <row r="288" spans="1:7" x14ac:dyDescent="0.25">
      <c r="A288" s="410" t="s">
        <v>764</v>
      </c>
      <c r="B288" s="410" t="s">
        <v>1101</v>
      </c>
      <c r="C288" s="412">
        <v>11391.15</v>
      </c>
      <c r="D288" s="552">
        <v>126661.05</v>
      </c>
      <c r="E288" s="553">
        <v>2571620.04</v>
      </c>
      <c r="F288" s="543">
        <v>2709672.24</v>
      </c>
      <c r="G288" s="553">
        <f t="shared" si="4"/>
        <v>2698281.09</v>
      </c>
    </row>
    <row r="289" spans="1:7" x14ac:dyDescent="0.25">
      <c r="A289" s="410" t="s">
        <v>1334</v>
      </c>
      <c r="B289" s="410" t="s">
        <v>1335</v>
      </c>
      <c r="D289" s="537"/>
      <c r="E289" s="553">
        <v>120474.56</v>
      </c>
      <c r="F289" s="543">
        <v>120474.56</v>
      </c>
      <c r="G289" s="553">
        <f t="shared" si="4"/>
        <v>120474.56</v>
      </c>
    </row>
    <row r="290" spans="1:7" x14ac:dyDescent="0.25">
      <c r="A290" s="410" t="s">
        <v>766</v>
      </c>
      <c r="B290" s="410" t="s">
        <v>1102</v>
      </c>
      <c r="D290" s="537"/>
      <c r="E290" s="553">
        <v>732218.66</v>
      </c>
      <c r="F290" s="543">
        <v>732218.66</v>
      </c>
      <c r="G290" s="553">
        <f t="shared" si="4"/>
        <v>732218.66</v>
      </c>
    </row>
    <row r="291" spans="1:7" x14ac:dyDescent="0.25">
      <c r="A291" s="410" t="s">
        <v>768</v>
      </c>
      <c r="B291" s="410" t="s">
        <v>1103</v>
      </c>
      <c r="D291" s="537"/>
      <c r="E291" s="553">
        <v>3050258.34</v>
      </c>
      <c r="F291" s="543">
        <v>3050258.34</v>
      </c>
      <c r="G291" s="553">
        <f t="shared" si="4"/>
        <v>3050258.34</v>
      </c>
    </row>
    <row r="292" spans="1:7" x14ac:dyDescent="0.25">
      <c r="A292" s="410" t="s">
        <v>770</v>
      </c>
      <c r="B292" s="410" t="s">
        <v>1104</v>
      </c>
      <c r="D292" s="537"/>
      <c r="E292" s="553">
        <v>235014.18</v>
      </c>
      <c r="F292" s="543">
        <v>235014.18</v>
      </c>
      <c r="G292" s="553">
        <f t="shared" si="4"/>
        <v>235014.18</v>
      </c>
    </row>
    <row r="293" spans="1:7" x14ac:dyDescent="0.25">
      <c r="A293" s="410" t="s">
        <v>772</v>
      </c>
      <c r="B293" s="410" t="s">
        <v>1105</v>
      </c>
      <c r="D293" s="552">
        <v>490649.58</v>
      </c>
      <c r="E293" s="553">
        <v>8612840.9800000004</v>
      </c>
      <c r="F293" s="543">
        <v>9103490.5600000005</v>
      </c>
      <c r="G293" s="553">
        <f t="shared" si="4"/>
        <v>9103490.5600000005</v>
      </c>
    </row>
    <row r="294" spans="1:7" x14ac:dyDescent="0.25">
      <c r="A294" s="410" t="s">
        <v>774</v>
      </c>
      <c r="B294" s="410" t="s">
        <v>1106</v>
      </c>
      <c r="D294" s="537"/>
      <c r="E294" s="553">
        <v>4339975.3</v>
      </c>
      <c r="F294" s="543">
        <v>4339975.3</v>
      </c>
      <c r="G294" s="553">
        <f t="shared" si="4"/>
        <v>4339975.3</v>
      </c>
    </row>
    <row r="295" spans="1:7" x14ac:dyDescent="0.25">
      <c r="A295" s="410" t="s">
        <v>776</v>
      </c>
      <c r="B295" s="410" t="s">
        <v>1107</v>
      </c>
      <c r="C295" s="412">
        <v>24454.1</v>
      </c>
      <c r="D295" s="552">
        <v>1781.25</v>
      </c>
      <c r="E295" s="553">
        <v>1294613.94</v>
      </c>
      <c r="F295" s="543">
        <v>1320849.29</v>
      </c>
      <c r="G295" s="553">
        <f t="shared" si="4"/>
        <v>1296395.19</v>
      </c>
    </row>
    <row r="296" spans="1:7" x14ac:dyDescent="0.25">
      <c r="A296" s="410" t="s">
        <v>778</v>
      </c>
      <c r="B296" s="410" t="s">
        <v>1108</v>
      </c>
      <c r="C296" s="412">
        <v>49572.11</v>
      </c>
      <c r="D296" s="552">
        <v>309017.24</v>
      </c>
      <c r="E296" s="553">
        <v>6772702.0199999996</v>
      </c>
      <c r="F296" s="543">
        <v>7131291.3700000001</v>
      </c>
      <c r="G296" s="553">
        <f t="shared" si="4"/>
        <v>7081719.2599999998</v>
      </c>
    </row>
    <row r="297" spans="1:7" x14ac:dyDescent="0.25">
      <c r="A297" s="410" t="s">
        <v>780</v>
      </c>
      <c r="B297" s="410" t="s">
        <v>1109</v>
      </c>
      <c r="D297" s="537"/>
      <c r="E297" s="553">
        <v>95403.75</v>
      </c>
      <c r="F297" s="543">
        <v>95403.75</v>
      </c>
      <c r="G297" s="553">
        <f t="shared" si="4"/>
        <v>95403.75</v>
      </c>
    </row>
    <row r="298" spans="1:7" x14ac:dyDescent="0.25">
      <c r="A298" s="410" t="s">
        <v>782</v>
      </c>
      <c r="B298" s="410" t="s">
        <v>1110</v>
      </c>
      <c r="D298" s="537"/>
      <c r="E298" s="553">
        <v>414342.2</v>
      </c>
      <c r="F298" s="543">
        <v>414342.2</v>
      </c>
      <c r="G298" s="553">
        <f t="shared" si="4"/>
        <v>414342.2</v>
      </c>
    </row>
    <row r="299" spans="1:7" x14ac:dyDescent="0.25">
      <c r="A299" s="410" t="s">
        <v>784</v>
      </c>
      <c r="B299" s="410" t="s">
        <v>1111</v>
      </c>
      <c r="D299" s="537"/>
      <c r="E299" s="553">
        <v>635026.64</v>
      </c>
      <c r="F299" s="543">
        <v>635026.64</v>
      </c>
      <c r="G299" s="553">
        <f t="shared" si="4"/>
        <v>635026.64</v>
      </c>
    </row>
    <row r="300" spans="1:7" x14ac:dyDescent="0.25">
      <c r="A300" s="410" t="s">
        <v>786</v>
      </c>
      <c r="B300" s="410" t="s">
        <v>1112</v>
      </c>
      <c r="C300" s="412">
        <v>138755.92000000001</v>
      </c>
      <c r="D300" s="552">
        <v>94237.5</v>
      </c>
      <c r="E300" s="553">
        <v>11947108.050000001</v>
      </c>
      <c r="F300" s="543">
        <v>12180101.470000001</v>
      </c>
      <c r="G300" s="553">
        <f t="shared" si="4"/>
        <v>12041345.550000001</v>
      </c>
    </row>
    <row r="301" spans="1:7" x14ac:dyDescent="0.25">
      <c r="A301" s="410" t="s">
        <v>790</v>
      </c>
      <c r="B301" s="410" t="s">
        <v>1336</v>
      </c>
      <c r="D301" s="537"/>
      <c r="E301" s="553">
        <v>5138274.38</v>
      </c>
      <c r="F301" s="543">
        <v>5138274.38</v>
      </c>
      <c r="G301" s="553">
        <f t="shared" si="4"/>
        <v>5138274.38</v>
      </c>
    </row>
    <row r="302" spans="1:7" x14ac:dyDescent="0.25">
      <c r="A302" s="410" t="s">
        <v>788</v>
      </c>
      <c r="B302" s="410" t="s">
        <v>1337</v>
      </c>
      <c r="D302" s="537"/>
      <c r="E302" s="553">
        <v>7691266.79</v>
      </c>
      <c r="F302" s="543">
        <v>7691266.79</v>
      </c>
      <c r="G302" s="553">
        <f t="shared" si="4"/>
        <v>7691266.79</v>
      </c>
    </row>
    <row r="303" spans="1:7" x14ac:dyDescent="0.25">
      <c r="A303" s="410" t="s">
        <v>1169</v>
      </c>
      <c r="B303" s="410" t="s">
        <v>1338</v>
      </c>
      <c r="D303" s="537"/>
      <c r="E303" s="553">
        <v>96810.49</v>
      </c>
      <c r="F303" s="543">
        <v>96810.49</v>
      </c>
      <c r="G303" s="553">
        <f t="shared" si="4"/>
        <v>96810.49</v>
      </c>
    </row>
    <row r="304" spans="1:7" x14ac:dyDescent="0.25">
      <c r="A304" s="410" t="s">
        <v>792</v>
      </c>
      <c r="B304" s="410" t="s">
        <v>1115</v>
      </c>
      <c r="C304" s="412">
        <v>2843.9</v>
      </c>
      <c r="D304" s="552">
        <v>5546.32</v>
      </c>
      <c r="E304" s="553">
        <v>646315.86</v>
      </c>
      <c r="F304" s="543">
        <v>654706.07999999996</v>
      </c>
      <c r="G304" s="553">
        <f t="shared" si="4"/>
        <v>651862.17999999993</v>
      </c>
    </row>
    <row r="305" spans="1:7" x14ac:dyDescent="0.25">
      <c r="A305" s="410" t="s">
        <v>794</v>
      </c>
      <c r="B305" s="410" t="s">
        <v>1116</v>
      </c>
      <c r="C305" s="412">
        <v>9499.74</v>
      </c>
      <c r="D305" s="552">
        <v>1017509.53</v>
      </c>
      <c r="E305" s="553">
        <v>6767012.71</v>
      </c>
      <c r="F305" s="543">
        <v>7794021.9800000004</v>
      </c>
      <c r="G305" s="553">
        <f t="shared" si="4"/>
        <v>7784522.2400000002</v>
      </c>
    </row>
    <row r="306" spans="1:7" x14ac:dyDescent="0.25">
      <c r="A306" s="410" t="s">
        <v>796</v>
      </c>
      <c r="B306" s="410" t="s">
        <v>1117</v>
      </c>
      <c r="C306" s="412">
        <v>6695.96</v>
      </c>
      <c r="D306" s="537"/>
      <c r="E306" s="553">
        <v>1402419.12</v>
      </c>
      <c r="F306" s="543">
        <v>1409115.08</v>
      </c>
      <c r="G306" s="553">
        <f t="shared" si="4"/>
        <v>1402419.12</v>
      </c>
    </row>
    <row r="307" spans="1:7" x14ac:dyDescent="0.25">
      <c r="A307" s="410" t="s">
        <v>247</v>
      </c>
      <c r="B307" s="410" t="s">
        <v>1339</v>
      </c>
      <c r="D307" s="537"/>
      <c r="E307" s="553">
        <v>167203.29</v>
      </c>
      <c r="F307" s="543">
        <v>167203.29</v>
      </c>
      <c r="G307" s="553">
        <f t="shared" si="4"/>
        <v>167203.29</v>
      </c>
    </row>
    <row r="308" spans="1:7" x14ac:dyDescent="0.25">
      <c r="A308" s="410" t="s">
        <v>798</v>
      </c>
      <c r="B308" s="410" t="s">
        <v>1118</v>
      </c>
      <c r="D308" s="552">
        <v>71525.399999999994</v>
      </c>
      <c r="E308" s="553">
        <v>339171.98</v>
      </c>
      <c r="F308" s="543">
        <v>410697.38</v>
      </c>
      <c r="G308" s="553">
        <f t="shared" si="4"/>
        <v>410697.38</v>
      </c>
    </row>
    <row r="309" spans="1:7" x14ac:dyDescent="0.25">
      <c r="A309" s="410" t="s">
        <v>800</v>
      </c>
      <c r="B309" s="410" t="s">
        <v>1119</v>
      </c>
      <c r="D309" s="552">
        <v>138251.09</v>
      </c>
      <c r="E309" s="553">
        <v>497941.78</v>
      </c>
      <c r="F309" s="543">
        <v>636192.87</v>
      </c>
      <c r="G309" s="553">
        <f t="shared" si="4"/>
        <v>636192.87</v>
      </c>
    </row>
    <row r="310" spans="1:7" x14ac:dyDescent="0.25">
      <c r="A310" s="410" t="s">
        <v>802</v>
      </c>
      <c r="B310" s="410" t="s">
        <v>1149</v>
      </c>
      <c r="D310" s="552">
        <v>39504.22</v>
      </c>
      <c r="E310" s="553">
        <v>155425.10999999999</v>
      </c>
      <c r="F310" s="543">
        <v>194929.33</v>
      </c>
      <c r="G310" s="553">
        <f t="shared" si="4"/>
        <v>194929.33</v>
      </c>
    </row>
    <row r="311" spans="1:7" x14ac:dyDescent="0.25">
      <c r="A311" s="410" t="s">
        <v>804</v>
      </c>
      <c r="B311" s="410" t="s">
        <v>1120</v>
      </c>
      <c r="D311" s="537"/>
      <c r="E311" s="553">
        <v>1575457.8</v>
      </c>
      <c r="F311" s="543">
        <v>1575457.8</v>
      </c>
      <c r="G311" s="553">
        <f t="shared" si="4"/>
        <v>1575457.8</v>
      </c>
    </row>
    <row r="312" spans="1:7" x14ac:dyDescent="0.25">
      <c r="A312" s="410" t="s">
        <v>806</v>
      </c>
      <c r="B312" s="410" t="s">
        <v>1121</v>
      </c>
      <c r="D312" s="537"/>
      <c r="E312" s="553">
        <v>230823.85</v>
      </c>
      <c r="F312" s="543">
        <v>230823.85</v>
      </c>
      <c r="G312" s="553">
        <f t="shared" si="4"/>
        <v>230823.85</v>
      </c>
    </row>
    <row r="313" spans="1:7" x14ac:dyDescent="0.25">
      <c r="A313" s="410" t="s">
        <v>808</v>
      </c>
      <c r="B313" s="410" t="s">
        <v>1122</v>
      </c>
      <c r="D313" s="537"/>
      <c r="E313" s="553">
        <v>53332.76</v>
      </c>
      <c r="F313" s="543">
        <v>53332.76</v>
      </c>
      <c r="G313" s="553">
        <f t="shared" si="4"/>
        <v>53332.76</v>
      </c>
    </row>
    <row r="314" spans="1:7" x14ac:dyDescent="0.25">
      <c r="A314" s="410" t="s">
        <v>810</v>
      </c>
      <c r="B314" s="410" t="s">
        <v>1123</v>
      </c>
      <c r="C314" s="412">
        <v>543356.02</v>
      </c>
      <c r="D314" s="552">
        <v>373565.69</v>
      </c>
      <c r="E314" s="553">
        <v>3599658.08</v>
      </c>
      <c r="F314" s="543">
        <v>4516579.79</v>
      </c>
      <c r="G314" s="553">
        <f t="shared" si="4"/>
        <v>3973223.77</v>
      </c>
    </row>
    <row r="315" spans="1:7" x14ac:dyDescent="0.25">
      <c r="A315" s="410" t="s">
        <v>812</v>
      </c>
      <c r="B315" s="410" t="s">
        <v>1124</v>
      </c>
      <c r="D315" s="552">
        <v>5221918.3</v>
      </c>
      <c r="E315" s="553">
        <v>27070471.640000001</v>
      </c>
      <c r="F315" s="543">
        <v>32292389.940000001</v>
      </c>
      <c r="G315" s="553">
        <f t="shared" si="4"/>
        <v>32292389.940000001</v>
      </c>
    </row>
    <row r="316" spans="1:7" x14ac:dyDescent="0.25">
      <c r="A316" s="410" t="s">
        <v>814</v>
      </c>
      <c r="B316" s="410" t="s">
        <v>1125</v>
      </c>
      <c r="C316" s="412">
        <v>50300.15</v>
      </c>
      <c r="D316" s="552">
        <v>2318718.5099999998</v>
      </c>
      <c r="E316" s="553">
        <v>9615772.0399999991</v>
      </c>
      <c r="F316" s="543">
        <v>11984790.699999999</v>
      </c>
      <c r="G316" s="553">
        <f t="shared" si="4"/>
        <v>11934490.549999999</v>
      </c>
    </row>
    <row r="317" spans="1:7" x14ac:dyDescent="0.25">
      <c r="A317" s="410" t="s">
        <v>816</v>
      </c>
      <c r="B317" s="410" t="s">
        <v>1126</v>
      </c>
      <c r="D317" s="537"/>
      <c r="E317" s="553">
        <v>1335765.49</v>
      </c>
      <c r="F317" s="543">
        <v>1335765.49</v>
      </c>
      <c r="G317" s="553">
        <f t="shared" si="4"/>
        <v>1335765.49</v>
      </c>
    </row>
  </sheetData>
  <autoFilter ref="A5:G317" xr:uid="{83EC580C-65A7-4AB9-8773-93828FBB364E}"/>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40</vt:i4>
      </vt:variant>
    </vt:vector>
  </HeadingPairs>
  <TitlesOfParts>
    <vt:vector size="98" baseType="lpstr">
      <vt:lpstr>1. Title Page</vt:lpstr>
      <vt:lpstr>CCDDD#</vt:lpstr>
      <vt:lpstr>43. SEA Guidance</vt:lpstr>
      <vt:lpstr>2. Getting Started</vt:lpstr>
      <vt:lpstr>3a. Intervening Years</vt:lpstr>
      <vt:lpstr>2019-20</vt:lpstr>
      <vt:lpstr>3b. High Cost Fund</vt:lpstr>
      <vt:lpstr>4. Multi-Year MOE Summary</vt:lpstr>
      <vt:lpstr>2021-22</vt:lpstr>
      <vt:lpstr>2020-21</vt:lpstr>
      <vt:lpstr>Nov 2020 cc</vt:lpstr>
      <vt:lpstr>2017-18</vt:lpstr>
      <vt:lpstr>11. Year 3 Amounts</vt:lpstr>
      <vt:lpstr>2018-19</vt:lpstr>
      <vt:lpstr>12. Year 3 Exc &amp; Adj</vt:lpstr>
      <vt:lpstr>14. Year 4 Amounts</vt:lpstr>
      <vt:lpstr>15. Year 4 Exc &amp; Adj</vt:lpstr>
      <vt:lpstr>5. Year 1 Amounts</vt:lpstr>
      <vt:lpstr>6. Year 1 Exc &amp; Adj</vt:lpstr>
      <vt:lpstr>7. Year 1 Summary</vt:lpstr>
      <vt:lpstr>8. Year 2 Amounts</vt:lpstr>
      <vt:lpstr>9. Year 2 Exc &amp; Adj</vt:lpstr>
      <vt:lpstr>10. Year 2 Summary</vt:lpstr>
      <vt:lpstr>13. Year 3 Summary</vt:lpstr>
      <vt:lpstr>16. Year 4 Summary</vt:lpstr>
      <vt:lpstr>17. Year 5 Amounts</vt:lpstr>
      <vt:lpstr>18. Year 5 Exc &amp; Adj</vt:lpstr>
      <vt:lpstr>19. Year 5 Summary</vt:lpstr>
      <vt:lpstr>20. Year 6 Amounts</vt:lpstr>
      <vt:lpstr>21. Year 6 Exc &amp; Adj</vt:lpstr>
      <vt:lpstr>22. Year 6 Summary</vt:lpstr>
      <vt:lpstr>23. Year 7 Amounts</vt:lpstr>
      <vt:lpstr>24. Year 7 Exc &amp; Adj</vt:lpstr>
      <vt:lpstr>25. Year 7 Summary</vt:lpstr>
      <vt:lpstr>26. Year 8 Amounts</vt:lpstr>
      <vt:lpstr>27. Year 8 Exc &amp; Adj</vt:lpstr>
      <vt:lpstr>28. Year 8 Summary</vt:lpstr>
      <vt:lpstr>29. Year 9 Amounts</vt:lpstr>
      <vt:lpstr>30. Year 9 Exc &amp; Adj</vt:lpstr>
      <vt:lpstr>31. Year 9 Summary</vt:lpstr>
      <vt:lpstr>32. Year 10 Amounts</vt:lpstr>
      <vt:lpstr>33. Year 10 Exc &amp; Adj</vt:lpstr>
      <vt:lpstr>34. Year 10 Summary</vt:lpstr>
      <vt:lpstr>35. Year 11 Amounts</vt:lpstr>
      <vt:lpstr>36. Year 11 Exc &amp; Adj</vt:lpstr>
      <vt:lpstr>37. Year 11 Summary</vt:lpstr>
      <vt:lpstr>38. Total Local Funds</vt:lpstr>
      <vt:lpstr>39. Total State &amp; Local Funds</vt:lpstr>
      <vt:lpstr>40. Local Funds Per Capita</vt:lpstr>
      <vt:lpstr>41. State &amp; Local Funds Per Cap</vt:lpstr>
      <vt:lpstr>21-22 state &amp; local</vt:lpstr>
      <vt:lpstr>21-22 child count</vt:lpstr>
      <vt:lpstr>22-23 child count</vt:lpstr>
      <vt:lpstr>22-23 state &amp; local</vt:lpstr>
      <vt:lpstr>23-24 child count</vt:lpstr>
      <vt:lpstr>23-24 state &amp; local</vt:lpstr>
      <vt:lpstr>42. SEA or LEA Worksheet</vt:lpstr>
      <vt:lpstr>compliance</vt:lpstr>
      <vt:lpstr>Exception_c</vt:lpstr>
      <vt:lpstr>'4. Multi-Year MOE Summary'!Print_Area</vt:lpstr>
      <vt:lpstr>'10. Year 2 Summary'!Print_Titles</vt:lpstr>
      <vt:lpstr>'11. Year 3 Amounts'!Print_Titles</vt:lpstr>
      <vt:lpstr>'12. Year 3 Exc &amp; Adj'!Print_Titles</vt:lpstr>
      <vt:lpstr>'13. Year 3 Summary'!Print_Titles</vt:lpstr>
      <vt:lpstr>'14. Year 4 Amounts'!Print_Titles</vt:lpstr>
      <vt:lpstr>'15. Year 4 Exc &amp; Adj'!Print_Titles</vt:lpstr>
      <vt:lpstr>'16. Year 4 Summary'!Print_Titles</vt:lpstr>
      <vt:lpstr>'17. Year 5 Amounts'!Print_Titles</vt:lpstr>
      <vt:lpstr>'18. Year 5 Exc &amp; Adj'!Print_Titles</vt:lpstr>
      <vt:lpstr>'19. Year 5 Summary'!Print_Titles</vt:lpstr>
      <vt:lpstr>'20. Year 6 Amounts'!Print_Titles</vt:lpstr>
      <vt:lpstr>'21. Year 6 Exc &amp; Adj'!Print_Titles</vt:lpstr>
      <vt:lpstr>'22. Year 6 Summary'!Print_Titles</vt:lpstr>
      <vt:lpstr>'23. Year 7 Amounts'!Print_Titles</vt:lpstr>
      <vt:lpstr>'24. Year 7 Exc &amp; Adj'!Print_Titles</vt:lpstr>
      <vt:lpstr>'25. Year 7 Summary'!Print_Titles</vt:lpstr>
      <vt:lpstr>'26. Year 8 Amounts'!Print_Titles</vt:lpstr>
      <vt:lpstr>'27. Year 8 Exc &amp; Adj'!Print_Titles</vt:lpstr>
      <vt:lpstr>'28. Year 8 Summary'!Print_Titles</vt:lpstr>
      <vt:lpstr>'29. Year 9 Amounts'!Print_Titles</vt:lpstr>
      <vt:lpstr>'30. Year 9 Exc &amp; Adj'!Print_Titles</vt:lpstr>
      <vt:lpstr>'31. Year 9 Summary'!Print_Titles</vt:lpstr>
      <vt:lpstr>'32. Year 10 Amounts'!Print_Titles</vt:lpstr>
      <vt:lpstr>'33. Year 10 Exc &amp; Adj'!Print_Titles</vt:lpstr>
      <vt:lpstr>'34. Year 10 Summary'!Print_Titles</vt:lpstr>
      <vt:lpstr>'35. Year 11 Amounts'!Print_Titles</vt:lpstr>
      <vt:lpstr>'36. Year 11 Exc &amp; Adj'!Print_Titles</vt:lpstr>
      <vt:lpstr>'37. Year 11 Summary'!Print_Titles</vt:lpstr>
      <vt:lpstr>'38. Total Local Funds'!Print_Titles</vt:lpstr>
      <vt:lpstr>'39. Total State &amp; Local Funds'!Print_Titles</vt:lpstr>
      <vt:lpstr>'4. Multi-Year MOE Summary'!Print_Titles</vt:lpstr>
      <vt:lpstr>'40. Local Funds Per Capita'!Print_Titles</vt:lpstr>
      <vt:lpstr>'41. State &amp; Local Funds Per Cap'!Print_Titles</vt:lpstr>
      <vt:lpstr>'5. Year 1 Amounts'!Print_Titles</vt:lpstr>
      <vt:lpstr>'6. Year 1 Exc &amp; Adj'!Print_Titles</vt:lpstr>
      <vt:lpstr>'7. Year 1 Summary'!Print_Titles</vt:lpstr>
      <vt:lpstr>'8. Year 2 Amounts'!Print_Titles</vt:lpstr>
      <vt:lpstr>'9. Year 2 Exc &amp; Adj'!Print_Titles</vt:lpstr>
    </vt:vector>
  </TitlesOfParts>
  <Company>Westat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LEA MOE Calculator 2.0</dc:title>
  <dc:subject>Special Education Maintenance of Effort</dc:subject>
  <dc:creator>CIFR</dc:creator>
  <cp:keywords>LEA MOE, Calculator, Fiscal Monitoring, CIFR, IDEA</cp:keywords>
  <cp:lastModifiedBy>Amber O’Donnell</cp:lastModifiedBy>
  <cp:lastPrinted>2021-05-03T15:30:13Z</cp:lastPrinted>
  <dcterms:created xsi:type="dcterms:W3CDTF">2020-09-22T15:25:03Z</dcterms:created>
  <dcterms:modified xsi:type="dcterms:W3CDTF">2025-10-20T15:34:32Z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45f431-4c8c-42c6-a5a5-ba6d3bdea585_Enabled">
    <vt:lpwstr>true</vt:lpwstr>
  </property>
  <property fmtid="{D5CDD505-2E9C-101B-9397-08002B2CF9AE}" pid="3" name="MSIP_Label_9145f431-4c8c-42c6-a5a5-ba6d3bdea585_SetDate">
    <vt:lpwstr>2024-05-30T19:54:29Z</vt:lpwstr>
  </property>
  <property fmtid="{D5CDD505-2E9C-101B-9397-08002B2CF9AE}" pid="4" name="MSIP_Label_9145f431-4c8c-42c6-a5a5-ba6d3bdea585_Method">
    <vt:lpwstr>Standard</vt:lpwstr>
  </property>
  <property fmtid="{D5CDD505-2E9C-101B-9397-08002B2CF9AE}" pid="5" name="MSIP_Label_9145f431-4c8c-42c6-a5a5-ba6d3bdea585_Name">
    <vt:lpwstr>defa4170-0d19-0005-0004-bc88714345d2</vt:lpwstr>
  </property>
  <property fmtid="{D5CDD505-2E9C-101B-9397-08002B2CF9AE}" pid="6" name="MSIP_Label_9145f431-4c8c-42c6-a5a5-ba6d3bdea585_SiteId">
    <vt:lpwstr>b2fe5ccf-10a5-46fe-ae45-a0267412af7a</vt:lpwstr>
  </property>
  <property fmtid="{D5CDD505-2E9C-101B-9397-08002B2CF9AE}" pid="7" name="MSIP_Label_9145f431-4c8c-42c6-a5a5-ba6d3bdea585_ActionId">
    <vt:lpwstr>e85899a0-0fdb-4d9e-adfd-ba3f402ad918</vt:lpwstr>
  </property>
  <property fmtid="{D5CDD505-2E9C-101B-9397-08002B2CF9AE}" pid="8" name="MSIP_Label_9145f431-4c8c-42c6-a5a5-ba6d3bdea585_ContentBits">
    <vt:lpwstr>0</vt:lpwstr>
  </property>
</Properties>
</file>